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9"/>
  </bookViews>
  <sheets>
    <sheet name="文档说明" sheetId="10" r:id="rId1"/>
    <sheet name="属性表" sheetId="46" r:id="rId2"/>
    <sheet name="新属性投放" sheetId="53" r:id="rId3"/>
    <sheet name="属性投放" sheetId="66" r:id="rId4"/>
    <sheet name="职业属性倾向" sheetId="58" r:id="rId5"/>
    <sheet name="卡牌属性" sheetId="54" r:id="rId6"/>
    <sheet name="新神器" sheetId="63" r:id="rId7"/>
    <sheet name="专属武器" sheetId="57" r:id="rId8"/>
    <sheet name="洗练技能" sheetId="61" r:id="rId9"/>
    <sheet name="属性汇总" sheetId="64" r:id="rId10"/>
    <sheet name="装备" sheetId="65" r:id="rId11"/>
  </sheets>
  <definedNames>
    <definedName name="卡牌类型名" localSheetId="6">#REF!</definedName>
    <definedName name="卡牌类型名" localSheetId="2">#REF!</definedName>
    <definedName name="卡牌类型名">#REF!</definedName>
    <definedName name="品质名称" localSheetId="6">#REF!</definedName>
    <definedName name="品质名称" localSheetId="2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V546" i="65" l="1"/>
  <c r="CW546" i="65"/>
  <c r="CX546" i="65"/>
  <c r="CY546" i="65"/>
  <c r="CZ546" i="65"/>
  <c r="DA546" i="65"/>
  <c r="DB546" i="65"/>
  <c r="DC546" i="65"/>
  <c r="DD546" i="65"/>
  <c r="DE546" i="65"/>
  <c r="DF546" i="65"/>
  <c r="DG546" i="65"/>
  <c r="BZ546" i="65"/>
  <c r="CB546" i="65" s="1"/>
  <c r="CA546" i="65"/>
  <c r="CE546" i="65"/>
  <c r="CI546" i="65"/>
  <c r="CQ546" i="65" l="1"/>
  <c r="CP546" i="65"/>
  <c r="CL546" i="65"/>
  <c r="CH546" i="65"/>
  <c r="CD546" i="65"/>
  <c r="CS546" i="65"/>
  <c r="CO546" i="65"/>
  <c r="CG546" i="65"/>
  <c r="CC546" i="65"/>
  <c r="CN546" i="65"/>
  <c r="CJ546" i="65"/>
  <c r="CF546" i="65"/>
  <c r="CR546" i="65" s="1"/>
  <c r="CK546" i="65" l="1"/>
  <c r="CM546" i="65"/>
  <c r="DG6" i="65"/>
  <c r="DG7" i="65"/>
  <c r="DG8" i="65"/>
  <c r="DG9" i="65"/>
  <c r="DG10" i="65"/>
  <c r="DG11" i="65"/>
  <c r="DG12" i="65"/>
  <c r="DG13" i="65"/>
  <c r="DG14" i="65"/>
  <c r="DG15" i="65"/>
  <c r="DG16" i="65"/>
  <c r="DG17" i="65"/>
  <c r="DG18" i="65"/>
  <c r="DG19" i="65"/>
  <c r="DG20" i="65"/>
  <c r="DG21" i="65"/>
  <c r="DG22" i="65"/>
  <c r="DG23" i="65"/>
  <c r="DG24" i="65"/>
  <c r="DG25" i="65"/>
  <c r="DG26" i="65"/>
  <c r="DG27" i="65"/>
  <c r="DG28" i="65"/>
  <c r="DG29" i="65"/>
  <c r="DG30" i="65"/>
  <c r="DG31" i="65"/>
  <c r="DG32" i="65"/>
  <c r="DG33" i="65"/>
  <c r="DG34" i="65"/>
  <c r="DG35" i="65"/>
  <c r="DG36" i="65"/>
  <c r="DG37" i="65"/>
  <c r="DG38" i="65"/>
  <c r="DG39" i="65"/>
  <c r="DG40" i="65"/>
  <c r="DG41" i="65"/>
  <c r="DG42" i="65"/>
  <c r="DG43" i="65"/>
  <c r="DG44" i="65"/>
  <c r="DG45" i="65"/>
  <c r="DG46" i="65"/>
  <c r="DG47" i="65"/>
  <c r="DG48" i="65"/>
  <c r="DG49" i="65"/>
  <c r="DG50" i="65"/>
  <c r="DG51" i="65"/>
  <c r="DG52" i="65"/>
  <c r="DG53" i="65"/>
  <c r="DG54" i="65"/>
  <c r="DG55" i="65"/>
  <c r="DG56" i="65"/>
  <c r="DG57" i="65"/>
  <c r="DG58" i="65"/>
  <c r="DG59" i="65"/>
  <c r="DG60" i="65"/>
  <c r="DG61" i="65"/>
  <c r="DG62" i="65"/>
  <c r="DG63" i="65"/>
  <c r="DG64" i="65"/>
  <c r="DG65" i="65"/>
  <c r="DG66" i="65"/>
  <c r="DG67" i="65"/>
  <c r="DG68" i="65"/>
  <c r="DG69" i="65"/>
  <c r="DG70" i="65"/>
  <c r="DG71" i="65"/>
  <c r="DG72" i="65"/>
  <c r="DG73" i="65"/>
  <c r="DG74" i="65"/>
  <c r="DG75" i="65"/>
  <c r="DG76" i="65"/>
  <c r="DG77" i="65"/>
  <c r="DG78" i="65"/>
  <c r="DG79" i="65"/>
  <c r="DG80" i="65"/>
  <c r="DG81" i="65"/>
  <c r="DG82" i="65"/>
  <c r="DG83" i="65"/>
  <c r="DG84" i="65"/>
  <c r="DG85" i="65"/>
  <c r="DG86" i="65"/>
  <c r="DG87" i="65"/>
  <c r="DG88" i="65"/>
  <c r="DG89" i="65"/>
  <c r="DG90" i="65"/>
  <c r="DG91" i="65"/>
  <c r="DG92" i="65"/>
  <c r="DG93" i="65"/>
  <c r="DG94" i="65"/>
  <c r="DG95" i="65"/>
  <c r="DG96" i="65"/>
  <c r="DG97" i="65"/>
  <c r="DG98" i="65"/>
  <c r="DG99" i="65"/>
  <c r="DG100" i="65"/>
  <c r="DG101" i="65"/>
  <c r="DG102" i="65"/>
  <c r="DG103" i="65"/>
  <c r="DG104" i="65"/>
  <c r="DG105" i="65"/>
  <c r="DG106" i="65"/>
  <c r="DG107" i="65"/>
  <c r="DG108" i="65"/>
  <c r="DG109" i="65"/>
  <c r="DG110" i="65"/>
  <c r="DG111" i="65"/>
  <c r="DG112" i="65"/>
  <c r="DG113" i="65"/>
  <c r="DG114" i="65"/>
  <c r="DG115" i="65"/>
  <c r="DG116" i="65"/>
  <c r="DG117" i="65"/>
  <c r="DG118" i="65"/>
  <c r="DG119" i="65"/>
  <c r="DG120" i="65"/>
  <c r="DG121" i="65"/>
  <c r="DG122" i="65"/>
  <c r="DG123" i="65"/>
  <c r="DG124" i="65"/>
  <c r="DG125" i="65"/>
  <c r="DG126" i="65"/>
  <c r="DG127" i="65"/>
  <c r="DG128" i="65"/>
  <c r="DG129" i="65"/>
  <c r="DG130" i="65"/>
  <c r="DG131" i="65"/>
  <c r="DG132" i="65"/>
  <c r="DG133" i="65"/>
  <c r="DG134" i="65"/>
  <c r="DG135" i="65"/>
  <c r="DG136" i="65"/>
  <c r="DG137" i="65"/>
  <c r="DG138" i="65"/>
  <c r="DG139" i="65"/>
  <c r="DG140" i="65"/>
  <c r="DG141" i="65"/>
  <c r="DG142" i="65"/>
  <c r="DG143" i="65"/>
  <c r="DG144" i="65"/>
  <c r="DG145" i="65"/>
  <c r="DG146" i="65"/>
  <c r="DG147" i="65"/>
  <c r="DG148" i="65"/>
  <c r="DG149" i="65"/>
  <c r="DG150" i="65"/>
  <c r="DG151" i="65"/>
  <c r="DG152" i="65"/>
  <c r="DG153" i="65"/>
  <c r="DG154" i="65"/>
  <c r="DG155" i="65"/>
  <c r="DG156" i="65"/>
  <c r="DG157" i="65"/>
  <c r="DG158" i="65"/>
  <c r="DG159" i="65"/>
  <c r="DG160" i="65"/>
  <c r="DG161" i="65"/>
  <c r="DG162" i="65"/>
  <c r="DG163" i="65"/>
  <c r="DG164" i="65"/>
  <c r="DG165" i="65"/>
  <c r="DG166" i="65"/>
  <c r="DG167" i="65"/>
  <c r="DG168" i="65"/>
  <c r="DG169" i="65"/>
  <c r="DG170" i="65"/>
  <c r="DG171" i="65"/>
  <c r="DG172" i="65"/>
  <c r="DG173" i="65"/>
  <c r="DG174" i="65"/>
  <c r="DG175" i="65"/>
  <c r="DG176" i="65"/>
  <c r="DG177" i="65"/>
  <c r="DG178" i="65"/>
  <c r="DG179" i="65"/>
  <c r="DG180" i="65"/>
  <c r="DG181" i="65"/>
  <c r="DG182" i="65"/>
  <c r="DG183" i="65"/>
  <c r="DG184" i="65"/>
  <c r="DG185" i="65"/>
  <c r="DG186" i="65"/>
  <c r="DG187" i="65"/>
  <c r="DG188" i="65"/>
  <c r="DG189" i="65"/>
  <c r="DG190" i="65"/>
  <c r="DG191" i="65"/>
  <c r="DG192" i="65"/>
  <c r="DG193" i="65"/>
  <c r="DG194" i="65"/>
  <c r="DG195" i="65"/>
  <c r="DG196" i="65"/>
  <c r="DG197" i="65"/>
  <c r="DG198" i="65"/>
  <c r="DG199" i="65"/>
  <c r="DG200" i="65"/>
  <c r="DG201" i="65"/>
  <c r="DG202" i="65"/>
  <c r="DG203" i="65"/>
  <c r="DG204" i="65"/>
  <c r="DG205" i="65"/>
  <c r="DG206" i="65"/>
  <c r="DG207" i="65"/>
  <c r="DG208" i="65"/>
  <c r="DG209" i="65"/>
  <c r="DG210" i="65"/>
  <c r="DG211" i="65"/>
  <c r="DG212" i="65"/>
  <c r="DG213" i="65"/>
  <c r="DG214" i="65"/>
  <c r="DG215" i="65"/>
  <c r="DG216" i="65"/>
  <c r="DG217" i="65"/>
  <c r="DG218" i="65"/>
  <c r="DG219" i="65"/>
  <c r="DG220" i="65"/>
  <c r="DG221" i="65"/>
  <c r="DG222" i="65"/>
  <c r="DG223" i="65"/>
  <c r="DG224" i="65"/>
  <c r="DG225" i="65"/>
  <c r="DG226" i="65"/>
  <c r="DG227" i="65"/>
  <c r="DG228" i="65"/>
  <c r="DG229" i="65"/>
  <c r="DG230" i="65"/>
  <c r="DG231" i="65"/>
  <c r="DG232" i="65"/>
  <c r="DG233" i="65"/>
  <c r="DG234" i="65"/>
  <c r="DG235" i="65"/>
  <c r="DG236" i="65"/>
  <c r="DG237" i="65"/>
  <c r="DG238" i="65"/>
  <c r="DG239" i="65"/>
  <c r="DG240" i="65"/>
  <c r="DG241" i="65"/>
  <c r="DG242" i="65"/>
  <c r="DG243" i="65"/>
  <c r="DG244" i="65"/>
  <c r="DG245" i="65"/>
  <c r="DG246" i="65"/>
  <c r="DG247" i="65"/>
  <c r="DG248" i="65"/>
  <c r="DG249" i="65"/>
  <c r="DG250" i="65"/>
  <c r="DG251" i="65"/>
  <c r="DG252" i="65"/>
  <c r="DG253" i="65"/>
  <c r="DG254" i="65"/>
  <c r="DG255" i="65"/>
  <c r="DG256" i="65"/>
  <c r="DG257" i="65"/>
  <c r="DG258" i="65"/>
  <c r="DG259" i="65"/>
  <c r="DG260" i="65"/>
  <c r="DG261" i="65"/>
  <c r="DG262" i="65"/>
  <c r="DG263" i="65"/>
  <c r="DG264" i="65"/>
  <c r="DG265" i="65"/>
  <c r="DG266" i="65"/>
  <c r="DG267" i="65"/>
  <c r="DG268" i="65"/>
  <c r="DG269" i="65"/>
  <c r="DG270" i="65"/>
  <c r="DG271" i="65"/>
  <c r="DG272" i="65"/>
  <c r="DG273" i="65"/>
  <c r="DG274" i="65"/>
  <c r="DG275" i="65"/>
  <c r="DG276" i="65"/>
  <c r="DG277" i="65"/>
  <c r="DG278" i="65"/>
  <c r="DG279" i="65"/>
  <c r="DG280" i="65"/>
  <c r="DG281" i="65"/>
  <c r="DG282" i="65"/>
  <c r="DG283" i="65"/>
  <c r="DG284" i="65"/>
  <c r="DG285" i="65"/>
  <c r="DG286" i="65"/>
  <c r="DG287" i="65"/>
  <c r="DG288" i="65"/>
  <c r="DG289" i="65"/>
  <c r="DG290" i="65"/>
  <c r="DG291" i="65"/>
  <c r="DG292" i="65"/>
  <c r="DG293" i="65"/>
  <c r="DG294" i="65"/>
  <c r="DG295" i="65"/>
  <c r="DG296" i="65"/>
  <c r="DG297" i="65"/>
  <c r="DG298" i="65"/>
  <c r="DG299" i="65"/>
  <c r="DG300" i="65"/>
  <c r="DG301" i="65"/>
  <c r="DG302" i="65"/>
  <c r="DG303" i="65"/>
  <c r="DG304" i="65"/>
  <c r="DG305" i="65"/>
  <c r="DG306" i="65"/>
  <c r="DG307" i="65"/>
  <c r="DG308" i="65"/>
  <c r="DG309" i="65"/>
  <c r="DG310" i="65"/>
  <c r="DG311" i="65"/>
  <c r="DG312" i="65"/>
  <c r="DG313" i="65"/>
  <c r="DG314" i="65"/>
  <c r="DG315" i="65"/>
  <c r="DG316" i="65"/>
  <c r="DG317" i="65"/>
  <c r="DG318" i="65"/>
  <c r="DG319" i="65"/>
  <c r="DG320" i="65"/>
  <c r="DG321" i="65"/>
  <c r="DG322" i="65"/>
  <c r="DG323" i="65"/>
  <c r="DG324" i="65"/>
  <c r="DG325" i="65"/>
  <c r="DG326" i="65"/>
  <c r="DG327" i="65"/>
  <c r="DG328" i="65"/>
  <c r="DG329" i="65"/>
  <c r="DG330" i="65"/>
  <c r="DG331" i="65"/>
  <c r="DG332" i="65"/>
  <c r="DG333" i="65"/>
  <c r="DG334" i="65"/>
  <c r="DG335" i="65"/>
  <c r="DG336" i="65"/>
  <c r="DG337" i="65"/>
  <c r="DG338" i="65"/>
  <c r="DG339" i="65"/>
  <c r="DG340" i="65"/>
  <c r="DG341" i="65"/>
  <c r="DG342" i="65"/>
  <c r="DG343" i="65"/>
  <c r="DG344" i="65"/>
  <c r="DG345" i="65"/>
  <c r="DG346" i="65"/>
  <c r="DG347" i="65"/>
  <c r="DG348" i="65"/>
  <c r="DG349" i="65"/>
  <c r="DG350" i="65"/>
  <c r="DG351" i="65"/>
  <c r="DG352" i="65"/>
  <c r="DG353" i="65"/>
  <c r="DG354" i="65"/>
  <c r="DG355" i="65"/>
  <c r="DG356" i="65"/>
  <c r="DG357" i="65"/>
  <c r="DG358" i="65"/>
  <c r="DG359" i="65"/>
  <c r="DG360" i="65"/>
  <c r="DG361" i="65"/>
  <c r="DG362" i="65"/>
  <c r="DG363" i="65"/>
  <c r="DG364" i="65"/>
  <c r="DG365" i="65"/>
  <c r="DG366" i="65"/>
  <c r="DG367" i="65"/>
  <c r="DG368" i="65"/>
  <c r="DG369" i="65"/>
  <c r="DG370" i="65"/>
  <c r="DG371" i="65"/>
  <c r="DG372" i="65"/>
  <c r="DG373" i="65"/>
  <c r="DG374" i="65"/>
  <c r="DG375" i="65"/>
  <c r="DG376" i="65"/>
  <c r="DG377" i="65"/>
  <c r="DG378" i="65"/>
  <c r="DG379" i="65"/>
  <c r="DG380" i="65"/>
  <c r="DG381" i="65"/>
  <c r="DG382" i="65"/>
  <c r="DG383" i="65"/>
  <c r="DG384" i="65"/>
  <c r="DG385" i="65"/>
  <c r="DG386" i="65"/>
  <c r="DG387" i="65"/>
  <c r="DG388" i="65"/>
  <c r="DG389" i="65"/>
  <c r="DG390" i="65"/>
  <c r="DG391" i="65"/>
  <c r="DG392" i="65"/>
  <c r="DG393" i="65"/>
  <c r="DG394" i="65"/>
  <c r="DG395" i="65"/>
  <c r="DG396" i="65"/>
  <c r="DG397" i="65"/>
  <c r="DG398" i="65"/>
  <c r="DG399" i="65"/>
  <c r="DG400" i="65"/>
  <c r="DG401" i="65"/>
  <c r="DG402" i="65"/>
  <c r="DG403" i="65"/>
  <c r="DG404" i="65"/>
  <c r="DG405" i="65"/>
  <c r="DG406" i="65"/>
  <c r="DG407" i="65"/>
  <c r="DG408" i="65"/>
  <c r="DG409" i="65"/>
  <c r="DG410" i="65"/>
  <c r="DG411" i="65"/>
  <c r="DG412" i="65"/>
  <c r="DG413" i="65"/>
  <c r="DG414" i="65"/>
  <c r="DG415" i="65"/>
  <c r="DG416" i="65"/>
  <c r="DG417" i="65"/>
  <c r="DG418" i="65"/>
  <c r="DG419" i="65"/>
  <c r="DG420" i="65"/>
  <c r="DG421" i="65"/>
  <c r="DG422" i="65"/>
  <c r="DG423" i="65"/>
  <c r="DG424" i="65"/>
  <c r="DG425" i="65"/>
  <c r="DG426" i="65"/>
  <c r="DG427" i="65"/>
  <c r="DG428" i="65"/>
  <c r="DG429" i="65"/>
  <c r="DG430" i="65"/>
  <c r="DG431" i="65"/>
  <c r="DG432" i="65"/>
  <c r="DG433" i="65"/>
  <c r="DG434" i="65"/>
  <c r="DG435" i="65"/>
  <c r="DG436" i="65"/>
  <c r="DG437" i="65"/>
  <c r="DG438" i="65"/>
  <c r="DG439" i="65"/>
  <c r="DG440" i="65"/>
  <c r="DG441" i="65"/>
  <c r="DG442" i="65"/>
  <c r="DG443" i="65"/>
  <c r="DG444" i="65"/>
  <c r="DG445" i="65"/>
  <c r="DG446" i="65"/>
  <c r="DG447" i="65"/>
  <c r="DG448" i="65"/>
  <c r="DG449" i="65"/>
  <c r="DG450" i="65"/>
  <c r="DG451" i="65"/>
  <c r="DG452" i="65"/>
  <c r="DG453" i="65"/>
  <c r="DG454" i="65"/>
  <c r="DG455" i="65"/>
  <c r="DG456" i="65"/>
  <c r="DG457" i="65"/>
  <c r="DG458" i="65"/>
  <c r="DG459" i="65"/>
  <c r="DG460" i="65"/>
  <c r="DG461" i="65"/>
  <c r="DG462" i="65"/>
  <c r="DG463" i="65"/>
  <c r="DG464" i="65"/>
  <c r="DG465" i="65"/>
  <c r="DG466" i="65"/>
  <c r="DG467" i="65"/>
  <c r="DG468" i="65"/>
  <c r="DG469" i="65"/>
  <c r="DG470" i="65"/>
  <c r="DG471" i="65"/>
  <c r="DG472" i="65"/>
  <c r="DG473" i="65"/>
  <c r="DG474" i="65"/>
  <c r="DG475" i="65"/>
  <c r="DG476" i="65"/>
  <c r="DG477" i="65"/>
  <c r="DG478" i="65"/>
  <c r="DG479" i="65"/>
  <c r="DG480" i="65"/>
  <c r="DG481" i="65"/>
  <c r="DG482" i="65"/>
  <c r="DG483" i="65"/>
  <c r="DG484" i="65"/>
  <c r="DG485" i="65"/>
  <c r="DG486" i="65"/>
  <c r="DG487" i="65"/>
  <c r="DG488" i="65"/>
  <c r="DG489" i="65"/>
  <c r="DG490" i="65"/>
  <c r="DG491" i="65"/>
  <c r="DG492" i="65"/>
  <c r="DG493" i="65"/>
  <c r="DG494" i="65"/>
  <c r="DG495" i="65"/>
  <c r="DG496" i="65"/>
  <c r="DG497" i="65"/>
  <c r="DG498" i="65"/>
  <c r="DG499" i="65"/>
  <c r="DG500" i="65"/>
  <c r="DG501" i="65"/>
  <c r="DG502" i="65"/>
  <c r="DG503" i="65"/>
  <c r="DG504" i="65"/>
  <c r="DG505" i="65"/>
  <c r="DG506" i="65"/>
  <c r="DG507" i="65"/>
  <c r="DG508" i="65"/>
  <c r="DG509" i="65"/>
  <c r="DG510" i="65"/>
  <c r="DG511" i="65"/>
  <c r="DG512" i="65"/>
  <c r="DG513" i="65"/>
  <c r="DG514" i="65"/>
  <c r="DG515" i="65"/>
  <c r="DG516" i="65"/>
  <c r="DG517" i="65"/>
  <c r="DG518" i="65"/>
  <c r="DG519" i="65"/>
  <c r="DG520" i="65"/>
  <c r="DG521" i="65"/>
  <c r="DG522" i="65"/>
  <c r="DG523" i="65"/>
  <c r="DG524" i="65"/>
  <c r="DG525" i="65"/>
  <c r="DG526" i="65"/>
  <c r="DG527" i="65"/>
  <c r="DG528" i="65"/>
  <c r="DG529" i="65"/>
  <c r="DG530" i="65"/>
  <c r="DG531" i="65"/>
  <c r="DG532" i="65"/>
  <c r="DG533" i="65"/>
  <c r="DG534" i="65"/>
  <c r="DG535" i="65"/>
  <c r="DG536" i="65"/>
  <c r="DG537" i="65"/>
  <c r="DG538" i="65"/>
  <c r="DG539" i="65"/>
  <c r="DG540" i="65"/>
  <c r="DG541" i="65"/>
  <c r="DG542" i="65"/>
  <c r="DG543" i="65"/>
  <c r="DG544" i="65"/>
  <c r="DG545" i="65"/>
  <c r="DG5" i="65"/>
  <c r="DE6" i="65"/>
  <c r="DF6" i="65"/>
  <c r="DE7" i="65"/>
  <c r="DF7" i="65"/>
  <c r="DE8" i="65"/>
  <c r="DF8" i="65"/>
  <c r="DE9" i="65"/>
  <c r="DF9" i="65"/>
  <c r="DE10" i="65"/>
  <c r="DF10" i="65"/>
  <c r="DE11" i="65"/>
  <c r="DF11" i="65"/>
  <c r="DE12" i="65"/>
  <c r="DF12" i="65"/>
  <c r="DE13" i="65"/>
  <c r="DF13" i="65"/>
  <c r="DE14" i="65"/>
  <c r="DF14" i="65"/>
  <c r="DE15" i="65"/>
  <c r="DF15" i="65"/>
  <c r="DE16" i="65"/>
  <c r="DF16" i="65"/>
  <c r="DE17" i="65"/>
  <c r="DF17" i="65"/>
  <c r="DE18" i="65"/>
  <c r="DF18" i="65"/>
  <c r="DE19" i="65"/>
  <c r="DF19" i="65"/>
  <c r="DE20" i="65"/>
  <c r="DF20" i="65"/>
  <c r="DE21" i="65"/>
  <c r="DF21" i="65"/>
  <c r="DE22" i="65"/>
  <c r="DF22" i="65"/>
  <c r="DE23" i="65"/>
  <c r="DF23" i="65"/>
  <c r="DE24" i="65"/>
  <c r="DF24" i="65"/>
  <c r="DE25" i="65"/>
  <c r="DF25" i="65"/>
  <c r="DE26" i="65"/>
  <c r="DF26" i="65"/>
  <c r="DE27" i="65"/>
  <c r="DF27" i="65"/>
  <c r="DE28" i="65"/>
  <c r="DF28" i="65"/>
  <c r="DE29" i="65"/>
  <c r="DF29" i="65"/>
  <c r="DE30" i="65"/>
  <c r="DF30" i="65"/>
  <c r="DE31" i="65"/>
  <c r="DF31" i="65"/>
  <c r="DE32" i="65"/>
  <c r="DF32" i="65"/>
  <c r="DE33" i="65"/>
  <c r="DF33" i="65"/>
  <c r="DE34" i="65"/>
  <c r="DF34" i="65"/>
  <c r="DE35" i="65"/>
  <c r="DF35" i="65"/>
  <c r="DE36" i="65"/>
  <c r="DF36" i="65"/>
  <c r="DE37" i="65"/>
  <c r="DF37" i="65"/>
  <c r="DE38" i="65"/>
  <c r="DF38" i="65"/>
  <c r="DE39" i="65"/>
  <c r="DF39" i="65"/>
  <c r="DE40" i="65"/>
  <c r="DF40" i="65"/>
  <c r="DE41" i="65"/>
  <c r="DF41" i="65"/>
  <c r="DE42" i="65"/>
  <c r="DF42" i="65"/>
  <c r="DE43" i="65"/>
  <c r="DF43" i="65"/>
  <c r="DE44" i="65"/>
  <c r="DF44" i="65"/>
  <c r="DE45" i="65"/>
  <c r="DF45" i="65"/>
  <c r="DE46" i="65"/>
  <c r="DF46" i="65"/>
  <c r="DE47" i="65"/>
  <c r="DF47" i="65"/>
  <c r="DE48" i="65"/>
  <c r="DF48" i="65"/>
  <c r="DE49" i="65"/>
  <c r="DF49" i="65"/>
  <c r="DE50" i="65"/>
  <c r="DF50" i="65"/>
  <c r="DE51" i="65"/>
  <c r="DF51" i="65"/>
  <c r="DE52" i="65"/>
  <c r="DF52" i="65"/>
  <c r="DE53" i="65"/>
  <c r="DF53" i="65"/>
  <c r="DE54" i="65"/>
  <c r="DF54" i="65"/>
  <c r="DE55" i="65"/>
  <c r="DF55" i="65"/>
  <c r="DE56" i="65"/>
  <c r="DF56" i="65"/>
  <c r="DE57" i="65"/>
  <c r="DF57" i="65"/>
  <c r="DE58" i="65"/>
  <c r="DF58" i="65"/>
  <c r="DE59" i="65"/>
  <c r="DF59" i="65"/>
  <c r="DE60" i="65"/>
  <c r="DF60" i="65"/>
  <c r="DE61" i="65"/>
  <c r="DF61" i="65"/>
  <c r="DE62" i="65"/>
  <c r="DF62" i="65"/>
  <c r="DE63" i="65"/>
  <c r="DF63" i="65"/>
  <c r="DE64" i="65"/>
  <c r="DF64" i="65"/>
  <c r="DE65" i="65"/>
  <c r="DF65" i="65"/>
  <c r="DE66" i="65"/>
  <c r="DF66" i="65"/>
  <c r="DE67" i="65"/>
  <c r="DF67" i="65"/>
  <c r="DE68" i="65"/>
  <c r="DF68" i="65"/>
  <c r="DE69" i="65"/>
  <c r="DF69" i="65"/>
  <c r="DE70" i="65"/>
  <c r="DF70" i="65"/>
  <c r="DE71" i="65"/>
  <c r="DF71" i="65"/>
  <c r="DE72" i="65"/>
  <c r="DF72" i="65"/>
  <c r="DE73" i="65"/>
  <c r="DF73" i="65"/>
  <c r="DE74" i="65"/>
  <c r="DF74" i="65"/>
  <c r="DE75" i="65"/>
  <c r="DF75" i="65"/>
  <c r="DE76" i="65"/>
  <c r="DF76" i="65"/>
  <c r="DE77" i="65"/>
  <c r="DF77" i="65"/>
  <c r="DE78" i="65"/>
  <c r="DF78" i="65"/>
  <c r="DE79" i="65"/>
  <c r="DF79" i="65"/>
  <c r="DE80" i="65"/>
  <c r="DF80" i="65"/>
  <c r="DE81" i="65"/>
  <c r="DF81" i="65"/>
  <c r="DE82" i="65"/>
  <c r="DF82" i="65"/>
  <c r="DE83" i="65"/>
  <c r="DF83" i="65"/>
  <c r="DE84" i="65"/>
  <c r="DF84" i="65"/>
  <c r="DE85" i="65"/>
  <c r="DF85" i="65"/>
  <c r="DE86" i="65"/>
  <c r="DF86" i="65"/>
  <c r="DE87" i="65"/>
  <c r="DF87" i="65"/>
  <c r="DE88" i="65"/>
  <c r="DF88" i="65"/>
  <c r="DE89" i="65"/>
  <c r="DF89" i="65"/>
  <c r="DE90" i="65"/>
  <c r="DF90" i="65"/>
  <c r="DE91" i="65"/>
  <c r="DF91" i="65"/>
  <c r="DE92" i="65"/>
  <c r="DF92" i="65"/>
  <c r="DE93" i="65"/>
  <c r="DF93" i="65"/>
  <c r="DE94" i="65"/>
  <c r="DF94" i="65"/>
  <c r="DE95" i="65"/>
  <c r="DF95" i="65"/>
  <c r="DE96" i="65"/>
  <c r="DF96" i="65"/>
  <c r="DE97" i="65"/>
  <c r="DF97" i="65"/>
  <c r="DE98" i="65"/>
  <c r="DF98" i="65"/>
  <c r="DE99" i="65"/>
  <c r="DF99" i="65"/>
  <c r="DE100" i="65"/>
  <c r="DF100" i="65"/>
  <c r="DE101" i="65"/>
  <c r="DF101" i="65"/>
  <c r="DE102" i="65"/>
  <c r="DF102" i="65"/>
  <c r="DE103" i="65"/>
  <c r="DF103" i="65"/>
  <c r="DE104" i="65"/>
  <c r="DF104" i="65"/>
  <c r="DE105" i="65"/>
  <c r="DF105" i="65"/>
  <c r="DE106" i="65"/>
  <c r="DF106" i="65"/>
  <c r="DE107" i="65"/>
  <c r="DF107" i="65"/>
  <c r="DE108" i="65"/>
  <c r="DF108" i="65"/>
  <c r="DE109" i="65"/>
  <c r="DF109" i="65"/>
  <c r="DE110" i="65"/>
  <c r="DF110" i="65"/>
  <c r="DE111" i="65"/>
  <c r="DF111" i="65"/>
  <c r="DE112" i="65"/>
  <c r="DF112" i="65"/>
  <c r="DE113" i="65"/>
  <c r="DF113" i="65"/>
  <c r="DE114" i="65"/>
  <c r="DF114" i="65"/>
  <c r="DE115" i="65"/>
  <c r="DF115" i="65"/>
  <c r="DE116" i="65"/>
  <c r="DF116" i="65"/>
  <c r="DE117" i="65"/>
  <c r="DF117" i="65"/>
  <c r="DE118" i="65"/>
  <c r="DF118" i="65"/>
  <c r="DE119" i="65"/>
  <c r="DF119" i="65"/>
  <c r="DE120" i="65"/>
  <c r="DF120" i="65"/>
  <c r="DE121" i="65"/>
  <c r="DF121" i="65"/>
  <c r="DE122" i="65"/>
  <c r="DF122" i="65"/>
  <c r="DE123" i="65"/>
  <c r="DF123" i="65"/>
  <c r="DE124" i="65"/>
  <c r="DF124" i="65"/>
  <c r="DE125" i="65"/>
  <c r="DF125" i="65"/>
  <c r="DE126" i="65"/>
  <c r="DF126" i="65"/>
  <c r="DE127" i="65"/>
  <c r="DF127" i="65"/>
  <c r="DE128" i="65"/>
  <c r="DF128" i="65"/>
  <c r="DE129" i="65"/>
  <c r="DF129" i="65"/>
  <c r="DE130" i="65"/>
  <c r="DF130" i="65"/>
  <c r="DE131" i="65"/>
  <c r="DF131" i="65"/>
  <c r="DE132" i="65"/>
  <c r="DF132" i="65"/>
  <c r="DE133" i="65"/>
  <c r="DF133" i="65"/>
  <c r="DE134" i="65"/>
  <c r="DF134" i="65"/>
  <c r="DE135" i="65"/>
  <c r="DF135" i="65"/>
  <c r="DE136" i="65"/>
  <c r="DF136" i="65"/>
  <c r="DE137" i="65"/>
  <c r="DF137" i="65"/>
  <c r="DE138" i="65"/>
  <c r="DF138" i="65"/>
  <c r="DE139" i="65"/>
  <c r="DF139" i="65"/>
  <c r="DE140" i="65"/>
  <c r="DF140" i="65"/>
  <c r="DE141" i="65"/>
  <c r="DF141" i="65"/>
  <c r="DE142" i="65"/>
  <c r="DF142" i="65"/>
  <c r="DE143" i="65"/>
  <c r="DF143" i="65"/>
  <c r="DE144" i="65"/>
  <c r="DF144" i="65"/>
  <c r="DE145" i="65"/>
  <c r="DF145" i="65"/>
  <c r="DE146" i="65"/>
  <c r="DF146" i="65"/>
  <c r="DE147" i="65"/>
  <c r="DF147" i="65"/>
  <c r="DE148" i="65"/>
  <c r="DF148" i="65"/>
  <c r="DE149" i="65"/>
  <c r="DF149" i="65"/>
  <c r="DE150" i="65"/>
  <c r="DF150" i="65"/>
  <c r="DE151" i="65"/>
  <c r="DF151" i="65"/>
  <c r="DE152" i="65"/>
  <c r="DF152" i="65"/>
  <c r="DE153" i="65"/>
  <c r="DF153" i="65"/>
  <c r="DE154" i="65"/>
  <c r="DF154" i="65"/>
  <c r="DE155" i="65"/>
  <c r="DF155" i="65"/>
  <c r="DE156" i="65"/>
  <c r="DF156" i="65"/>
  <c r="DE157" i="65"/>
  <c r="DF157" i="65"/>
  <c r="DE158" i="65"/>
  <c r="DF158" i="65"/>
  <c r="DE159" i="65"/>
  <c r="DF159" i="65"/>
  <c r="DE160" i="65"/>
  <c r="DF160" i="65"/>
  <c r="DE161" i="65"/>
  <c r="DF161" i="65"/>
  <c r="DE162" i="65"/>
  <c r="DF162" i="65"/>
  <c r="DE163" i="65"/>
  <c r="DF163" i="65"/>
  <c r="DE164" i="65"/>
  <c r="DF164" i="65"/>
  <c r="DE165" i="65"/>
  <c r="DF165" i="65"/>
  <c r="DE166" i="65"/>
  <c r="DF166" i="65"/>
  <c r="DE167" i="65"/>
  <c r="DF167" i="65"/>
  <c r="DE168" i="65"/>
  <c r="DF168" i="65"/>
  <c r="DE169" i="65"/>
  <c r="DF169" i="65"/>
  <c r="DE170" i="65"/>
  <c r="DF170" i="65"/>
  <c r="DE171" i="65"/>
  <c r="DF171" i="65"/>
  <c r="DE172" i="65"/>
  <c r="DF172" i="65"/>
  <c r="DE173" i="65"/>
  <c r="DF173" i="65"/>
  <c r="DE174" i="65"/>
  <c r="DF174" i="65"/>
  <c r="DE175" i="65"/>
  <c r="DF175" i="65"/>
  <c r="DE176" i="65"/>
  <c r="DF176" i="65"/>
  <c r="DE177" i="65"/>
  <c r="DF177" i="65"/>
  <c r="DE178" i="65"/>
  <c r="DF178" i="65"/>
  <c r="DE179" i="65"/>
  <c r="DF179" i="65"/>
  <c r="DE180" i="65"/>
  <c r="DF180" i="65"/>
  <c r="DE181" i="65"/>
  <c r="DF181" i="65"/>
  <c r="DE182" i="65"/>
  <c r="DF182" i="65"/>
  <c r="DE183" i="65"/>
  <c r="DF183" i="65"/>
  <c r="DE184" i="65"/>
  <c r="DF184" i="65"/>
  <c r="DE185" i="65"/>
  <c r="DF185" i="65"/>
  <c r="DE186" i="65"/>
  <c r="DF186" i="65"/>
  <c r="DE187" i="65"/>
  <c r="DF187" i="65"/>
  <c r="DE188" i="65"/>
  <c r="DF188" i="65"/>
  <c r="DE189" i="65"/>
  <c r="DF189" i="65"/>
  <c r="DE190" i="65"/>
  <c r="DF190" i="65"/>
  <c r="DE191" i="65"/>
  <c r="DF191" i="65"/>
  <c r="DE192" i="65"/>
  <c r="DF192" i="65"/>
  <c r="DE193" i="65"/>
  <c r="DF193" i="65"/>
  <c r="DE194" i="65"/>
  <c r="DF194" i="65"/>
  <c r="DE195" i="65"/>
  <c r="DF195" i="65"/>
  <c r="DE196" i="65"/>
  <c r="DF196" i="65"/>
  <c r="DE197" i="65"/>
  <c r="DF197" i="65"/>
  <c r="DE198" i="65"/>
  <c r="DF198" i="65"/>
  <c r="DE199" i="65"/>
  <c r="DF199" i="65"/>
  <c r="DE200" i="65"/>
  <c r="DF200" i="65"/>
  <c r="DE201" i="65"/>
  <c r="DF201" i="65"/>
  <c r="DE202" i="65"/>
  <c r="DF202" i="65"/>
  <c r="DE203" i="65"/>
  <c r="DF203" i="65"/>
  <c r="DE204" i="65"/>
  <c r="DF204" i="65"/>
  <c r="DE205" i="65"/>
  <c r="DF205" i="65"/>
  <c r="DE206" i="65"/>
  <c r="DF206" i="65"/>
  <c r="DE207" i="65"/>
  <c r="DF207" i="65"/>
  <c r="DE208" i="65"/>
  <c r="DF208" i="65"/>
  <c r="DE209" i="65"/>
  <c r="DF209" i="65"/>
  <c r="DE210" i="65"/>
  <c r="DF210" i="65"/>
  <c r="DE211" i="65"/>
  <c r="DF211" i="65"/>
  <c r="DE212" i="65"/>
  <c r="DF212" i="65"/>
  <c r="DE213" i="65"/>
  <c r="DF213" i="65"/>
  <c r="DE214" i="65"/>
  <c r="DF214" i="65"/>
  <c r="DE215" i="65"/>
  <c r="DF215" i="65"/>
  <c r="DE216" i="65"/>
  <c r="DF216" i="65"/>
  <c r="DE217" i="65"/>
  <c r="DF217" i="65"/>
  <c r="DE218" i="65"/>
  <c r="DF218" i="65"/>
  <c r="DE219" i="65"/>
  <c r="DF219" i="65"/>
  <c r="DE220" i="65"/>
  <c r="DF220" i="65"/>
  <c r="DE221" i="65"/>
  <c r="DF221" i="65"/>
  <c r="DE222" i="65"/>
  <c r="DF222" i="65"/>
  <c r="DE223" i="65"/>
  <c r="DF223" i="65"/>
  <c r="DE224" i="65"/>
  <c r="DF224" i="65"/>
  <c r="DE225" i="65"/>
  <c r="DF225" i="65"/>
  <c r="DE226" i="65"/>
  <c r="DF226" i="65"/>
  <c r="DE227" i="65"/>
  <c r="DF227" i="65"/>
  <c r="DE228" i="65"/>
  <c r="DF228" i="65"/>
  <c r="DE229" i="65"/>
  <c r="DF229" i="65"/>
  <c r="DE230" i="65"/>
  <c r="DF230" i="65"/>
  <c r="DE231" i="65"/>
  <c r="DF231" i="65"/>
  <c r="DE232" i="65"/>
  <c r="DF232" i="65"/>
  <c r="DE233" i="65"/>
  <c r="DF233" i="65"/>
  <c r="DE234" i="65"/>
  <c r="DF234" i="65"/>
  <c r="DE235" i="65"/>
  <c r="DF235" i="65"/>
  <c r="DE236" i="65"/>
  <c r="DF236" i="65"/>
  <c r="DE237" i="65"/>
  <c r="DF237" i="65"/>
  <c r="DE238" i="65"/>
  <c r="DF238" i="65"/>
  <c r="DE239" i="65"/>
  <c r="DF239" i="65"/>
  <c r="DE240" i="65"/>
  <c r="DF240" i="65"/>
  <c r="DE241" i="65"/>
  <c r="DF241" i="65"/>
  <c r="DE242" i="65"/>
  <c r="DF242" i="65"/>
  <c r="DE243" i="65"/>
  <c r="DF243" i="65"/>
  <c r="DE244" i="65"/>
  <c r="DF244" i="65"/>
  <c r="DE245" i="65"/>
  <c r="DF245" i="65"/>
  <c r="DE246" i="65"/>
  <c r="DF246" i="65"/>
  <c r="DE247" i="65"/>
  <c r="DF247" i="65"/>
  <c r="DE248" i="65"/>
  <c r="DF248" i="65"/>
  <c r="DE249" i="65"/>
  <c r="DF249" i="65"/>
  <c r="DE250" i="65"/>
  <c r="DF250" i="65"/>
  <c r="DE251" i="65"/>
  <c r="DF251" i="65"/>
  <c r="DE252" i="65"/>
  <c r="DF252" i="65"/>
  <c r="DE253" i="65"/>
  <c r="DF253" i="65"/>
  <c r="DE254" i="65"/>
  <c r="DF254" i="65"/>
  <c r="DE255" i="65"/>
  <c r="DF255" i="65"/>
  <c r="DE256" i="65"/>
  <c r="DF256" i="65"/>
  <c r="DE257" i="65"/>
  <c r="DF257" i="65"/>
  <c r="DE258" i="65"/>
  <c r="DF258" i="65"/>
  <c r="DE259" i="65"/>
  <c r="DF259" i="65"/>
  <c r="DE260" i="65"/>
  <c r="DF260" i="65"/>
  <c r="DE261" i="65"/>
  <c r="DF261" i="65"/>
  <c r="DE262" i="65"/>
  <c r="DF262" i="65"/>
  <c r="DE263" i="65"/>
  <c r="DF263" i="65"/>
  <c r="DE264" i="65"/>
  <c r="DF264" i="65"/>
  <c r="DE265" i="65"/>
  <c r="DF265" i="65"/>
  <c r="DE266" i="65"/>
  <c r="DF266" i="65"/>
  <c r="DE267" i="65"/>
  <c r="DF267" i="65"/>
  <c r="DE268" i="65"/>
  <c r="DF268" i="65"/>
  <c r="DE269" i="65"/>
  <c r="DF269" i="65"/>
  <c r="DE270" i="65"/>
  <c r="DF270" i="65"/>
  <c r="DE271" i="65"/>
  <c r="DF271" i="65"/>
  <c r="DE272" i="65"/>
  <c r="DF272" i="65"/>
  <c r="DE273" i="65"/>
  <c r="DF273" i="65"/>
  <c r="DE274" i="65"/>
  <c r="DF274" i="65"/>
  <c r="DE275" i="65"/>
  <c r="DF275" i="65"/>
  <c r="DE276" i="65"/>
  <c r="DF276" i="65"/>
  <c r="DE277" i="65"/>
  <c r="DF277" i="65"/>
  <c r="DE278" i="65"/>
  <c r="DF278" i="65"/>
  <c r="DE279" i="65"/>
  <c r="DF279" i="65"/>
  <c r="DE280" i="65"/>
  <c r="DF280" i="65"/>
  <c r="DE281" i="65"/>
  <c r="DF281" i="65"/>
  <c r="DE282" i="65"/>
  <c r="DF282" i="65"/>
  <c r="DE283" i="65"/>
  <c r="DF283" i="65"/>
  <c r="DE284" i="65"/>
  <c r="DF284" i="65"/>
  <c r="DE285" i="65"/>
  <c r="DF285" i="65"/>
  <c r="DE286" i="65"/>
  <c r="DF286" i="65"/>
  <c r="DE287" i="65"/>
  <c r="DF287" i="65"/>
  <c r="DE288" i="65"/>
  <c r="DF288" i="65"/>
  <c r="DE289" i="65"/>
  <c r="DF289" i="65"/>
  <c r="DE290" i="65"/>
  <c r="DF290" i="65"/>
  <c r="DE291" i="65"/>
  <c r="DF291" i="65"/>
  <c r="DE292" i="65"/>
  <c r="DF292" i="65"/>
  <c r="DE293" i="65"/>
  <c r="DF293" i="65"/>
  <c r="DE294" i="65"/>
  <c r="DF294" i="65"/>
  <c r="DE295" i="65"/>
  <c r="DF295" i="65"/>
  <c r="DE296" i="65"/>
  <c r="DF296" i="65"/>
  <c r="DE297" i="65"/>
  <c r="DF297" i="65"/>
  <c r="DE298" i="65"/>
  <c r="DF298" i="65"/>
  <c r="DE299" i="65"/>
  <c r="DF299" i="65"/>
  <c r="DE300" i="65"/>
  <c r="DF300" i="65"/>
  <c r="DE301" i="65"/>
  <c r="DF301" i="65"/>
  <c r="DE302" i="65"/>
  <c r="DF302" i="65"/>
  <c r="DE303" i="65"/>
  <c r="DF303" i="65"/>
  <c r="DE304" i="65"/>
  <c r="DF304" i="65"/>
  <c r="DE305" i="65"/>
  <c r="DF305" i="65"/>
  <c r="DE306" i="65"/>
  <c r="DF306" i="65"/>
  <c r="DE307" i="65"/>
  <c r="DF307" i="65"/>
  <c r="DE308" i="65"/>
  <c r="DF308" i="65"/>
  <c r="DE309" i="65"/>
  <c r="DF309" i="65"/>
  <c r="DE310" i="65"/>
  <c r="DF310" i="65"/>
  <c r="DE311" i="65"/>
  <c r="DF311" i="65"/>
  <c r="DE312" i="65"/>
  <c r="DF312" i="65"/>
  <c r="DE313" i="65"/>
  <c r="DF313" i="65"/>
  <c r="DE314" i="65"/>
  <c r="DF314" i="65"/>
  <c r="DE315" i="65"/>
  <c r="DF315" i="65"/>
  <c r="DE316" i="65"/>
  <c r="DF316" i="65"/>
  <c r="DE317" i="65"/>
  <c r="DF317" i="65"/>
  <c r="DE318" i="65"/>
  <c r="DF318" i="65"/>
  <c r="DE319" i="65"/>
  <c r="DF319" i="65"/>
  <c r="DE320" i="65"/>
  <c r="DF320" i="65"/>
  <c r="DE321" i="65"/>
  <c r="DF321" i="65"/>
  <c r="DE322" i="65"/>
  <c r="DF322" i="65"/>
  <c r="DE323" i="65"/>
  <c r="DF323" i="65"/>
  <c r="DE324" i="65"/>
  <c r="DF324" i="65"/>
  <c r="DE325" i="65"/>
  <c r="DF325" i="65"/>
  <c r="DE326" i="65"/>
  <c r="DF326" i="65"/>
  <c r="DE327" i="65"/>
  <c r="DF327" i="65"/>
  <c r="DE328" i="65"/>
  <c r="DF328" i="65"/>
  <c r="DE329" i="65"/>
  <c r="DF329" i="65"/>
  <c r="DE330" i="65"/>
  <c r="DF330" i="65"/>
  <c r="DE331" i="65"/>
  <c r="DF331" i="65"/>
  <c r="DE332" i="65"/>
  <c r="DF332" i="65"/>
  <c r="DE333" i="65"/>
  <c r="DF333" i="65"/>
  <c r="DE334" i="65"/>
  <c r="DF334" i="65"/>
  <c r="DE335" i="65"/>
  <c r="DF335" i="65"/>
  <c r="DE336" i="65"/>
  <c r="DF336" i="65"/>
  <c r="DE337" i="65"/>
  <c r="DF337" i="65"/>
  <c r="DE338" i="65"/>
  <c r="DF338" i="65"/>
  <c r="DE339" i="65"/>
  <c r="DF339" i="65"/>
  <c r="DE340" i="65"/>
  <c r="DF340" i="65"/>
  <c r="DE341" i="65"/>
  <c r="DF341" i="65"/>
  <c r="DE342" i="65"/>
  <c r="DF342" i="65"/>
  <c r="DE343" i="65"/>
  <c r="DF343" i="65"/>
  <c r="DE344" i="65"/>
  <c r="DF344" i="65"/>
  <c r="DE345" i="65"/>
  <c r="DF345" i="65"/>
  <c r="DE346" i="65"/>
  <c r="DF346" i="65"/>
  <c r="DE347" i="65"/>
  <c r="DF347" i="65"/>
  <c r="DE348" i="65"/>
  <c r="DF348" i="65"/>
  <c r="DE349" i="65"/>
  <c r="DF349" i="65"/>
  <c r="DE350" i="65"/>
  <c r="DF350" i="65"/>
  <c r="DE351" i="65"/>
  <c r="DF351" i="65"/>
  <c r="DE352" i="65"/>
  <c r="DF352" i="65"/>
  <c r="DE353" i="65"/>
  <c r="DF353" i="65"/>
  <c r="DE354" i="65"/>
  <c r="DF354" i="65"/>
  <c r="DE355" i="65"/>
  <c r="DF355" i="65"/>
  <c r="DE356" i="65"/>
  <c r="DF356" i="65"/>
  <c r="DE357" i="65"/>
  <c r="DF357" i="65"/>
  <c r="DE358" i="65"/>
  <c r="DF358" i="65"/>
  <c r="DE359" i="65"/>
  <c r="DF359" i="65"/>
  <c r="DE360" i="65"/>
  <c r="DF360" i="65"/>
  <c r="DE361" i="65"/>
  <c r="DF361" i="65"/>
  <c r="DE362" i="65"/>
  <c r="DF362" i="65"/>
  <c r="DE363" i="65"/>
  <c r="DF363" i="65"/>
  <c r="DE364" i="65"/>
  <c r="DF364" i="65"/>
  <c r="DE365" i="65"/>
  <c r="DF365" i="65"/>
  <c r="DE366" i="65"/>
  <c r="DF366" i="65"/>
  <c r="DE367" i="65"/>
  <c r="DF367" i="65"/>
  <c r="DE368" i="65"/>
  <c r="DF368" i="65"/>
  <c r="DE369" i="65"/>
  <c r="DF369" i="65"/>
  <c r="DE370" i="65"/>
  <c r="DF370" i="65"/>
  <c r="DE371" i="65"/>
  <c r="DF371" i="65"/>
  <c r="DE372" i="65"/>
  <c r="DF372" i="65"/>
  <c r="DE373" i="65"/>
  <c r="DF373" i="65"/>
  <c r="DE374" i="65"/>
  <c r="DF374" i="65"/>
  <c r="DE375" i="65"/>
  <c r="DF375" i="65"/>
  <c r="DE376" i="65"/>
  <c r="DF376" i="65"/>
  <c r="DE377" i="65"/>
  <c r="DF377" i="65"/>
  <c r="DE378" i="65"/>
  <c r="DF378" i="65"/>
  <c r="DE379" i="65"/>
  <c r="DF379" i="65"/>
  <c r="DE380" i="65"/>
  <c r="DF380" i="65"/>
  <c r="DE381" i="65"/>
  <c r="DF381" i="65"/>
  <c r="DE382" i="65"/>
  <c r="DF382" i="65"/>
  <c r="DE383" i="65"/>
  <c r="DF383" i="65"/>
  <c r="DE384" i="65"/>
  <c r="DF384" i="65"/>
  <c r="DE385" i="65"/>
  <c r="DF385" i="65"/>
  <c r="DE386" i="65"/>
  <c r="DF386" i="65"/>
  <c r="DE387" i="65"/>
  <c r="DF387" i="65"/>
  <c r="DE388" i="65"/>
  <c r="DF388" i="65"/>
  <c r="DE389" i="65"/>
  <c r="DF389" i="65"/>
  <c r="DE390" i="65"/>
  <c r="DF390" i="65"/>
  <c r="DE391" i="65"/>
  <c r="DF391" i="65"/>
  <c r="DE392" i="65"/>
  <c r="DF392" i="65"/>
  <c r="DE393" i="65"/>
  <c r="DF393" i="65"/>
  <c r="DE394" i="65"/>
  <c r="DF394" i="65"/>
  <c r="DE395" i="65"/>
  <c r="DF395" i="65"/>
  <c r="DE396" i="65"/>
  <c r="DF396" i="65"/>
  <c r="DE397" i="65"/>
  <c r="DF397" i="65"/>
  <c r="DE398" i="65"/>
  <c r="DF398" i="65"/>
  <c r="DE399" i="65"/>
  <c r="DF399" i="65"/>
  <c r="DE400" i="65"/>
  <c r="DF400" i="65"/>
  <c r="DE401" i="65"/>
  <c r="DF401" i="65"/>
  <c r="DE402" i="65"/>
  <c r="DF402" i="65"/>
  <c r="DE403" i="65"/>
  <c r="DF403" i="65"/>
  <c r="DE404" i="65"/>
  <c r="DF404" i="65"/>
  <c r="DE405" i="65"/>
  <c r="DF405" i="65"/>
  <c r="DE406" i="65"/>
  <c r="DF406" i="65"/>
  <c r="DE407" i="65"/>
  <c r="DF407" i="65"/>
  <c r="DE408" i="65"/>
  <c r="DF408" i="65"/>
  <c r="DE409" i="65"/>
  <c r="DF409" i="65"/>
  <c r="DE410" i="65"/>
  <c r="DF410" i="65"/>
  <c r="DE411" i="65"/>
  <c r="DF411" i="65"/>
  <c r="DE412" i="65"/>
  <c r="DF412" i="65"/>
  <c r="DE413" i="65"/>
  <c r="DF413" i="65"/>
  <c r="DE414" i="65"/>
  <c r="DF414" i="65"/>
  <c r="DE415" i="65"/>
  <c r="DF415" i="65"/>
  <c r="DE416" i="65"/>
  <c r="DF416" i="65"/>
  <c r="DE417" i="65"/>
  <c r="DF417" i="65"/>
  <c r="DE418" i="65"/>
  <c r="DF418" i="65"/>
  <c r="DE419" i="65"/>
  <c r="DF419" i="65"/>
  <c r="DE420" i="65"/>
  <c r="DF420" i="65"/>
  <c r="DE421" i="65"/>
  <c r="DF421" i="65"/>
  <c r="DE422" i="65"/>
  <c r="DF422" i="65"/>
  <c r="DE423" i="65"/>
  <c r="DF423" i="65"/>
  <c r="DE424" i="65"/>
  <c r="DF424" i="65"/>
  <c r="DE425" i="65"/>
  <c r="DF425" i="65"/>
  <c r="DE426" i="65"/>
  <c r="DF426" i="65"/>
  <c r="DE427" i="65"/>
  <c r="DF427" i="65"/>
  <c r="DE428" i="65"/>
  <c r="DF428" i="65"/>
  <c r="DE429" i="65"/>
  <c r="DF429" i="65"/>
  <c r="DE430" i="65"/>
  <c r="DF430" i="65"/>
  <c r="DE431" i="65"/>
  <c r="DF431" i="65"/>
  <c r="DE432" i="65"/>
  <c r="DF432" i="65"/>
  <c r="DE433" i="65"/>
  <c r="DF433" i="65"/>
  <c r="DE434" i="65"/>
  <c r="DF434" i="65"/>
  <c r="DE435" i="65"/>
  <c r="DF435" i="65"/>
  <c r="DE436" i="65"/>
  <c r="DF436" i="65"/>
  <c r="DE437" i="65"/>
  <c r="DF437" i="65"/>
  <c r="DE438" i="65"/>
  <c r="DF438" i="65"/>
  <c r="DE439" i="65"/>
  <c r="DF439" i="65"/>
  <c r="DE440" i="65"/>
  <c r="DF440" i="65"/>
  <c r="DE441" i="65"/>
  <c r="DF441" i="65"/>
  <c r="DE442" i="65"/>
  <c r="DF442" i="65"/>
  <c r="DE443" i="65"/>
  <c r="DF443" i="65"/>
  <c r="DE444" i="65"/>
  <c r="DF444" i="65"/>
  <c r="DE445" i="65"/>
  <c r="DF445" i="65"/>
  <c r="DE446" i="65"/>
  <c r="DF446" i="65"/>
  <c r="DE447" i="65"/>
  <c r="DF447" i="65"/>
  <c r="DE448" i="65"/>
  <c r="DF448" i="65"/>
  <c r="DE449" i="65"/>
  <c r="DF449" i="65"/>
  <c r="DE450" i="65"/>
  <c r="DF450" i="65"/>
  <c r="DE451" i="65"/>
  <c r="DF451" i="65"/>
  <c r="DE452" i="65"/>
  <c r="DF452" i="65"/>
  <c r="DE453" i="65"/>
  <c r="DF453" i="65"/>
  <c r="DE454" i="65"/>
  <c r="DF454" i="65"/>
  <c r="DE455" i="65"/>
  <c r="DF455" i="65"/>
  <c r="DE456" i="65"/>
  <c r="DF456" i="65"/>
  <c r="DE457" i="65"/>
  <c r="DF457" i="65"/>
  <c r="DE458" i="65"/>
  <c r="DF458" i="65"/>
  <c r="DE459" i="65"/>
  <c r="DF459" i="65"/>
  <c r="DE460" i="65"/>
  <c r="DF460" i="65"/>
  <c r="DE461" i="65"/>
  <c r="DF461" i="65"/>
  <c r="DE462" i="65"/>
  <c r="DF462" i="65"/>
  <c r="DE463" i="65"/>
  <c r="DF463" i="65"/>
  <c r="DE464" i="65"/>
  <c r="DF464" i="65"/>
  <c r="DE465" i="65"/>
  <c r="DF465" i="65"/>
  <c r="DE466" i="65"/>
  <c r="DF466" i="65"/>
  <c r="DE467" i="65"/>
  <c r="DF467" i="65"/>
  <c r="DE468" i="65"/>
  <c r="DF468" i="65"/>
  <c r="DE469" i="65"/>
  <c r="DF469" i="65"/>
  <c r="DE470" i="65"/>
  <c r="DF470" i="65"/>
  <c r="DE471" i="65"/>
  <c r="DF471" i="65"/>
  <c r="DE472" i="65"/>
  <c r="DF472" i="65"/>
  <c r="DE473" i="65"/>
  <c r="DF473" i="65"/>
  <c r="DE474" i="65"/>
  <c r="DF474" i="65"/>
  <c r="DE475" i="65"/>
  <c r="DF475" i="65"/>
  <c r="DE476" i="65"/>
  <c r="DF476" i="65"/>
  <c r="DE477" i="65"/>
  <c r="DF477" i="65"/>
  <c r="DE478" i="65"/>
  <c r="DF478" i="65"/>
  <c r="DE479" i="65"/>
  <c r="DF479" i="65"/>
  <c r="DE480" i="65"/>
  <c r="DF480" i="65"/>
  <c r="DE481" i="65"/>
  <c r="DF481" i="65"/>
  <c r="DE482" i="65"/>
  <c r="DF482" i="65"/>
  <c r="DE483" i="65"/>
  <c r="DF483" i="65"/>
  <c r="DE484" i="65"/>
  <c r="DF484" i="65"/>
  <c r="DE485" i="65"/>
  <c r="DF485" i="65"/>
  <c r="DE486" i="65"/>
  <c r="DF486" i="65"/>
  <c r="DE487" i="65"/>
  <c r="DF487" i="65"/>
  <c r="DE488" i="65"/>
  <c r="DF488" i="65"/>
  <c r="DE489" i="65"/>
  <c r="DF489" i="65"/>
  <c r="DE490" i="65"/>
  <c r="DF490" i="65"/>
  <c r="DE491" i="65"/>
  <c r="DF491" i="65"/>
  <c r="DE492" i="65"/>
  <c r="DF492" i="65"/>
  <c r="DE493" i="65"/>
  <c r="DF493" i="65"/>
  <c r="DE494" i="65"/>
  <c r="DF494" i="65"/>
  <c r="DE495" i="65"/>
  <c r="DF495" i="65"/>
  <c r="DE496" i="65"/>
  <c r="DF496" i="65"/>
  <c r="DE497" i="65"/>
  <c r="DF497" i="65"/>
  <c r="DE498" i="65"/>
  <c r="DF498" i="65"/>
  <c r="DE499" i="65"/>
  <c r="DF499" i="65"/>
  <c r="DE500" i="65"/>
  <c r="DF500" i="65"/>
  <c r="DE501" i="65"/>
  <c r="DF501" i="65"/>
  <c r="DE502" i="65"/>
  <c r="DF502" i="65"/>
  <c r="DE503" i="65"/>
  <c r="DF503" i="65"/>
  <c r="DE504" i="65"/>
  <c r="DF504" i="65"/>
  <c r="DE505" i="65"/>
  <c r="DF505" i="65"/>
  <c r="DE506" i="65"/>
  <c r="DF506" i="65"/>
  <c r="DE507" i="65"/>
  <c r="DF507" i="65"/>
  <c r="DE508" i="65"/>
  <c r="DF508" i="65"/>
  <c r="DE509" i="65"/>
  <c r="DF509" i="65"/>
  <c r="DE510" i="65"/>
  <c r="DF510" i="65"/>
  <c r="DE511" i="65"/>
  <c r="DF511" i="65"/>
  <c r="DE512" i="65"/>
  <c r="DF512" i="65"/>
  <c r="DE513" i="65"/>
  <c r="DF513" i="65"/>
  <c r="DE514" i="65"/>
  <c r="DF514" i="65"/>
  <c r="DE515" i="65"/>
  <c r="DF515" i="65"/>
  <c r="DE516" i="65"/>
  <c r="DF516" i="65"/>
  <c r="DE517" i="65"/>
  <c r="DF517" i="65"/>
  <c r="DE518" i="65"/>
  <c r="DF518" i="65"/>
  <c r="DE519" i="65"/>
  <c r="DF519" i="65"/>
  <c r="DE520" i="65"/>
  <c r="DF520" i="65"/>
  <c r="DE521" i="65"/>
  <c r="DF521" i="65"/>
  <c r="DE522" i="65"/>
  <c r="DF522" i="65"/>
  <c r="DE523" i="65"/>
  <c r="DF523" i="65"/>
  <c r="DE524" i="65"/>
  <c r="DF524" i="65"/>
  <c r="DE525" i="65"/>
  <c r="DF525" i="65"/>
  <c r="DE526" i="65"/>
  <c r="DF526" i="65"/>
  <c r="DE527" i="65"/>
  <c r="DF527" i="65"/>
  <c r="DE528" i="65"/>
  <c r="DF528" i="65"/>
  <c r="DE529" i="65"/>
  <c r="DF529" i="65"/>
  <c r="DE530" i="65"/>
  <c r="DF530" i="65"/>
  <c r="DE531" i="65"/>
  <c r="DF531" i="65"/>
  <c r="DE532" i="65"/>
  <c r="DF532" i="65"/>
  <c r="DE533" i="65"/>
  <c r="DF533" i="65"/>
  <c r="DE534" i="65"/>
  <c r="DF534" i="65"/>
  <c r="DE535" i="65"/>
  <c r="DF535" i="65"/>
  <c r="DE536" i="65"/>
  <c r="DF536" i="65"/>
  <c r="DE537" i="65"/>
  <c r="DF537" i="65"/>
  <c r="DE538" i="65"/>
  <c r="DF538" i="65"/>
  <c r="DE539" i="65"/>
  <c r="DF539" i="65"/>
  <c r="DE540" i="65"/>
  <c r="DF540" i="65"/>
  <c r="DE541" i="65"/>
  <c r="DF541" i="65"/>
  <c r="DE542" i="65"/>
  <c r="DF542" i="65"/>
  <c r="DE543" i="65"/>
  <c r="DF543" i="65"/>
  <c r="DE544" i="65"/>
  <c r="DF544" i="65"/>
  <c r="DE545" i="65"/>
  <c r="DF545" i="65"/>
  <c r="DF5" i="65"/>
  <c r="DE5" i="65"/>
  <c r="G81" i="66" l="1"/>
  <c r="F81" i="66"/>
  <c r="E81" i="66"/>
  <c r="G80" i="66"/>
  <c r="F80" i="66"/>
  <c r="E80" i="66"/>
  <c r="G79" i="66"/>
  <c r="F79" i="66"/>
  <c r="E79" i="66"/>
  <c r="O43" i="66"/>
  <c r="L43" i="66"/>
  <c r="K43" i="66"/>
  <c r="I43" i="66"/>
  <c r="M42" i="66"/>
  <c r="N42" i="66" s="1"/>
  <c r="L42" i="66"/>
  <c r="K42" i="66"/>
  <c r="J42" i="66"/>
  <c r="J43" i="66" s="1"/>
  <c r="F42" i="66"/>
  <c r="E42" i="66"/>
  <c r="N34" i="66"/>
  <c r="N33" i="66"/>
  <c r="N32" i="66"/>
  <c r="N31" i="66"/>
  <c r="N30" i="66"/>
  <c r="N29" i="66"/>
  <c r="N28" i="66"/>
  <c r="N27" i="66"/>
  <c r="N26" i="66"/>
  <c r="N25" i="66"/>
  <c r="N24" i="66"/>
  <c r="N23" i="66"/>
  <c r="N22" i="66"/>
  <c r="N21" i="66"/>
  <c r="N20" i="66"/>
  <c r="N19" i="66"/>
  <c r="N18" i="66"/>
  <c r="N17" i="66"/>
  <c r="N16" i="66"/>
  <c r="N15" i="66"/>
  <c r="J15" i="66"/>
  <c r="I15" i="66"/>
  <c r="M14" i="66"/>
  <c r="N14" i="66" s="1"/>
  <c r="L14" i="66"/>
  <c r="L15" i="66" s="1"/>
  <c r="K14" i="66"/>
  <c r="J14" i="66"/>
  <c r="F14" i="66"/>
  <c r="E14" i="66"/>
  <c r="H15" i="66" s="1"/>
  <c r="F8" i="66"/>
  <c r="F7" i="66"/>
  <c r="H2" i="66"/>
  <c r="K15" i="66" l="1"/>
  <c r="D15" i="66"/>
  <c r="EJ34" i="65"/>
  <c r="EJ38" i="65"/>
  <c r="EJ58" i="65"/>
  <c r="EF8" i="65"/>
  <c r="ED6" i="65"/>
  <c r="ED7" i="65"/>
  <c r="EF7" i="65" s="1"/>
  <c r="ED8" i="65"/>
  <c r="ED9" i="65"/>
  <c r="EF9" i="65" s="1"/>
  <c r="ED10" i="65"/>
  <c r="ED11" i="65"/>
  <c r="ED12" i="65"/>
  <c r="ED13" i="65"/>
  <c r="ED14" i="65"/>
  <c r="ED15" i="65"/>
  <c r="ED16" i="65"/>
  <c r="EF16" i="65" s="1"/>
  <c r="ED17" i="65"/>
  <c r="EE17" i="65" s="1"/>
  <c r="ED18" i="65"/>
  <c r="ED19" i="65"/>
  <c r="EF19" i="65" s="1"/>
  <c r="ED20" i="65"/>
  <c r="ED21" i="65"/>
  <c r="EF21" i="65" s="1"/>
  <c r="ED22" i="65"/>
  <c r="ED23" i="65"/>
  <c r="EF23" i="65" s="1"/>
  <c r="ED24" i="65"/>
  <c r="EF24" i="65" s="1"/>
  <c r="ED25" i="65"/>
  <c r="ED26" i="65"/>
  <c r="ED27" i="65"/>
  <c r="EF27" i="65" s="1"/>
  <c r="ED28" i="65"/>
  <c r="ED29" i="65"/>
  <c r="ED30" i="65"/>
  <c r="ED31" i="65"/>
  <c r="ED32" i="65"/>
  <c r="ED33" i="65"/>
  <c r="EE33" i="65" s="1"/>
  <c r="ED34" i="65"/>
  <c r="ED35" i="65"/>
  <c r="EF35" i="65" s="1"/>
  <c r="ED36" i="65"/>
  <c r="EE36" i="65" s="1"/>
  <c r="ED37" i="65"/>
  <c r="EF37" i="65" s="1"/>
  <c r="ED38" i="65"/>
  <c r="ED39" i="65"/>
  <c r="EF39" i="65" s="1"/>
  <c r="ED40" i="65"/>
  <c r="ED41" i="65"/>
  <c r="EE41" i="65" s="1"/>
  <c r="ED42" i="65"/>
  <c r="ED43" i="65"/>
  <c r="ED44" i="65"/>
  <c r="ED45" i="65"/>
  <c r="ED46" i="65"/>
  <c r="ED47" i="65"/>
  <c r="ED48" i="65"/>
  <c r="EF48" i="65" s="1"/>
  <c r="ED49" i="65"/>
  <c r="EE49" i="65" s="1"/>
  <c r="ED50" i="65"/>
  <c r="ED51" i="65"/>
  <c r="EF51" i="65" s="1"/>
  <c r="ED52" i="65"/>
  <c r="ED53" i="65"/>
  <c r="EE53" i="65" s="1"/>
  <c r="ED54" i="65"/>
  <c r="ED55" i="65"/>
  <c r="ED56" i="65"/>
  <c r="EF56" i="65" s="1"/>
  <c r="ED57" i="65"/>
  <c r="EJ57" i="65" s="1"/>
  <c r="ED58" i="65"/>
  <c r="ED59" i="65"/>
  <c r="EF59" i="65" s="1"/>
  <c r="ED60" i="65"/>
  <c r="ED61" i="65"/>
  <c r="ED62" i="65"/>
  <c r="ED63" i="65"/>
  <c r="ED64" i="65"/>
  <c r="EF64" i="65" s="1"/>
  <c r="ED65" i="65"/>
  <c r="ED66" i="65"/>
  <c r="ED67" i="65"/>
  <c r="EF67" i="65" s="1"/>
  <c r="ED68" i="65"/>
  <c r="ED69" i="65"/>
  <c r="EF69" i="65" s="1"/>
  <c r="ED70" i="65"/>
  <c r="ED71" i="65"/>
  <c r="EF71" i="65" s="1"/>
  <c r="ED72" i="65"/>
  <c r="EF72" i="65" s="1"/>
  <c r="ED73" i="65"/>
  <c r="EF73" i="65" s="1"/>
  <c r="ED74" i="65"/>
  <c r="ED75" i="65"/>
  <c r="ED76" i="65"/>
  <c r="ED5" i="65"/>
  <c r="EF5" i="65" s="1"/>
  <c r="EI23" i="65"/>
  <c r="EI33" i="65"/>
  <c r="EI39" i="65"/>
  <c r="EI49" i="65"/>
  <c r="EI55" i="65"/>
  <c r="EI65" i="65"/>
  <c r="EI75" i="65"/>
  <c r="EH19" i="65"/>
  <c r="EH25" i="65"/>
  <c r="EH35" i="65"/>
  <c r="EH41" i="65"/>
  <c r="EH57" i="65"/>
  <c r="EG6" i="65"/>
  <c r="EI6" i="65" s="1"/>
  <c r="EG7" i="65"/>
  <c r="EG8" i="65"/>
  <c r="EI8" i="65" s="1"/>
  <c r="EG9" i="65"/>
  <c r="EI9" i="65" s="1"/>
  <c r="EG10" i="65"/>
  <c r="EI10" i="65" s="1"/>
  <c r="EG11" i="65"/>
  <c r="EH11" i="65" s="1"/>
  <c r="EG12" i="65"/>
  <c r="EH12" i="65" s="1"/>
  <c r="EG13" i="65"/>
  <c r="EI13" i="65" s="1"/>
  <c r="EG14" i="65"/>
  <c r="EI14" i="65" s="1"/>
  <c r="EG15" i="65"/>
  <c r="EI15" i="65" s="1"/>
  <c r="EG16" i="65"/>
  <c r="EH16" i="65" s="1"/>
  <c r="EG17" i="65"/>
  <c r="EH17" i="65" s="1"/>
  <c r="EG18" i="65"/>
  <c r="EI18" i="65" s="1"/>
  <c r="EG19" i="65"/>
  <c r="EI19" i="65" s="1"/>
  <c r="EG20" i="65"/>
  <c r="EI20" i="65" s="1"/>
  <c r="EG21" i="65"/>
  <c r="EH21" i="65" s="1"/>
  <c r="EG22" i="65"/>
  <c r="EI22" i="65" s="1"/>
  <c r="EG23" i="65"/>
  <c r="EH23" i="65" s="1"/>
  <c r="EG24" i="65"/>
  <c r="EG25" i="65"/>
  <c r="EI25" i="65" s="1"/>
  <c r="EG26" i="65"/>
  <c r="EI26" i="65" s="1"/>
  <c r="EG27" i="65"/>
  <c r="EH27" i="65" s="1"/>
  <c r="EG28" i="65"/>
  <c r="EH28" i="65" s="1"/>
  <c r="EG29" i="65"/>
  <c r="EI29" i="65" s="1"/>
  <c r="EG30" i="65"/>
  <c r="EI30" i="65" s="1"/>
  <c r="EG31" i="65"/>
  <c r="EI31" i="65" s="1"/>
  <c r="EG32" i="65"/>
  <c r="EG33" i="65"/>
  <c r="EH33" i="65" s="1"/>
  <c r="EG34" i="65"/>
  <c r="EI34" i="65" s="1"/>
  <c r="EG35" i="65"/>
  <c r="EI35" i="65" s="1"/>
  <c r="EG36" i="65"/>
  <c r="EG37" i="65"/>
  <c r="EH37" i="65" s="1"/>
  <c r="EG38" i="65"/>
  <c r="EI38" i="65" s="1"/>
  <c r="EG39" i="65"/>
  <c r="EH39" i="65" s="1"/>
  <c r="EG40" i="65"/>
  <c r="EI40" i="65" s="1"/>
  <c r="EG41" i="65"/>
  <c r="EI41" i="65" s="1"/>
  <c r="EG42" i="65"/>
  <c r="EI42" i="65" s="1"/>
  <c r="EG43" i="65"/>
  <c r="EH43" i="65" s="1"/>
  <c r="EG44" i="65"/>
  <c r="EG45" i="65"/>
  <c r="EI45" i="65" s="1"/>
  <c r="EG46" i="65"/>
  <c r="EI46" i="65" s="1"/>
  <c r="EG47" i="65"/>
  <c r="EI47" i="65" s="1"/>
  <c r="EG48" i="65"/>
  <c r="EH48" i="65" s="1"/>
  <c r="EG49" i="65"/>
  <c r="EH49" i="65" s="1"/>
  <c r="EG50" i="65"/>
  <c r="EI50" i="65" s="1"/>
  <c r="EG51" i="65"/>
  <c r="EG52" i="65"/>
  <c r="EI52" i="65" s="1"/>
  <c r="EG53" i="65"/>
  <c r="EH53" i="65" s="1"/>
  <c r="EG54" i="65"/>
  <c r="EI54" i="65" s="1"/>
  <c r="EG55" i="65"/>
  <c r="EH55" i="65" s="1"/>
  <c r="EG56" i="65"/>
  <c r="EI56" i="65" s="1"/>
  <c r="EG57" i="65"/>
  <c r="EI57" i="65" s="1"/>
  <c r="EG58" i="65"/>
  <c r="EI58" i="65" s="1"/>
  <c r="EG59" i="65"/>
  <c r="EG60" i="65"/>
  <c r="EH60" i="65" s="1"/>
  <c r="EG61" i="65"/>
  <c r="EI61" i="65" s="1"/>
  <c r="EG62" i="65"/>
  <c r="EI62" i="65" s="1"/>
  <c r="EG63" i="65"/>
  <c r="EG64" i="65"/>
  <c r="EH64" i="65" s="1"/>
  <c r="EG65" i="65"/>
  <c r="EH65" i="65" s="1"/>
  <c r="EG66" i="65"/>
  <c r="EI66" i="65" s="1"/>
  <c r="EG67" i="65"/>
  <c r="EI67" i="65" s="1"/>
  <c r="EG68" i="65"/>
  <c r="EI68" i="65" s="1"/>
  <c r="EG69" i="65"/>
  <c r="EH69" i="65" s="1"/>
  <c r="EG70" i="65"/>
  <c r="EI70" i="65" s="1"/>
  <c r="EG71" i="65"/>
  <c r="EG72" i="65"/>
  <c r="EI72" i="65" s="1"/>
  <c r="EG73" i="65"/>
  <c r="EI73" i="65" s="1"/>
  <c r="EG74" i="65"/>
  <c r="EI74" i="65" s="1"/>
  <c r="EG75" i="65"/>
  <c r="EH75" i="65" s="1"/>
  <c r="EG76" i="65"/>
  <c r="EH76" i="65" s="1"/>
  <c r="EG5" i="65"/>
  <c r="EI5" i="65" s="1"/>
  <c r="I43" i="53"/>
  <c r="O15" i="66" l="1"/>
  <c r="K16" i="66"/>
  <c r="D43" i="66"/>
  <c r="E15" i="66"/>
  <c r="H16" i="66" s="1"/>
  <c r="G16" i="66"/>
  <c r="I16" i="66" s="1"/>
  <c r="F15" i="66"/>
  <c r="L16" i="66" s="1"/>
  <c r="EI36" i="65"/>
  <c r="EH36" i="65"/>
  <c r="EH68" i="65"/>
  <c r="EH71" i="65"/>
  <c r="EI71" i="65"/>
  <c r="EI63" i="65"/>
  <c r="EH63" i="65"/>
  <c r="EH59" i="65"/>
  <c r="EI59" i="65"/>
  <c r="EI51" i="65"/>
  <c r="EH51" i="65"/>
  <c r="EH7" i="65"/>
  <c r="EI7" i="65"/>
  <c r="EH67" i="65"/>
  <c r="EH47" i="65"/>
  <c r="EH31" i="65"/>
  <c r="EH15" i="65"/>
  <c r="EI16" i="65"/>
  <c r="EJ76" i="65"/>
  <c r="EE68" i="65"/>
  <c r="EE60" i="65"/>
  <c r="EJ52" i="65"/>
  <c r="EF52" i="65"/>
  <c r="EF44" i="65"/>
  <c r="EE44" i="65"/>
  <c r="EJ40" i="65"/>
  <c r="EF40" i="65"/>
  <c r="EF28" i="65"/>
  <c r="EE28" i="65"/>
  <c r="EJ28" i="65"/>
  <c r="EE20" i="65"/>
  <c r="EE12" i="65"/>
  <c r="EF36" i="65"/>
  <c r="EF20" i="65"/>
  <c r="EJ75" i="65"/>
  <c r="EJ51" i="65"/>
  <c r="EJ20" i="65"/>
  <c r="EE64" i="65"/>
  <c r="EH8" i="65"/>
  <c r="EI64" i="65"/>
  <c r="EI48" i="65"/>
  <c r="EI28" i="65"/>
  <c r="EI12" i="65"/>
  <c r="EE75" i="65"/>
  <c r="EE63" i="65"/>
  <c r="EE55" i="65"/>
  <c r="EE47" i="65"/>
  <c r="EF43" i="65"/>
  <c r="EE43" i="65"/>
  <c r="EE31" i="65"/>
  <c r="EE15" i="65"/>
  <c r="EF15" i="65"/>
  <c r="EE11" i="65"/>
  <c r="EF68" i="65"/>
  <c r="EJ64" i="65"/>
  <c r="EJ50" i="65"/>
  <c r="EJ33" i="65"/>
  <c r="EJ10" i="65"/>
  <c r="EE59" i="65"/>
  <c r="EE23" i="65"/>
  <c r="EH72" i="65"/>
  <c r="EH56" i="65"/>
  <c r="EH40" i="65"/>
  <c r="EH20" i="65"/>
  <c r="EI76" i="65"/>
  <c r="EI60" i="65"/>
  <c r="EI43" i="65"/>
  <c r="EI27" i="65"/>
  <c r="EI11" i="65"/>
  <c r="EJ74" i="65"/>
  <c r="EJ14" i="65"/>
  <c r="EF63" i="65"/>
  <c r="EF47" i="65"/>
  <c r="EF31" i="65"/>
  <c r="EJ62" i="65"/>
  <c r="EJ44" i="65"/>
  <c r="EJ26" i="65"/>
  <c r="EE73" i="65"/>
  <c r="EE52" i="65"/>
  <c r="EE16" i="65"/>
  <c r="EH32" i="65"/>
  <c r="EI32" i="65"/>
  <c r="EI24" i="65"/>
  <c r="EH24" i="65"/>
  <c r="EH52" i="65"/>
  <c r="EF65" i="65"/>
  <c r="EE65" i="65"/>
  <c r="EE25" i="65"/>
  <c r="EF25" i="65"/>
  <c r="EJ9" i="65"/>
  <c r="EE9" i="65"/>
  <c r="EF57" i="65"/>
  <c r="EF41" i="65"/>
  <c r="EJ21" i="65"/>
  <c r="EE71" i="65"/>
  <c r="EE37" i="65"/>
  <c r="EE7" i="65"/>
  <c r="EH44" i="65"/>
  <c r="EI44" i="65"/>
  <c r="EH73" i="65"/>
  <c r="EH9" i="65"/>
  <c r="EI17" i="65"/>
  <c r="EH61" i="65"/>
  <c r="EH29" i="65"/>
  <c r="EI53" i="65"/>
  <c r="EI21" i="65"/>
  <c r="EE61" i="65"/>
  <c r="EE45" i="65"/>
  <c r="EE29" i="65"/>
  <c r="EE13" i="65"/>
  <c r="EF45" i="65"/>
  <c r="EF29" i="65"/>
  <c r="EE72" i="65"/>
  <c r="EE56" i="65"/>
  <c r="EJ56" i="65"/>
  <c r="EE40" i="65"/>
  <c r="EJ32" i="65"/>
  <c r="EE24" i="65"/>
  <c r="EJ8" i="65"/>
  <c r="EE8" i="65"/>
  <c r="EF76" i="65"/>
  <c r="EF60" i="65"/>
  <c r="EF55" i="65"/>
  <c r="EF49" i="65"/>
  <c r="EF33" i="65"/>
  <c r="EF17" i="65"/>
  <c r="EF12" i="65"/>
  <c r="EJ69" i="65"/>
  <c r="EJ27" i="65"/>
  <c r="EJ16" i="65"/>
  <c r="EE76" i="65"/>
  <c r="EE69" i="65"/>
  <c r="EE48" i="65"/>
  <c r="EE27" i="65"/>
  <c r="EH5" i="65"/>
  <c r="EH45" i="65"/>
  <c r="EH13" i="65"/>
  <c r="EI69" i="65"/>
  <c r="EI37" i="65"/>
  <c r="EE5" i="65"/>
  <c r="EF61" i="65"/>
  <c r="EF13" i="65"/>
  <c r="EE57" i="65"/>
  <c r="EE21" i="65"/>
  <c r="EE67" i="65"/>
  <c r="EJ63" i="65"/>
  <c r="EE51" i="65"/>
  <c r="EJ39" i="65"/>
  <c r="EE35" i="65"/>
  <c r="EE19" i="65"/>
  <c r="EJ15" i="65"/>
  <c r="EF75" i="65"/>
  <c r="EF53" i="65"/>
  <c r="EF32" i="65"/>
  <c r="EF11" i="65"/>
  <c r="EJ68" i="65"/>
  <c r="EJ45" i="65"/>
  <c r="EE39" i="65"/>
  <c r="EE32" i="65"/>
  <c r="EH74" i="65"/>
  <c r="EH70" i="65"/>
  <c r="EH66" i="65"/>
  <c r="EH62" i="65"/>
  <c r="EH58" i="65"/>
  <c r="EH54" i="65"/>
  <c r="EH50" i="65"/>
  <c r="EH46" i="65"/>
  <c r="EH42" i="65"/>
  <c r="EH38" i="65"/>
  <c r="EH34" i="65"/>
  <c r="EH30" i="65"/>
  <c r="EH26" i="65"/>
  <c r="EH22" i="65"/>
  <c r="EH18" i="65"/>
  <c r="EH14" i="65"/>
  <c r="EH10" i="65"/>
  <c r="EH6" i="65"/>
  <c r="EE74" i="65"/>
  <c r="EE70" i="65"/>
  <c r="EE66" i="65"/>
  <c r="EE62" i="65"/>
  <c r="EE58" i="65"/>
  <c r="EE54" i="65"/>
  <c r="EE50" i="65"/>
  <c r="EE46" i="65"/>
  <c r="EE42" i="65"/>
  <c r="EE38" i="65"/>
  <c r="EE34" i="65"/>
  <c r="EE30" i="65"/>
  <c r="EE26" i="65"/>
  <c r="EE22" i="65"/>
  <c r="EE18" i="65"/>
  <c r="EE14" i="65"/>
  <c r="EE10" i="65"/>
  <c r="EE6" i="65"/>
  <c r="EF74" i="65"/>
  <c r="EF70" i="65"/>
  <c r="EF66" i="65"/>
  <c r="EF62" i="65"/>
  <c r="EF58" i="65"/>
  <c r="EF54" i="65"/>
  <c r="EF50" i="65"/>
  <c r="EF46" i="65"/>
  <c r="EF42" i="65"/>
  <c r="EF38" i="65"/>
  <c r="EF34" i="65"/>
  <c r="EF30" i="65"/>
  <c r="EF26" i="65"/>
  <c r="EF22" i="65"/>
  <c r="EF18" i="65"/>
  <c r="EF14" i="65"/>
  <c r="EF10" i="65"/>
  <c r="EF6" i="65"/>
  <c r="EJ70" i="65"/>
  <c r="EJ46" i="65"/>
  <c r="EJ22" i="65"/>
  <c r="DJ20" i="65"/>
  <c r="DJ21" i="65"/>
  <c r="DJ22" i="65"/>
  <c r="DJ23" i="65"/>
  <c r="DJ24" i="65"/>
  <c r="DJ25" i="65"/>
  <c r="DJ26" i="65"/>
  <c r="DJ27" i="65"/>
  <c r="DJ28" i="65"/>
  <c r="DJ29" i="65"/>
  <c r="DJ30" i="65"/>
  <c r="DJ31" i="65"/>
  <c r="DJ32" i="65"/>
  <c r="DJ19" i="65"/>
  <c r="O16" i="66" l="1"/>
  <c r="J16" i="66"/>
  <c r="M43" i="66"/>
  <c r="N43" i="66" s="1"/>
  <c r="E43" i="66"/>
  <c r="G44" i="66"/>
  <c r="I44" i="66" s="1"/>
  <c r="F43" i="66"/>
  <c r="L44" i="66" s="1"/>
  <c r="J44" i="66"/>
  <c r="J3" i="65"/>
  <c r="H44" i="66" l="1"/>
  <c r="K44" i="66" s="1"/>
  <c r="D16" i="66"/>
  <c r="BN7" i="65"/>
  <c r="BN8" i="65"/>
  <c r="BN9" i="65"/>
  <c r="BN10" i="65"/>
  <c r="BN11" i="65"/>
  <c r="BN12" i="65"/>
  <c r="BN13" i="65"/>
  <c r="BN14" i="65"/>
  <c r="BN15" i="65"/>
  <c r="BN16" i="65"/>
  <c r="BN17" i="65"/>
  <c r="BN18" i="65"/>
  <c r="BN19" i="65"/>
  <c r="BN20" i="65"/>
  <c r="BN21" i="65"/>
  <c r="BN22" i="65"/>
  <c r="BN23" i="65"/>
  <c r="BN24" i="65"/>
  <c r="BN25" i="65"/>
  <c r="BN26" i="65"/>
  <c r="BN27" i="65"/>
  <c r="BN28" i="65"/>
  <c r="BN29" i="65"/>
  <c r="BN30" i="65"/>
  <c r="BN31" i="65"/>
  <c r="BN32" i="65"/>
  <c r="BN33" i="65"/>
  <c r="BN34" i="65"/>
  <c r="BN35" i="65"/>
  <c r="BN36" i="65"/>
  <c r="BN37" i="65"/>
  <c r="BN38" i="65"/>
  <c r="BN39" i="65"/>
  <c r="BN40" i="65"/>
  <c r="BN41" i="65"/>
  <c r="BN42" i="65"/>
  <c r="BN43" i="65"/>
  <c r="BN44" i="65"/>
  <c r="BN45" i="65"/>
  <c r="BN46" i="65"/>
  <c r="BN47" i="65"/>
  <c r="BN48" i="65"/>
  <c r="BN49" i="65"/>
  <c r="BN50" i="65"/>
  <c r="BN51" i="65"/>
  <c r="BN52" i="65"/>
  <c r="BN53" i="65"/>
  <c r="BN54" i="65"/>
  <c r="BN55" i="65"/>
  <c r="BN56" i="65"/>
  <c r="BN57" i="65"/>
  <c r="BN58" i="65"/>
  <c r="BN59" i="65"/>
  <c r="BN60" i="65"/>
  <c r="BN61" i="65"/>
  <c r="BN62" i="65"/>
  <c r="BN63" i="65"/>
  <c r="BN64" i="65"/>
  <c r="BN65" i="65"/>
  <c r="BN66" i="65"/>
  <c r="BN67" i="65"/>
  <c r="BN68" i="65"/>
  <c r="BN69" i="65"/>
  <c r="BN70" i="65"/>
  <c r="BN71" i="65"/>
  <c r="BN72" i="65"/>
  <c r="BN73" i="65"/>
  <c r="BN74" i="65"/>
  <c r="BN75" i="65"/>
  <c r="BN76" i="65"/>
  <c r="BN77" i="65"/>
  <c r="BN78" i="65"/>
  <c r="BN79" i="65"/>
  <c r="BN80" i="65"/>
  <c r="BN81" i="65"/>
  <c r="BN6" i="65"/>
  <c r="BJ7" i="65"/>
  <c r="BJ8" i="65"/>
  <c r="BJ9" i="65"/>
  <c r="BJ10" i="65"/>
  <c r="BJ11" i="65"/>
  <c r="BJ12" i="65"/>
  <c r="BJ13" i="65"/>
  <c r="BJ14" i="65"/>
  <c r="BJ15" i="65"/>
  <c r="BJ16" i="65"/>
  <c r="BJ17" i="65"/>
  <c r="BJ18" i="65"/>
  <c r="BJ19" i="65"/>
  <c r="BJ20" i="65"/>
  <c r="BJ21" i="65"/>
  <c r="BJ22" i="65"/>
  <c r="BJ23" i="65"/>
  <c r="BJ24" i="65"/>
  <c r="BJ25" i="65"/>
  <c r="BJ26" i="65"/>
  <c r="BJ27" i="65"/>
  <c r="BJ28" i="65"/>
  <c r="BJ29" i="65"/>
  <c r="BJ30" i="65"/>
  <c r="BJ31" i="65"/>
  <c r="BJ32" i="65"/>
  <c r="BJ33" i="65"/>
  <c r="BJ34" i="65"/>
  <c r="BJ35" i="65"/>
  <c r="BJ36" i="65"/>
  <c r="BJ37" i="65"/>
  <c r="BJ38" i="65"/>
  <c r="BJ39" i="65"/>
  <c r="BJ40" i="65"/>
  <c r="BJ41" i="65"/>
  <c r="BJ42" i="65"/>
  <c r="BJ43" i="65"/>
  <c r="BJ44" i="65"/>
  <c r="BJ45" i="65"/>
  <c r="BJ46" i="65"/>
  <c r="BJ47" i="65"/>
  <c r="BJ48" i="65"/>
  <c r="BJ49" i="65"/>
  <c r="BJ50" i="65"/>
  <c r="BJ51" i="65"/>
  <c r="BJ52" i="65"/>
  <c r="BJ53" i="65"/>
  <c r="BJ54" i="65"/>
  <c r="BJ55" i="65"/>
  <c r="BJ56" i="65"/>
  <c r="BJ57" i="65"/>
  <c r="BJ58" i="65"/>
  <c r="BJ59" i="65"/>
  <c r="BJ60" i="65"/>
  <c r="BJ61" i="65"/>
  <c r="BJ62" i="65"/>
  <c r="BJ63" i="65"/>
  <c r="BJ64" i="65"/>
  <c r="BJ65" i="65"/>
  <c r="BJ66" i="65"/>
  <c r="BJ67" i="65"/>
  <c r="BJ68" i="65"/>
  <c r="BJ69" i="65"/>
  <c r="BJ70" i="65"/>
  <c r="BJ71" i="65"/>
  <c r="BJ72" i="65"/>
  <c r="BJ73" i="65"/>
  <c r="BJ74" i="65"/>
  <c r="BJ75" i="65"/>
  <c r="BJ76" i="65"/>
  <c r="BJ77" i="65"/>
  <c r="BJ78" i="65"/>
  <c r="BJ79" i="65"/>
  <c r="BJ80" i="65"/>
  <c r="BJ81" i="65"/>
  <c r="BJ6" i="65"/>
  <c r="O44" i="66" l="1"/>
  <c r="D44" i="66"/>
  <c r="G17" i="66"/>
  <c r="I17" i="66" s="1"/>
  <c r="F16" i="66"/>
  <c r="E16" i="66"/>
  <c r="BZ7" i="65"/>
  <c r="CJ7" i="65" s="1"/>
  <c r="BZ11" i="65"/>
  <c r="CJ11" i="65" s="1"/>
  <c r="BZ15" i="65"/>
  <c r="CJ15" i="65" s="1"/>
  <c r="BZ19" i="65"/>
  <c r="CJ19" i="65" s="1"/>
  <c r="BZ23" i="65"/>
  <c r="CJ23" i="65" s="1"/>
  <c r="BZ27" i="65"/>
  <c r="CJ27" i="65" s="1"/>
  <c r="BZ31" i="65"/>
  <c r="CJ31" i="65" s="1"/>
  <c r="BZ35" i="65"/>
  <c r="CJ35" i="65" s="1"/>
  <c r="BZ39" i="65"/>
  <c r="CJ39" i="65" s="1"/>
  <c r="BZ43" i="65"/>
  <c r="CJ43" i="65" s="1"/>
  <c r="BZ47" i="65"/>
  <c r="CJ47" i="65" s="1"/>
  <c r="BZ51" i="65"/>
  <c r="CJ51" i="65" s="1"/>
  <c r="BZ55" i="65"/>
  <c r="CJ55" i="65" s="1"/>
  <c r="BZ59" i="65"/>
  <c r="CJ59" i="65" s="1"/>
  <c r="BZ63" i="65"/>
  <c r="CJ63" i="65" s="1"/>
  <c r="BZ67" i="65"/>
  <c r="CJ67" i="65" s="1"/>
  <c r="BZ71" i="65"/>
  <c r="CJ71" i="65" s="1"/>
  <c r="BZ75" i="65"/>
  <c r="CJ75" i="65" s="1"/>
  <c r="BZ79" i="65"/>
  <c r="CJ79" i="65" s="1"/>
  <c r="BZ83" i="65"/>
  <c r="CJ83" i="65" s="1"/>
  <c r="BZ87" i="65"/>
  <c r="CJ87" i="65" s="1"/>
  <c r="BZ91" i="65"/>
  <c r="CJ91" i="65" s="1"/>
  <c r="BZ95" i="65"/>
  <c r="CJ95" i="65" s="1"/>
  <c r="BZ99" i="65"/>
  <c r="CJ99" i="65" s="1"/>
  <c r="BZ103" i="65"/>
  <c r="CJ103" i="65" s="1"/>
  <c r="BZ107" i="65"/>
  <c r="CJ107" i="65" s="1"/>
  <c r="BZ111" i="65"/>
  <c r="CJ111" i="65" s="1"/>
  <c r="BZ115" i="65"/>
  <c r="CJ115" i="65" s="1"/>
  <c r="BZ119" i="65"/>
  <c r="CJ119" i="65" s="1"/>
  <c r="BZ123" i="65"/>
  <c r="CJ123" i="65" s="1"/>
  <c r="BZ127" i="65"/>
  <c r="CJ127" i="65" s="1"/>
  <c r="BZ131" i="65"/>
  <c r="CJ131" i="65" s="1"/>
  <c r="BZ135" i="65"/>
  <c r="CJ135" i="65" s="1"/>
  <c r="BZ139" i="65"/>
  <c r="CJ139" i="65" s="1"/>
  <c r="BZ143" i="65"/>
  <c r="CJ143" i="65" s="1"/>
  <c r="BZ147" i="65"/>
  <c r="CJ147" i="65" s="1"/>
  <c r="BZ151" i="65"/>
  <c r="CJ151" i="65" s="1"/>
  <c r="BZ155" i="65"/>
  <c r="CJ155" i="65" s="1"/>
  <c r="BZ159" i="65"/>
  <c r="CJ159" i="65" s="1"/>
  <c r="BZ163" i="65"/>
  <c r="CJ163" i="65" s="1"/>
  <c r="BZ167" i="65"/>
  <c r="CJ167" i="65" s="1"/>
  <c r="BZ171" i="65"/>
  <c r="CJ171" i="65" s="1"/>
  <c r="BZ175" i="65"/>
  <c r="CJ175" i="65" s="1"/>
  <c r="BZ179" i="65"/>
  <c r="CJ179" i="65" s="1"/>
  <c r="BZ183" i="65"/>
  <c r="CJ183" i="65" s="1"/>
  <c r="BZ187" i="65"/>
  <c r="CJ187" i="65" s="1"/>
  <c r="BZ191" i="65"/>
  <c r="CJ191" i="65" s="1"/>
  <c r="BZ195" i="65"/>
  <c r="CJ195" i="65" s="1"/>
  <c r="BZ199" i="65"/>
  <c r="CJ199" i="65" s="1"/>
  <c r="BZ203" i="65"/>
  <c r="CJ203" i="65" s="1"/>
  <c r="BZ207" i="65"/>
  <c r="CJ207" i="65" s="1"/>
  <c r="BZ211" i="65"/>
  <c r="CJ211" i="65" s="1"/>
  <c r="BZ215" i="65"/>
  <c r="CJ215" i="65" s="1"/>
  <c r="BZ219" i="65"/>
  <c r="CJ219" i="65" s="1"/>
  <c r="BZ223" i="65"/>
  <c r="CJ223" i="65" s="1"/>
  <c r="BZ227" i="65"/>
  <c r="CJ227" i="65" s="1"/>
  <c r="BZ231" i="65"/>
  <c r="CJ231" i="65" s="1"/>
  <c r="BZ235" i="65"/>
  <c r="CJ235" i="65" s="1"/>
  <c r="BZ239" i="65"/>
  <c r="CJ239" i="65" s="1"/>
  <c r="BZ243" i="65"/>
  <c r="CJ243" i="65" s="1"/>
  <c r="BZ247" i="65"/>
  <c r="CJ247" i="65" s="1"/>
  <c r="BZ251" i="65"/>
  <c r="CJ251" i="65" s="1"/>
  <c r="BZ255" i="65"/>
  <c r="CJ255" i="65" s="1"/>
  <c r="BZ259" i="65"/>
  <c r="CJ259" i="65" s="1"/>
  <c r="BZ263" i="65"/>
  <c r="CJ263" i="65" s="1"/>
  <c r="BZ267" i="65"/>
  <c r="CJ267" i="65" s="1"/>
  <c r="BZ271" i="65"/>
  <c r="CJ271" i="65" s="1"/>
  <c r="BZ275" i="65"/>
  <c r="CJ275" i="65" s="1"/>
  <c r="BZ279" i="65"/>
  <c r="CJ279" i="65" s="1"/>
  <c r="BZ283" i="65"/>
  <c r="CJ283" i="65" s="1"/>
  <c r="BZ287" i="65"/>
  <c r="CJ287" i="65" s="1"/>
  <c r="BZ291" i="65"/>
  <c r="CJ291" i="65" s="1"/>
  <c r="BZ295" i="65"/>
  <c r="CJ295" i="65" s="1"/>
  <c r="BZ299" i="65"/>
  <c r="CJ299" i="65" s="1"/>
  <c r="BZ303" i="65"/>
  <c r="CJ303" i="65" s="1"/>
  <c r="BZ307" i="65"/>
  <c r="CJ307" i="65" s="1"/>
  <c r="BZ311" i="65"/>
  <c r="CJ311" i="65" s="1"/>
  <c r="BZ315" i="65"/>
  <c r="CJ315" i="65" s="1"/>
  <c r="BZ319" i="65"/>
  <c r="CJ319" i="65" s="1"/>
  <c r="BZ323" i="65"/>
  <c r="CJ323" i="65" s="1"/>
  <c r="BZ327" i="65"/>
  <c r="CJ327" i="65" s="1"/>
  <c r="BZ331" i="65"/>
  <c r="CJ331" i="65" s="1"/>
  <c r="BZ335" i="65"/>
  <c r="CJ335" i="65" s="1"/>
  <c r="BZ339" i="65"/>
  <c r="CJ339" i="65" s="1"/>
  <c r="BZ343" i="65"/>
  <c r="CJ343" i="65" s="1"/>
  <c r="BZ8" i="65"/>
  <c r="CJ8" i="65" s="1"/>
  <c r="BZ12" i="65"/>
  <c r="CJ12" i="65" s="1"/>
  <c r="BZ16" i="65"/>
  <c r="CJ16" i="65" s="1"/>
  <c r="BZ20" i="65"/>
  <c r="CJ20" i="65" s="1"/>
  <c r="BZ24" i="65"/>
  <c r="CJ24" i="65" s="1"/>
  <c r="BZ28" i="65"/>
  <c r="CJ28" i="65" s="1"/>
  <c r="BZ32" i="65"/>
  <c r="CJ32" i="65" s="1"/>
  <c r="BZ36" i="65"/>
  <c r="CJ36" i="65" s="1"/>
  <c r="BZ40" i="65"/>
  <c r="CJ40" i="65" s="1"/>
  <c r="BZ44" i="65"/>
  <c r="CJ44" i="65" s="1"/>
  <c r="BZ48" i="65"/>
  <c r="CJ48" i="65" s="1"/>
  <c r="BZ52" i="65"/>
  <c r="CJ52" i="65" s="1"/>
  <c r="BZ56" i="65"/>
  <c r="CJ56" i="65" s="1"/>
  <c r="BZ60" i="65"/>
  <c r="CJ60" i="65" s="1"/>
  <c r="BZ64" i="65"/>
  <c r="CJ64" i="65" s="1"/>
  <c r="BZ68" i="65"/>
  <c r="CJ68" i="65" s="1"/>
  <c r="BZ72" i="65"/>
  <c r="CJ72" i="65" s="1"/>
  <c r="BZ76" i="65"/>
  <c r="CJ76" i="65" s="1"/>
  <c r="BZ80" i="65"/>
  <c r="CJ80" i="65" s="1"/>
  <c r="BZ84" i="65"/>
  <c r="CJ84" i="65" s="1"/>
  <c r="BZ88" i="65"/>
  <c r="CJ88" i="65" s="1"/>
  <c r="BZ92" i="65"/>
  <c r="CJ92" i="65" s="1"/>
  <c r="BZ96" i="65"/>
  <c r="CJ96" i="65" s="1"/>
  <c r="BZ100" i="65"/>
  <c r="CJ100" i="65" s="1"/>
  <c r="BZ104" i="65"/>
  <c r="CJ104" i="65" s="1"/>
  <c r="BZ108" i="65"/>
  <c r="CJ108" i="65" s="1"/>
  <c r="BZ112" i="65"/>
  <c r="CJ112" i="65" s="1"/>
  <c r="BZ116" i="65"/>
  <c r="CJ116" i="65" s="1"/>
  <c r="BZ120" i="65"/>
  <c r="CJ120" i="65" s="1"/>
  <c r="BZ124" i="65"/>
  <c r="CJ124" i="65" s="1"/>
  <c r="BZ128" i="65"/>
  <c r="CJ128" i="65" s="1"/>
  <c r="BZ132" i="65"/>
  <c r="CJ132" i="65" s="1"/>
  <c r="BZ136" i="65"/>
  <c r="CJ136" i="65" s="1"/>
  <c r="BZ140" i="65"/>
  <c r="CJ140" i="65" s="1"/>
  <c r="BZ144" i="65"/>
  <c r="CJ144" i="65" s="1"/>
  <c r="BZ148" i="65"/>
  <c r="CJ148" i="65" s="1"/>
  <c r="BZ152" i="65"/>
  <c r="CJ152" i="65" s="1"/>
  <c r="BZ156" i="65"/>
  <c r="CJ156" i="65" s="1"/>
  <c r="BZ160" i="65"/>
  <c r="CJ160" i="65" s="1"/>
  <c r="BZ164" i="65"/>
  <c r="CJ164" i="65" s="1"/>
  <c r="BZ168" i="65"/>
  <c r="CJ168" i="65" s="1"/>
  <c r="BZ172" i="65"/>
  <c r="CJ172" i="65" s="1"/>
  <c r="BZ176" i="65"/>
  <c r="CJ176" i="65" s="1"/>
  <c r="BZ180" i="65"/>
  <c r="CJ180" i="65" s="1"/>
  <c r="BZ184" i="65"/>
  <c r="CJ184" i="65" s="1"/>
  <c r="BZ188" i="65"/>
  <c r="CJ188" i="65" s="1"/>
  <c r="BZ192" i="65"/>
  <c r="CJ192" i="65" s="1"/>
  <c r="BZ196" i="65"/>
  <c r="CJ196" i="65" s="1"/>
  <c r="BZ200" i="65"/>
  <c r="CJ200" i="65" s="1"/>
  <c r="BZ204" i="65"/>
  <c r="CJ204" i="65" s="1"/>
  <c r="BZ208" i="65"/>
  <c r="CJ208" i="65" s="1"/>
  <c r="BZ212" i="65"/>
  <c r="CJ212" i="65" s="1"/>
  <c r="BZ216" i="65"/>
  <c r="CJ216" i="65" s="1"/>
  <c r="BZ220" i="65"/>
  <c r="CJ220" i="65" s="1"/>
  <c r="BZ224" i="65"/>
  <c r="CJ224" i="65" s="1"/>
  <c r="BZ228" i="65"/>
  <c r="CJ228" i="65" s="1"/>
  <c r="BZ232" i="65"/>
  <c r="CJ232" i="65" s="1"/>
  <c r="BZ236" i="65"/>
  <c r="CJ236" i="65" s="1"/>
  <c r="BZ240" i="65"/>
  <c r="CJ240" i="65" s="1"/>
  <c r="BZ244" i="65"/>
  <c r="CJ244" i="65" s="1"/>
  <c r="BZ248" i="65"/>
  <c r="CJ248" i="65" s="1"/>
  <c r="BZ252" i="65"/>
  <c r="CJ252" i="65" s="1"/>
  <c r="BZ256" i="65"/>
  <c r="CJ256" i="65" s="1"/>
  <c r="BZ260" i="65"/>
  <c r="CJ260" i="65" s="1"/>
  <c r="BZ264" i="65"/>
  <c r="CJ264" i="65" s="1"/>
  <c r="BZ268" i="65"/>
  <c r="CJ268" i="65" s="1"/>
  <c r="BZ272" i="65"/>
  <c r="CJ272" i="65" s="1"/>
  <c r="BZ276" i="65"/>
  <c r="CJ276" i="65" s="1"/>
  <c r="BZ280" i="65"/>
  <c r="CJ280" i="65" s="1"/>
  <c r="BZ284" i="65"/>
  <c r="CJ284" i="65" s="1"/>
  <c r="BZ288" i="65"/>
  <c r="CJ288" i="65" s="1"/>
  <c r="BZ292" i="65"/>
  <c r="CJ292" i="65" s="1"/>
  <c r="BZ296" i="65"/>
  <c r="CJ296" i="65" s="1"/>
  <c r="BZ300" i="65"/>
  <c r="CJ300" i="65" s="1"/>
  <c r="BZ304" i="65"/>
  <c r="CJ304" i="65" s="1"/>
  <c r="BZ308" i="65"/>
  <c r="CJ308" i="65" s="1"/>
  <c r="BZ312" i="65"/>
  <c r="CJ312" i="65" s="1"/>
  <c r="BZ316" i="65"/>
  <c r="CJ316" i="65" s="1"/>
  <c r="BZ320" i="65"/>
  <c r="CJ320" i="65" s="1"/>
  <c r="BZ324" i="65"/>
  <c r="CJ324" i="65" s="1"/>
  <c r="BZ328" i="65"/>
  <c r="CJ328" i="65" s="1"/>
  <c r="BZ332" i="65"/>
  <c r="CJ332" i="65" s="1"/>
  <c r="BZ336" i="65"/>
  <c r="CJ336" i="65" s="1"/>
  <c r="BZ340" i="65"/>
  <c r="CJ340" i="65" s="1"/>
  <c r="BZ344" i="65"/>
  <c r="CJ344" i="65" s="1"/>
  <c r="BZ9" i="65"/>
  <c r="CJ9" i="65" s="1"/>
  <c r="BZ6" i="65"/>
  <c r="CJ6" i="65" s="1"/>
  <c r="BZ10" i="65"/>
  <c r="CJ10" i="65" s="1"/>
  <c r="BZ14" i="65"/>
  <c r="CJ14" i="65" s="1"/>
  <c r="BZ18" i="65"/>
  <c r="CJ18" i="65" s="1"/>
  <c r="BZ22" i="65"/>
  <c r="CJ22" i="65" s="1"/>
  <c r="BZ26" i="65"/>
  <c r="CJ26" i="65" s="1"/>
  <c r="BZ30" i="65"/>
  <c r="CJ30" i="65" s="1"/>
  <c r="BZ34" i="65"/>
  <c r="CJ34" i="65" s="1"/>
  <c r="BZ38" i="65"/>
  <c r="CJ38" i="65" s="1"/>
  <c r="BZ42" i="65"/>
  <c r="CJ42" i="65" s="1"/>
  <c r="BZ46" i="65"/>
  <c r="CJ46" i="65" s="1"/>
  <c r="BZ50" i="65"/>
  <c r="CJ50" i="65" s="1"/>
  <c r="BZ54" i="65"/>
  <c r="CJ54" i="65" s="1"/>
  <c r="BZ58" i="65"/>
  <c r="CJ58" i="65" s="1"/>
  <c r="BZ62" i="65"/>
  <c r="CJ62" i="65" s="1"/>
  <c r="BZ66" i="65"/>
  <c r="CJ66" i="65" s="1"/>
  <c r="BZ70" i="65"/>
  <c r="CJ70" i="65" s="1"/>
  <c r="BZ74" i="65"/>
  <c r="CJ74" i="65" s="1"/>
  <c r="BZ78" i="65"/>
  <c r="CJ78" i="65" s="1"/>
  <c r="BZ82" i="65"/>
  <c r="CJ82" i="65" s="1"/>
  <c r="BZ86" i="65"/>
  <c r="CJ86" i="65" s="1"/>
  <c r="BZ90" i="65"/>
  <c r="CJ90" i="65" s="1"/>
  <c r="BZ94" i="65"/>
  <c r="CJ94" i="65" s="1"/>
  <c r="BZ98" i="65"/>
  <c r="CJ98" i="65" s="1"/>
  <c r="BZ102" i="65"/>
  <c r="CJ102" i="65" s="1"/>
  <c r="BZ106" i="65"/>
  <c r="CJ106" i="65" s="1"/>
  <c r="BZ110" i="65"/>
  <c r="CJ110" i="65" s="1"/>
  <c r="BZ114" i="65"/>
  <c r="CJ114" i="65" s="1"/>
  <c r="BZ118" i="65"/>
  <c r="CJ118" i="65" s="1"/>
  <c r="BZ122" i="65"/>
  <c r="CJ122" i="65" s="1"/>
  <c r="BZ126" i="65"/>
  <c r="CJ126" i="65" s="1"/>
  <c r="BZ130" i="65"/>
  <c r="CJ130" i="65" s="1"/>
  <c r="BZ134" i="65"/>
  <c r="CJ134" i="65" s="1"/>
  <c r="BZ138" i="65"/>
  <c r="CJ138" i="65" s="1"/>
  <c r="BZ142" i="65"/>
  <c r="CJ142" i="65" s="1"/>
  <c r="BZ146" i="65"/>
  <c r="CJ146" i="65" s="1"/>
  <c r="BZ150" i="65"/>
  <c r="CJ150" i="65" s="1"/>
  <c r="BZ154" i="65"/>
  <c r="CJ154" i="65" s="1"/>
  <c r="BZ158" i="65"/>
  <c r="CJ158" i="65" s="1"/>
  <c r="BZ162" i="65"/>
  <c r="CJ162" i="65" s="1"/>
  <c r="BZ166" i="65"/>
  <c r="CJ166" i="65" s="1"/>
  <c r="BZ170" i="65"/>
  <c r="CJ170" i="65" s="1"/>
  <c r="BZ174" i="65"/>
  <c r="CJ174" i="65" s="1"/>
  <c r="BZ178" i="65"/>
  <c r="CJ178" i="65" s="1"/>
  <c r="BZ182" i="65"/>
  <c r="CJ182" i="65" s="1"/>
  <c r="BZ186" i="65"/>
  <c r="CJ186" i="65" s="1"/>
  <c r="BZ190" i="65"/>
  <c r="CJ190" i="65" s="1"/>
  <c r="BZ194" i="65"/>
  <c r="CJ194" i="65" s="1"/>
  <c r="BZ198" i="65"/>
  <c r="CJ198" i="65" s="1"/>
  <c r="BZ202" i="65"/>
  <c r="CJ202" i="65" s="1"/>
  <c r="BZ206" i="65"/>
  <c r="CJ206" i="65" s="1"/>
  <c r="BZ210" i="65"/>
  <c r="CJ210" i="65" s="1"/>
  <c r="BZ214" i="65"/>
  <c r="CJ214" i="65" s="1"/>
  <c r="BZ218" i="65"/>
  <c r="CJ218" i="65" s="1"/>
  <c r="BZ222" i="65"/>
  <c r="CJ222" i="65" s="1"/>
  <c r="BZ226" i="65"/>
  <c r="CJ226" i="65" s="1"/>
  <c r="BZ17" i="65"/>
  <c r="CJ17" i="65" s="1"/>
  <c r="BZ33" i="65"/>
  <c r="CJ33" i="65" s="1"/>
  <c r="BZ49" i="65"/>
  <c r="CJ49" i="65" s="1"/>
  <c r="BZ65" i="65"/>
  <c r="CJ65" i="65" s="1"/>
  <c r="BZ81" i="65"/>
  <c r="CJ81" i="65" s="1"/>
  <c r="BZ97" i="65"/>
  <c r="CJ97" i="65" s="1"/>
  <c r="BZ113" i="65"/>
  <c r="CJ113" i="65" s="1"/>
  <c r="BZ129" i="65"/>
  <c r="CJ129" i="65" s="1"/>
  <c r="BZ145" i="65"/>
  <c r="CJ145" i="65" s="1"/>
  <c r="BZ161" i="65"/>
  <c r="CJ161" i="65" s="1"/>
  <c r="BZ177" i="65"/>
  <c r="CJ177" i="65" s="1"/>
  <c r="BZ193" i="65"/>
  <c r="CJ193" i="65" s="1"/>
  <c r="BZ209" i="65"/>
  <c r="CJ209" i="65" s="1"/>
  <c r="BZ225" i="65"/>
  <c r="CJ225" i="65" s="1"/>
  <c r="BZ234" i="65"/>
  <c r="CJ234" i="65" s="1"/>
  <c r="BZ242" i="65"/>
  <c r="CJ242" i="65" s="1"/>
  <c r="BZ250" i="65"/>
  <c r="CJ250" i="65" s="1"/>
  <c r="BZ258" i="65"/>
  <c r="CJ258" i="65" s="1"/>
  <c r="BZ266" i="65"/>
  <c r="CJ266" i="65" s="1"/>
  <c r="BZ274" i="65"/>
  <c r="CJ274" i="65" s="1"/>
  <c r="BZ282" i="65"/>
  <c r="CJ282" i="65" s="1"/>
  <c r="BZ290" i="65"/>
  <c r="CJ290" i="65" s="1"/>
  <c r="BZ298" i="65"/>
  <c r="CJ298" i="65" s="1"/>
  <c r="BZ306" i="65"/>
  <c r="CJ306" i="65" s="1"/>
  <c r="BZ314" i="65"/>
  <c r="CJ314" i="65" s="1"/>
  <c r="BZ322" i="65"/>
  <c r="CJ322" i="65" s="1"/>
  <c r="BZ330" i="65"/>
  <c r="CJ330" i="65" s="1"/>
  <c r="BZ338" i="65"/>
  <c r="CJ338" i="65" s="1"/>
  <c r="BZ346" i="65"/>
  <c r="CJ346" i="65" s="1"/>
  <c r="BZ350" i="65"/>
  <c r="CJ350" i="65" s="1"/>
  <c r="BZ21" i="65"/>
  <c r="CJ21" i="65" s="1"/>
  <c r="BZ37" i="65"/>
  <c r="CJ37" i="65" s="1"/>
  <c r="BZ53" i="65"/>
  <c r="CJ53" i="65" s="1"/>
  <c r="BZ69" i="65"/>
  <c r="CJ69" i="65" s="1"/>
  <c r="BZ85" i="65"/>
  <c r="CJ85" i="65" s="1"/>
  <c r="BZ101" i="65"/>
  <c r="CJ101" i="65" s="1"/>
  <c r="BZ117" i="65"/>
  <c r="CJ117" i="65" s="1"/>
  <c r="BZ133" i="65"/>
  <c r="CJ133" i="65" s="1"/>
  <c r="BZ149" i="65"/>
  <c r="CJ149" i="65" s="1"/>
  <c r="BZ165" i="65"/>
  <c r="CJ165" i="65" s="1"/>
  <c r="BZ181" i="65"/>
  <c r="CJ181" i="65" s="1"/>
  <c r="BZ197" i="65"/>
  <c r="CJ197" i="65" s="1"/>
  <c r="BZ213" i="65"/>
  <c r="CJ213" i="65" s="1"/>
  <c r="BZ229" i="65"/>
  <c r="CJ229" i="65" s="1"/>
  <c r="BZ237" i="65"/>
  <c r="CJ237" i="65" s="1"/>
  <c r="BZ245" i="65"/>
  <c r="CJ245" i="65" s="1"/>
  <c r="BZ253" i="65"/>
  <c r="CJ253" i="65" s="1"/>
  <c r="BZ261" i="65"/>
  <c r="CJ261" i="65" s="1"/>
  <c r="BZ269" i="65"/>
  <c r="CJ269" i="65" s="1"/>
  <c r="BZ277" i="65"/>
  <c r="CJ277" i="65" s="1"/>
  <c r="BZ285" i="65"/>
  <c r="CJ285" i="65" s="1"/>
  <c r="BZ293" i="65"/>
  <c r="CJ293" i="65" s="1"/>
  <c r="BZ301" i="65"/>
  <c r="CJ301" i="65" s="1"/>
  <c r="BZ309" i="65"/>
  <c r="CJ309" i="65" s="1"/>
  <c r="BZ317" i="65"/>
  <c r="CJ317" i="65" s="1"/>
  <c r="BZ325" i="65"/>
  <c r="CJ325" i="65" s="1"/>
  <c r="BZ333" i="65"/>
  <c r="CJ333" i="65" s="1"/>
  <c r="BZ341" i="65"/>
  <c r="CJ341" i="65" s="1"/>
  <c r="BZ347" i="65"/>
  <c r="CJ347" i="65" s="1"/>
  <c r="BZ351" i="65"/>
  <c r="CJ351" i="65" s="1"/>
  <c r="BZ355" i="65"/>
  <c r="CJ355" i="65" s="1"/>
  <c r="BZ359" i="65"/>
  <c r="CJ359" i="65" s="1"/>
  <c r="BZ363" i="65"/>
  <c r="CJ363" i="65" s="1"/>
  <c r="BZ367" i="65"/>
  <c r="CJ367" i="65" s="1"/>
  <c r="BZ371" i="65"/>
  <c r="CJ371" i="65" s="1"/>
  <c r="BZ375" i="65"/>
  <c r="CJ375" i="65" s="1"/>
  <c r="BZ379" i="65"/>
  <c r="CJ379" i="65" s="1"/>
  <c r="BZ383" i="65"/>
  <c r="CJ383" i="65" s="1"/>
  <c r="BZ387" i="65"/>
  <c r="CJ387" i="65" s="1"/>
  <c r="BZ391" i="65"/>
  <c r="CJ391" i="65" s="1"/>
  <c r="BZ395" i="65"/>
  <c r="CJ395" i="65" s="1"/>
  <c r="BZ399" i="65"/>
  <c r="CJ399" i="65" s="1"/>
  <c r="BZ403" i="65"/>
  <c r="CJ403" i="65" s="1"/>
  <c r="BZ407" i="65"/>
  <c r="CJ407" i="65" s="1"/>
  <c r="BZ411" i="65"/>
  <c r="CJ411" i="65" s="1"/>
  <c r="BZ415" i="65"/>
  <c r="CJ415" i="65" s="1"/>
  <c r="BZ419" i="65"/>
  <c r="CJ419" i="65" s="1"/>
  <c r="BZ423" i="65"/>
  <c r="CJ423" i="65" s="1"/>
  <c r="BZ427" i="65"/>
  <c r="CJ427" i="65" s="1"/>
  <c r="BZ431" i="65"/>
  <c r="CJ431" i="65" s="1"/>
  <c r="BZ435" i="65"/>
  <c r="CJ435" i="65" s="1"/>
  <c r="BZ439" i="65"/>
  <c r="CJ439" i="65" s="1"/>
  <c r="BZ443" i="65"/>
  <c r="CJ443" i="65" s="1"/>
  <c r="BZ447" i="65"/>
  <c r="CJ447" i="65" s="1"/>
  <c r="BZ451" i="65"/>
  <c r="CJ451" i="65" s="1"/>
  <c r="BZ455" i="65"/>
  <c r="CJ455" i="65" s="1"/>
  <c r="BZ459" i="65"/>
  <c r="CJ459" i="65" s="1"/>
  <c r="BZ463" i="65"/>
  <c r="CJ463" i="65" s="1"/>
  <c r="BZ467" i="65"/>
  <c r="CJ467" i="65" s="1"/>
  <c r="BZ471" i="65"/>
  <c r="CJ471" i="65" s="1"/>
  <c r="BZ475" i="65"/>
  <c r="CJ475" i="65" s="1"/>
  <c r="BZ479" i="65"/>
  <c r="CJ479" i="65" s="1"/>
  <c r="BZ483" i="65"/>
  <c r="CJ483" i="65" s="1"/>
  <c r="BZ487" i="65"/>
  <c r="CJ487" i="65" s="1"/>
  <c r="BZ491" i="65"/>
  <c r="CJ491" i="65" s="1"/>
  <c r="BZ495" i="65"/>
  <c r="CJ495" i="65" s="1"/>
  <c r="BZ499" i="65"/>
  <c r="CJ499" i="65" s="1"/>
  <c r="BZ503" i="65"/>
  <c r="CJ503" i="65" s="1"/>
  <c r="BZ507" i="65"/>
  <c r="CJ507" i="65" s="1"/>
  <c r="BZ511" i="65"/>
  <c r="CJ511" i="65" s="1"/>
  <c r="BZ515" i="65"/>
  <c r="CJ515" i="65" s="1"/>
  <c r="BZ519" i="65"/>
  <c r="CJ519" i="65" s="1"/>
  <c r="BZ523" i="65"/>
  <c r="CJ523" i="65" s="1"/>
  <c r="BZ527" i="65"/>
  <c r="CJ527" i="65" s="1"/>
  <c r="BZ531" i="65"/>
  <c r="CJ531" i="65" s="1"/>
  <c r="BZ535" i="65"/>
  <c r="CJ535" i="65" s="1"/>
  <c r="BZ539" i="65"/>
  <c r="CJ539" i="65" s="1"/>
  <c r="BZ543" i="65"/>
  <c r="CJ543" i="65" s="1"/>
  <c r="BZ29" i="65"/>
  <c r="CJ29" i="65" s="1"/>
  <c r="BZ45" i="65"/>
  <c r="CJ45" i="65" s="1"/>
  <c r="BZ77" i="65"/>
  <c r="CJ77" i="65" s="1"/>
  <c r="BZ109" i="65"/>
  <c r="CJ109" i="65" s="1"/>
  <c r="BZ141" i="65"/>
  <c r="CJ141" i="65" s="1"/>
  <c r="BZ173" i="65"/>
  <c r="CJ173" i="65" s="1"/>
  <c r="BZ205" i="65"/>
  <c r="CJ205" i="65" s="1"/>
  <c r="BZ25" i="65"/>
  <c r="CJ25" i="65" s="1"/>
  <c r="BZ41" i="65"/>
  <c r="CJ41" i="65" s="1"/>
  <c r="BZ57" i="65"/>
  <c r="CJ57" i="65" s="1"/>
  <c r="BZ73" i="65"/>
  <c r="CJ73" i="65" s="1"/>
  <c r="BZ89" i="65"/>
  <c r="CJ89" i="65" s="1"/>
  <c r="BZ105" i="65"/>
  <c r="CJ105" i="65" s="1"/>
  <c r="BZ121" i="65"/>
  <c r="CJ121" i="65" s="1"/>
  <c r="BZ137" i="65"/>
  <c r="CJ137" i="65" s="1"/>
  <c r="BZ153" i="65"/>
  <c r="CJ153" i="65" s="1"/>
  <c r="BZ169" i="65"/>
  <c r="CJ169" i="65" s="1"/>
  <c r="BZ185" i="65"/>
  <c r="CJ185" i="65" s="1"/>
  <c r="BZ201" i="65"/>
  <c r="CJ201" i="65" s="1"/>
  <c r="BZ217" i="65"/>
  <c r="CJ217" i="65" s="1"/>
  <c r="BZ230" i="65"/>
  <c r="CJ230" i="65" s="1"/>
  <c r="BZ238" i="65"/>
  <c r="CJ238" i="65" s="1"/>
  <c r="BZ246" i="65"/>
  <c r="CJ246" i="65" s="1"/>
  <c r="BZ254" i="65"/>
  <c r="CJ254" i="65" s="1"/>
  <c r="BZ262" i="65"/>
  <c r="CJ262" i="65" s="1"/>
  <c r="BZ270" i="65"/>
  <c r="CJ270" i="65" s="1"/>
  <c r="BZ278" i="65"/>
  <c r="CJ278" i="65" s="1"/>
  <c r="BZ286" i="65"/>
  <c r="CJ286" i="65" s="1"/>
  <c r="BZ294" i="65"/>
  <c r="CJ294" i="65" s="1"/>
  <c r="BZ302" i="65"/>
  <c r="CJ302" i="65" s="1"/>
  <c r="BZ310" i="65"/>
  <c r="CJ310" i="65" s="1"/>
  <c r="BZ318" i="65"/>
  <c r="CJ318" i="65" s="1"/>
  <c r="BZ326" i="65"/>
  <c r="CJ326" i="65" s="1"/>
  <c r="BZ334" i="65"/>
  <c r="CJ334" i="65" s="1"/>
  <c r="BZ342" i="65"/>
  <c r="CJ342" i="65" s="1"/>
  <c r="BZ348" i="65"/>
  <c r="CJ348" i="65" s="1"/>
  <c r="BZ352" i="65"/>
  <c r="CJ352" i="65" s="1"/>
  <c r="BZ356" i="65"/>
  <c r="CJ356" i="65" s="1"/>
  <c r="BZ360" i="65"/>
  <c r="CJ360" i="65" s="1"/>
  <c r="BZ364" i="65"/>
  <c r="CJ364" i="65" s="1"/>
  <c r="BZ368" i="65"/>
  <c r="CJ368" i="65" s="1"/>
  <c r="BZ372" i="65"/>
  <c r="CJ372" i="65" s="1"/>
  <c r="BZ376" i="65"/>
  <c r="CJ376" i="65" s="1"/>
  <c r="BZ380" i="65"/>
  <c r="CJ380" i="65" s="1"/>
  <c r="BZ384" i="65"/>
  <c r="CJ384" i="65" s="1"/>
  <c r="BZ388" i="65"/>
  <c r="CJ388" i="65" s="1"/>
  <c r="BZ392" i="65"/>
  <c r="CJ392" i="65" s="1"/>
  <c r="BZ396" i="65"/>
  <c r="CJ396" i="65" s="1"/>
  <c r="BZ400" i="65"/>
  <c r="CJ400" i="65" s="1"/>
  <c r="BZ404" i="65"/>
  <c r="CJ404" i="65" s="1"/>
  <c r="BZ408" i="65"/>
  <c r="CJ408" i="65" s="1"/>
  <c r="BZ412" i="65"/>
  <c r="CJ412" i="65" s="1"/>
  <c r="BZ416" i="65"/>
  <c r="CJ416" i="65" s="1"/>
  <c r="BZ420" i="65"/>
  <c r="CJ420" i="65" s="1"/>
  <c r="BZ424" i="65"/>
  <c r="CJ424" i="65" s="1"/>
  <c r="BZ428" i="65"/>
  <c r="CJ428" i="65" s="1"/>
  <c r="BZ432" i="65"/>
  <c r="CJ432" i="65" s="1"/>
  <c r="BZ436" i="65"/>
  <c r="CJ436" i="65" s="1"/>
  <c r="BZ440" i="65"/>
  <c r="CJ440" i="65" s="1"/>
  <c r="BZ444" i="65"/>
  <c r="CJ444" i="65" s="1"/>
  <c r="BZ448" i="65"/>
  <c r="CJ448" i="65" s="1"/>
  <c r="BZ452" i="65"/>
  <c r="CJ452" i="65" s="1"/>
  <c r="BZ456" i="65"/>
  <c r="CJ456" i="65" s="1"/>
  <c r="BZ460" i="65"/>
  <c r="CJ460" i="65" s="1"/>
  <c r="BZ464" i="65"/>
  <c r="CJ464" i="65" s="1"/>
  <c r="BZ468" i="65"/>
  <c r="CJ468" i="65" s="1"/>
  <c r="BZ472" i="65"/>
  <c r="CJ472" i="65" s="1"/>
  <c r="BZ476" i="65"/>
  <c r="CJ476" i="65" s="1"/>
  <c r="BZ480" i="65"/>
  <c r="CJ480" i="65" s="1"/>
  <c r="BZ484" i="65"/>
  <c r="CJ484" i="65" s="1"/>
  <c r="BZ488" i="65"/>
  <c r="CJ488" i="65" s="1"/>
  <c r="BZ492" i="65"/>
  <c r="CJ492" i="65" s="1"/>
  <c r="BZ496" i="65"/>
  <c r="CJ496" i="65" s="1"/>
  <c r="BZ500" i="65"/>
  <c r="CJ500" i="65" s="1"/>
  <c r="BZ504" i="65"/>
  <c r="CJ504" i="65" s="1"/>
  <c r="BZ508" i="65"/>
  <c r="CJ508" i="65" s="1"/>
  <c r="BZ512" i="65"/>
  <c r="CJ512" i="65" s="1"/>
  <c r="BZ516" i="65"/>
  <c r="CJ516" i="65" s="1"/>
  <c r="BZ520" i="65"/>
  <c r="CJ520" i="65" s="1"/>
  <c r="BZ524" i="65"/>
  <c r="CJ524" i="65" s="1"/>
  <c r="BZ528" i="65"/>
  <c r="CJ528" i="65" s="1"/>
  <c r="BZ532" i="65"/>
  <c r="CJ532" i="65" s="1"/>
  <c r="BZ536" i="65"/>
  <c r="CJ536" i="65" s="1"/>
  <c r="BZ540" i="65"/>
  <c r="CJ540" i="65" s="1"/>
  <c r="BZ544" i="65"/>
  <c r="CJ544" i="65" s="1"/>
  <c r="BZ13" i="65"/>
  <c r="CJ13" i="65" s="1"/>
  <c r="BZ61" i="65"/>
  <c r="CJ61" i="65" s="1"/>
  <c r="BZ93" i="65"/>
  <c r="CJ93" i="65" s="1"/>
  <c r="BZ125" i="65"/>
  <c r="CJ125" i="65" s="1"/>
  <c r="BZ157" i="65"/>
  <c r="CJ157" i="65" s="1"/>
  <c r="BZ189" i="65"/>
  <c r="CJ189" i="65" s="1"/>
  <c r="BZ221" i="65"/>
  <c r="CJ221" i="65" s="1"/>
  <c r="BZ241" i="65"/>
  <c r="CJ241" i="65" s="1"/>
  <c r="BZ273" i="65"/>
  <c r="CJ273" i="65" s="1"/>
  <c r="BZ305" i="65"/>
  <c r="CJ305" i="65" s="1"/>
  <c r="BZ337" i="65"/>
  <c r="CJ337" i="65" s="1"/>
  <c r="BZ354" i="65"/>
  <c r="CJ354" i="65" s="1"/>
  <c r="BZ362" i="65"/>
  <c r="CJ362" i="65" s="1"/>
  <c r="BZ370" i="65"/>
  <c r="CJ370" i="65" s="1"/>
  <c r="BZ378" i="65"/>
  <c r="CJ378" i="65" s="1"/>
  <c r="BZ386" i="65"/>
  <c r="CJ386" i="65" s="1"/>
  <c r="BZ394" i="65"/>
  <c r="CJ394" i="65" s="1"/>
  <c r="BZ402" i="65"/>
  <c r="CJ402" i="65" s="1"/>
  <c r="BZ410" i="65"/>
  <c r="CJ410" i="65" s="1"/>
  <c r="BZ418" i="65"/>
  <c r="CJ418" i="65" s="1"/>
  <c r="BZ426" i="65"/>
  <c r="CJ426" i="65" s="1"/>
  <c r="BZ434" i="65"/>
  <c r="CJ434" i="65" s="1"/>
  <c r="BZ442" i="65"/>
  <c r="CJ442" i="65" s="1"/>
  <c r="BZ450" i="65"/>
  <c r="CJ450" i="65" s="1"/>
  <c r="BZ458" i="65"/>
  <c r="CJ458" i="65" s="1"/>
  <c r="BZ466" i="65"/>
  <c r="CJ466" i="65" s="1"/>
  <c r="BZ474" i="65"/>
  <c r="CJ474" i="65" s="1"/>
  <c r="BZ482" i="65"/>
  <c r="CJ482" i="65" s="1"/>
  <c r="BZ490" i="65"/>
  <c r="CJ490" i="65" s="1"/>
  <c r="BZ498" i="65"/>
  <c r="CJ498" i="65" s="1"/>
  <c r="BZ506" i="65"/>
  <c r="CJ506" i="65" s="1"/>
  <c r="BZ514" i="65"/>
  <c r="CJ514" i="65" s="1"/>
  <c r="BZ522" i="65"/>
  <c r="CJ522" i="65" s="1"/>
  <c r="BZ530" i="65"/>
  <c r="CJ530" i="65" s="1"/>
  <c r="BZ538" i="65"/>
  <c r="CJ538" i="65" s="1"/>
  <c r="BZ297" i="65"/>
  <c r="CJ297" i="65" s="1"/>
  <c r="BZ361" i="65"/>
  <c r="CJ361" i="65" s="1"/>
  <c r="BZ385" i="65"/>
  <c r="CJ385" i="65" s="1"/>
  <c r="BZ409" i="65"/>
  <c r="CJ409" i="65" s="1"/>
  <c r="BZ433" i="65"/>
  <c r="CJ433" i="65" s="1"/>
  <c r="BZ449" i="65"/>
  <c r="CJ449" i="65" s="1"/>
  <c r="BZ465" i="65"/>
  <c r="CJ465" i="65" s="1"/>
  <c r="BZ489" i="65"/>
  <c r="CJ489" i="65" s="1"/>
  <c r="BZ513" i="65"/>
  <c r="CJ513" i="65" s="1"/>
  <c r="BZ537" i="65"/>
  <c r="CJ537" i="65" s="1"/>
  <c r="BZ249" i="65"/>
  <c r="CJ249" i="65" s="1"/>
  <c r="BZ281" i="65"/>
  <c r="CJ281" i="65" s="1"/>
  <c r="BZ313" i="65"/>
  <c r="CJ313" i="65" s="1"/>
  <c r="BZ345" i="65"/>
  <c r="CJ345" i="65" s="1"/>
  <c r="BZ357" i="65"/>
  <c r="CJ357" i="65" s="1"/>
  <c r="BZ365" i="65"/>
  <c r="CJ365" i="65" s="1"/>
  <c r="BZ373" i="65"/>
  <c r="CJ373" i="65" s="1"/>
  <c r="BZ381" i="65"/>
  <c r="CJ381" i="65" s="1"/>
  <c r="BZ389" i="65"/>
  <c r="CJ389" i="65" s="1"/>
  <c r="BZ397" i="65"/>
  <c r="CJ397" i="65" s="1"/>
  <c r="BZ405" i="65"/>
  <c r="CJ405" i="65" s="1"/>
  <c r="BZ413" i="65"/>
  <c r="CJ413" i="65" s="1"/>
  <c r="BZ421" i="65"/>
  <c r="CJ421" i="65" s="1"/>
  <c r="BZ429" i="65"/>
  <c r="CJ429" i="65" s="1"/>
  <c r="BZ437" i="65"/>
  <c r="CJ437" i="65" s="1"/>
  <c r="BZ445" i="65"/>
  <c r="CJ445" i="65" s="1"/>
  <c r="BZ453" i="65"/>
  <c r="CJ453" i="65" s="1"/>
  <c r="BZ461" i="65"/>
  <c r="CJ461" i="65" s="1"/>
  <c r="BZ469" i="65"/>
  <c r="CJ469" i="65" s="1"/>
  <c r="BZ477" i="65"/>
  <c r="CJ477" i="65" s="1"/>
  <c r="BZ485" i="65"/>
  <c r="CJ485" i="65" s="1"/>
  <c r="BZ493" i="65"/>
  <c r="CJ493" i="65" s="1"/>
  <c r="BZ501" i="65"/>
  <c r="CJ501" i="65" s="1"/>
  <c r="BZ509" i="65"/>
  <c r="CJ509" i="65" s="1"/>
  <c r="BZ517" i="65"/>
  <c r="CJ517" i="65" s="1"/>
  <c r="BZ525" i="65"/>
  <c r="CJ525" i="65" s="1"/>
  <c r="BZ533" i="65"/>
  <c r="CJ533" i="65" s="1"/>
  <c r="BZ541" i="65"/>
  <c r="CJ541" i="65" s="1"/>
  <c r="BZ265" i="65"/>
  <c r="CJ265" i="65" s="1"/>
  <c r="BZ353" i="65"/>
  <c r="CJ353" i="65" s="1"/>
  <c r="BZ377" i="65"/>
  <c r="CJ377" i="65" s="1"/>
  <c r="BZ401" i="65"/>
  <c r="CJ401" i="65" s="1"/>
  <c r="BZ425" i="65"/>
  <c r="CJ425" i="65" s="1"/>
  <c r="BZ457" i="65"/>
  <c r="CJ457" i="65" s="1"/>
  <c r="BZ481" i="65"/>
  <c r="CJ481" i="65" s="1"/>
  <c r="BZ497" i="65"/>
  <c r="CJ497" i="65" s="1"/>
  <c r="BZ521" i="65"/>
  <c r="CJ521" i="65" s="1"/>
  <c r="BZ545" i="65"/>
  <c r="CJ545" i="65" s="1"/>
  <c r="BZ257" i="65"/>
  <c r="CJ257" i="65" s="1"/>
  <c r="BZ289" i="65"/>
  <c r="CJ289" i="65" s="1"/>
  <c r="BZ321" i="65"/>
  <c r="CJ321" i="65" s="1"/>
  <c r="BZ349" i="65"/>
  <c r="CJ349" i="65" s="1"/>
  <c r="BZ358" i="65"/>
  <c r="CJ358" i="65" s="1"/>
  <c r="BZ366" i="65"/>
  <c r="CJ366" i="65" s="1"/>
  <c r="BZ374" i="65"/>
  <c r="CJ374" i="65" s="1"/>
  <c r="BZ382" i="65"/>
  <c r="CJ382" i="65" s="1"/>
  <c r="BZ390" i="65"/>
  <c r="CJ390" i="65" s="1"/>
  <c r="BZ398" i="65"/>
  <c r="CJ398" i="65" s="1"/>
  <c r="BZ406" i="65"/>
  <c r="CJ406" i="65" s="1"/>
  <c r="BZ414" i="65"/>
  <c r="CJ414" i="65" s="1"/>
  <c r="BZ422" i="65"/>
  <c r="CJ422" i="65" s="1"/>
  <c r="BZ430" i="65"/>
  <c r="CJ430" i="65" s="1"/>
  <c r="BZ438" i="65"/>
  <c r="CJ438" i="65" s="1"/>
  <c r="BZ446" i="65"/>
  <c r="CJ446" i="65" s="1"/>
  <c r="BZ454" i="65"/>
  <c r="CJ454" i="65" s="1"/>
  <c r="BZ462" i="65"/>
  <c r="CJ462" i="65" s="1"/>
  <c r="BZ470" i="65"/>
  <c r="CJ470" i="65" s="1"/>
  <c r="BZ478" i="65"/>
  <c r="CJ478" i="65" s="1"/>
  <c r="BZ486" i="65"/>
  <c r="CJ486" i="65" s="1"/>
  <c r="BZ494" i="65"/>
  <c r="CJ494" i="65" s="1"/>
  <c r="BZ502" i="65"/>
  <c r="CJ502" i="65" s="1"/>
  <c r="BZ510" i="65"/>
  <c r="CJ510" i="65" s="1"/>
  <c r="BZ518" i="65"/>
  <c r="CJ518" i="65" s="1"/>
  <c r="BZ526" i="65"/>
  <c r="CJ526" i="65" s="1"/>
  <c r="BZ534" i="65"/>
  <c r="CJ534" i="65" s="1"/>
  <c r="BZ542" i="65"/>
  <c r="CJ542" i="65" s="1"/>
  <c r="BZ233" i="65"/>
  <c r="CJ233" i="65" s="1"/>
  <c r="BZ329" i="65"/>
  <c r="CJ329" i="65" s="1"/>
  <c r="BZ369" i="65"/>
  <c r="CJ369" i="65" s="1"/>
  <c r="BZ393" i="65"/>
  <c r="CJ393" i="65" s="1"/>
  <c r="BZ417" i="65"/>
  <c r="CJ417" i="65" s="1"/>
  <c r="BZ441" i="65"/>
  <c r="CJ441" i="65" s="1"/>
  <c r="BZ473" i="65"/>
  <c r="CJ473" i="65" s="1"/>
  <c r="BZ505" i="65"/>
  <c r="CJ505" i="65" s="1"/>
  <c r="BZ529" i="65"/>
  <c r="CJ529" i="65" s="1"/>
  <c r="BZ5" i="65"/>
  <c r="CJ5" i="65" s="1"/>
  <c r="J17" i="66" l="1"/>
  <c r="F44" i="66"/>
  <c r="L45" i="66" s="1"/>
  <c r="M44" i="66"/>
  <c r="N44" i="66" s="1"/>
  <c r="E44" i="66"/>
  <c r="G45" i="66"/>
  <c r="I45" i="66" s="1"/>
  <c r="J45" i="66"/>
  <c r="H17" i="66"/>
  <c r="K17" i="66"/>
  <c r="L17" i="66"/>
  <c r="CA6" i="65"/>
  <c r="CA418" i="65"/>
  <c r="CA296" i="65"/>
  <c r="CA194" i="65"/>
  <c r="CA16" i="65"/>
  <c r="CA492" i="65"/>
  <c r="CA428" i="65"/>
  <c r="CA364" i="65"/>
  <c r="CA300" i="65"/>
  <c r="CA214" i="65"/>
  <c r="CA86" i="65"/>
  <c r="CA43" i="65"/>
  <c r="CA501" i="65"/>
  <c r="CA437" i="65"/>
  <c r="CA373" i="65"/>
  <c r="CA309" i="65"/>
  <c r="CA231" i="65"/>
  <c r="CA103" i="65"/>
  <c r="CA509" i="65"/>
  <c r="CA381" i="65"/>
  <c r="CA457" i="65"/>
  <c r="CA393" i="65"/>
  <c r="CA329" i="65"/>
  <c r="CA264" i="65"/>
  <c r="CA145" i="65"/>
  <c r="CA495" i="65"/>
  <c r="CA447" i="65"/>
  <c r="CA399" i="65"/>
  <c r="CA335" i="65"/>
  <c r="CA287" i="65"/>
  <c r="CA239" i="65"/>
  <c r="CA175" i="65"/>
  <c r="CA111" i="65"/>
  <c r="CA47" i="65"/>
  <c r="CA233" i="65"/>
  <c r="CA169" i="65"/>
  <c r="CA105" i="65"/>
  <c r="CA41" i="65"/>
  <c r="CA216" i="65"/>
  <c r="CA168" i="65"/>
  <c r="CA120" i="65"/>
  <c r="CA72" i="65"/>
  <c r="CA40" i="65"/>
  <c r="CA493" i="65"/>
  <c r="CA450" i="65"/>
  <c r="CA408" i="65"/>
  <c r="CA365" i="65"/>
  <c r="CA322" i="65"/>
  <c r="CA290" i="65"/>
  <c r="CA261" i="65"/>
  <c r="CA226" i="65"/>
  <c r="CA183" i="65"/>
  <c r="CA141" i="65"/>
  <c r="CA98" i="65"/>
  <c r="CA55" i="65"/>
  <c r="CA10" i="65"/>
  <c r="CA508" i="65"/>
  <c r="CA486" i="65"/>
  <c r="CA465" i="65"/>
  <c r="CA444" i="65"/>
  <c r="CA422" i="65"/>
  <c r="CA401" i="65"/>
  <c r="CA380" i="65"/>
  <c r="CA358" i="65"/>
  <c r="CA337" i="65"/>
  <c r="CA316" i="65"/>
  <c r="CA294" i="65"/>
  <c r="CA273" i="65"/>
  <c r="CA244" i="65"/>
  <c r="CA203" i="65"/>
  <c r="CA161" i="65"/>
  <c r="CA118" i="65"/>
  <c r="CA75" i="65"/>
  <c r="CA29" i="65"/>
  <c r="CA517" i="65"/>
  <c r="CA496" i="65"/>
  <c r="CA474" i="65"/>
  <c r="CA453" i="65"/>
  <c r="CA432" i="65"/>
  <c r="CA410" i="65"/>
  <c r="CA389" i="65"/>
  <c r="CA368" i="65"/>
  <c r="CA346" i="65"/>
  <c r="CA325" i="65"/>
  <c r="CA304" i="65"/>
  <c r="CA282" i="65"/>
  <c r="CA257" i="65"/>
  <c r="CA221" i="65"/>
  <c r="CA178" i="65"/>
  <c r="CA135" i="65"/>
  <c r="CA93" i="65"/>
  <c r="CA50" i="65"/>
  <c r="CA498" i="65"/>
  <c r="CA456" i="65"/>
  <c r="CA413" i="65"/>
  <c r="CA370" i="65"/>
  <c r="CA328" i="65"/>
  <c r="CA5" i="65"/>
  <c r="CA516" i="65"/>
  <c r="CA494" i="65"/>
  <c r="CA473" i="65"/>
  <c r="CA452" i="65"/>
  <c r="CA430" i="65"/>
  <c r="CA409" i="65"/>
  <c r="CA388" i="65"/>
  <c r="CA366" i="65"/>
  <c r="CA345" i="65"/>
  <c r="CA324" i="65"/>
  <c r="CA302" i="65"/>
  <c r="CA281" i="65"/>
  <c r="CA256" i="65"/>
  <c r="CA219" i="65"/>
  <c r="CA177" i="65"/>
  <c r="CA134" i="65"/>
  <c r="CA91" i="65"/>
  <c r="CA49" i="65"/>
  <c r="CA15" i="65"/>
  <c r="CA507" i="65"/>
  <c r="CA491" i="65"/>
  <c r="CA475" i="65"/>
  <c r="CA459" i="65"/>
  <c r="CA443" i="65"/>
  <c r="CA427" i="65"/>
  <c r="CA411" i="65"/>
  <c r="CA395" i="65"/>
  <c r="CA379" i="65"/>
  <c r="CA363" i="65"/>
  <c r="CA347" i="65"/>
  <c r="CA331" i="65"/>
  <c r="CA315" i="65"/>
  <c r="CA299" i="65"/>
  <c r="CA283" i="65"/>
  <c r="CA267" i="65"/>
  <c r="CA251" i="65"/>
  <c r="CA234" i="65"/>
  <c r="CA213" i="65"/>
  <c r="CA191" i="65"/>
  <c r="CA170" i="65"/>
  <c r="CA149" i="65"/>
  <c r="CA127" i="65"/>
  <c r="CA106" i="65"/>
  <c r="CA85" i="65"/>
  <c r="CA63" i="65"/>
  <c r="CA42" i="65"/>
  <c r="CA262" i="65"/>
  <c r="CA246" i="65"/>
  <c r="CA227" i="65"/>
  <c r="CA206" i="65"/>
  <c r="CA185" i="65"/>
  <c r="CA163" i="65"/>
  <c r="CA142" i="65"/>
  <c r="CA121" i="65"/>
  <c r="CA99" i="65"/>
  <c r="CA78" i="65"/>
  <c r="CA57" i="65"/>
  <c r="CA33" i="65"/>
  <c r="CA228" i="65"/>
  <c r="CA212" i="65"/>
  <c r="CA196" i="65"/>
  <c r="CA180" i="65"/>
  <c r="CA164" i="65"/>
  <c r="CA148" i="65"/>
  <c r="CA132" i="65"/>
  <c r="CA116" i="65"/>
  <c r="CA100" i="65"/>
  <c r="CA84" i="65"/>
  <c r="CA68" i="65"/>
  <c r="CA52" i="65"/>
  <c r="CA36" i="65"/>
  <c r="CA20" i="65"/>
  <c r="CA27" i="65"/>
  <c r="CA504" i="65"/>
  <c r="CA376" i="65"/>
  <c r="CA237" i="65"/>
  <c r="CA109" i="65"/>
  <c r="CA470" i="65"/>
  <c r="CA406" i="65"/>
  <c r="CA342" i="65"/>
  <c r="CA278" i="65"/>
  <c r="CA171" i="65"/>
  <c r="CA480" i="65"/>
  <c r="CA416" i="65"/>
  <c r="CA352" i="65"/>
  <c r="CA265" i="65"/>
  <c r="CA146" i="65"/>
  <c r="CA12" i="65"/>
  <c r="CA424" i="65"/>
  <c r="CA478" i="65"/>
  <c r="CA414" i="65"/>
  <c r="CA350" i="65"/>
  <c r="CA286" i="65"/>
  <c r="CA230" i="65"/>
  <c r="CA59" i="65"/>
  <c r="CA479" i="65"/>
  <c r="CA431" i="65"/>
  <c r="CA383" i="65"/>
  <c r="CA351" i="65"/>
  <c r="CA303" i="65"/>
  <c r="CA255" i="65"/>
  <c r="CA197" i="65"/>
  <c r="CA133" i="65"/>
  <c r="CA69" i="65"/>
  <c r="CA250" i="65"/>
  <c r="CA190" i="65"/>
  <c r="CA147" i="65"/>
  <c r="CA83" i="65"/>
  <c r="CA232" i="65"/>
  <c r="CA184" i="65"/>
  <c r="CA136" i="65"/>
  <c r="CA88" i="65"/>
  <c r="CA31" i="65"/>
  <c r="CA482" i="65"/>
  <c r="CA440" i="65"/>
  <c r="CA397" i="65"/>
  <c r="CA354" i="65"/>
  <c r="CA312" i="65"/>
  <c r="CA280" i="65"/>
  <c r="CA253" i="65"/>
  <c r="CA215" i="65"/>
  <c r="CA173" i="65"/>
  <c r="CA130" i="65"/>
  <c r="CA87" i="65"/>
  <c r="CA45" i="65"/>
  <c r="CA502" i="65"/>
  <c r="CA481" i="65"/>
  <c r="CA460" i="65"/>
  <c r="CA438" i="65"/>
  <c r="CA417" i="65"/>
  <c r="CA396" i="65"/>
  <c r="CA374" i="65"/>
  <c r="CA353" i="65"/>
  <c r="CA332" i="65"/>
  <c r="CA310" i="65"/>
  <c r="CA289" i="65"/>
  <c r="CA268" i="65"/>
  <c r="CA235" i="65"/>
  <c r="CA193" i="65"/>
  <c r="CA150" i="65"/>
  <c r="CA107" i="65"/>
  <c r="CA65" i="65"/>
  <c r="CA14" i="65"/>
  <c r="CA512" i="65"/>
  <c r="CA490" i="65"/>
  <c r="CA469" i="65"/>
  <c r="CA448" i="65"/>
  <c r="CA426" i="65"/>
  <c r="CA405" i="65"/>
  <c r="CA384" i="65"/>
  <c r="CA362" i="65"/>
  <c r="CA341" i="65"/>
  <c r="CA320" i="65"/>
  <c r="CA298" i="65"/>
  <c r="CA277" i="65"/>
  <c r="CA249" i="65"/>
  <c r="CA210" i="65"/>
  <c r="CA167" i="65"/>
  <c r="CA125" i="65"/>
  <c r="CA82" i="65"/>
  <c r="CA38" i="65"/>
  <c r="CA488" i="65"/>
  <c r="CA445" i="65"/>
  <c r="CA402" i="65"/>
  <c r="CA360" i="65"/>
  <c r="CA317" i="65"/>
  <c r="CA13" i="65"/>
  <c r="CA510" i="65"/>
  <c r="CA489" i="65"/>
  <c r="CA468" i="65"/>
  <c r="CA446" i="65"/>
  <c r="CA425" i="65"/>
  <c r="CA404" i="65"/>
  <c r="CA382" i="65"/>
  <c r="CA361" i="65"/>
  <c r="CA340" i="65"/>
  <c r="CA318" i="65"/>
  <c r="CA297" i="65"/>
  <c r="CA276" i="65"/>
  <c r="CA248" i="65"/>
  <c r="CA209" i="65"/>
  <c r="CA166" i="65"/>
  <c r="CA123" i="65"/>
  <c r="CA81" i="65"/>
  <c r="CA37" i="65"/>
  <c r="CA11" i="65"/>
  <c r="CA503" i="65"/>
  <c r="CA487" i="65"/>
  <c r="CA471" i="65"/>
  <c r="CA455" i="65"/>
  <c r="CA439" i="65"/>
  <c r="CA423" i="65"/>
  <c r="CA407" i="65"/>
  <c r="CA391" i="65"/>
  <c r="CA375" i="65"/>
  <c r="CA359" i="65"/>
  <c r="CA343" i="65"/>
  <c r="CA327" i="65"/>
  <c r="CA311" i="65"/>
  <c r="CA295" i="65"/>
  <c r="CA279" i="65"/>
  <c r="CA263" i="65"/>
  <c r="CA247" i="65"/>
  <c r="CA229" i="65"/>
  <c r="CA207" i="65"/>
  <c r="CA186" i="65"/>
  <c r="CA165" i="65"/>
  <c r="CA143" i="65"/>
  <c r="CA122" i="65"/>
  <c r="CA101" i="65"/>
  <c r="CA79" i="65"/>
  <c r="CA58" i="65"/>
  <c r="CA34" i="65"/>
  <c r="CA258" i="65"/>
  <c r="CA242" i="65"/>
  <c r="CA222" i="65"/>
  <c r="CA201" i="65"/>
  <c r="CA179" i="65"/>
  <c r="CA158" i="65"/>
  <c r="CA137" i="65"/>
  <c r="CA115" i="65"/>
  <c r="CA94" i="65"/>
  <c r="CA73" i="65"/>
  <c r="CA51" i="65"/>
  <c r="CA25" i="65"/>
  <c r="CA224" i="65"/>
  <c r="CA208" i="65"/>
  <c r="CA192" i="65"/>
  <c r="CA176" i="65"/>
  <c r="CA160" i="65"/>
  <c r="CA144" i="65"/>
  <c r="CA128" i="65"/>
  <c r="CA112" i="65"/>
  <c r="CA96" i="65"/>
  <c r="CA80" i="65"/>
  <c r="CA64" i="65"/>
  <c r="CA48" i="65"/>
  <c r="CA32" i="65"/>
  <c r="CA39" i="65"/>
  <c r="CA23" i="65"/>
  <c r="CA461" i="65"/>
  <c r="CA333" i="65"/>
  <c r="CA269" i="65"/>
  <c r="CA151" i="65"/>
  <c r="CA66" i="65"/>
  <c r="CA513" i="65"/>
  <c r="CA449" i="65"/>
  <c r="CA385" i="65"/>
  <c r="CA321" i="65"/>
  <c r="CA252" i="65"/>
  <c r="CA129" i="65"/>
  <c r="CA458" i="65"/>
  <c r="CA394" i="65"/>
  <c r="CA330" i="65"/>
  <c r="CA288" i="65"/>
  <c r="CA189" i="65"/>
  <c r="CA61" i="65"/>
  <c r="CA466" i="65"/>
  <c r="CA338" i="65"/>
  <c r="CA285" i="65"/>
  <c r="CA500" i="65"/>
  <c r="CA436" i="65"/>
  <c r="CA372" i="65"/>
  <c r="CA308" i="65"/>
  <c r="CA187" i="65"/>
  <c r="CA102" i="65"/>
  <c r="CA18" i="65"/>
  <c r="CA511" i="65"/>
  <c r="CA463" i="65"/>
  <c r="CA415" i="65"/>
  <c r="CA367" i="65"/>
  <c r="CA319" i="65"/>
  <c r="CA271" i="65"/>
  <c r="CA218" i="65"/>
  <c r="CA154" i="65"/>
  <c r="CA90" i="65"/>
  <c r="CA266" i="65"/>
  <c r="CA211" i="65"/>
  <c r="CA126" i="65"/>
  <c r="CA62" i="65"/>
  <c r="CA200" i="65"/>
  <c r="CA152" i="65"/>
  <c r="CA104" i="65"/>
  <c r="CA56" i="65"/>
  <c r="CA24" i="65"/>
  <c r="CA17" i="65"/>
  <c r="CA514" i="65"/>
  <c r="CA472" i="65"/>
  <c r="CA429" i="65"/>
  <c r="CA386" i="65"/>
  <c r="CA344" i="65"/>
  <c r="CA301" i="65"/>
  <c r="CA274" i="65"/>
  <c r="CA245" i="65"/>
  <c r="CA205" i="65"/>
  <c r="CA162" i="65"/>
  <c r="CA119" i="65"/>
  <c r="CA77" i="65"/>
  <c r="CA30" i="65"/>
  <c r="CA497" i="65"/>
  <c r="CA476" i="65"/>
  <c r="CA454" i="65"/>
  <c r="CA433" i="65"/>
  <c r="CA412" i="65"/>
  <c r="CA390" i="65"/>
  <c r="CA369" i="65"/>
  <c r="CA348" i="65"/>
  <c r="CA326" i="65"/>
  <c r="CA305" i="65"/>
  <c r="CA284" i="65"/>
  <c r="CA260" i="65"/>
  <c r="CA225" i="65"/>
  <c r="CA182" i="65"/>
  <c r="CA139" i="65"/>
  <c r="CA97" i="65"/>
  <c r="CA54" i="65"/>
  <c r="CA9" i="65"/>
  <c r="CA506" i="65"/>
  <c r="CA485" i="65"/>
  <c r="CA464" i="65"/>
  <c r="CA442" i="65"/>
  <c r="CA421" i="65"/>
  <c r="CA400" i="65"/>
  <c r="CA378" i="65"/>
  <c r="CA357" i="65"/>
  <c r="CA336" i="65"/>
  <c r="CA314" i="65"/>
  <c r="CA293" i="65"/>
  <c r="CA272" i="65"/>
  <c r="CA241" i="65"/>
  <c r="CA199" i="65"/>
  <c r="CA157" i="65"/>
  <c r="CA114" i="65"/>
  <c r="CA71" i="65"/>
  <c r="CA22" i="65"/>
  <c r="CA477" i="65"/>
  <c r="CA434" i="65"/>
  <c r="CA392" i="65"/>
  <c r="CA349" i="65"/>
  <c r="CA306" i="65"/>
  <c r="CA8" i="65"/>
  <c r="CA505" i="65"/>
  <c r="CA484" i="65"/>
  <c r="CA462" i="65"/>
  <c r="CA441" i="65"/>
  <c r="CA420" i="65"/>
  <c r="CA398" i="65"/>
  <c r="CA377" i="65"/>
  <c r="CA356" i="65"/>
  <c r="CA334" i="65"/>
  <c r="CA313" i="65"/>
  <c r="CA292" i="65"/>
  <c r="CA270" i="65"/>
  <c r="CA240" i="65"/>
  <c r="CA198" i="65"/>
  <c r="CA155" i="65"/>
  <c r="CA113" i="65"/>
  <c r="CA70" i="65"/>
  <c r="CA21" i="65"/>
  <c r="CA7" i="65"/>
  <c r="CA515" i="65"/>
  <c r="CA499" i="65"/>
  <c r="CA483" i="65"/>
  <c r="CA467" i="65"/>
  <c r="CA451" i="65"/>
  <c r="CA435" i="65"/>
  <c r="CA419" i="65"/>
  <c r="CA403" i="65"/>
  <c r="CA387" i="65"/>
  <c r="CA371" i="65"/>
  <c r="CA355" i="65"/>
  <c r="CA339" i="65"/>
  <c r="CA323" i="65"/>
  <c r="CA307" i="65"/>
  <c r="CA291" i="65"/>
  <c r="CA275" i="65"/>
  <c r="CA259" i="65"/>
  <c r="CA243" i="65"/>
  <c r="CA223" i="65"/>
  <c r="CA202" i="65"/>
  <c r="CA181" i="65"/>
  <c r="CA159" i="65"/>
  <c r="CA138" i="65"/>
  <c r="CA117" i="65"/>
  <c r="CA95" i="65"/>
  <c r="CA74" i="65"/>
  <c r="CA53" i="65"/>
  <c r="CA26" i="65"/>
  <c r="CA254" i="65"/>
  <c r="CA238" i="65"/>
  <c r="CA217" i="65"/>
  <c r="CA195" i="65"/>
  <c r="CA174" i="65"/>
  <c r="CA153" i="65"/>
  <c r="CA131" i="65"/>
  <c r="CA110" i="65"/>
  <c r="CA89" i="65"/>
  <c r="CA67" i="65"/>
  <c r="CA46" i="65"/>
  <c r="CA236" i="65"/>
  <c r="CA220" i="65"/>
  <c r="CA204" i="65"/>
  <c r="CA188" i="65"/>
  <c r="CA172" i="65"/>
  <c r="CA156" i="65"/>
  <c r="CA140" i="65"/>
  <c r="CA124" i="65"/>
  <c r="CA108" i="65"/>
  <c r="CA92" i="65"/>
  <c r="CA76" i="65"/>
  <c r="CA60" i="65"/>
  <c r="CA44" i="65"/>
  <c r="CA28" i="65"/>
  <c r="CA35" i="65"/>
  <c r="CA19" i="65"/>
  <c r="CE534" i="65"/>
  <c r="CA534" i="65"/>
  <c r="CE544" i="65"/>
  <c r="CS544" i="65" s="1"/>
  <c r="CA544" i="65"/>
  <c r="CE542" i="65"/>
  <c r="CA542" i="65"/>
  <c r="CE527" i="65"/>
  <c r="CA527" i="65"/>
  <c r="CE536" i="65"/>
  <c r="CA536" i="65"/>
  <c r="CE538" i="65"/>
  <c r="CS538" i="65" s="1"/>
  <c r="CA538" i="65"/>
  <c r="CE537" i="65"/>
  <c r="CA537" i="65"/>
  <c r="CE523" i="65"/>
  <c r="CA523" i="65"/>
  <c r="CE525" i="65"/>
  <c r="CA525" i="65"/>
  <c r="CE545" i="65"/>
  <c r="CS545" i="65" s="1"/>
  <c r="CA545" i="65"/>
  <c r="CE524" i="65"/>
  <c r="CA524" i="65"/>
  <c r="CE533" i="65"/>
  <c r="CS533" i="65" s="1"/>
  <c r="CA533" i="65"/>
  <c r="CE530" i="65"/>
  <c r="CA530" i="65"/>
  <c r="CE532" i="65"/>
  <c r="CS532" i="65" s="1"/>
  <c r="CA532" i="65"/>
  <c r="CE535" i="65"/>
  <c r="CA535" i="65"/>
  <c r="CE519" i="65"/>
  <c r="CA519" i="65"/>
  <c r="CE522" i="65"/>
  <c r="CA522" i="65"/>
  <c r="CE521" i="65"/>
  <c r="CS521" i="65" s="1"/>
  <c r="CA521" i="65"/>
  <c r="CE543" i="65"/>
  <c r="CA543" i="65"/>
  <c r="CE529" i="65"/>
  <c r="CS529" i="65" s="1"/>
  <c r="CA529" i="65"/>
  <c r="CE541" i="65"/>
  <c r="CA541" i="65"/>
  <c r="CE539" i="65"/>
  <c r="CS539" i="65" s="1"/>
  <c r="CA539" i="65"/>
  <c r="CE540" i="65"/>
  <c r="CA540" i="65"/>
  <c r="CE518" i="65"/>
  <c r="CS518" i="65" s="1"/>
  <c r="CA518" i="65"/>
  <c r="CE528" i="65"/>
  <c r="CA528" i="65"/>
  <c r="CE520" i="65"/>
  <c r="CS520" i="65" s="1"/>
  <c r="CA520" i="65"/>
  <c r="CE526" i="65"/>
  <c r="CA526" i="65"/>
  <c r="CE531" i="65"/>
  <c r="CA531" i="65"/>
  <c r="CE461" i="65"/>
  <c r="CF461" i="65"/>
  <c r="CB461" i="65"/>
  <c r="CI461" i="65"/>
  <c r="CE333" i="65"/>
  <c r="CF333" i="65"/>
  <c r="CB333" i="65"/>
  <c r="CI333" i="65"/>
  <c r="CE237" i="65"/>
  <c r="CF237" i="65"/>
  <c r="CB237" i="65"/>
  <c r="CI237" i="65"/>
  <c r="CE151" i="65"/>
  <c r="CS151" i="65" s="1"/>
  <c r="CB151" i="65"/>
  <c r="CF151" i="65"/>
  <c r="CI151" i="65"/>
  <c r="CE16" i="65"/>
  <c r="CS16" i="65" s="1"/>
  <c r="CB16" i="65"/>
  <c r="CF16" i="65"/>
  <c r="CI16" i="65"/>
  <c r="CE492" i="65"/>
  <c r="CS492" i="65" s="1"/>
  <c r="CB492" i="65"/>
  <c r="CF492" i="65"/>
  <c r="CI492" i="65"/>
  <c r="CE428" i="65"/>
  <c r="CS428" i="65" s="1"/>
  <c r="CB428" i="65"/>
  <c r="CF428" i="65"/>
  <c r="CI428" i="65"/>
  <c r="CE364" i="65"/>
  <c r="CS364" i="65" s="1"/>
  <c r="CB364" i="65"/>
  <c r="CF364" i="65"/>
  <c r="CI364" i="65"/>
  <c r="CE278" i="65"/>
  <c r="CS278" i="65" s="1"/>
  <c r="CB278" i="65"/>
  <c r="CF278" i="65"/>
  <c r="CI278" i="65"/>
  <c r="CE171" i="65"/>
  <c r="CS171" i="65" s="1"/>
  <c r="CB171" i="65"/>
  <c r="CF171" i="65"/>
  <c r="CI171" i="65"/>
  <c r="CE480" i="65"/>
  <c r="CS480" i="65" s="1"/>
  <c r="CB480" i="65"/>
  <c r="CI480" i="65"/>
  <c r="CF480" i="65"/>
  <c r="CE416" i="65"/>
  <c r="CS416" i="65" s="1"/>
  <c r="CB416" i="65"/>
  <c r="CF416" i="65"/>
  <c r="CI416" i="65"/>
  <c r="CF373" i="65"/>
  <c r="CE373" i="65"/>
  <c r="CB373" i="65"/>
  <c r="CI373" i="65"/>
  <c r="CE309" i="65"/>
  <c r="CF309" i="65"/>
  <c r="CB309" i="65"/>
  <c r="CI309" i="65"/>
  <c r="CE231" i="65"/>
  <c r="CS231" i="65" s="1"/>
  <c r="CB231" i="65"/>
  <c r="CF231" i="65"/>
  <c r="CI231" i="65"/>
  <c r="CE103" i="65"/>
  <c r="CS103" i="65" s="1"/>
  <c r="CB103" i="65"/>
  <c r="CF103" i="65"/>
  <c r="CI103" i="65"/>
  <c r="CE466" i="65"/>
  <c r="CS466" i="65" s="1"/>
  <c r="CB466" i="65"/>
  <c r="CI466" i="65"/>
  <c r="CF466" i="65"/>
  <c r="CE338" i="65"/>
  <c r="CS338" i="65" s="1"/>
  <c r="CB338" i="65"/>
  <c r="CI338" i="65"/>
  <c r="CF338" i="65"/>
  <c r="CE478" i="65"/>
  <c r="CS478" i="65" s="1"/>
  <c r="CB478" i="65"/>
  <c r="CI478" i="65"/>
  <c r="CF478" i="65"/>
  <c r="CE436" i="65"/>
  <c r="CS436" i="65" s="1"/>
  <c r="CB436" i="65"/>
  <c r="CF436" i="65"/>
  <c r="CI436" i="65"/>
  <c r="CE393" i="65"/>
  <c r="CS393" i="65" s="1"/>
  <c r="CB393" i="65"/>
  <c r="CF393" i="65"/>
  <c r="CI393" i="65"/>
  <c r="CB329" i="65"/>
  <c r="CF329" i="65"/>
  <c r="CE329" i="65"/>
  <c r="CS329" i="65" s="1"/>
  <c r="CI329" i="65"/>
  <c r="CE286" i="65"/>
  <c r="CS286" i="65" s="1"/>
  <c r="CB286" i="65"/>
  <c r="CF286" i="65"/>
  <c r="CI286" i="65"/>
  <c r="CE230" i="65"/>
  <c r="CS230" i="65" s="1"/>
  <c r="CB230" i="65"/>
  <c r="CI230" i="65"/>
  <c r="CF230" i="65"/>
  <c r="CB145" i="65"/>
  <c r="CF145" i="65"/>
  <c r="CE145" i="65"/>
  <c r="CS145" i="65" s="1"/>
  <c r="CI145" i="65"/>
  <c r="CB59" i="65"/>
  <c r="CE59" i="65"/>
  <c r="CF59" i="65"/>
  <c r="CI59" i="65"/>
  <c r="CE495" i="65"/>
  <c r="CF495" i="65"/>
  <c r="CB495" i="65"/>
  <c r="CI495" i="65"/>
  <c r="CE463" i="65"/>
  <c r="CS463" i="65" s="1"/>
  <c r="CF463" i="65"/>
  <c r="CI463" i="65"/>
  <c r="CB463" i="65"/>
  <c r="CE431" i="65"/>
  <c r="CS431" i="65" s="1"/>
  <c r="CB431" i="65"/>
  <c r="CF431" i="65"/>
  <c r="CI431" i="65"/>
  <c r="CE399" i="65"/>
  <c r="CF399" i="65"/>
  <c r="CB399" i="65"/>
  <c r="CI399" i="65"/>
  <c r="CE367" i="65"/>
  <c r="CF367" i="65"/>
  <c r="CB367" i="65"/>
  <c r="CI367" i="65"/>
  <c r="CE335" i="65"/>
  <c r="CF335" i="65"/>
  <c r="CB335" i="65"/>
  <c r="CI335" i="65"/>
  <c r="CE303" i="65"/>
  <c r="CF303" i="65"/>
  <c r="CB303" i="65"/>
  <c r="CI303" i="65"/>
  <c r="CE271" i="65"/>
  <c r="CF271" i="65"/>
  <c r="CB271" i="65"/>
  <c r="CI271" i="65"/>
  <c r="CE239" i="65"/>
  <c r="CF239" i="65"/>
  <c r="CB239" i="65"/>
  <c r="CI239" i="65"/>
  <c r="CB197" i="65"/>
  <c r="CE197" i="65"/>
  <c r="CF197" i="65"/>
  <c r="CI197" i="65"/>
  <c r="CE133" i="65"/>
  <c r="CS133" i="65" s="1"/>
  <c r="CB133" i="65"/>
  <c r="CF133" i="65"/>
  <c r="CI133" i="65"/>
  <c r="CE90" i="65"/>
  <c r="CS90" i="65" s="1"/>
  <c r="CB90" i="65"/>
  <c r="CF90" i="65"/>
  <c r="CI90" i="65"/>
  <c r="CE69" i="65"/>
  <c r="CS69" i="65" s="1"/>
  <c r="CB69" i="65"/>
  <c r="CF69" i="65"/>
  <c r="CI69" i="65"/>
  <c r="CE266" i="65"/>
  <c r="CF266" i="65"/>
  <c r="CB266" i="65"/>
  <c r="CI266" i="65"/>
  <c r="CE233" i="65"/>
  <c r="CS233" i="65" s="1"/>
  <c r="CB233" i="65"/>
  <c r="CF233" i="65"/>
  <c r="CI233" i="65"/>
  <c r="CE190" i="65"/>
  <c r="CS190" i="65" s="1"/>
  <c r="CB190" i="65"/>
  <c r="CI190" i="65"/>
  <c r="CF190" i="65"/>
  <c r="CE147" i="65"/>
  <c r="CS147" i="65" s="1"/>
  <c r="CB147" i="65"/>
  <c r="CI147" i="65"/>
  <c r="CF147" i="65"/>
  <c r="CE105" i="65"/>
  <c r="CS105" i="65" s="1"/>
  <c r="CB105" i="65"/>
  <c r="CF105" i="65"/>
  <c r="CI105" i="65"/>
  <c r="CE62" i="65"/>
  <c r="CS62" i="65" s="1"/>
  <c r="CB62" i="65"/>
  <c r="CF62" i="65"/>
  <c r="CI62" i="65"/>
  <c r="CE232" i="65"/>
  <c r="CS232" i="65" s="1"/>
  <c r="CB232" i="65"/>
  <c r="CI232" i="65"/>
  <c r="CF232" i="65"/>
  <c r="CE200" i="65"/>
  <c r="CS200" i="65" s="1"/>
  <c r="CB200" i="65"/>
  <c r="CF200" i="65"/>
  <c r="CI200" i="65"/>
  <c r="CE168" i="65"/>
  <c r="CS168" i="65" s="1"/>
  <c r="CB168" i="65"/>
  <c r="CI168" i="65"/>
  <c r="CF168" i="65"/>
  <c r="CE136" i="65"/>
  <c r="CS136" i="65" s="1"/>
  <c r="CB136" i="65"/>
  <c r="CF136" i="65"/>
  <c r="CI136" i="65"/>
  <c r="CE104" i="65"/>
  <c r="CS104" i="65" s="1"/>
  <c r="CB104" i="65"/>
  <c r="CF104" i="65"/>
  <c r="CI104" i="65"/>
  <c r="CE72" i="65"/>
  <c r="CS72" i="65" s="1"/>
  <c r="CB72" i="65"/>
  <c r="CF72" i="65"/>
  <c r="CI72" i="65"/>
  <c r="CE40" i="65"/>
  <c r="CS40" i="65" s="1"/>
  <c r="CB40" i="65"/>
  <c r="CF40" i="65"/>
  <c r="CI40" i="65"/>
  <c r="CE31" i="65"/>
  <c r="CS31" i="65" s="1"/>
  <c r="CB31" i="65"/>
  <c r="CF31" i="65"/>
  <c r="CI31" i="65"/>
  <c r="CF493" i="65"/>
  <c r="CE493" i="65"/>
  <c r="CB493" i="65"/>
  <c r="CI493" i="65"/>
  <c r="CB450" i="65"/>
  <c r="CE450" i="65"/>
  <c r="CI450" i="65"/>
  <c r="CF450" i="65"/>
  <c r="CE408" i="65"/>
  <c r="CS408" i="65" s="1"/>
  <c r="CB408" i="65"/>
  <c r="CI408" i="65"/>
  <c r="CF408" i="65"/>
  <c r="CF365" i="65"/>
  <c r="CE365" i="65"/>
  <c r="CB365" i="65"/>
  <c r="CI365" i="65"/>
  <c r="CE322" i="65"/>
  <c r="CS322" i="65" s="1"/>
  <c r="CB322" i="65"/>
  <c r="CI322" i="65"/>
  <c r="CF322" i="65"/>
  <c r="CE290" i="65"/>
  <c r="CS290" i="65" s="1"/>
  <c r="CB290" i="65"/>
  <c r="CF290" i="65"/>
  <c r="CI290" i="65"/>
  <c r="CE261" i="65"/>
  <c r="CF261" i="65"/>
  <c r="CB261" i="65"/>
  <c r="CI261" i="65"/>
  <c r="CE226" i="65"/>
  <c r="CS226" i="65" s="1"/>
  <c r="CB226" i="65"/>
  <c r="CF226" i="65"/>
  <c r="CI226" i="65"/>
  <c r="CE183" i="65"/>
  <c r="CS183" i="65" s="1"/>
  <c r="CB183" i="65"/>
  <c r="CF183" i="65"/>
  <c r="CI183" i="65"/>
  <c r="CE141" i="65"/>
  <c r="CF141" i="65"/>
  <c r="CB141" i="65"/>
  <c r="CI141" i="65"/>
  <c r="CE98" i="65"/>
  <c r="CS98" i="65" s="1"/>
  <c r="CB98" i="65"/>
  <c r="CF98" i="65"/>
  <c r="CI98" i="65"/>
  <c r="CE55" i="65"/>
  <c r="CS55" i="65" s="1"/>
  <c r="CB55" i="65"/>
  <c r="CF55" i="65"/>
  <c r="CI55" i="65"/>
  <c r="CE10" i="65"/>
  <c r="CS10" i="65" s="1"/>
  <c r="CB10" i="65"/>
  <c r="CF10" i="65"/>
  <c r="CI10" i="65"/>
  <c r="CE508" i="65"/>
  <c r="CS508" i="65" s="1"/>
  <c r="CB508" i="65"/>
  <c r="CF508" i="65"/>
  <c r="CI508" i="65"/>
  <c r="CB486" i="65"/>
  <c r="CE486" i="65"/>
  <c r="CF486" i="65"/>
  <c r="CI486" i="65"/>
  <c r="CF465" i="65"/>
  <c r="CB465" i="65"/>
  <c r="CE465" i="65"/>
  <c r="CS465" i="65" s="1"/>
  <c r="CI465" i="65"/>
  <c r="CE444" i="65"/>
  <c r="CS444" i="65" s="1"/>
  <c r="CB444" i="65"/>
  <c r="CF444" i="65"/>
  <c r="CI444" i="65"/>
  <c r="CB422" i="65"/>
  <c r="CE422" i="65"/>
  <c r="CI422" i="65"/>
  <c r="CF422" i="65"/>
  <c r="CB401" i="65"/>
  <c r="CF401" i="65"/>
  <c r="CE401" i="65"/>
  <c r="CS401" i="65" s="1"/>
  <c r="CI401" i="65"/>
  <c r="CE380" i="65"/>
  <c r="CS380" i="65" s="1"/>
  <c r="CB380" i="65"/>
  <c r="CF380" i="65"/>
  <c r="CI380" i="65"/>
  <c r="CB358" i="65"/>
  <c r="CE358" i="65"/>
  <c r="CF358" i="65"/>
  <c r="CI358" i="65"/>
  <c r="CE337" i="65"/>
  <c r="CS337" i="65" s="1"/>
  <c r="CB337" i="65"/>
  <c r="CF337" i="65"/>
  <c r="CI337" i="65"/>
  <c r="CE316" i="65"/>
  <c r="CS316" i="65" s="1"/>
  <c r="CB316" i="65"/>
  <c r="CF316" i="65"/>
  <c r="CI316" i="65"/>
  <c r="CE294" i="65"/>
  <c r="CS294" i="65" s="1"/>
  <c r="CB294" i="65"/>
  <c r="CI294" i="65"/>
  <c r="CF294" i="65"/>
  <c r="CB273" i="65"/>
  <c r="CF273" i="65"/>
  <c r="CE273" i="65"/>
  <c r="CS273" i="65" s="1"/>
  <c r="CI273" i="65"/>
  <c r="CE244" i="65"/>
  <c r="CS244" i="65" s="1"/>
  <c r="CB244" i="65"/>
  <c r="CF244" i="65"/>
  <c r="CI244" i="65"/>
  <c r="CE203" i="65"/>
  <c r="CS203" i="65" s="1"/>
  <c r="CB203" i="65"/>
  <c r="CF203" i="65"/>
  <c r="CI203" i="65"/>
  <c r="CE161" i="65"/>
  <c r="CS161" i="65" s="1"/>
  <c r="CB161" i="65"/>
  <c r="CF161" i="65"/>
  <c r="CI161" i="65"/>
  <c r="CE118" i="65"/>
  <c r="CS118" i="65" s="1"/>
  <c r="CB118" i="65"/>
  <c r="CF118" i="65"/>
  <c r="CI118" i="65"/>
  <c r="CE75" i="65"/>
  <c r="CS75" i="65" s="1"/>
  <c r="CB75" i="65"/>
  <c r="CF75" i="65"/>
  <c r="CI75" i="65"/>
  <c r="CE29" i="65"/>
  <c r="CF29" i="65"/>
  <c r="CB29" i="65"/>
  <c r="CI29" i="65"/>
  <c r="CE517" i="65"/>
  <c r="CS517" i="65" s="1"/>
  <c r="CB517" i="65"/>
  <c r="CF517" i="65"/>
  <c r="CI517" i="65"/>
  <c r="CE496" i="65"/>
  <c r="CS496" i="65" s="1"/>
  <c r="CB496" i="65"/>
  <c r="CF496" i="65"/>
  <c r="CI496" i="65"/>
  <c r="CE474" i="65"/>
  <c r="CS474" i="65" s="1"/>
  <c r="CB474" i="65"/>
  <c r="CF474" i="65"/>
  <c r="CI474" i="65"/>
  <c r="CE453" i="65"/>
  <c r="CF453" i="65"/>
  <c r="CB453" i="65"/>
  <c r="CI453" i="65"/>
  <c r="CE432" i="65"/>
  <c r="CS432" i="65" s="1"/>
  <c r="CB432" i="65"/>
  <c r="CF432" i="65"/>
  <c r="CI432" i="65"/>
  <c r="CE410" i="65"/>
  <c r="CS410" i="65" s="1"/>
  <c r="CB410" i="65"/>
  <c r="CF410" i="65"/>
  <c r="CI410" i="65"/>
  <c r="CE389" i="65"/>
  <c r="CF389" i="65"/>
  <c r="CB389" i="65"/>
  <c r="CI389" i="65"/>
  <c r="CE368" i="65"/>
  <c r="CS368" i="65" s="1"/>
  <c r="CB368" i="65"/>
  <c r="CF368" i="65"/>
  <c r="CI368" i="65"/>
  <c r="CE346" i="65"/>
  <c r="CF346" i="65"/>
  <c r="CB346" i="65"/>
  <c r="CI346" i="65"/>
  <c r="CE325" i="65"/>
  <c r="CF325" i="65"/>
  <c r="CB325" i="65"/>
  <c r="CI325" i="65"/>
  <c r="CE304" i="65"/>
  <c r="CS304" i="65" s="1"/>
  <c r="CB304" i="65"/>
  <c r="CF304" i="65"/>
  <c r="CI304" i="65"/>
  <c r="CE282" i="65"/>
  <c r="CF282" i="65"/>
  <c r="CB282" i="65"/>
  <c r="CI282" i="65"/>
  <c r="CB257" i="65"/>
  <c r="CF257" i="65"/>
  <c r="CE257" i="65"/>
  <c r="CS257" i="65" s="1"/>
  <c r="CI257" i="65"/>
  <c r="CE221" i="65"/>
  <c r="CF221" i="65"/>
  <c r="CB221" i="65"/>
  <c r="CI221" i="65"/>
  <c r="CE178" i="65"/>
  <c r="CS178" i="65" s="1"/>
  <c r="CF178" i="65"/>
  <c r="CI178" i="65"/>
  <c r="CB178" i="65"/>
  <c r="CE135" i="65"/>
  <c r="CF135" i="65"/>
  <c r="CB135" i="65"/>
  <c r="CI135" i="65"/>
  <c r="CE93" i="65"/>
  <c r="CF93" i="65"/>
  <c r="CB93" i="65"/>
  <c r="CI93" i="65"/>
  <c r="CE50" i="65"/>
  <c r="CF50" i="65"/>
  <c r="CB50" i="65"/>
  <c r="CI50" i="65"/>
  <c r="CE498" i="65"/>
  <c r="CS498" i="65" s="1"/>
  <c r="CB498" i="65"/>
  <c r="CF498" i="65"/>
  <c r="CI498" i="65"/>
  <c r="CE456" i="65"/>
  <c r="CS456" i="65" s="1"/>
  <c r="CB456" i="65"/>
  <c r="CF456" i="65"/>
  <c r="CI456" i="65"/>
  <c r="CE413" i="65"/>
  <c r="CF413" i="65"/>
  <c r="CB413" i="65"/>
  <c r="CI413" i="65"/>
  <c r="CE370" i="65"/>
  <c r="CS370" i="65" s="1"/>
  <c r="CB370" i="65"/>
  <c r="CF370" i="65"/>
  <c r="CI370" i="65"/>
  <c r="CE328" i="65"/>
  <c r="CS328" i="65" s="1"/>
  <c r="CB328" i="65"/>
  <c r="CF328" i="65"/>
  <c r="CI328" i="65"/>
  <c r="CE5" i="65"/>
  <c r="CS5" i="65" s="1"/>
  <c r="CB5" i="65"/>
  <c r="CI5" i="65"/>
  <c r="CF5" i="65"/>
  <c r="CE516" i="65"/>
  <c r="CF516" i="65"/>
  <c r="CB516" i="65"/>
  <c r="CI516" i="65"/>
  <c r="CE494" i="65"/>
  <c r="CS494" i="65" s="1"/>
  <c r="CB494" i="65"/>
  <c r="CI494" i="65"/>
  <c r="CF494" i="65"/>
  <c r="CE473" i="65"/>
  <c r="CF473" i="65"/>
  <c r="CB473" i="65"/>
  <c r="CI473" i="65"/>
  <c r="CE452" i="65"/>
  <c r="CF452" i="65"/>
  <c r="CB452" i="65"/>
  <c r="CI452" i="65"/>
  <c r="CE430" i="65"/>
  <c r="CS430" i="65" s="1"/>
  <c r="CB430" i="65"/>
  <c r="CI430" i="65"/>
  <c r="CF430" i="65"/>
  <c r="CE409" i="65"/>
  <c r="CF409" i="65"/>
  <c r="CB409" i="65"/>
  <c r="CI409" i="65"/>
  <c r="CE388" i="65"/>
  <c r="CS388" i="65" s="1"/>
  <c r="CB388" i="65"/>
  <c r="CF388" i="65"/>
  <c r="CI388" i="65"/>
  <c r="CE366" i="65"/>
  <c r="CS366" i="65" s="1"/>
  <c r="CB366" i="65"/>
  <c r="CI366" i="65"/>
  <c r="CF366" i="65"/>
  <c r="CE345" i="65"/>
  <c r="CS345" i="65" s="1"/>
  <c r="CB345" i="65"/>
  <c r="CF345" i="65"/>
  <c r="CI345" i="65"/>
  <c r="CE324" i="65"/>
  <c r="CS324" i="65" s="1"/>
  <c r="CB324" i="65"/>
  <c r="CF324" i="65"/>
  <c r="CI324" i="65"/>
  <c r="CE302" i="65"/>
  <c r="CS302" i="65" s="1"/>
  <c r="CB302" i="65"/>
  <c r="CI302" i="65"/>
  <c r="CF302" i="65"/>
  <c r="CE281" i="65"/>
  <c r="CS281" i="65" s="1"/>
  <c r="CB281" i="65"/>
  <c r="CF281" i="65"/>
  <c r="CI281" i="65"/>
  <c r="CE256" i="65"/>
  <c r="CS256" i="65" s="1"/>
  <c r="CB256" i="65"/>
  <c r="CF256" i="65"/>
  <c r="CI256" i="65"/>
  <c r="CE219" i="65"/>
  <c r="CS219" i="65" s="1"/>
  <c r="CB219" i="65"/>
  <c r="CF219" i="65"/>
  <c r="CI219" i="65"/>
  <c r="CE177" i="65"/>
  <c r="CS177" i="65" s="1"/>
  <c r="CB177" i="65"/>
  <c r="CF177" i="65"/>
  <c r="CI177" i="65"/>
  <c r="CE134" i="65"/>
  <c r="CS134" i="65" s="1"/>
  <c r="CB134" i="65"/>
  <c r="CF134" i="65"/>
  <c r="CI134" i="65"/>
  <c r="CE91" i="65"/>
  <c r="CS91" i="65" s="1"/>
  <c r="CB91" i="65"/>
  <c r="CF91" i="65"/>
  <c r="CI91" i="65"/>
  <c r="CE49" i="65"/>
  <c r="CS49" i="65" s="1"/>
  <c r="CB49" i="65"/>
  <c r="CF49" i="65"/>
  <c r="CI49" i="65"/>
  <c r="CE15" i="65"/>
  <c r="CS15" i="65" s="1"/>
  <c r="CB15" i="65"/>
  <c r="CF15" i="65"/>
  <c r="CI15" i="65"/>
  <c r="CE507" i="65"/>
  <c r="CB507" i="65"/>
  <c r="CI507" i="65"/>
  <c r="CF507" i="65"/>
  <c r="CE491" i="65"/>
  <c r="CS491" i="65" s="1"/>
  <c r="CB491" i="65"/>
  <c r="CF491" i="65"/>
  <c r="CI491" i="65"/>
  <c r="CE475" i="65"/>
  <c r="CS475" i="65" s="1"/>
  <c r="CB475" i="65"/>
  <c r="CF475" i="65"/>
  <c r="CI475" i="65"/>
  <c r="CE459" i="65"/>
  <c r="CB459" i="65"/>
  <c r="CF459" i="65"/>
  <c r="CI459" i="65"/>
  <c r="CB443" i="65"/>
  <c r="CF443" i="65"/>
  <c r="CI443" i="65"/>
  <c r="CE443" i="65"/>
  <c r="CE427" i="65"/>
  <c r="CB427" i="65"/>
  <c r="CF427" i="65"/>
  <c r="CI427" i="65"/>
  <c r="CE411" i="65"/>
  <c r="CB411" i="65"/>
  <c r="CF411" i="65"/>
  <c r="CI411" i="65"/>
  <c r="CE395" i="65"/>
  <c r="CB395" i="65"/>
  <c r="CI395" i="65"/>
  <c r="CF395" i="65"/>
  <c r="CB379" i="65"/>
  <c r="CE379" i="65"/>
  <c r="CI379" i="65"/>
  <c r="CF379" i="65"/>
  <c r="CE363" i="65"/>
  <c r="CB363" i="65"/>
  <c r="CF363" i="65"/>
  <c r="CI363" i="65"/>
  <c r="CE347" i="65"/>
  <c r="CB347" i="65"/>
  <c r="CF347" i="65"/>
  <c r="CI347" i="65"/>
  <c r="CE331" i="65"/>
  <c r="CB331" i="65"/>
  <c r="CF331" i="65"/>
  <c r="CI331" i="65"/>
  <c r="CB315" i="65"/>
  <c r="CF315" i="65"/>
  <c r="CE315" i="65"/>
  <c r="CS315" i="65" s="1"/>
  <c r="CI315" i="65"/>
  <c r="CB299" i="65"/>
  <c r="CE299" i="65"/>
  <c r="CF299" i="65"/>
  <c r="CI299" i="65"/>
  <c r="CE283" i="65"/>
  <c r="CB283" i="65"/>
  <c r="CF283" i="65"/>
  <c r="CI283" i="65"/>
  <c r="CE267" i="65"/>
  <c r="CB267" i="65"/>
  <c r="CI267" i="65"/>
  <c r="CF267" i="65"/>
  <c r="CE251" i="65"/>
  <c r="CB251" i="65"/>
  <c r="CI251" i="65"/>
  <c r="CF251" i="65"/>
  <c r="CE234" i="65"/>
  <c r="CS234" i="65" s="1"/>
  <c r="CF234" i="65"/>
  <c r="CI234" i="65"/>
  <c r="CB234" i="65"/>
  <c r="CF213" i="65"/>
  <c r="CE213" i="65"/>
  <c r="CB213" i="65"/>
  <c r="CI213" i="65"/>
  <c r="CE191" i="65"/>
  <c r="CB191" i="65"/>
  <c r="CF191" i="65"/>
  <c r="CI191" i="65"/>
  <c r="CE170" i="65"/>
  <c r="CB170" i="65"/>
  <c r="CF170" i="65"/>
  <c r="CI170" i="65"/>
  <c r="CE149" i="65"/>
  <c r="CB149" i="65"/>
  <c r="CF149" i="65"/>
  <c r="CI149" i="65"/>
  <c r="CE127" i="65"/>
  <c r="CB127" i="65"/>
  <c r="CF127" i="65"/>
  <c r="CI127" i="65"/>
  <c r="CE106" i="65"/>
  <c r="CB106" i="65"/>
  <c r="CF106" i="65"/>
  <c r="CI106" i="65"/>
  <c r="CE85" i="65"/>
  <c r="CB85" i="65"/>
  <c r="CF85" i="65"/>
  <c r="CI85" i="65"/>
  <c r="CE63" i="65"/>
  <c r="CB63" i="65"/>
  <c r="CF63" i="65"/>
  <c r="CI63" i="65"/>
  <c r="CE42" i="65"/>
  <c r="CB42" i="65"/>
  <c r="CF42" i="65"/>
  <c r="CI42" i="65"/>
  <c r="CE262" i="65"/>
  <c r="CB262" i="65"/>
  <c r="CF262" i="65"/>
  <c r="CI262" i="65"/>
  <c r="CE246" i="65"/>
  <c r="CB246" i="65"/>
  <c r="CF246" i="65"/>
  <c r="CI246" i="65"/>
  <c r="CE227" i="65"/>
  <c r="CB227" i="65"/>
  <c r="CF227" i="65"/>
  <c r="CI227" i="65"/>
  <c r="CE206" i="65"/>
  <c r="CB206" i="65"/>
  <c r="CF206" i="65"/>
  <c r="CI206" i="65"/>
  <c r="CE185" i="65"/>
  <c r="CB185" i="65"/>
  <c r="CF185" i="65"/>
  <c r="CI185" i="65"/>
  <c r="CE163" i="65"/>
  <c r="CB163" i="65"/>
  <c r="CF163" i="65"/>
  <c r="CI163" i="65"/>
  <c r="CE142" i="65"/>
  <c r="CB142" i="65"/>
  <c r="CF142" i="65"/>
  <c r="CI142" i="65"/>
  <c r="CE121" i="65"/>
  <c r="CB121" i="65"/>
  <c r="CF121" i="65"/>
  <c r="CI121" i="65"/>
  <c r="CE99" i="65"/>
  <c r="CB99" i="65"/>
  <c r="CF99" i="65"/>
  <c r="CI99" i="65"/>
  <c r="CE78" i="65"/>
  <c r="CB78" i="65"/>
  <c r="CI78" i="65"/>
  <c r="CF78" i="65"/>
  <c r="CE57" i="65"/>
  <c r="CB57" i="65"/>
  <c r="CF57" i="65"/>
  <c r="CI57" i="65"/>
  <c r="CE33" i="65"/>
  <c r="CB33" i="65"/>
  <c r="CF33" i="65"/>
  <c r="CI33" i="65"/>
  <c r="CE228" i="65"/>
  <c r="CB228" i="65"/>
  <c r="CF228" i="65"/>
  <c r="CI228" i="65"/>
  <c r="CE212" i="65"/>
  <c r="CB212" i="65"/>
  <c r="CF212" i="65"/>
  <c r="CI212" i="65"/>
  <c r="CE196" i="65"/>
  <c r="CB196" i="65"/>
  <c r="CF196" i="65"/>
  <c r="CI196" i="65"/>
  <c r="CE180" i="65"/>
  <c r="CB180" i="65"/>
  <c r="CF180" i="65"/>
  <c r="CI180" i="65"/>
  <c r="CE164" i="65"/>
  <c r="CB164" i="65"/>
  <c r="CF164" i="65"/>
  <c r="CI164" i="65"/>
  <c r="CE148" i="65"/>
  <c r="CB148" i="65"/>
  <c r="CF148" i="65"/>
  <c r="CI148" i="65"/>
  <c r="CE132" i="65"/>
  <c r="CB132" i="65"/>
  <c r="CF132" i="65"/>
  <c r="CI132" i="65"/>
  <c r="CE116" i="65"/>
  <c r="CB116" i="65"/>
  <c r="CF116" i="65"/>
  <c r="CI116" i="65"/>
  <c r="CE100" i="65"/>
  <c r="CB100" i="65"/>
  <c r="CF100" i="65"/>
  <c r="CI100" i="65"/>
  <c r="CE84" i="65"/>
  <c r="CB84" i="65"/>
  <c r="CF84" i="65"/>
  <c r="CI84" i="65"/>
  <c r="CE68" i="65"/>
  <c r="CB68" i="65"/>
  <c r="CF68" i="65"/>
  <c r="CI68" i="65"/>
  <c r="CE52" i="65"/>
  <c r="CB52" i="65"/>
  <c r="CF52" i="65"/>
  <c r="CI52" i="65"/>
  <c r="CE36" i="65"/>
  <c r="CB36" i="65"/>
  <c r="CF36" i="65"/>
  <c r="CI36" i="65"/>
  <c r="CE20" i="65"/>
  <c r="CB20" i="65"/>
  <c r="CF20" i="65"/>
  <c r="CI20" i="65"/>
  <c r="CE27" i="65"/>
  <c r="CB27" i="65"/>
  <c r="CF27" i="65"/>
  <c r="CI27" i="65"/>
  <c r="CE504" i="65"/>
  <c r="CB504" i="65"/>
  <c r="CF504" i="65"/>
  <c r="CI504" i="65"/>
  <c r="CE376" i="65"/>
  <c r="CB376" i="65"/>
  <c r="CF376" i="65"/>
  <c r="CI376" i="65"/>
  <c r="CE269" i="65"/>
  <c r="CF269" i="65"/>
  <c r="CB269" i="65"/>
  <c r="CI269" i="65"/>
  <c r="CE109" i="65"/>
  <c r="CF109" i="65"/>
  <c r="CB109" i="65"/>
  <c r="CI109" i="65"/>
  <c r="CE470" i="65"/>
  <c r="CB470" i="65"/>
  <c r="CF470" i="65"/>
  <c r="CI470" i="65"/>
  <c r="CE406" i="65"/>
  <c r="CB406" i="65"/>
  <c r="CF406" i="65"/>
  <c r="CI406" i="65"/>
  <c r="CE342" i="65"/>
  <c r="CB342" i="65"/>
  <c r="CF342" i="65"/>
  <c r="CI342" i="65"/>
  <c r="CE300" i="65"/>
  <c r="CB300" i="65"/>
  <c r="CF300" i="65"/>
  <c r="CI300" i="65"/>
  <c r="CE214" i="65"/>
  <c r="CB214" i="65"/>
  <c r="CF214" i="65"/>
  <c r="CI214" i="65"/>
  <c r="CE129" i="65"/>
  <c r="CB129" i="65"/>
  <c r="CF129" i="65"/>
  <c r="CI129" i="65"/>
  <c r="CE43" i="65"/>
  <c r="CB43" i="65"/>
  <c r="CF43" i="65"/>
  <c r="CI43" i="65"/>
  <c r="CF501" i="65"/>
  <c r="CB501" i="65"/>
  <c r="CE501" i="65"/>
  <c r="CS501" i="65" s="1"/>
  <c r="CI501" i="65"/>
  <c r="CF437" i="65"/>
  <c r="CE437" i="65"/>
  <c r="CB437" i="65"/>
  <c r="CI437" i="65"/>
  <c r="CE352" i="65"/>
  <c r="CB352" i="65"/>
  <c r="CI352" i="65"/>
  <c r="CF352" i="65"/>
  <c r="CE288" i="65"/>
  <c r="CB288" i="65"/>
  <c r="CF288" i="65"/>
  <c r="CI288" i="65"/>
  <c r="CE189" i="65"/>
  <c r="CF189" i="65"/>
  <c r="CB189" i="65"/>
  <c r="CI189" i="65"/>
  <c r="CE61" i="65"/>
  <c r="CF61" i="65"/>
  <c r="CB61" i="65"/>
  <c r="CI61" i="65"/>
  <c r="CE509" i="65"/>
  <c r="CF509" i="65"/>
  <c r="CB509" i="65"/>
  <c r="CI509" i="65"/>
  <c r="CE381" i="65"/>
  <c r="CF381" i="65"/>
  <c r="CB381" i="65"/>
  <c r="CI381" i="65"/>
  <c r="CF285" i="65"/>
  <c r="CE285" i="65"/>
  <c r="CB285" i="65"/>
  <c r="CI285" i="65"/>
  <c r="CE500" i="65"/>
  <c r="CF500" i="65"/>
  <c r="CB500" i="65"/>
  <c r="CI500" i="65"/>
  <c r="CE457" i="65"/>
  <c r="CF457" i="65"/>
  <c r="CB457" i="65"/>
  <c r="CI457" i="65"/>
  <c r="CE414" i="65"/>
  <c r="CB414" i="65"/>
  <c r="CF414" i="65"/>
  <c r="CI414" i="65"/>
  <c r="CE372" i="65"/>
  <c r="CB372" i="65"/>
  <c r="CF372" i="65"/>
  <c r="CI372" i="65"/>
  <c r="CE350" i="65"/>
  <c r="CB350" i="65"/>
  <c r="CI350" i="65"/>
  <c r="CF350" i="65"/>
  <c r="CE308" i="65"/>
  <c r="CB308" i="65"/>
  <c r="CF308" i="65"/>
  <c r="CI308" i="65"/>
  <c r="CE264" i="65"/>
  <c r="CB264" i="65"/>
  <c r="CF264" i="65"/>
  <c r="CI264" i="65"/>
  <c r="CB187" i="65"/>
  <c r="CE187" i="65"/>
  <c r="CS187" i="65" s="1"/>
  <c r="CI187" i="65"/>
  <c r="CF187" i="65"/>
  <c r="CE102" i="65"/>
  <c r="CB102" i="65"/>
  <c r="CF102" i="65"/>
  <c r="CI102" i="65"/>
  <c r="CE18" i="65"/>
  <c r="CB18" i="65"/>
  <c r="CF18" i="65"/>
  <c r="CI18" i="65"/>
  <c r="CE511" i="65"/>
  <c r="CF511" i="65"/>
  <c r="CB511" i="65"/>
  <c r="CI511" i="65"/>
  <c r="CE479" i="65"/>
  <c r="CF479" i="65"/>
  <c r="CB479" i="65"/>
  <c r="CI479" i="65"/>
  <c r="CE447" i="65"/>
  <c r="CB447" i="65"/>
  <c r="CF447" i="65"/>
  <c r="CI447" i="65"/>
  <c r="CB415" i="65"/>
  <c r="CF415" i="65"/>
  <c r="CI415" i="65"/>
  <c r="CE415" i="65"/>
  <c r="CE383" i="65"/>
  <c r="CF383" i="65"/>
  <c r="CB383" i="65"/>
  <c r="CI383" i="65"/>
  <c r="CF351" i="65"/>
  <c r="CE351" i="65"/>
  <c r="CB351" i="65"/>
  <c r="CI351" i="65"/>
  <c r="CE319" i="65"/>
  <c r="CS319" i="65" s="1"/>
  <c r="CF319" i="65"/>
  <c r="CI319" i="65"/>
  <c r="CB319" i="65"/>
  <c r="CE287" i="65"/>
  <c r="CF287" i="65"/>
  <c r="CB287" i="65"/>
  <c r="CI287" i="65"/>
  <c r="CE255" i="65"/>
  <c r="CF255" i="65"/>
  <c r="CB255" i="65"/>
  <c r="CI255" i="65"/>
  <c r="CE218" i="65"/>
  <c r="CF218" i="65"/>
  <c r="CB218" i="65"/>
  <c r="CI218" i="65"/>
  <c r="CE175" i="65"/>
  <c r="CB175" i="65"/>
  <c r="CF175" i="65"/>
  <c r="CI175" i="65"/>
  <c r="CE154" i="65"/>
  <c r="CB154" i="65"/>
  <c r="CF154" i="65"/>
  <c r="CI154" i="65"/>
  <c r="CE111" i="65"/>
  <c r="CB111" i="65"/>
  <c r="CF111" i="65"/>
  <c r="CI111" i="65"/>
  <c r="CE47" i="65"/>
  <c r="CB47" i="65"/>
  <c r="CF47" i="65"/>
  <c r="CI47" i="65"/>
  <c r="CE250" i="65"/>
  <c r="CF250" i="65"/>
  <c r="CB250" i="65"/>
  <c r="CI250" i="65"/>
  <c r="CB211" i="65"/>
  <c r="CE211" i="65"/>
  <c r="CS211" i="65" s="1"/>
  <c r="CI211" i="65"/>
  <c r="CF211" i="65"/>
  <c r="CE169" i="65"/>
  <c r="CB169" i="65"/>
  <c r="CF169" i="65"/>
  <c r="CI169" i="65"/>
  <c r="CE126" i="65"/>
  <c r="CB126" i="65"/>
  <c r="CF126" i="65"/>
  <c r="CI126" i="65"/>
  <c r="CE83" i="65"/>
  <c r="CB83" i="65"/>
  <c r="CF83" i="65"/>
  <c r="CI83" i="65"/>
  <c r="CE41" i="65"/>
  <c r="CB41" i="65"/>
  <c r="CF41" i="65"/>
  <c r="CI41" i="65"/>
  <c r="CE216" i="65"/>
  <c r="CB216" i="65"/>
  <c r="CF216" i="65"/>
  <c r="CI216" i="65"/>
  <c r="CE184" i="65"/>
  <c r="CB184" i="65"/>
  <c r="CF184" i="65"/>
  <c r="CI184" i="65"/>
  <c r="CE152" i="65"/>
  <c r="CB152" i="65"/>
  <c r="CF152" i="65"/>
  <c r="CI152" i="65"/>
  <c r="CE120" i="65"/>
  <c r="CB120" i="65"/>
  <c r="CF120" i="65"/>
  <c r="CI120" i="65"/>
  <c r="CE88" i="65"/>
  <c r="CB88" i="65"/>
  <c r="CF88" i="65"/>
  <c r="CI88" i="65"/>
  <c r="CE56" i="65"/>
  <c r="CB56" i="65"/>
  <c r="CF56" i="65"/>
  <c r="CI56" i="65"/>
  <c r="CE24" i="65"/>
  <c r="CB24" i="65"/>
  <c r="CF24" i="65"/>
  <c r="CI24" i="65"/>
  <c r="CE482" i="65"/>
  <c r="CB482" i="65"/>
  <c r="CF482" i="65"/>
  <c r="CI482" i="65"/>
  <c r="CE440" i="65"/>
  <c r="CB440" i="65"/>
  <c r="CF440" i="65"/>
  <c r="CI440" i="65"/>
  <c r="CE397" i="65"/>
  <c r="CF397" i="65"/>
  <c r="CB397" i="65"/>
  <c r="CI397" i="65"/>
  <c r="CE354" i="65"/>
  <c r="CB354" i="65"/>
  <c r="CF354" i="65"/>
  <c r="CI354" i="65"/>
  <c r="CE312" i="65"/>
  <c r="CB312" i="65"/>
  <c r="CF312" i="65"/>
  <c r="CI312" i="65"/>
  <c r="CE280" i="65"/>
  <c r="CB280" i="65"/>
  <c r="CF280" i="65"/>
  <c r="CI280" i="65"/>
  <c r="CE253" i="65"/>
  <c r="CF253" i="65"/>
  <c r="CB253" i="65"/>
  <c r="CI253" i="65"/>
  <c r="CE215" i="65"/>
  <c r="CB215" i="65"/>
  <c r="CF215" i="65"/>
  <c r="CI215" i="65"/>
  <c r="CE173" i="65"/>
  <c r="CF173" i="65"/>
  <c r="CB173" i="65"/>
  <c r="CI173" i="65"/>
  <c r="CE130" i="65"/>
  <c r="CB130" i="65"/>
  <c r="CF130" i="65"/>
  <c r="CI130" i="65"/>
  <c r="CE87" i="65"/>
  <c r="CB87" i="65"/>
  <c r="CF87" i="65"/>
  <c r="CI87" i="65"/>
  <c r="CE45" i="65"/>
  <c r="CF45" i="65"/>
  <c r="CB45" i="65"/>
  <c r="CI45" i="65"/>
  <c r="CE502" i="65"/>
  <c r="CB502" i="65"/>
  <c r="CI502" i="65"/>
  <c r="CF502" i="65"/>
  <c r="CE481" i="65"/>
  <c r="CF481" i="65"/>
  <c r="CB481" i="65"/>
  <c r="CI481" i="65"/>
  <c r="CE460" i="65"/>
  <c r="CB460" i="65"/>
  <c r="CF460" i="65"/>
  <c r="CI460" i="65"/>
  <c r="CE438" i="65"/>
  <c r="CB438" i="65"/>
  <c r="CI438" i="65"/>
  <c r="CF438" i="65"/>
  <c r="CE417" i="65"/>
  <c r="CF417" i="65"/>
  <c r="CB417" i="65"/>
  <c r="CI417" i="65"/>
  <c r="CE396" i="65"/>
  <c r="CB396" i="65"/>
  <c r="CF396" i="65"/>
  <c r="CI396" i="65"/>
  <c r="CE374" i="65"/>
  <c r="CB374" i="65"/>
  <c r="CI374" i="65"/>
  <c r="CF374" i="65"/>
  <c r="CE353" i="65"/>
  <c r="CB353" i="65"/>
  <c r="CF353" i="65"/>
  <c r="CI353" i="65"/>
  <c r="CE332" i="65"/>
  <c r="CB332" i="65"/>
  <c r="CF332" i="65"/>
  <c r="CI332" i="65"/>
  <c r="CE310" i="65"/>
  <c r="CB310" i="65"/>
  <c r="CI310" i="65"/>
  <c r="CF310" i="65"/>
  <c r="CE289" i="65"/>
  <c r="CB289" i="65"/>
  <c r="CF289" i="65"/>
  <c r="CI289" i="65"/>
  <c r="CE268" i="65"/>
  <c r="CB268" i="65"/>
  <c r="CF268" i="65"/>
  <c r="CI268" i="65"/>
  <c r="CE235" i="65"/>
  <c r="CB235" i="65"/>
  <c r="CF235" i="65"/>
  <c r="CI235" i="65"/>
  <c r="CE193" i="65"/>
  <c r="CB193" i="65"/>
  <c r="CF193" i="65"/>
  <c r="CI193" i="65"/>
  <c r="CE150" i="65"/>
  <c r="CB150" i="65"/>
  <c r="CF150" i="65"/>
  <c r="CI150" i="65"/>
  <c r="CE107" i="65"/>
  <c r="CB107" i="65"/>
  <c r="CF107" i="65"/>
  <c r="CI107" i="65"/>
  <c r="CE65" i="65"/>
  <c r="CB65" i="65"/>
  <c r="CF65" i="65"/>
  <c r="CI65" i="65"/>
  <c r="CE14" i="65"/>
  <c r="CB14" i="65"/>
  <c r="CI14" i="65"/>
  <c r="CF14" i="65"/>
  <c r="CE512" i="65"/>
  <c r="CB512" i="65"/>
  <c r="CF512" i="65"/>
  <c r="CI512" i="65"/>
  <c r="CE490" i="65"/>
  <c r="CB490" i="65"/>
  <c r="CF490" i="65"/>
  <c r="CI490" i="65"/>
  <c r="CE469" i="65"/>
  <c r="CF469" i="65"/>
  <c r="CB469" i="65"/>
  <c r="CI469" i="65"/>
  <c r="CE448" i="65"/>
  <c r="CB448" i="65"/>
  <c r="CF448" i="65"/>
  <c r="CI448" i="65"/>
  <c r="CE426" i="65"/>
  <c r="CB426" i="65"/>
  <c r="CF426" i="65"/>
  <c r="CI426" i="65"/>
  <c r="CE405" i="65"/>
  <c r="CF405" i="65"/>
  <c r="CB405" i="65"/>
  <c r="CI405" i="65"/>
  <c r="CE384" i="65"/>
  <c r="CB384" i="65"/>
  <c r="CF384" i="65"/>
  <c r="CI384" i="65"/>
  <c r="CE362" i="65"/>
  <c r="CF362" i="65"/>
  <c r="CI362" i="65"/>
  <c r="CB362" i="65"/>
  <c r="CF341" i="65"/>
  <c r="CE341" i="65"/>
  <c r="CB341" i="65"/>
  <c r="CI341" i="65"/>
  <c r="CE320" i="65"/>
  <c r="CB320" i="65"/>
  <c r="CF320" i="65"/>
  <c r="CI320" i="65"/>
  <c r="CE298" i="65"/>
  <c r="CF298" i="65"/>
  <c r="CB298" i="65"/>
  <c r="CI298" i="65"/>
  <c r="CE277" i="65"/>
  <c r="CF277" i="65"/>
  <c r="CB277" i="65"/>
  <c r="CI277" i="65"/>
  <c r="CE249" i="65"/>
  <c r="CB249" i="65"/>
  <c r="CF249" i="65"/>
  <c r="CI249" i="65"/>
  <c r="CE210" i="65"/>
  <c r="CB210" i="65"/>
  <c r="CF210" i="65"/>
  <c r="CI210" i="65"/>
  <c r="CE167" i="65"/>
  <c r="CB167" i="65"/>
  <c r="CF167" i="65"/>
  <c r="CI167" i="65"/>
  <c r="CE125" i="65"/>
  <c r="CF125" i="65"/>
  <c r="CB125" i="65"/>
  <c r="CI125" i="65"/>
  <c r="CE82" i="65"/>
  <c r="CB82" i="65"/>
  <c r="CF82" i="65"/>
  <c r="CI82" i="65"/>
  <c r="CE38" i="65"/>
  <c r="CB38" i="65"/>
  <c r="CF38" i="65"/>
  <c r="CI38" i="65"/>
  <c r="CE488" i="65"/>
  <c r="CB488" i="65"/>
  <c r="CF488" i="65"/>
  <c r="CI488" i="65"/>
  <c r="CE445" i="65"/>
  <c r="CF445" i="65"/>
  <c r="CB445" i="65"/>
  <c r="CI445" i="65"/>
  <c r="CE402" i="65"/>
  <c r="CB402" i="65"/>
  <c r="CI402" i="65"/>
  <c r="CF402" i="65"/>
  <c r="CE360" i="65"/>
  <c r="CB360" i="65"/>
  <c r="CF360" i="65"/>
  <c r="CI360" i="65"/>
  <c r="CE317" i="65"/>
  <c r="CF317" i="65"/>
  <c r="CB317" i="65"/>
  <c r="CI317" i="65"/>
  <c r="CE13" i="65"/>
  <c r="CF13" i="65"/>
  <c r="CB13" i="65"/>
  <c r="CI13" i="65"/>
  <c r="CE510" i="65"/>
  <c r="CB510" i="65"/>
  <c r="CF510" i="65"/>
  <c r="CI510" i="65"/>
  <c r="CE489" i="65"/>
  <c r="CF489" i="65"/>
  <c r="CB489" i="65"/>
  <c r="CI489" i="65"/>
  <c r="CE468" i="65"/>
  <c r="CF468" i="65"/>
  <c r="CB468" i="65"/>
  <c r="CI468" i="65"/>
  <c r="CE446" i="65"/>
  <c r="CB446" i="65"/>
  <c r="CF446" i="65"/>
  <c r="CI446" i="65"/>
  <c r="CE425" i="65"/>
  <c r="CF425" i="65"/>
  <c r="CB425" i="65"/>
  <c r="CI425" i="65"/>
  <c r="CE404" i="65"/>
  <c r="CB404" i="65"/>
  <c r="CF404" i="65"/>
  <c r="CI404" i="65"/>
  <c r="CE382" i="65"/>
  <c r="CB382" i="65"/>
  <c r="CF382" i="65"/>
  <c r="CI382" i="65"/>
  <c r="CE361" i="65"/>
  <c r="CB361" i="65"/>
  <c r="CF361" i="65"/>
  <c r="CI361" i="65"/>
  <c r="CE340" i="65"/>
  <c r="CB340" i="65"/>
  <c r="CF340" i="65"/>
  <c r="CI340" i="65"/>
  <c r="CE318" i="65"/>
  <c r="CB318" i="65"/>
  <c r="CF318" i="65"/>
  <c r="CI318" i="65"/>
  <c r="CB297" i="65"/>
  <c r="CE297" i="65"/>
  <c r="CF297" i="65"/>
  <c r="CI297" i="65"/>
  <c r="CE276" i="65"/>
  <c r="CB276" i="65"/>
  <c r="CF276" i="65"/>
  <c r="CI276" i="65"/>
  <c r="CE248" i="65"/>
  <c r="CB248" i="65"/>
  <c r="CF248" i="65"/>
  <c r="CI248" i="65"/>
  <c r="CE209" i="65"/>
  <c r="CB209" i="65"/>
  <c r="CF209" i="65"/>
  <c r="CI209" i="65"/>
  <c r="CE166" i="65"/>
  <c r="CB166" i="65"/>
  <c r="CI166" i="65"/>
  <c r="CF166" i="65"/>
  <c r="CB123" i="65"/>
  <c r="CF123" i="65"/>
  <c r="CE123" i="65"/>
  <c r="CS123" i="65" s="1"/>
  <c r="CI123" i="65"/>
  <c r="CB81" i="65"/>
  <c r="CF81" i="65"/>
  <c r="CE81" i="65"/>
  <c r="CS81" i="65" s="1"/>
  <c r="CI81" i="65"/>
  <c r="CE37" i="65"/>
  <c r="CB37" i="65"/>
  <c r="CF37" i="65"/>
  <c r="CI37" i="65"/>
  <c r="CE11" i="65"/>
  <c r="CB11" i="65"/>
  <c r="CF11" i="65"/>
  <c r="CI11" i="65"/>
  <c r="CE503" i="65"/>
  <c r="CB503" i="65"/>
  <c r="CF503" i="65"/>
  <c r="CI503" i="65"/>
  <c r="CE487" i="65"/>
  <c r="CB487" i="65"/>
  <c r="CF487" i="65"/>
  <c r="CI487" i="65"/>
  <c r="CB471" i="65"/>
  <c r="CE471" i="65"/>
  <c r="CF471" i="65"/>
  <c r="CI471" i="65"/>
  <c r="CE455" i="65"/>
  <c r="CB455" i="65"/>
  <c r="CF455" i="65"/>
  <c r="CI455" i="65"/>
  <c r="CE439" i="65"/>
  <c r="CB439" i="65"/>
  <c r="CF439" i="65"/>
  <c r="CI439" i="65"/>
  <c r="CE423" i="65"/>
  <c r="CB423" i="65"/>
  <c r="CI423" i="65"/>
  <c r="CF423" i="65"/>
  <c r="CB407" i="65"/>
  <c r="CE407" i="65"/>
  <c r="CI407" i="65"/>
  <c r="CF407" i="65"/>
  <c r="CE391" i="65"/>
  <c r="CB391" i="65"/>
  <c r="CF391" i="65"/>
  <c r="CI391" i="65"/>
  <c r="CE375" i="65"/>
  <c r="CB375" i="65"/>
  <c r="CF375" i="65"/>
  <c r="CI375" i="65"/>
  <c r="CE359" i="65"/>
  <c r="CB359" i="65"/>
  <c r="CF359" i="65"/>
  <c r="CI359" i="65"/>
  <c r="CE343" i="65"/>
  <c r="CB343" i="65"/>
  <c r="CF343" i="65"/>
  <c r="CI343" i="65"/>
  <c r="CE327" i="65"/>
  <c r="CB327" i="65"/>
  <c r="CF327" i="65"/>
  <c r="CI327" i="65"/>
  <c r="CE311" i="65"/>
  <c r="CB311" i="65"/>
  <c r="CF311" i="65"/>
  <c r="CI311" i="65"/>
  <c r="CE295" i="65"/>
  <c r="CB295" i="65"/>
  <c r="CI295" i="65"/>
  <c r="CF295" i="65"/>
  <c r="CE279" i="65"/>
  <c r="CB279" i="65"/>
  <c r="CI279" i="65"/>
  <c r="CF279" i="65"/>
  <c r="CE263" i="65"/>
  <c r="CB263" i="65"/>
  <c r="CF263" i="65"/>
  <c r="CI263" i="65"/>
  <c r="CE247" i="65"/>
  <c r="CB247" i="65"/>
  <c r="CF247" i="65"/>
  <c r="CI247" i="65"/>
  <c r="CF229" i="65"/>
  <c r="CE229" i="65"/>
  <c r="CB229" i="65"/>
  <c r="CI229" i="65"/>
  <c r="CE207" i="65"/>
  <c r="CF207" i="65"/>
  <c r="CB207" i="65"/>
  <c r="CI207" i="65"/>
  <c r="CE186" i="65"/>
  <c r="CB186" i="65"/>
  <c r="CF186" i="65"/>
  <c r="CI186" i="65"/>
  <c r="CB165" i="65"/>
  <c r="CF165" i="65"/>
  <c r="CE165" i="65"/>
  <c r="CS165" i="65" s="1"/>
  <c r="CI165" i="65"/>
  <c r="CE143" i="65"/>
  <c r="CB143" i="65"/>
  <c r="CF143" i="65"/>
  <c r="CI143" i="65"/>
  <c r="CE122" i="65"/>
  <c r="CB122" i="65"/>
  <c r="CF122" i="65"/>
  <c r="CI122" i="65"/>
  <c r="CB101" i="65"/>
  <c r="CF101" i="65"/>
  <c r="CE101" i="65"/>
  <c r="CS101" i="65" s="1"/>
  <c r="CI101" i="65"/>
  <c r="CE79" i="65"/>
  <c r="CB79" i="65"/>
  <c r="CF79" i="65"/>
  <c r="CI79" i="65"/>
  <c r="CE58" i="65"/>
  <c r="CB58" i="65"/>
  <c r="CF58" i="65"/>
  <c r="CI58" i="65"/>
  <c r="CE34" i="65"/>
  <c r="CB34" i="65"/>
  <c r="CF34" i="65"/>
  <c r="CI34" i="65"/>
  <c r="CE258" i="65"/>
  <c r="CB258" i="65"/>
  <c r="CF258" i="65"/>
  <c r="CI258" i="65"/>
  <c r="CE242" i="65"/>
  <c r="CB242" i="65"/>
  <c r="CF242" i="65"/>
  <c r="CI242" i="65"/>
  <c r="CE222" i="65"/>
  <c r="CB222" i="65"/>
  <c r="CI222" i="65"/>
  <c r="CF222" i="65"/>
  <c r="CB201" i="65"/>
  <c r="CF201" i="65"/>
  <c r="CE201" i="65"/>
  <c r="CS201" i="65" s="1"/>
  <c r="CI201" i="65"/>
  <c r="CE179" i="65"/>
  <c r="CB179" i="65"/>
  <c r="CF179" i="65"/>
  <c r="CI179" i="65"/>
  <c r="CE158" i="65"/>
  <c r="CB158" i="65"/>
  <c r="CI158" i="65"/>
  <c r="CF158" i="65"/>
  <c r="CE137" i="65"/>
  <c r="CB137" i="65"/>
  <c r="CF137" i="65"/>
  <c r="CI137" i="65"/>
  <c r="CE115" i="65"/>
  <c r="CB115" i="65"/>
  <c r="CI115" i="65"/>
  <c r="CF115" i="65"/>
  <c r="CE94" i="65"/>
  <c r="CB94" i="65"/>
  <c r="CF94" i="65"/>
  <c r="CI94" i="65"/>
  <c r="CE73" i="65"/>
  <c r="CB73" i="65"/>
  <c r="CF73" i="65"/>
  <c r="CI73" i="65"/>
  <c r="CE51" i="65"/>
  <c r="CB51" i="65"/>
  <c r="CF51" i="65"/>
  <c r="CI51" i="65"/>
  <c r="CE25" i="65"/>
  <c r="CB25" i="65"/>
  <c r="CF25" i="65"/>
  <c r="CI25" i="65"/>
  <c r="CE224" i="65"/>
  <c r="CB224" i="65"/>
  <c r="CF224" i="65"/>
  <c r="CI224" i="65"/>
  <c r="CE208" i="65"/>
  <c r="CB208" i="65"/>
  <c r="CF208" i="65"/>
  <c r="CI208" i="65"/>
  <c r="CE192" i="65"/>
  <c r="CB192" i="65"/>
  <c r="CF192" i="65"/>
  <c r="CI192" i="65"/>
  <c r="CE176" i="65"/>
  <c r="CB176" i="65"/>
  <c r="CF176" i="65"/>
  <c r="CI176" i="65"/>
  <c r="CE160" i="65"/>
  <c r="CB160" i="65"/>
  <c r="CF160" i="65"/>
  <c r="CI160" i="65"/>
  <c r="CE144" i="65"/>
  <c r="CB144" i="65"/>
  <c r="CF144" i="65"/>
  <c r="CI144" i="65"/>
  <c r="CE128" i="65"/>
  <c r="CB128" i="65"/>
  <c r="CF128" i="65"/>
  <c r="CI128" i="65"/>
  <c r="CE112" i="65"/>
  <c r="CB112" i="65"/>
  <c r="CF112" i="65"/>
  <c r="CI112" i="65"/>
  <c r="CE96" i="65"/>
  <c r="CB96" i="65"/>
  <c r="CF96" i="65"/>
  <c r="CI96" i="65"/>
  <c r="CE80" i="65"/>
  <c r="CB80" i="65"/>
  <c r="CF80" i="65"/>
  <c r="CI80" i="65"/>
  <c r="CE64" i="65"/>
  <c r="CB64" i="65"/>
  <c r="CF64" i="65"/>
  <c r="CI64" i="65"/>
  <c r="CE48" i="65"/>
  <c r="CB48" i="65"/>
  <c r="CF48" i="65"/>
  <c r="CI48" i="65"/>
  <c r="CE32" i="65"/>
  <c r="CB32" i="65"/>
  <c r="CF32" i="65"/>
  <c r="CI32" i="65"/>
  <c r="CE39" i="65"/>
  <c r="CB39" i="65"/>
  <c r="CF39" i="65"/>
  <c r="CI39" i="65"/>
  <c r="CE23" i="65"/>
  <c r="CB23" i="65"/>
  <c r="CF23" i="65"/>
  <c r="CI23" i="65"/>
  <c r="CE6" i="65"/>
  <c r="CB6" i="65"/>
  <c r="CF6" i="65"/>
  <c r="CI6" i="65"/>
  <c r="CE418" i="65"/>
  <c r="CB418" i="65"/>
  <c r="CF418" i="65"/>
  <c r="CI418" i="65"/>
  <c r="CE296" i="65"/>
  <c r="CB296" i="65"/>
  <c r="CF296" i="65"/>
  <c r="CI296" i="65"/>
  <c r="CE194" i="65"/>
  <c r="CB194" i="65"/>
  <c r="CF194" i="65"/>
  <c r="CI194" i="65"/>
  <c r="CE66" i="65"/>
  <c r="CB66" i="65"/>
  <c r="CF66" i="65"/>
  <c r="CI66" i="65"/>
  <c r="CE513" i="65"/>
  <c r="CB513" i="65"/>
  <c r="CF513" i="65"/>
  <c r="CI513" i="65"/>
  <c r="CE449" i="65"/>
  <c r="CF449" i="65"/>
  <c r="CB449" i="65"/>
  <c r="CI449" i="65"/>
  <c r="CE385" i="65"/>
  <c r="CB385" i="65"/>
  <c r="CF385" i="65"/>
  <c r="CI385" i="65"/>
  <c r="CE321" i="65"/>
  <c r="CB321" i="65"/>
  <c r="CF321" i="65"/>
  <c r="CI321" i="65"/>
  <c r="CE252" i="65"/>
  <c r="CB252" i="65"/>
  <c r="CQ252" i="65" s="1"/>
  <c r="CI252" i="65"/>
  <c r="CF252" i="65"/>
  <c r="CE86" i="65"/>
  <c r="CB86" i="65"/>
  <c r="CF86" i="65"/>
  <c r="CI86" i="65"/>
  <c r="CB458" i="65"/>
  <c r="CF458" i="65"/>
  <c r="CE458" i="65"/>
  <c r="CS458" i="65" s="1"/>
  <c r="CI458" i="65"/>
  <c r="CE394" i="65"/>
  <c r="CS394" i="65" s="1"/>
  <c r="CF394" i="65"/>
  <c r="CI394" i="65"/>
  <c r="CB394" i="65"/>
  <c r="CE330" i="65"/>
  <c r="CF330" i="65"/>
  <c r="CB330" i="65"/>
  <c r="CI330" i="65"/>
  <c r="CB265" i="65"/>
  <c r="CE265" i="65"/>
  <c r="CF265" i="65"/>
  <c r="CI265" i="65"/>
  <c r="CE146" i="65"/>
  <c r="CB146" i="65"/>
  <c r="CF146" i="65"/>
  <c r="CI146" i="65"/>
  <c r="CE12" i="65"/>
  <c r="CB12" i="65"/>
  <c r="CF12" i="65"/>
  <c r="CI12" i="65"/>
  <c r="CE424" i="65"/>
  <c r="CB424" i="65"/>
  <c r="CF424" i="65"/>
  <c r="CI424" i="65"/>
  <c r="CE17" i="65"/>
  <c r="CB17" i="65"/>
  <c r="CF17" i="65"/>
  <c r="CI17" i="65"/>
  <c r="CB514" i="65"/>
  <c r="CE514" i="65"/>
  <c r="CI514" i="65"/>
  <c r="CF514" i="65"/>
  <c r="CE472" i="65"/>
  <c r="CB472" i="65"/>
  <c r="CF472" i="65"/>
  <c r="CI472" i="65"/>
  <c r="CF429" i="65"/>
  <c r="CE429" i="65"/>
  <c r="CB429" i="65"/>
  <c r="CI429" i="65"/>
  <c r="CB386" i="65"/>
  <c r="CE386" i="65"/>
  <c r="CF386" i="65"/>
  <c r="CI386" i="65"/>
  <c r="CE344" i="65"/>
  <c r="CB344" i="65"/>
  <c r="CF344" i="65"/>
  <c r="CI344" i="65"/>
  <c r="CE301" i="65"/>
  <c r="CF301" i="65"/>
  <c r="CB301" i="65"/>
  <c r="CI301" i="65"/>
  <c r="CE274" i="65"/>
  <c r="CB274" i="65"/>
  <c r="CQ274" i="65" s="1"/>
  <c r="CI274" i="65"/>
  <c r="CF274" i="65"/>
  <c r="CE245" i="65"/>
  <c r="CF245" i="65"/>
  <c r="CB245" i="65"/>
  <c r="CI245" i="65"/>
  <c r="CE205" i="65"/>
  <c r="CF205" i="65"/>
  <c r="CB205" i="65"/>
  <c r="CI205" i="65"/>
  <c r="CE162" i="65"/>
  <c r="CB162" i="65"/>
  <c r="CF162" i="65"/>
  <c r="CI162" i="65"/>
  <c r="CE119" i="65"/>
  <c r="CB119" i="65"/>
  <c r="CF119" i="65"/>
  <c r="CI119" i="65"/>
  <c r="CE77" i="65"/>
  <c r="CF77" i="65"/>
  <c r="CB77" i="65"/>
  <c r="CI77" i="65"/>
  <c r="CE30" i="65"/>
  <c r="CB30" i="65"/>
  <c r="CQ30" i="65" s="1"/>
  <c r="CI30" i="65"/>
  <c r="CF30" i="65"/>
  <c r="CE497" i="65"/>
  <c r="CF497" i="65"/>
  <c r="CB497" i="65"/>
  <c r="CI497" i="65"/>
  <c r="CE476" i="65"/>
  <c r="CB476" i="65"/>
  <c r="CF476" i="65"/>
  <c r="CI476" i="65"/>
  <c r="CE454" i="65"/>
  <c r="CB454" i="65"/>
  <c r="CF454" i="65"/>
  <c r="CI454" i="65"/>
  <c r="CE433" i="65"/>
  <c r="CF433" i="65"/>
  <c r="CB433" i="65"/>
  <c r="CI433" i="65"/>
  <c r="CE412" i="65"/>
  <c r="CB412" i="65"/>
  <c r="CF412" i="65"/>
  <c r="CI412" i="65"/>
  <c r="CE390" i="65"/>
  <c r="CB390" i="65"/>
  <c r="CF390" i="65"/>
  <c r="CI390" i="65"/>
  <c r="CE369" i="65"/>
  <c r="CB369" i="65"/>
  <c r="CF369" i="65"/>
  <c r="CI369" i="65"/>
  <c r="CE348" i="65"/>
  <c r="CB348" i="65"/>
  <c r="CF348" i="65"/>
  <c r="CI348" i="65"/>
  <c r="CE326" i="65"/>
  <c r="CB326" i="65"/>
  <c r="CF326" i="65"/>
  <c r="CI326" i="65"/>
  <c r="CE305" i="65"/>
  <c r="CB305" i="65"/>
  <c r="CF305" i="65"/>
  <c r="CI305" i="65"/>
  <c r="CE284" i="65"/>
  <c r="CB284" i="65"/>
  <c r="CF284" i="65"/>
  <c r="CI284" i="65"/>
  <c r="CE260" i="65"/>
  <c r="CB260" i="65"/>
  <c r="CF260" i="65"/>
  <c r="CI260" i="65"/>
  <c r="CE225" i="65"/>
  <c r="CB225" i="65"/>
  <c r="CF225" i="65"/>
  <c r="CI225" i="65"/>
  <c r="CE182" i="65"/>
  <c r="CB182" i="65"/>
  <c r="CF182" i="65"/>
  <c r="CI182" i="65"/>
  <c r="CE139" i="65"/>
  <c r="CB139" i="65"/>
  <c r="CF139" i="65"/>
  <c r="CI139" i="65"/>
  <c r="CE97" i="65"/>
  <c r="CB97" i="65"/>
  <c r="CF97" i="65"/>
  <c r="CI97" i="65"/>
  <c r="CE54" i="65"/>
  <c r="CB54" i="65"/>
  <c r="CF54" i="65"/>
  <c r="CI54" i="65"/>
  <c r="CE9" i="65"/>
  <c r="CB9" i="65"/>
  <c r="CF9" i="65"/>
  <c r="CI9" i="65"/>
  <c r="CE506" i="65"/>
  <c r="CB506" i="65"/>
  <c r="CF506" i="65"/>
  <c r="CI506" i="65"/>
  <c r="CE485" i="65"/>
  <c r="CF485" i="65"/>
  <c r="CB485" i="65"/>
  <c r="CI485" i="65"/>
  <c r="CE464" i="65"/>
  <c r="CB464" i="65"/>
  <c r="CF464" i="65"/>
  <c r="CI464" i="65"/>
  <c r="CE442" i="65"/>
  <c r="CB442" i="65"/>
  <c r="CF442" i="65"/>
  <c r="CI442" i="65"/>
  <c r="CE421" i="65"/>
  <c r="CF421" i="65"/>
  <c r="CB421" i="65"/>
  <c r="CI421" i="65"/>
  <c r="CE400" i="65"/>
  <c r="CB400" i="65"/>
  <c r="CF400" i="65"/>
  <c r="CI400" i="65"/>
  <c r="CE378" i="65"/>
  <c r="CF378" i="65"/>
  <c r="CB378" i="65"/>
  <c r="CI378" i="65"/>
  <c r="CE357" i="65"/>
  <c r="CF357" i="65"/>
  <c r="CB357" i="65"/>
  <c r="CI357" i="65"/>
  <c r="CE336" i="65"/>
  <c r="CB336" i="65"/>
  <c r="CF336" i="65"/>
  <c r="CI336" i="65"/>
  <c r="CE314" i="65"/>
  <c r="CF314" i="65"/>
  <c r="CB314" i="65"/>
  <c r="CI314" i="65"/>
  <c r="CE293" i="65"/>
  <c r="CF293" i="65"/>
  <c r="CB293" i="65"/>
  <c r="CI293" i="65"/>
  <c r="CE272" i="65"/>
  <c r="CB272" i="65"/>
  <c r="CF272" i="65"/>
  <c r="CI272" i="65"/>
  <c r="CE241" i="65"/>
  <c r="CB241" i="65"/>
  <c r="CF241" i="65"/>
  <c r="CI241" i="65"/>
  <c r="CE199" i="65"/>
  <c r="CF199" i="65"/>
  <c r="CB199" i="65"/>
  <c r="CI199" i="65"/>
  <c r="CE157" i="65"/>
  <c r="CF157" i="65"/>
  <c r="CB157" i="65"/>
  <c r="CI157" i="65"/>
  <c r="CE114" i="65"/>
  <c r="CF114" i="65"/>
  <c r="CB114" i="65"/>
  <c r="CI114" i="65"/>
  <c r="CE71" i="65"/>
  <c r="CS71" i="65" s="1"/>
  <c r="CF71" i="65"/>
  <c r="CI71" i="65"/>
  <c r="CB71" i="65"/>
  <c r="CE22" i="65"/>
  <c r="CB22" i="65"/>
  <c r="CF22" i="65"/>
  <c r="CI22" i="65"/>
  <c r="CE477" i="65"/>
  <c r="CF477" i="65"/>
  <c r="CB477" i="65"/>
  <c r="CI477" i="65"/>
  <c r="CE434" i="65"/>
  <c r="CB434" i="65"/>
  <c r="CF434" i="65"/>
  <c r="CI434" i="65"/>
  <c r="CE392" i="65"/>
  <c r="CB392" i="65"/>
  <c r="CF392" i="65"/>
  <c r="CI392" i="65"/>
  <c r="CE349" i="65"/>
  <c r="CF349" i="65"/>
  <c r="CB349" i="65"/>
  <c r="CI349" i="65"/>
  <c r="CE306" i="65"/>
  <c r="CB306" i="65"/>
  <c r="CF306" i="65"/>
  <c r="CI306" i="65"/>
  <c r="CE8" i="65"/>
  <c r="CB8" i="65"/>
  <c r="CF8" i="65"/>
  <c r="CI8" i="65"/>
  <c r="CE505" i="65"/>
  <c r="CF505" i="65"/>
  <c r="CB505" i="65"/>
  <c r="CI505" i="65"/>
  <c r="CE484" i="65"/>
  <c r="CF484" i="65"/>
  <c r="CB484" i="65"/>
  <c r="CI484" i="65"/>
  <c r="CE462" i="65"/>
  <c r="CB462" i="65"/>
  <c r="CF462" i="65"/>
  <c r="CI462" i="65"/>
  <c r="CE441" i="65"/>
  <c r="CF441" i="65"/>
  <c r="CB441" i="65"/>
  <c r="CI441" i="65"/>
  <c r="CE420" i="65"/>
  <c r="CB420" i="65"/>
  <c r="CF420" i="65"/>
  <c r="CI420" i="65"/>
  <c r="CE398" i="65"/>
  <c r="CB398" i="65"/>
  <c r="CF398" i="65"/>
  <c r="CI398" i="65"/>
  <c r="CE377" i="65"/>
  <c r="CB377" i="65"/>
  <c r="CF377" i="65"/>
  <c r="CI377" i="65"/>
  <c r="CE356" i="65"/>
  <c r="CB356" i="65"/>
  <c r="CF356" i="65"/>
  <c r="CI356" i="65"/>
  <c r="CE334" i="65"/>
  <c r="CB334" i="65"/>
  <c r="CF334" i="65"/>
  <c r="CI334" i="65"/>
  <c r="CE313" i="65"/>
  <c r="CB313" i="65"/>
  <c r="CF313" i="65"/>
  <c r="CI313" i="65"/>
  <c r="CE292" i="65"/>
  <c r="CB292" i="65"/>
  <c r="CF292" i="65"/>
  <c r="CI292" i="65"/>
  <c r="CE270" i="65"/>
  <c r="CB270" i="65"/>
  <c r="CF270" i="65"/>
  <c r="CI270" i="65"/>
  <c r="CE240" i="65"/>
  <c r="CB240" i="65"/>
  <c r="CF240" i="65"/>
  <c r="CI240" i="65"/>
  <c r="CE198" i="65"/>
  <c r="CB198" i="65"/>
  <c r="CF198" i="65"/>
  <c r="CI198" i="65"/>
  <c r="CE155" i="65"/>
  <c r="CB155" i="65"/>
  <c r="CF155" i="65"/>
  <c r="CI155" i="65"/>
  <c r="CE113" i="65"/>
  <c r="CB113" i="65"/>
  <c r="CF113" i="65"/>
  <c r="CI113" i="65"/>
  <c r="CE70" i="65"/>
  <c r="CB70" i="65"/>
  <c r="CF70" i="65"/>
  <c r="CI70" i="65"/>
  <c r="CE21" i="65"/>
  <c r="CB21" i="65"/>
  <c r="CF21" i="65"/>
  <c r="CI21" i="65"/>
  <c r="CE7" i="65"/>
  <c r="CF7" i="65"/>
  <c r="CB7" i="65"/>
  <c r="CI7" i="65"/>
  <c r="CE515" i="65"/>
  <c r="CF515" i="65"/>
  <c r="CB515" i="65"/>
  <c r="CI515" i="65"/>
  <c r="CE499" i="65"/>
  <c r="CB499" i="65"/>
  <c r="CF499" i="65"/>
  <c r="CI499" i="65"/>
  <c r="CE483" i="65"/>
  <c r="CB483" i="65"/>
  <c r="CF483" i="65"/>
  <c r="CI483" i="65"/>
  <c r="CE467" i="65"/>
  <c r="CB467" i="65"/>
  <c r="CF467" i="65"/>
  <c r="CI467" i="65"/>
  <c r="CE451" i="65"/>
  <c r="CB451" i="65"/>
  <c r="CQ451" i="65" s="1"/>
  <c r="CI451" i="65"/>
  <c r="CF451" i="65"/>
  <c r="CE435" i="65"/>
  <c r="CB435" i="65"/>
  <c r="CQ435" i="65" s="1"/>
  <c r="CI435" i="65"/>
  <c r="CF435" i="65"/>
  <c r="CE419" i="65"/>
  <c r="CB419" i="65"/>
  <c r="CF419" i="65"/>
  <c r="CI419" i="65"/>
  <c r="CE403" i="65"/>
  <c r="CB403" i="65"/>
  <c r="CF403" i="65"/>
  <c r="CI403" i="65"/>
  <c r="CE387" i="65"/>
  <c r="CS387" i="65" s="1"/>
  <c r="CB387" i="65"/>
  <c r="CF387" i="65"/>
  <c r="CI387" i="65"/>
  <c r="CE371" i="65"/>
  <c r="CS371" i="65" s="1"/>
  <c r="CB371" i="65"/>
  <c r="CF371" i="65"/>
  <c r="CI371" i="65"/>
  <c r="CE355" i="65"/>
  <c r="CS355" i="65" s="1"/>
  <c r="CB355" i="65"/>
  <c r="CF355" i="65"/>
  <c r="CI355" i="65"/>
  <c r="CB339" i="65"/>
  <c r="CE339" i="65"/>
  <c r="CF339" i="65"/>
  <c r="CI339" i="65"/>
  <c r="CE323" i="65"/>
  <c r="CS323" i="65" s="1"/>
  <c r="CB323" i="65"/>
  <c r="CI323" i="65"/>
  <c r="CF323" i="65"/>
  <c r="CB307" i="65"/>
  <c r="CE307" i="65"/>
  <c r="CI307" i="65"/>
  <c r="CF307" i="65"/>
  <c r="CE291" i="65"/>
  <c r="CS291" i="65" s="1"/>
  <c r="CB291" i="65"/>
  <c r="CF291" i="65"/>
  <c r="CI291" i="65"/>
  <c r="CE275" i="65"/>
  <c r="CS275" i="65" s="1"/>
  <c r="CB275" i="65"/>
  <c r="CF275" i="65"/>
  <c r="CI275" i="65"/>
  <c r="CE259" i="65"/>
  <c r="CS259" i="65" s="1"/>
  <c r="CB259" i="65"/>
  <c r="CF259" i="65"/>
  <c r="CI259" i="65"/>
  <c r="CB243" i="65"/>
  <c r="CE243" i="65"/>
  <c r="CF243" i="65"/>
  <c r="CI243" i="65"/>
  <c r="CE223" i="65"/>
  <c r="CS223" i="65" s="1"/>
  <c r="CF223" i="65"/>
  <c r="CI223" i="65"/>
  <c r="CB223" i="65"/>
  <c r="CE202" i="65"/>
  <c r="CS202" i="65" s="1"/>
  <c r="CB202" i="65"/>
  <c r="CF202" i="65"/>
  <c r="CI202" i="65"/>
  <c r="CB181" i="65"/>
  <c r="CE181" i="65"/>
  <c r="CF181" i="65"/>
  <c r="CI181" i="65"/>
  <c r="CE159" i="65"/>
  <c r="CS159" i="65" s="1"/>
  <c r="CB159" i="65"/>
  <c r="CF159" i="65"/>
  <c r="CI159" i="65"/>
  <c r="CE138" i="65"/>
  <c r="CS138" i="65" s="1"/>
  <c r="CB138" i="65"/>
  <c r="CF138" i="65"/>
  <c r="CI138" i="65"/>
  <c r="CB117" i="65"/>
  <c r="CE117" i="65"/>
  <c r="CF117" i="65"/>
  <c r="CI117" i="65"/>
  <c r="CE95" i="65"/>
  <c r="CS95" i="65" s="1"/>
  <c r="CB95" i="65"/>
  <c r="CF95" i="65"/>
  <c r="CI95" i="65"/>
  <c r="CE74" i="65"/>
  <c r="CS74" i="65" s="1"/>
  <c r="CB74" i="65"/>
  <c r="CF74" i="65"/>
  <c r="CI74" i="65"/>
  <c r="CE53" i="65"/>
  <c r="CS53" i="65" s="1"/>
  <c r="CB53" i="65"/>
  <c r="CF53" i="65"/>
  <c r="CI53" i="65"/>
  <c r="CE26" i="65"/>
  <c r="CS26" i="65" s="1"/>
  <c r="CB26" i="65"/>
  <c r="CF26" i="65"/>
  <c r="CI26" i="65"/>
  <c r="CE254" i="65"/>
  <c r="CS254" i="65" s="1"/>
  <c r="CB254" i="65"/>
  <c r="CF254" i="65"/>
  <c r="CI254" i="65"/>
  <c r="CE238" i="65"/>
  <c r="CS238" i="65" s="1"/>
  <c r="CB238" i="65"/>
  <c r="CF238" i="65"/>
  <c r="CI238" i="65"/>
  <c r="CE217" i="65"/>
  <c r="CS217" i="65" s="1"/>
  <c r="CB217" i="65"/>
  <c r="CF217" i="65"/>
  <c r="CI217" i="65"/>
  <c r="CE195" i="65"/>
  <c r="CS195" i="65" s="1"/>
  <c r="CB195" i="65"/>
  <c r="CF195" i="65"/>
  <c r="CI195" i="65"/>
  <c r="CE174" i="65"/>
  <c r="CS174" i="65" s="1"/>
  <c r="CB174" i="65"/>
  <c r="CF174" i="65"/>
  <c r="CI174" i="65"/>
  <c r="CE153" i="65"/>
  <c r="CS153" i="65" s="1"/>
  <c r="CB153" i="65"/>
  <c r="CF153" i="65"/>
  <c r="CI153" i="65"/>
  <c r="CE131" i="65"/>
  <c r="CS131" i="65" s="1"/>
  <c r="CB131" i="65"/>
  <c r="CF131" i="65"/>
  <c r="CI131" i="65"/>
  <c r="CE110" i="65"/>
  <c r="CS110" i="65" s="1"/>
  <c r="CB110" i="65"/>
  <c r="CF110" i="65"/>
  <c r="CI110" i="65"/>
  <c r="CE89" i="65"/>
  <c r="CS89" i="65" s="1"/>
  <c r="CB89" i="65"/>
  <c r="CF89" i="65"/>
  <c r="CI89" i="65"/>
  <c r="CE67" i="65"/>
  <c r="CS67" i="65" s="1"/>
  <c r="CB67" i="65"/>
  <c r="CF67" i="65"/>
  <c r="CI67" i="65"/>
  <c r="CE46" i="65"/>
  <c r="CS46" i="65" s="1"/>
  <c r="CB46" i="65"/>
  <c r="CF46" i="65"/>
  <c r="CI46" i="65"/>
  <c r="CE236" i="65"/>
  <c r="CS236" i="65" s="1"/>
  <c r="CB236" i="65"/>
  <c r="CF236" i="65"/>
  <c r="CI236" i="65"/>
  <c r="CE220" i="65"/>
  <c r="CS220" i="65" s="1"/>
  <c r="CB220" i="65"/>
  <c r="CF220" i="65"/>
  <c r="CI220" i="65"/>
  <c r="CE204" i="65"/>
  <c r="CS204" i="65" s="1"/>
  <c r="CB204" i="65"/>
  <c r="CF204" i="65"/>
  <c r="CI204" i="65"/>
  <c r="CE188" i="65"/>
  <c r="CS188" i="65" s="1"/>
  <c r="CB188" i="65"/>
  <c r="CF188" i="65"/>
  <c r="CI188" i="65"/>
  <c r="CE172" i="65"/>
  <c r="CS172" i="65" s="1"/>
  <c r="CB172" i="65"/>
  <c r="CF172" i="65"/>
  <c r="CI172" i="65"/>
  <c r="CE156" i="65"/>
  <c r="CS156" i="65" s="1"/>
  <c r="CB156" i="65"/>
  <c r="CF156" i="65"/>
  <c r="CI156" i="65"/>
  <c r="CE140" i="65"/>
  <c r="CS140" i="65" s="1"/>
  <c r="CB140" i="65"/>
  <c r="CF140" i="65"/>
  <c r="CI140" i="65"/>
  <c r="CE124" i="65"/>
  <c r="CS124" i="65" s="1"/>
  <c r="CB124" i="65"/>
  <c r="CF124" i="65"/>
  <c r="CI124" i="65"/>
  <c r="CE108" i="65"/>
  <c r="CS108" i="65" s="1"/>
  <c r="CB108" i="65"/>
  <c r="CF108" i="65"/>
  <c r="CI108" i="65"/>
  <c r="CE92" i="65"/>
  <c r="CS92" i="65" s="1"/>
  <c r="CB92" i="65"/>
  <c r="CF92" i="65"/>
  <c r="CI92" i="65"/>
  <c r="CE76" i="65"/>
  <c r="CS76" i="65" s="1"/>
  <c r="CB76" i="65"/>
  <c r="CF76" i="65"/>
  <c r="CI76" i="65"/>
  <c r="CE60" i="65"/>
  <c r="CS60" i="65" s="1"/>
  <c r="CB60" i="65"/>
  <c r="CF60" i="65"/>
  <c r="CI60" i="65"/>
  <c r="CE44" i="65"/>
  <c r="CS44" i="65" s="1"/>
  <c r="CB44" i="65"/>
  <c r="CF44" i="65"/>
  <c r="CI44" i="65"/>
  <c r="CE28" i="65"/>
  <c r="CS28" i="65" s="1"/>
  <c r="CB28" i="65"/>
  <c r="CF28" i="65"/>
  <c r="CI28" i="65"/>
  <c r="CE35" i="65"/>
  <c r="CS35" i="65" s="1"/>
  <c r="CB35" i="65"/>
  <c r="CI35" i="65"/>
  <c r="CF35" i="65"/>
  <c r="CE19" i="65"/>
  <c r="CS19" i="65" s="1"/>
  <c r="CB19" i="65"/>
  <c r="CF19" i="65"/>
  <c r="CI19" i="65"/>
  <c r="CB534" i="65"/>
  <c r="CI534" i="65"/>
  <c r="CF534" i="65"/>
  <c r="CI544" i="65"/>
  <c r="CF544" i="65"/>
  <c r="CB544" i="65"/>
  <c r="CB542" i="65"/>
  <c r="CI542" i="65"/>
  <c r="CF542" i="65"/>
  <c r="CI527" i="65"/>
  <c r="CB527" i="65"/>
  <c r="CF527" i="65"/>
  <c r="CI536" i="65"/>
  <c r="CF536" i="65"/>
  <c r="CB536" i="65"/>
  <c r="CF529" i="65"/>
  <c r="CI529" i="65"/>
  <c r="CB529" i="65"/>
  <c r="CF537" i="65"/>
  <c r="CI537" i="65"/>
  <c r="CB537" i="65"/>
  <c r="CI523" i="65"/>
  <c r="CB523" i="65"/>
  <c r="CF523" i="65"/>
  <c r="CF525" i="65"/>
  <c r="CI525" i="65"/>
  <c r="CB525" i="65"/>
  <c r="CF545" i="65"/>
  <c r="CI545" i="65"/>
  <c r="CB545" i="65"/>
  <c r="CI524" i="65"/>
  <c r="CF524" i="65"/>
  <c r="CB524" i="65"/>
  <c r="CF533" i="65"/>
  <c r="CI533" i="65"/>
  <c r="CB533" i="65"/>
  <c r="CB530" i="65"/>
  <c r="CI530" i="65"/>
  <c r="CF530" i="65"/>
  <c r="CI532" i="65"/>
  <c r="CF532" i="65"/>
  <c r="CB532" i="65"/>
  <c r="CI535" i="65"/>
  <c r="CB535" i="65"/>
  <c r="CF535" i="65"/>
  <c r="CI519" i="65"/>
  <c r="CB519" i="65"/>
  <c r="CF519" i="65"/>
  <c r="CB522" i="65"/>
  <c r="CI522" i="65"/>
  <c r="CF522" i="65"/>
  <c r="CF521" i="65"/>
  <c r="CB521" i="65"/>
  <c r="CI521" i="65"/>
  <c r="CI543" i="65"/>
  <c r="CB543" i="65"/>
  <c r="CF543" i="65"/>
  <c r="CB538" i="65"/>
  <c r="CF538" i="65"/>
  <c r="CI538" i="65"/>
  <c r="CF541" i="65"/>
  <c r="CI541" i="65"/>
  <c r="CB541" i="65"/>
  <c r="CI539" i="65"/>
  <c r="CB539" i="65"/>
  <c r="CF539" i="65"/>
  <c r="CI540" i="65"/>
  <c r="CF540" i="65"/>
  <c r="CB540" i="65"/>
  <c r="CB518" i="65"/>
  <c r="CF518" i="65"/>
  <c r="CI518" i="65"/>
  <c r="CI528" i="65"/>
  <c r="CF528" i="65"/>
  <c r="CB528" i="65"/>
  <c r="CI520" i="65"/>
  <c r="CF520" i="65"/>
  <c r="CB520" i="65"/>
  <c r="CB526" i="65"/>
  <c r="CF526" i="65"/>
  <c r="CI526" i="65"/>
  <c r="CI531" i="65"/>
  <c r="CB531" i="65"/>
  <c r="CF531" i="65"/>
  <c r="H45" i="66" l="1"/>
  <c r="K45" i="66"/>
  <c r="O17" i="66"/>
  <c r="D17" i="66"/>
  <c r="CR531" i="65"/>
  <c r="CQ531" i="65"/>
  <c r="CR519" i="65"/>
  <c r="CQ519" i="65"/>
  <c r="CR523" i="65"/>
  <c r="CQ523" i="65"/>
  <c r="CR527" i="65"/>
  <c r="CQ527" i="65"/>
  <c r="CR441" i="65"/>
  <c r="CQ441" i="65"/>
  <c r="CR505" i="65"/>
  <c r="CQ505" i="65"/>
  <c r="CR157" i="65"/>
  <c r="CQ157" i="65"/>
  <c r="CR357" i="65"/>
  <c r="CQ357" i="65"/>
  <c r="CR421" i="65"/>
  <c r="CQ421" i="65"/>
  <c r="CR485" i="65"/>
  <c r="CQ485" i="65"/>
  <c r="CR433" i="65"/>
  <c r="CQ433" i="65"/>
  <c r="CR497" i="65"/>
  <c r="CQ497" i="65"/>
  <c r="CR245" i="65"/>
  <c r="CQ245" i="65"/>
  <c r="CR330" i="65"/>
  <c r="CQ330" i="65"/>
  <c r="CR229" i="65"/>
  <c r="CQ229" i="65"/>
  <c r="CR445" i="65"/>
  <c r="CQ445" i="65"/>
  <c r="CR277" i="65"/>
  <c r="CQ277" i="65"/>
  <c r="CR341" i="65"/>
  <c r="CQ341" i="65"/>
  <c r="CR405" i="65"/>
  <c r="CQ405" i="65"/>
  <c r="CR469" i="65"/>
  <c r="CQ469" i="65"/>
  <c r="CR481" i="65"/>
  <c r="CQ481" i="65"/>
  <c r="CR218" i="65"/>
  <c r="CQ218" i="65"/>
  <c r="CR383" i="65"/>
  <c r="CQ383" i="65"/>
  <c r="CR479" i="65"/>
  <c r="CQ479" i="65"/>
  <c r="CR500" i="65"/>
  <c r="CQ500" i="65"/>
  <c r="CR189" i="65"/>
  <c r="CQ189" i="65"/>
  <c r="CR269" i="65"/>
  <c r="CQ269" i="65"/>
  <c r="CR452" i="65"/>
  <c r="CQ452" i="65"/>
  <c r="CR413" i="65"/>
  <c r="CQ413" i="65"/>
  <c r="CR135" i="65"/>
  <c r="CQ135" i="65"/>
  <c r="CR325" i="65"/>
  <c r="CQ325" i="65"/>
  <c r="CR389" i="65"/>
  <c r="CQ389" i="65"/>
  <c r="CR453" i="65"/>
  <c r="CQ453" i="65"/>
  <c r="CR29" i="65"/>
  <c r="CQ29" i="65"/>
  <c r="CR266" i="65"/>
  <c r="CQ266" i="65"/>
  <c r="CR271" i="65"/>
  <c r="CQ271" i="65"/>
  <c r="CR367" i="65"/>
  <c r="CQ367" i="65"/>
  <c r="CR373" i="65"/>
  <c r="CQ373" i="65"/>
  <c r="CR237" i="65"/>
  <c r="CQ237" i="65"/>
  <c r="CR333" i="65"/>
  <c r="CQ333" i="65"/>
  <c r="CR461" i="65"/>
  <c r="CQ461" i="65"/>
  <c r="CQ520" i="65"/>
  <c r="CQ518" i="65"/>
  <c r="CQ538" i="65"/>
  <c r="CQ532" i="65"/>
  <c r="CR545" i="65"/>
  <c r="CQ545" i="65"/>
  <c r="CR529" i="65"/>
  <c r="CQ529" i="65"/>
  <c r="CQ544" i="65"/>
  <c r="CQ19" i="65"/>
  <c r="CR35" i="65"/>
  <c r="CQ35" i="65"/>
  <c r="CQ28" i="65"/>
  <c r="CQ44" i="65"/>
  <c r="CQ60" i="65"/>
  <c r="CQ76" i="65"/>
  <c r="CQ92" i="65"/>
  <c r="CQ108" i="65"/>
  <c r="CQ124" i="65"/>
  <c r="CQ140" i="65"/>
  <c r="CQ156" i="65"/>
  <c r="CQ172" i="65"/>
  <c r="CQ188" i="65"/>
  <c r="CQ204" i="65"/>
  <c r="CQ220" i="65"/>
  <c r="CQ236" i="65"/>
  <c r="CQ46" i="65"/>
  <c r="CQ67" i="65"/>
  <c r="CQ89" i="65"/>
  <c r="CQ110" i="65"/>
  <c r="CQ131" i="65"/>
  <c r="CQ153" i="65"/>
  <c r="CQ174" i="65"/>
  <c r="CQ195" i="65"/>
  <c r="CQ217" i="65"/>
  <c r="CQ238" i="65"/>
  <c r="CQ254" i="65"/>
  <c r="CQ26" i="65"/>
  <c r="CQ53" i="65"/>
  <c r="CQ74" i="65"/>
  <c r="CQ95" i="65"/>
  <c r="CQ138" i="65"/>
  <c r="CQ159" i="65"/>
  <c r="CQ202" i="65"/>
  <c r="CQ259" i="65"/>
  <c r="CQ275" i="65"/>
  <c r="CQ291" i="65"/>
  <c r="CQ323" i="65"/>
  <c r="CQ355" i="65"/>
  <c r="CQ371" i="65"/>
  <c r="CQ387" i="65"/>
  <c r="CQ403" i="65"/>
  <c r="CQ419" i="65"/>
  <c r="CQ467" i="65"/>
  <c r="CQ483" i="65"/>
  <c r="CQ499" i="65"/>
  <c r="CQ21" i="65"/>
  <c r="CQ70" i="65"/>
  <c r="CQ113" i="65"/>
  <c r="CQ155" i="65"/>
  <c r="CQ198" i="65"/>
  <c r="CQ240" i="65"/>
  <c r="CQ270" i="65"/>
  <c r="CQ292" i="65"/>
  <c r="CQ313" i="65"/>
  <c r="CQ334" i="65"/>
  <c r="CQ356" i="65"/>
  <c r="CQ377" i="65"/>
  <c r="CQ398" i="65"/>
  <c r="CQ420" i="65"/>
  <c r="CQ462" i="65"/>
  <c r="CQ8" i="65"/>
  <c r="CQ306" i="65"/>
  <c r="CQ392" i="65"/>
  <c r="CQ434" i="65"/>
  <c r="CQ22" i="65"/>
  <c r="CQ241" i="65"/>
  <c r="CQ272" i="65"/>
  <c r="CQ336" i="65"/>
  <c r="CQ400" i="65"/>
  <c r="CQ442" i="65"/>
  <c r="CQ464" i="65"/>
  <c r="CQ506" i="65"/>
  <c r="CQ9" i="65"/>
  <c r="CQ54" i="65"/>
  <c r="CQ97" i="65"/>
  <c r="CQ139" i="65"/>
  <c r="CQ182" i="65"/>
  <c r="CR526" i="65"/>
  <c r="CQ526" i="65"/>
  <c r="CR525" i="65"/>
  <c r="CQ525" i="65"/>
  <c r="CR536" i="65"/>
  <c r="CQ536" i="65"/>
  <c r="CR7" i="65"/>
  <c r="CQ7" i="65"/>
  <c r="CR114" i="65"/>
  <c r="CQ114" i="65"/>
  <c r="CR314" i="65"/>
  <c r="CQ314" i="65"/>
  <c r="CR378" i="65"/>
  <c r="CQ378" i="65"/>
  <c r="CR205" i="65"/>
  <c r="CQ205" i="65"/>
  <c r="CR301" i="65"/>
  <c r="CQ301" i="65"/>
  <c r="CR429" i="65"/>
  <c r="CQ429" i="65"/>
  <c r="CR449" i="65"/>
  <c r="CQ449" i="65"/>
  <c r="CR468" i="65"/>
  <c r="CQ468" i="65"/>
  <c r="CR13" i="65"/>
  <c r="CQ13" i="65"/>
  <c r="CR125" i="65"/>
  <c r="CQ125" i="65"/>
  <c r="CR253" i="65"/>
  <c r="CQ253" i="65"/>
  <c r="CR250" i="65"/>
  <c r="CQ250" i="65"/>
  <c r="CR255" i="65"/>
  <c r="CQ255" i="65"/>
  <c r="CR351" i="65"/>
  <c r="CQ351" i="65"/>
  <c r="CR457" i="65"/>
  <c r="CQ457" i="65"/>
  <c r="CR381" i="65"/>
  <c r="CQ381" i="65"/>
  <c r="CR61" i="65"/>
  <c r="CQ61" i="65"/>
  <c r="CR109" i="65"/>
  <c r="CQ109" i="65"/>
  <c r="CR93" i="65"/>
  <c r="CQ93" i="65"/>
  <c r="CR221" i="65"/>
  <c r="CQ221" i="65"/>
  <c r="CR141" i="65"/>
  <c r="CQ141" i="65"/>
  <c r="CR261" i="65"/>
  <c r="CQ261" i="65"/>
  <c r="CR365" i="65"/>
  <c r="CQ365" i="65"/>
  <c r="CR239" i="65"/>
  <c r="CQ239" i="65"/>
  <c r="CR335" i="65"/>
  <c r="CQ335" i="65"/>
  <c r="CR309" i="65"/>
  <c r="CQ309" i="65"/>
  <c r="CR539" i="65"/>
  <c r="CQ539" i="65"/>
  <c r="CQ522" i="65"/>
  <c r="CQ530" i="65"/>
  <c r="CQ117" i="65"/>
  <c r="CQ181" i="65"/>
  <c r="CQ243" i="65"/>
  <c r="CR307" i="65"/>
  <c r="CQ307" i="65"/>
  <c r="CQ339" i="65"/>
  <c r="CR528" i="65"/>
  <c r="CQ528" i="65"/>
  <c r="CR541" i="65"/>
  <c r="CQ541" i="65"/>
  <c r="CR542" i="65"/>
  <c r="CQ542" i="65"/>
  <c r="CR515" i="65"/>
  <c r="CQ515" i="65"/>
  <c r="CR484" i="65"/>
  <c r="CQ484" i="65"/>
  <c r="CR349" i="65"/>
  <c r="CQ349" i="65"/>
  <c r="CR477" i="65"/>
  <c r="CQ477" i="65"/>
  <c r="CR199" i="65"/>
  <c r="CQ199" i="65"/>
  <c r="CR293" i="65"/>
  <c r="CQ293" i="65"/>
  <c r="CR77" i="65"/>
  <c r="CQ77" i="65"/>
  <c r="CR207" i="65"/>
  <c r="CQ207" i="65"/>
  <c r="CR425" i="65"/>
  <c r="CQ425" i="65"/>
  <c r="CR489" i="65"/>
  <c r="CQ489" i="65"/>
  <c r="CR317" i="65"/>
  <c r="CQ317" i="65"/>
  <c r="CR298" i="65"/>
  <c r="CQ298" i="65"/>
  <c r="CR417" i="65"/>
  <c r="CQ417" i="65"/>
  <c r="CR45" i="65"/>
  <c r="CQ45" i="65"/>
  <c r="CR173" i="65"/>
  <c r="CQ173" i="65"/>
  <c r="CR397" i="65"/>
  <c r="CQ397" i="65"/>
  <c r="CR287" i="65"/>
  <c r="CQ287" i="65"/>
  <c r="CR511" i="65"/>
  <c r="CQ511" i="65"/>
  <c r="CR285" i="65"/>
  <c r="CQ285" i="65"/>
  <c r="CR509" i="65"/>
  <c r="CQ509" i="65"/>
  <c r="CR437" i="65"/>
  <c r="CQ437" i="65"/>
  <c r="CR213" i="65"/>
  <c r="CQ213" i="65"/>
  <c r="CR409" i="65"/>
  <c r="CQ409" i="65"/>
  <c r="CR473" i="65"/>
  <c r="CQ473" i="65"/>
  <c r="CR516" i="65"/>
  <c r="CQ516" i="65"/>
  <c r="CR50" i="65"/>
  <c r="CQ50" i="65"/>
  <c r="CR282" i="65"/>
  <c r="CQ282" i="65"/>
  <c r="CR346" i="65"/>
  <c r="CQ346" i="65"/>
  <c r="CR493" i="65"/>
  <c r="CQ493" i="65"/>
  <c r="CR303" i="65"/>
  <c r="CQ303" i="65"/>
  <c r="CR399" i="65"/>
  <c r="CQ399" i="65"/>
  <c r="CR495" i="65"/>
  <c r="CQ495" i="65"/>
  <c r="CR540" i="65"/>
  <c r="CQ540" i="65"/>
  <c r="CR521" i="65"/>
  <c r="CQ521" i="65"/>
  <c r="CR524" i="65"/>
  <c r="CQ524" i="65"/>
  <c r="CQ537" i="65"/>
  <c r="CQ534" i="65"/>
  <c r="CQ543" i="65"/>
  <c r="CQ535" i="65"/>
  <c r="CQ533" i="65"/>
  <c r="CR223" i="65"/>
  <c r="CQ223" i="65"/>
  <c r="CQ225" i="65"/>
  <c r="CQ260" i="65"/>
  <c r="CQ284" i="65"/>
  <c r="CQ305" i="65"/>
  <c r="CQ326" i="65"/>
  <c r="CQ348" i="65"/>
  <c r="CQ369" i="65"/>
  <c r="CQ390" i="65"/>
  <c r="CQ412" i="65"/>
  <c r="CQ454" i="65"/>
  <c r="CQ476" i="65"/>
  <c r="CQ119" i="65"/>
  <c r="CQ162" i="65"/>
  <c r="CQ344" i="65"/>
  <c r="CQ472" i="65"/>
  <c r="CQ17" i="65"/>
  <c r="CQ424" i="65"/>
  <c r="CQ12" i="65"/>
  <c r="CQ146" i="65"/>
  <c r="CQ86" i="65"/>
  <c r="CQ321" i="65"/>
  <c r="CQ385" i="65"/>
  <c r="CQ513" i="65"/>
  <c r="CQ66" i="65"/>
  <c r="CQ194" i="65"/>
  <c r="CQ296" i="65"/>
  <c r="CQ418" i="65"/>
  <c r="CQ6" i="65"/>
  <c r="CQ23" i="65"/>
  <c r="CQ39" i="65"/>
  <c r="CQ32" i="65"/>
  <c r="CQ48" i="65"/>
  <c r="CQ64" i="65"/>
  <c r="CQ80" i="65"/>
  <c r="CQ96" i="65"/>
  <c r="CQ112" i="65"/>
  <c r="CQ128" i="65"/>
  <c r="CQ144" i="65"/>
  <c r="CQ160" i="65"/>
  <c r="CQ176" i="65"/>
  <c r="CQ192" i="65"/>
  <c r="CQ208" i="65"/>
  <c r="CQ224" i="65"/>
  <c r="CQ25" i="65"/>
  <c r="CQ51" i="65"/>
  <c r="CQ73" i="65"/>
  <c r="CQ94" i="65"/>
  <c r="CR115" i="65"/>
  <c r="CQ115" i="65"/>
  <c r="CQ137" i="65"/>
  <c r="CR158" i="65"/>
  <c r="CQ158" i="65"/>
  <c r="CQ179" i="65"/>
  <c r="CR222" i="65"/>
  <c r="CQ222" i="65"/>
  <c r="CQ242" i="65"/>
  <c r="CQ258" i="65"/>
  <c r="CQ34" i="65"/>
  <c r="CQ58" i="65"/>
  <c r="CQ79" i="65"/>
  <c r="CQ122" i="65"/>
  <c r="CQ143" i="65"/>
  <c r="CQ186" i="65"/>
  <c r="CQ247" i="65"/>
  <c r="CQ263" i="65"/>
  <c r="CR279" i="65"/>
  <c r="CQ279" i="65"/>
  <c r="CR295" i="65"/>
  <c r="CQ295" i="65"/>
  <c r="CQ311" i="65"/>
  <c r="CQ327" i="65"/>
  <c r="CQ343" i="65"/>
  <c r="CQ359" i="65"/>
  <c r="CQ375" i="65"/>
  <c r="CQ391" i="65"/>
  <c r="CR423" i="65"/>
  <c r="CQ423" i="65"/>
  <c r="CQ439" i="65"/>
  <c r="CQ455" i="65"/>
  <c r="CQ487" i="65"/>
  <c r="CQ503" i="65"/>
  <c r="CQ11" i="65"/>
  <c r="CQ37" i="65"/>
  <c r="CR166" i="65"/>
  <c r="CQ166" i="65"/>
  <c r="CQ209" i="65"/>
  <c r="CQ248" i="65"/>
  <c r="CQ276" i="65"/>
  <c r="CQ318" i="65"/>
  <c r="CQ340" i="65"/>
  <c r="CQ361" i="65"/>
  <c r="CQ382" i="65"/>
  <c r="CQ404" i="65"/>
  <c r="CQ446" i="65"/>
  <c r="CQ510" i="65"/>
  <c r="CQ360" i="65"/>
  <c r="CR402" i="65"/>
  <c r="CQ402" i="65"/>
  <c r="CQ488" i="65"/>
  <c r="CQ38" i="65"/>
  <c r="CQ82" i="65"/>
  <c r="CQ167" i="65"/>
  <c r="CQ210" i="65"/>
  <c r="CQ249" i="65"/>
  <c r="CQ320" i="65"/>
  <c r="CQ384" i="65"/>
  <c r="CQ426" i="65"/>
  <c r="CQ448" i="65"/>
  <c r="CQ490" i="65"/>
  <c r="CQ512" i="65"/>
  <c r="CR14" i="65"/>
  <c r="CQ14" i="65"/>
  <c r="CQ65" i="65"/>
  <c r="CQ107" i="65"/>
  <c r="CQ150" i="65"/>
  <c r="CQ193" i="65"/>
  <c r="CQ235" i="65"/>
  <c r="CQ268" i="65"/>
  <c r="CQ289" i="65"/>
  <c r="CR310" i="65"/>
  <c r="CQ310" i="65"/>
  <c r="CQ332" i="65"/>
  <c r="CQ353" i="65"/>
  <c r="CR374" i="65"/>
  <c r="CQ374" i="65"/>
  <c r="CQ396" i="65"/>
  <c r="CR438" i="65"/>
  <c r="CQ438" i="65"/>
  <c r="CQ460" i="65"/>
  <c r="CR502" i="65"/>
  <c r="CQ502" i="65"/>
  <c r="CQ87" i="65"/>
  <c r="CQ130" i="65"/>
  <c r="CQ215" i="65"/>
  <c r="CQ280" i="65"/>
  <c r="CQ312" i="65"/>
  <c r="CQ354" i="65"/>
  <c r="CQ440" i="65"/>
  <c r="CQ482" i="65"/>
  <c r="CQ24" i="65"/>
  <c r="CQ56" i="65"/>
  <c r="CQ88" i="65"/>
  <c r="CQ120" i="65"/>
  <c r="CQ152" i="65"/>
  <c r="CQ184" i="65"/>
  <c r="CQ216" i="65"/>
  <c r="CQ41" i="65"/>
  <c r="CQ83" i="65"/>
  <c r="CQ126" i="65"/>
  <c r="CQ169" i="65"/>
  <c r="CQ47" i="65"/>
  <c r="CQ111" i="65"/>
  <c r="CQ154" i="65"/>
  <c r="CQ175" i="65"/>
  <c r="CQ447" i="65"/>
  <c r="CQ18" i="65"/>
  <c r="CQ102" i="65"/>
  <c r="CQ264" i="65"/>
  <c r="CQ308" i="65"/>
  <c r="CR350" i="65"/>
  <c r="CQ350" i="65"/>
  <c r="CQ372" i="65"/>
  <c r="CQ414" i="65"/>
  <c r="CQ288" i="65"/>
  <c r="CR352" i="65"/>
  <c r="CQ352" i="65"/>
  <c r="CR501" i="65"/>
  <c r="CQ501" i="65"/>
  <c r="CQ43" i="65"/>
  <c r="CQ129" i="65"/>
  <c r="CQ214" i="65"/>
  <c r="CQ300" i="65"/>
  <c r="CQ342" i="65"/>
  <c r="CQ406" i="65"/>
  <c r="CQ470" i="65"/>
  <c r="CQ376" i="65"/>
  <c r="CQ504" i="65"/>
  <c r="CQ27" i="65"/>
  <c r="CQ20" i="65"/>
  <c r="CQ36" i="65"/>
  <c r="CQ52" i="65"/>
  <c r="CQ68" i="65"/>
  <c r="CQ84" i="65"/>
  <c r="CQ100" i="65"/>
  <c r="CQ116" i="65"/>
  <c r="CQ132" i="65"/>
  <c r="CQ148" i="65"/>
  <c r="CQ164" i="65"/>
  <c r="CQ180" i="65"/>
  <c r="CQ196" i="65"/>
  <c r="CQ212" i="65"/>
  <c r="CQ228" i="65"/>
  <c r="CQ33" i="65"/>
  <c r="CQ57" i="65"/>
  <c r="CR78" i="65"/>
  <c r="CQ78" i="65"/>
  <c r="CQ99" i="65"/>
  <c r="CQ121" i="65"/>
  <c r="CQ142" i="65"/>
  <c r="CQ163" i="65"/>
  <c r="CQ185" i="65"/>
  <c r="CQ206" i="65"/>
  <c r="CQ227" i="65"/>
  <c r="CQ246" i="65"/>
  <c r="CQ262" i="65"/>
  <c r="CQ42" i="65"/>
  <c r="CQ63" i="65"/>
  <c r="CQ85" i="65"/>
  <c r="CQ106" i="65"/>
  <c r="CQ127" i="65"/>
  <c r="CQ149" i="65"/>
  <c r="CQ170" i="65"/>
  <c r="CQ191" i="65"/>
  <c r="CR251" i="65"/>
  <c r="CQ251" i="65"/>
  <c r="CR267" i="65"/>
  <c r="CQ267" i="65"/>
  <c r="CQ283" i="65"/>
  <c r="CQ331" i="65"/>
  <c r="CQ347" i="65"/>
  <c r="CQ363" i="65"/>
  <c r="CR395" i="65"/>
  <c r="CQ395" i="65"/>
  <c r="CQ411" i="65"/>
  <c r="CQ427" i="65"/>
  <c r="CQ459" i="65"/>
  <c r="CQ475" i="65"/>
  <c r="CQ491" i="65"/>
  <c r="CR507" i="65"/>
  <c r="CQ507" i="65"/>
  <c r="CQ15" i="65"/>
  <c r="CQ49" i="65"/>
  <c r="CQ91" i="65"/>
  <c r="CQ134" i="65"/>
  <c r="CQ177" i="65"/>
  <c r="CQ219" i="65"/>
  <c r="CQ256" i="65"/>
  <c r="CQ281" i="65"/>
  <c r="CR302" i="65"/>
  <c r="CQ302" i="65"/>
  <c r="CQ324" i="65"/>
  <c r="CQ345" i="65"/>
  <c r="CR366" i="65"/>
  <c r="CQ366" i="65"/>
  <c r="CQ388" i="65"/>
  <c r="CR430" i="65"/>
  <c r="CQ430" i="65"/>
  <c r="CR494" i="65"/>
  <c r="CQ494" i="65"/>
  <c r="CR5" i="65"/>
  <c r="CQ5" i="65"/>
  <c r="CQ328" i="65"/>
  <c r="CQ370" i="65"/>
  <c r="CQ456" i="65"/>
  <c r="CQ498" i="65"/>
  <c r="CQ304" i="65"/>
  <c r="CQ368" i="65"/>
  <c r="CQ410" i="65"/>
  <c r="CQ432" i="65"/>
  <c r="CQ474" i="65"/>
  <c r="CQ496" i="65"/>
  <c r="CQ517" i="65"/>
  <c r="CQ75" i="65"/>
  <c r="CQ118" i="65"/>
  <c r="CQ161" i="65"/>
  <c r="CQ203" i="65"/>
  <c r="CQ244" i="65"/>
  <c r="CR294" i="65"/>
  <c r="CQ294" i="65"/>
  <c r="CQ316" i="65"/>
  <c r="CQ337" i="65"/>
  <c r="CQ380" i="65"/>
  <c r="CQ444" i="65"/>
  <c r="CQ465" i="65"/>
  <c r="CQ508" i="65"/>
  <c r="CQ10" i="65"/>
  <c r="CQ55" i="65"/>
  <c r="CQ98" i="65"/>
  <c r="CQ183" i="65"/>
  <c r="CQ226" i="65"/>
  <c r="CQ290" i="65"/>
  <c r="CR322" i="65"/>
  <c r="CQ322" i="65"/>
  <c r="CR408" i="65"/>
  <c r="CQ408" i="65"/>
  <c r="CQ31" i="65"/>
  <c r="CQ40" i="65"/>
  <c r="CQ72" i="65"/>
  <c r="CQ104" i="65"/>
  <c r="CQ136" i="65"/>
  <c r="CR168" i="65"/>
  <c r="CQ168" i="65"/>
  <c r="CQ200" i="65"/>
  <c r="CR232" i="65"/>
  <c r="CQ232" i="65"/>
  <c r="CQ62" i="65"/>
  <c r="CQ105" i="65"/>
  <c r="CR147" i="65"/>
  <c r="CQ147" i="65"/>
  <c r="CR190" i="65"/>
  <c r="CQ190" i="65"/>
  <c r="CQ233" i="65"/>
  <c r="CQ69" i="65"/>
  <c r="CQ90" i="65"/>
  <c r="CQ133" i="65"/>
  <c r="CQ431" i="65"/>
  <c r="CR230" i="65"/>
  <c r="CQ230" i="65"/>
  <c r="CQ286" i="65"/>
  <c r="CQ393" i="65"/>
  <c r="CQ436" i="65"/>
  <c r="CR478" i="65"/>
  <c r="CQ478" i="65"/>
  <c r="CR338" i="65"/>
  <c r="CQ338" i="65"/>
  <c r="CR466" i="65"/>
  <c r="CQ466" i="65"/>
  <c r="CQ103" i="65"/>
  <c r="CQ231" i="65"/>
  <c r="CQ416" i="65"/>
  <c r="CR480" i="65"/>
  <c r="CQ480" i="65"/>
  <c r="CQ171" i="65"/>
  <c r="CQ278" i="65"/>
  <c r="CQ364" i="65"/>
  <c r="CQ428" i="65"/>
  <c r="CQ492" i="65"/>
  <c r="CQ16" i="65"/>
  <c r="CQ151" i="65"/>
  <c r="CS403" i="65"/>
  <c r="CS419" i="65"/>
  <c r="CS435" i="65"/>
  <c r="CS451" i="65"/>
  <c r="CS467" i="65"/>
  <c r="CS483" i="65"/>
  <c r="CS499" i="65"/>
  <c r="CS21" i="65"/>
  <c r="CS70" i="65"/>
  <c r="CS113" i="65"/>
  <c r="CS155" i="65"/>
  <c r="CS198" i="65"/>
  <c r="CS240" i="65"/>
  <c r="CS270" i="65"/>
  <c r="CS292" i="65"/>
  <c r="CS313" i="65"/>
  <c r="CS334" i="65"/>
  <c r="CS356" i="65"/>
  <c r="CS377" i="65"/>
  <c r="CS398" i="65"/>
  <c r="CS420" i="65"/>
  <c r="CS462" i="65"/>
  <c r="CS8" i="65"/>
  <c r="CS306" i="65"/>
  <c r="CS392" i="65"/>
  <c r="CS434" i="65"/>
  <c r="CS22" i="65"/>
  <c r="CS241" i="65"/>
  <c r="CS272" i="65"/>
  <c r="CS336" i="65"/>
  <c r="CS400" i="65"/>
  <c r="CS442" i="65"/>
  <c r="CS464" i="65"/>
  <c r="CS506" i="65"/>
  <c r="CS9" i="65"/>
  <c r="CS54" i="65"/>
  <c r="CS97" i="65"/>
  <c r="CS139" i="65"/>
  <c r="CS182" i="65"/>
  <c r="CS225" i="65"/>
  <c r="CS260" i="65"/>
  <c r="CS284" i="65"/>
  <c r="CS305" i="65"/>
  <c r="CS326" i="65"/>
  <c r="CS348" i="65"/>
  <c r="CS369" i="65"/>
  <c r="CS390" i="65"/>
  <c r="CS412" i="65"/>
  <c r="CS454" i="65"/>
  <c r="CS476" i="65"/>
  <c r="CS30" i="65"/>
  <c r="CS119" i="65"/>
  <c r="CS162" i="65"/>
  <c r="CS274" i="65"/>
  <c r="CS344" i="65"/>
  <c r="CQ386" i="65"/>
  <c r="CS472" i="65"/>
  <c r="CR514" i="65"/>
  <c r="CQ514" i="65"/>
  <c r="CS17" i="65"/>
  <c r="CS424" i="65"/>
  <c r="CS12" i="65"/>
  <c r="CS146" i="65"/>
  <c r="CQ265" i="65"/>
  <c r="CR458" i="65"/>
  <c r="CQ458" i="65"/>
  <c r="CS86" i="65"/>
  <c r="CS252" i="65"/>
  <c r="CS321" i="65"/>
  <c r="CS385" i="65"/>
  <c r="CS513" i="65"/>
  <c r="CS66" i="65"/>
  <c r="CS194" i="65"/>
  <c r="CS296" i="65"/>
  <c r="CS418" i="65"/>
  <c r="CS6" i="65"/>
  <c r="CS23" i="65"/>
  <c r="CS39" i="65"/>
  <c r="CS32" i="65"/>
  <c r="CS48" i="65"/>
  <c r="CS64" i="65"/>
  <c r="CS80" i="65"/>
  <c r="CS96" i="65"/>
  <c r="CS112" i="65"/>
  <c r="CS128" i="65"/>
  <c r="CS144" i="65"/>
  <c r="CS160" i="65"/>
  <c r="CS176" i="65"/>
  <c r="CS192" i="65"/>
  <c r="CS208" i="65"/>
  <c r="CS224" i="65"/>
  <c r="CS25" i="65"/>
  <c r="CS51" i="65"/>
  <c r="CS73" i="65"/>
  <c r="CS94" i="65"/>
  <c r="CS115" i="65"/>
  <c r="CS137" i="65"/>
  <c r="CS158" i="65"/>
  <c r="CS179" i="65"/>
  <c r="CR201" i="65"/>
  <c r="CQ201" i="65"/>
  <c r="CS222" i="65"/>
  <c r="CS242" i="65"/>
  <c r="CS258" i="65"/>
  <c r="CS34" i="65"/>
  <c r="CS58" i="65"/>
  <c r="CS79" i="65"/>
  <c r="CR101" i="65"/>
  <c r="CQ101" i="65"/>
  <c r="CS122" i="65"/>
  <c r="CS143" i="65"/>
  <c r="CR165" i="65"/>
  <c r="CQ165" i="65"/>
  <c r="CS186" i="65"/>
  <c r="CS247" i="65"/>
  <c r="CS263" i="65"/>
  <c r="CS279" i="65"/>
  <c r="CS295" i="65"/>
  <c r="CS311" i="65"/>
  <c r="CS327" i="65"/>
  <c r="CS343" i="65"/>
  <c r="CS359" i="65"/>
  <c r="CS375" i="65"/>
  <c r="CS391" i="65"/>
  <c r="CR407" i="65"/>
  <c r="CQ407" i="65"/>
  <c r="CS423" i="65"/>
  <c r="CS439" i="65"/>
  <c r="CS455" i="65"/>
  <c r="CQ471" i="65"/>
  <c r="CS487" i="65"/>
  <c r="CS503" i="65"/>
  <c r="CS11" i="65"/>
  <c r="CS37" i="65"/>
  <c r="CR81" i="65"/>
  <c r="CQ81" i="65"/>
  <c r="CR123" i="65"/>
  <c r="CQ123" i="65"/>
  <c r="CS166" i="65"/>
  <c r="CS209" i="65"/>
  <c r="CS248" i="65"/>
  <c r="CS276" i="65"/>
  <c r="CQ297" i="65"/>
  <c r="CS318" i="65"/>
  <c r="CS340" i="65"/>
  <c r="CS361" i="65"/>
  <c r="CS382" i="65"/>
  <c r="CS404" i="65"/>
  <c r="CS446" i="65"/>
  <c r="CS510" i="65"/>
  <c r="CS360" i="65"/>
  <c r="CS402" i="65"/>
  <c r="CS488" i="65"/>
  <c r="CS38" i="65"/>
  <c r="CS82" i="65"/>
  <c r="CS362" i="65"/>
  <c r="CR211" i="65"/>
  <c r="CQ211" i="65"/>
  <c r="CQ415" i="65"/>
  <c r="CR187" i="65"/>
  <c r="CQ187" i="65"/>
  <c r="CS142" i="65"/>
  <c r="CS163" i="65"/>
  <c r="CS185" i="65"/>
  <c r="CS206" i="65"/>
  <c r="CS42" i="65"/>
  <c r="CS85" i="65"/>
  <c r="CS106" i="65"/>
  <c r="CS127" i="65"/>
  <c r="CS267" i="65"/>
  <c r="CS283" i="65"/>
  <c r="CQ299" i="65"/>
  <c r="CR315" i="65"/>
  <c r="CQ315" i="65"/>
  <c r="CS331" i="65"/>
  <c r="CS347" i="65"/>
  <c r="CS363" i="65"/>
  <c r="CR379" i="65"/>
  <c r="CQ379" i="65"/>
  <c r="CS395" i="65"/>
  <c r="CS411" i="65"/>
  <c r="CS427" i="65"/>
  <c r="CR443" i="65"/>
  <c r="CQ443" i="65"/>
  <c r="CS459" i="65"/>
  <c r="CS507" i="65"/>
  <c r="CR257" i="65"/>
  <c r="CQ257" i="65"/>
  <c r="CR273" i="65"/>
  <c r="CQ273" i="65"/>
  <c r="CQ358" i="65"/>
  <c r="CR401" i="65"/>
  <c r="CQ401" i="65"/>
  <c r="CR422" i="65"/>
  <c r="CQ422" i="65"/>
  <c r="CQ486" i="65"/>
  <c r="CR450" i="65"/>
  <c r="CQ450" i="65"/>
  <c r="CQ197" i="65"/>
  <c r="CQ59" i="65"/>
  <c r="CR145" i="65"/>
  <c r="CQ145" i="65"/>
  <c r="CR329" i="65"/>
  <c r="CQ329" i="65"/>
  <c r="CR71" i="65"/>
  <c r="CQ71" i="65"/>
  <c r="CR394" i="65"/>
  <c r="CQ394" i="65"/>
  <c r="CQ362" i="65"/>
  <c r="CQ319" i="65"/>
  <c r="CQ234" i="65"/>
  <c r="CQ178" i="65"/>
  <c r="CQ463" i="65"/>
  <c r="CS519" i="65"/>
  <c r="CS523" i="65"/>
  <c r="CS527" i="65"/>
  <c r="CR520" i="65"/>
  <c r="CR518" i="65"/>
  <c r="CR538" i="65"/>
  <c r="CR532" i="65"/>
  <c r="CR544" i="65"/>
  <c r="CR19" i="65"/>
  <c r="CR28" i="65"/>
  <c r="CR44" i="65"/>
  <c r="CR60" i="65"/>
  <c r="CR76" i="65"/>
  <c r="CR92" i="65"/>
  <c r="CR108" i="65"/>
  <c r="CR124" i="65"/>
  <c r="CR140" i="65"/>
  <c r="CR156" i="65"/>
  <c r="CR172" i="65"/>
  <c r="CR188" i="65"/>
  <c r="CR204" i="65"/>
  <c r="CR220" i="65"/>
  <c r="CR236" i="65"/>
  <c r="CR46" i="65"/>
  <c r="CR67" i="65"/>
  <c r="CR89" i="65"/>
  <c r="CR110" i="65"/>
  <c r="CR131" i="65"/>
  <c r="CR153" i="65"/>
  <c r="CR174" i="65"/>
  <c r="CR195" i="65"/>
  <c r="CR217" i="65"/>
  <c r="CR238" i="65"/>
  <c r="CR254" i="65"/>
  <c r="CR26" i="65"/>
  <c r="CR53" i="65"/>
  <c r="CR74" i="65"/>
  <c r="CR95" i="65"/>
  <c r="CS117" i="65"/>
  <c r="CR138" i="65"/>
  <c r="CR159" i="65"/>
  <c r="CS181" i="65"/>
  <c r="CR202" i="65"/>
  <c r="CS243" i="65"/>
  <c r="CR259" i="65"/>
  <c r="CR275" i="65"/>
  <c r="CR291" i="65"/>
  <c r="CS307" i="65"/>
  <c r="CR323" i="65"/>
  <c r="CS339" i="65"/>
  <c r="CR355" i="65"/>
  <c r="CR371" i="65"/>
  <c r="CR387" i="65"/>
  <c r="CR403" i="65"/>
  <c r="CR419" i="65"/>
  <c r="CR435" i="65"/>
  <c r="CR451" i="65"/>
  <c r="CR467" i="65"/>
  <c r="CR483" i="65"/>
  <c r="CR499" i="65"/>
  <c r="CR21" i="65"/>
  <c r="CR70" i="65"/>
  <c r="CR113" i="65"/>
  <c r="CR155" i="65"/>
  <c r="CR198" i="65"/>
  <c r="CR240" i="65"/>
  <c r="CR270" i="65"/>
  <c r="CR292" i="65"/>
  <c r="CR313" i="65"/>
  <c r="CR334" i="65"/>
  <c r="CR356" i="65"/>
  <c r="CR377" i="65"/>
  <c r="CR398" i="65"/>
  <c r="CR420" i="65"/>
  <c r="CR462" i="65"/>
  <c r="CR8" i="65"/>
  <c r="CR306" i="65"/>
  <c r="CR392" i="65"/>
  <c r="CR434" i="65"/>
  <c r="CR22" i="65"/>
  <c r="CR241" i="65"/>
  <c r="CR272" i="65"/>
  <c r="CR336" i="65"/>
  <c r="CR400" i="65"/>
  <c r="CR442" i="65"/>
  <c r="CR464" i="65"/>
  <c r="CR506" i="65"/>
  <c r="CR9" i="65"/>
  <c r="CR54" i="65"/>
  <c r="CR97" i="65"/>
  <c r="CR139" i="65"/>
  <c r="CR182" i="65"/>
  <c r="CR225" i="65"/>
  <c r="CR260" i="65"/>
  <c r="CR284" i="65"/>
  <c r="CR305" i="65"/>
  <c r="CR326" i="65"/>
  <c r="CR348" i="65"/>
  <c r="CR369" i="65"/>
  <c r="CR390" i="65"/>
  <c r="CR412" i="65"/>
  <c r="CR454" i="65"/>
  <c r="CR476" i="65"/>
  <c r="CR30" i="65"/>
  <c r="CR119" i="65"/>
  <c r="CR162" i="65"/>
  <c r="CR274" i="65"/>
  <c r="CR344" i="65"/>
  <c r="CS386" i="65"/>
  <c r="CS429" i="65"/>
  <c r="CR472" i="65"/>
  <c r="CS514" i="65"/>
  <c r="CR17" i="65"/>
  <c r="CR424" i="65"/>
  <c r="CR12" i="65"/>
  <c r="CR146" i="65"/>
  <c r="CS265" i="65"/>
  <c r="CR86" i="65"/>
  <c r="CR252" i="65"/>
  <c r="CR321" i="65"/>
  <c r="CR385" i="65"/>
  <c r="CR513" i="65"/>
  <c r="CR66" i="65"/>
  <c r="CR194" i="65"/>
  <c r="CR296" i="65"/>
  <c r="CR418" i="65"/>
  <c r="CR6" i="65"/>
  <c r="CR23" i="65"/>
  <c r="CR39" i="65"/>
  <c r="CR32" i="65"/>
  <c r="CR48" i="65"/>
  <c r="CR64" i="65"/>
  <c r="CR80" i="65"/>
  <c r="CR96" i="65"/>
  <c r="CR112" i="65"/>
  <c r="CR128" i="65"/>
  <c r="CR144" i="65"/>
  <c r="CR160" i="65"/>
  <c r="CR176" i="65"/>
  <c r="CR192" i="65"/>
  <c r="CR208" i="65"/>
  <c r="CR224" i="65"/>
  <c r="CR25" i="65"/>
  <c r="CR51" i="65"/>
  <c r="CR73" i="65"/>
  <c r="CR94" i="65"/>
  <c r="CR137" i="65"/>
  <c r="CR179" i="65"/>
  <c r="CR242" i="65"/>
  <c r="CR258" i="65"/>
  <c r="CR34" i="65"/>
  <c r="CR58" i="65"/>
  <c r="CR79" i="65"/>
  <c r="CR122" i="65"/>
  <c r="CR143" i="65"/>
  <c r="CR186" i="65"/>
  <c r="CS229" i="65"/>
  <c r="CR247" i="65"/>
  <c r="CR263" i="65"/>
  <c r="CR311" i="65"/>
  <c r="CR327" i="65"/>
  <c r="CR343" i="65"/>
  <c r="CR359" i="65"/>
  <c r="CR375" i="65"/>
  <c r="CR391" i="65"/>
  <c r="CS407" i="65"/>
  <c r="CR439" i="65"/>
  <c r="CR455" i="65"/>
  <c r="CS471" i="65"/>
  <c r="CR487" i="65"/>
  <c r="CR503" i="65"/>
  <c r="CR11" i="65"/>
  <c r="CR37" i="65"/>
  <c r="CR209" i="65"/>
  <c r="CR248" i="65"/>
  <c r="CR276" i="65"/>
  <c r="CS297" i="65"/>
  <c r="CR318" i="65"/>
  <c r="CR340" i="65"/>
  <c r="CR361" i="65"/>
  <c r="CR382" i="65"/>
  <c r="CR404" i="65"/>
  <c r="CR446" i="65"/>
  <c r="CR510" i="65"/>
  <c r="CR360" i="65"/>
  <c r="CR488" i="65"/>
  <c r="CR38" i="65"/>
  <c r="CR82" i="65"/>
  <c r="CR167" i="65"/>
  <c r="CS531" i="65"/>
  <c r="CR530" i="65"/>
  <c r="CR181" i="65"/>
  <c r="CR243" i="65"/>
  <c r="CR339" i="65"/>
  <c r="CS515" i="65"/>
  <c r="CS441" i="65"/>
  <c r="CS484" i="65"/>
  <c r="CS505" i="65"/>
  <c r="CS349" i="65"/>
  <c r="CS477" i="65"/>
  <c r="CS114" i="65"/>
  <c r="CS157" i="65"/>
  <c r="CS199" i="65"/>
  <c r="CS314" i="65"/>
  <c r="CS357" i="65"/>
  <c r="CS378" i="65"/>
  <c r="CS421" i="65"/>
  <c r="CS485" i="65"/>
  <c r="CS433" i="65"/>
  <c r="CS497" i="65"/>
  <c r="CS77" i="65"/>
  <c r="CS205" i="65"/>
  <c r="CS245" i="65"/>
  <c r="CS301" i="65"/>
  <c r="CR386" i="65"/>
  <c r="CR265" i="65"/>
  <c r="CS330" i="65"/>
  <c r="CS449" i="65"/>
  <c r="CS207" i="65"/>
  <c r="CR471" i="65"/>
  <c r="CR297" i="65"/>
  <c r="CS425" i="65"/>
  <c r="CS468" i="65"/>
  <c r="CS489" i="65"/>
  <c r="CS13" i="65"/>
  <c r="CS317" i="65"/>
  <c r="CS445" i="65"/>
  <c r="CR522" i="65"/>
  <c r="CR537" i="65"/>
  <c r="CR534" i="65"/>
  <c r="CR117" i="65"/>
  <c r="CS7" i="65"/>
  <c r="CS293" i="65"/>
  <c r="CR543" i="65"/>
  <c r="CR535" i="65"/>
  <c r="CR533" i="65"/>
  <c r="CR210" i="65"/>
  <c r="CR249" i="65"/>
  <c r="CR320" i="65"/>
  <c r="CS341" i="65"/>
  <c r="CR384" i="65"/>
  <c r="CR426" i="65"/>
  <c r="CR448" i="65"/>
  <c r="CR490" i="65"/>
  <c r="CR512" i="65"/>
  <c r="CR65" i="65"/>
  <c r="CR107" i="65"/>
  <c r="CR150" i="65"/>
  <c r="CR193" i="65"/>
  <c r="CR235" i="65"/>
  <c r="CR268" i="65"/>
  <c r="CR289" i="65"/>
  <c r="CR332" i="65"/>
  <c r="CR353" i="65"/>
  <c r="CR396" i="65"/>
  <c r="CR460" i="65"/>
  <c r="CR87" i="65"/>
  <c r="CR130" i="65"/>
  <c r="CR215" i="65"/>
  <c r="CR280" i="65"/>
  <c r="CR312" i="65"/>
  <c r="CR354" i="65"/>
  <c r="CR440" i="65"/>
  <c r="CR482" i="65"/>
  <c r="CR24" i="65"/>
  <c r="CR56" i="65"/>
  <c r="CR88" i="65"/>
  <c r="CR120" i="65"/>
  <c r="CR152" i="65"/>
  <c r="CR184" i="65"/>
  <c r="CR216" i="65"/>
  <c r="CR41" i="65"/>
  <c r="CR83" i="65"/>
  <c r="CR126" i="65"/>
  <c r="CR169" i="65"/>
  <c r="CR47" i="65"/>
  <c r="CR111" i="65"/>
  <c r="CR154" i="65"/>
  <c r="CR175" i="65"/>
  <c r="CS351" i="65"/>
  <c r="CR447" i="65"/>
  <c r="CR18" i="65"/>
  <c r="CR102" i="65"/>
  <c r="CR264" i="65"/>
  <c r="CR308" i="65"/>
  <c r="CR372" i="65"/>
  <c r="CR414" i="65"/>
  <c r="CS285" i="65"/>
  <c r="CR288" i="65"/>
  <c r="CS437" i="65"/>
  <c r="CR43" i="65"/>
  <c r="CR129" i="65"/>
  <c r="CR214" i="65"/>
  <c r="CR300" i="65"/>
  <c r="CR342" i="65"/>
  <c r="CR406" i="65"/>
  <c r="CR470" i="65"/>
  <c r="CR376" i="65"/>
  <c r="CR504" i="65"/>
  <c r="CR27" i="65"/>
  <c r="CR20" i="65"/>
  <c r="CR36" i="65"/>
  <c r="CR52" i="65"/>
  <c r="CR68" i="65"/>
  <c r="CR84" i="65"/>
  <c r="CR100" i="65"/>
  <c r="CR116" i="65"/>
  <c r="CR132" i="65"/>
  <c r="CR148" i="65"/>
  <c r="CR164" i="65"/>
  <c r="CR180" i="65"/>
  <c r="CR196" i="65"/>
  <c r="CR212" i="65"/>
  <c r="CR228" i="65"/>
  <c r="CR33" i="65"/>
  <c r="CR57" i="65"/>
  <c r="CR99" i="65"/>
  <c r="CR121" i="65"/>
  <c r="CR142" i="65"/>
  <c r="CR163" i="65"/>
  <c r="CR185" i="65"/>
  <c r="CR206" i="65"/>
  <c r="CR227" i="65"/>
  <c r="CR246" i="65"/>
  <c r="CR262" i="65"/>
  <c r="CR42" i="65"/>
  <c r="CR63" i="65"/>
  <c r="CR85" i="65"/>
  <c r="CR106" i="65"/>
  <c r="CR127" i="65"/>
  <c r="CR149" i="65"/>
  <c r="CR170" i="65"/>
  <c r="CR191" i="65"/>
  <c r="CS213" i="65"/>
  <c r="CR283" i="65"/>
  <c r="CS299" i="65"/>
  <c r="CR331" i="65"/>
  <c r="CR347" i="65"/>
  <c r="CR363" i="65"/>
  <c r="CS379" i="65"/>
  <c r="CR411" i="65"/>
  <c r="CR427" i="65"/>
  <c r="CR459" i="65"/>
  <c r="CR475" i="65"/>
  <c r="CR491" i="65"/>
  <c r="CR15" i="65"/>
  <c r="CR49" i="65"/>
  <c r="CR91" i="65"/>
  <c r="CR134" i="65"/>
  <c r="CR177" i="65"/>
  <c r="CR219" i="65"/>
  <c r="CR256" i="65"/>
  <c r="CR281" i="65"/>
  <c r="CR324" i="65"/>
  <c r="CR345" i="65"/>
  <c r="CR388" i="65"/>
  <c r="CR328" i="65"/>
  <c r="CR370" i="65"/>
  <c r="CR456" i="65"/>
  <c r="CR498" i="65"/>
  <c r="CR304" i="65"/>
  <c r="CR368" i="65"/>
  <c r="CR410" i="65"/>
  <c r="CR432" i="65"/>
  <c r="CR474" i="65"/>
  <c r="CR496" i="65"/>
  <c r="CR517" i="65"/>
  <c r="CR75" i="65"/>
  <c r="CR118" i="65"/>
  <c r="CR161" i="65"/>
  <c r="CR203" i="65"/>
  <c r="CR244" i="65"/>
  <c r="CR316" i="65"/>
  <c r="CR337" i="65"/>
  <c r="CS358" i="65"/>
  <c r="CR380" i="65"/>
  <c r="CS422" i="65"/>
  <c r="CR444" i="65"/>
  <c r="CR465" i="65"/>
  <c r="CS486" i="65"/>
  <c r="CR508" i="65"/>
  <c r="CR10" i="65"/>
  <c r="CR55" i="65"/>
  <c r="CR98" i="65"/>
  <c r="CR183" i="65"/>
  <c r="CR226" i="65"/>
  <c r="CR290" i="65"/>
  <c r="CS365" i="65"/>
  <c r="CS450" i="65"/>
  <c r="CS493" i="65"/>
  <c r="CR31" i="65"/>
  <c r="CR40" i="65"/>
  <c r="CR72" i="65"/>
  <c r="CR104" i="65"/>
  <c r="CR136" i="65"/>
  <c r="CR200" i="65"/>
  <c r="CR62" i="65"/>
  <c r="CR105" i="65"/>
  <c r="CR233" i="65"/>
  <c r="CR69" i="65"/>
  <c r="CR90" i="65"/>
  <c r="CR133" i="65"/>
  <c r="CS197" i="65"/>
  <c r="CR431" i="65"/>
  <c r="CS59" i="65"/>
  <c r="CR286" i="65"/>
  <c r="CR393" i="65"/>
  <c r="CR436" i="65"/>
  <c r="CR103" i="65"/>
  <c r="CR231" i="65"/>
  <c r="CS373" i="65"/>
  <c r="CR416" i="65"/>
  <c r="CR171" i="65"/>
  <c r="CR278" i="65"/>
  <c r="CR364" i="65"/>
  <c r="CR428" i="65"/>
  <c r="CR492" i="65"/>
  <c r="CR16" i="65"/>
  <c r="CR151" i="65"/>
  <c r="CS125" i="65"/>
  <c r="CS167" i="65"/>
  <c r="CS210" i="65"/>
  <c r="CS249" i="65"/>
  <c r="CS277" i="65"/>
  <c r="CS298" i="65"/>
  <c r="CS320" i="65"/>
  <c r="CS384" i="65"/>
  <c r="CS405" i="65"/>
  <c r="CS426" i="65"/>
  <c r="CS448" i="65"/>
  <c r="CS469" i="65"/>
  <c r="CS490" i="65"/>
  <c r="CS512" i="65"/>
  <c r="CS14" i="65"/>
  <c r="CS65" i="65"/>
  <c r="CS107" i="65"/>
  <c r="CS150" i="65"/>
  <c r="CS193" i="65"/>
  <c r="CS235" i="65"/>
  <c r="CS268" i="65"/>
  <c r="CS289" i="65"/>
  <c r="CS310" i="65"/>
  <c r="CS332" i="65"/>
  <c r="CS353" i="65"/>
  <c r="CS374" i="65"/>
  <c r="CS396" i="65"/>
  <c r="CS417" i="65"/>
  <c r="CS438" i="65"/>
  <c r="CS460" i="65"/>
  <c r="CS481" i="65"/>
  <c r="CS502" i="65"/>
  <c r="CS45" i="65"/>
  <c r="CS87" i="65"/>
  <c r="CS130" i="65"/>
  <c r="CS173" i="65"/>
  <c r="CS215" i="65"/>
  <c r="CS253" i="65"/>
  <c r="CS280" i="65"/>
  <c r="CS312" i="65"/>
  <c r="CS354" i="65"/>
  <c r="CS397" i="65"/>
  <c r="CS440" i="65"/>
  <c r="CS482" i="65"/>
  <c r="CS24" i="65"/>
  <c r="CS56" i="65"/>
  <c r="CS88" i="65"/>
  <c r="CS120" i="65"/>
  <c r="CS152" i="65"/>
  <c r="CS184" i="65"/>
  <c r="CS216" i="65"/>
  <c r="CS41" i="65"/>
  <c r="CS83" i="65"/>
  <c r="CS126" i="65"/>
  <c r="CS169" i="65"/>
  <c r="CS250" i="65"/>
  <c r="CS47" i="65"/>
  <c r="CS111" i="65"/>
  <c r="CS154" i="65"/>
  <c r="CS175" i="65"/>
  <c r="CS218" i="65"/>
  <c r="CS255" i="65"/>
  <c r="CS287" i="65"/>
  <c r="CS383" i="65"/>
  <c r="CR415" i="65"/>
  <c r="CS447" i="65"/>
  <c r="CS479" i="65"/>
  <c r="CS511" i="65"/>
  <c r="CS18" i="65"/>
  <c r="CS102" i="65"/>
  <c r="CS264" i="65"/>
  <c r="CS308" i="65"/>
  <c r="CS350" i="65"/>
  <c r="CS372" i="65"/>
  <c r="CS414" i="65"/>
  <c r="CS457" i="65"/>
  <c r="CS500" i="65"/>
  <c r="CS381" i="65"/>
  <c r="CS509" i="65"/>
  <c r="CS61" i="65"/>
  <c r="CS189" i="65"/>
  <c r="CS288" i="65"/>
  <c r="CS352" i="65"/>
  <c r="CS43" i="65"/>
  <c r="CS129" i="65"/>
  <c r="CS214" i="65"/>
  <c r="CS300" i="65"/>
  <c r="CS342" i="65"/>
  <c r="CS406" i="65"/>
  <c r="CS470" i="65"/>
  <c r="CS109" i="65"/>
  <c r="CS269" i="65"/>
  <c r="CS376" i="65"/>
  <c r="CS504" i="65"/>
  <c r="CS27" i="65"/>
  <c r="CS20" i="65"/>
  <c r="CS36" i="65"/>
  <c r="CS52" i="65"/>
  <c r="CS68" i="65"/>
  <c r="CS84" i="65"/>
  <c r="CS100" i="65"/>
  <c r="CS116" i="65"/>
  <c r="CS132" i="65"/>
  <c r="CS148" i="65"/>
  <c r="CS164" i="65"/>
  <c r="CS180" i="65"/>
  <c r="CS196" i="65"/>
  <c r="CS212" i="65"/>
  <c r="CS228" i="65"/>
  <c r="CS33" i="65"/>
  <c r="CS57" i="65"/>
  <c r="CS78" i="65"/>
  <c r="CS99" i="65"/>
  <c r="CS121" i="65"/>
  <c r="CS227" i="65"/>
  <c r="CS246" i="65"/>
  <c r="CS262" i="65"/>
  <c r="CS63" i="65"/>
  <c r="CS149" i="65"/>
  <c r="CS170" i="65"/>
  <c r="CS191" i="65"/>
  <c r="CS251" i="65"/>
  <c r="CR299" i="65"/>
  <c r="CS409" i="65"/>
  <c r="CS452" i="65"/>
  <c r="CS473" i="65"/>
  <c r="CS516" i="65"/>
  <c r="CS413" i="65"/>
  <c r="CS50" i="65"/>
  <c r="CS93" i="65"/>
  <c r="CS135" i="65"/>
  <c r="CS221" i="65"/>
  <c r="CS282" i="65"/>
  <c r="CS325" i="65"/>
  <c r="CS346" i="65"/>
  <c r="CS389" i="65"/>
  <c r="CS453" i="65"/>
  <c r="CS29" i="65"/>
  <c r="CR358" i="65"/>
  <c r="CR486" i="65"/>
  <c r="CS141" i="65"/>
  <c r="CS261" i="65"/>
  <c r="CS266" i="65"/>
  <c r="CR197" i="65"/>
  <c r="CS239" i="65"/>
  <c r="CS271" i="65"/>
  <c r="CS303" i="65"/>
  <c r="CS335" i="65"/>
  <c r="CS367" i="65"/>
  <c r="CS399" i="65"/>
  <c r="CS495" i="65"/>
  <c r="CR59" i="65"/>
  <c r="CS309" i="65"/>
  <c r="CS237" i="65"/>
  <c r="CS333" i="65"/>
  <c r="CS461" i="65"/>
  <c r="CS526" i="65"/>
  <c r="CS528" i="65"/>
  <c r="CS540" i="65"/>
  <c r="CS541" i="65"/>
  <c r="CS543" i="65"/>
  <c r="CS522" i="65"/>
  <c r="CS535" i="65"/>
  <c r="CS530" i="65"/>
  <c r="CS524" i="65"/>
  <c r="CS525" i="65"/>
  <c r="CS537" i="65"/>
  <c r="CS536" i="65"/>
  <c r="CS542" i="65"/>
  <c r="CS534" i="65"/>
  <c r="CR362" i="65"/>
  <c r="CR319" i="65"/>
  <c r="CS415" i="65"/>
  <c r="CR234" i="65"/>
  <c r="CS443" i="65"/>
  <c r="CR178" i="65"/>
  <c r="CR463" i="65"/>
  <c r="DD528" i="65"/>
  <c r="DD541" i="65"/>
  <c r="DD525" i="65"/>
  <c r="DD536" i="65"/>
  <c r="DD542" i="65"/>
  <c r="DD515" i="65"/>
  <c r="DD7" i="65"/>
  <c r="DD441" i="65"/>
  <c r="DD484" i="65"/>
  <c r="DD505" i="65"/>
  <c r="DD349" i="65"/>
  <c r="DD477" i="65"/>
  <c r="DD114" i="65"/>
  <c r="DD157" i="65"/>
  <c r="DD199" i="65"/>
  <c r="DD293" i="65"/>
  <c r="DD314" i="65"/>
  <c r="DD357" i="65"/>
  <c r="DD378" i="65"/>
  <c r="DD421" i="65"/>
  <c r="DD485" i="65"/>
  <c r="DD433" i="65"/>
  <c r="DD497" i="65"/>
  <c r="DD77" i="65"/>
  <c r="DD205" i="65"/>
  <c r="DD245" i="65"/>
  <c r="DD301" i="65"/>
  <c r="DD429" i="65"/>
  <c r="DD330" i="65"/>
  <c r="DD449" i="65"/>
  <c r="DD207" i="65"/>
  <c r="DD229" i="65"/>
  <c r="DD425" i="65"/>
  <c r="DD468" i="65"/>
  <c r="DD489" i="65"/>
  <c r="DD13" i="65"/>
  <c r="DD317" i="65"/>
  <c r="DD445" i="65"/>
  <c r="DD125" i="65"/>
  <c r="DD277" i="65"/>
  <c r="DD298" i="65"/>
  <c r="DD341" i="65"/>
  <c r="DD405" i="65"/>
  <c r="DD469" i="65"/>
  <c r="DD417" i="65"/>
  <c r="DD481" i="65"/>
  <c r="DD45" i="65"/>
  <c r="DD173" i="65"/>
  <c r="DD253" i="65"/>
  <c r="DD397" i="65"/>
  <c r="DD250" i="65"/>
  <c r="DD218" i="65"/>
  <c r="DD255" i="65"/>
  <c r="DD287" i="65"/>
  <c r="DD351" i="65"/>
  <c r="DD383" i="65"/>
  <c r="DD479" i="65"/>
  <c r="DD511" i="65"/>
  <c r="DD457" i="65"/>
  <c r="DD500" i="65"/>
  <c r="DD285" i="65"/>
  <c r="DD381" i="65"/>
  <c r="DD509" i="65"/>
  <c r="DD61" i="65"/>
  <c r="DD189" i="65"/>
  <c r="DD437" i="65"/>
  <c r="DD109" i="65"/>
  <c r="DD269" i="65"/>
  <c r="DD213" i="65"/>
  <c r="DD409" i="65"/>
  <c r="DD452" i="65"/>
  <c r="DD473" i="65"/>
  <c r="DD516" i="65"/>
  <c r="DD413" i="65"/>
  <c r="DD50" i="65"/>
  <c r="DD93" i="65"/>
  <c r="DD135" i="65"/>
  <c r="DD221" i="65"/>
  <c r="DD282" i="65"/>
  <c r="DD325" i="65"/>
  <c r="DD346" i="65"/>
  <c r="DD389" i="65"/>
  <c r="DD453" i="65"/>
  <c r="DD29" i="65"/>
  <c r="DD141" i="65"/>
  <c r="DD261" i="65"/>
  <c r="DD365" i="65"/>
  <c r="DD493" i="65"/>
  <c r="DD266" i="65"/>
  <c r="DD239" i="65"/>
  <c r="DD271" i="65"/>
  <c r="DD303" i="65"/>
  <c r="DD335" i="65"/>
  <c r="DD367" i="65"/>
  <c r="DD399" i="65"/>
  <c r="DD495" i="65"/>
  <c r="DD309" i="65"/>
  <c r="DD373" i="65"/>
  <c r="DD237" i="65"/>
  <c r="DD333" i="65"/>
  <c r="DD520" i="65"/>
  <c r="DD532" i="65"/>
  <c r="DD544" i="65"/>
  <c r="DD543" i="65"/>
  <c r="DD535" i="65"/>
  <c r="DD501" i="65"/>
  <c r="DD465" i="65"/>
  <c r="DD527" i="65"/>
  <c r="DD461" i="65"/>
  <c r="DD526" i="65"/>
  <c r="DD531" i="65"/>
  <c r="DD519" i="65"/>
  <c r="DD523" i="65"/>
  <c r="DD545" i="65"/>
  <c r="DD529" i="65"/>
  <c r="DD35" i="65"/>
  <c r="DD323" i="65"/>
  <c r="DD435" i="65"/>
  <c r="DD451" i="65"/>
  <c r="DD30" i="65"/>
  <c r="DD274" i="65"/>
  <c r="DD252" i="65"/>
  <c r="DD115" i="65"/>
  <c r="DD158" i="65"/>
  <c r="DD222" i="65"/>
  <c r="DD279" i="65"/>
  <c r="DD295" i="65"/>
  <c r="DD423" i="65"/>
  <c r="DD166" i="65"/>
  <c r="DD402" i="65"/>
  <c r="DD14" i="65"/>
  <c r="DD310" i="65"/>
  <c r="DD374" i="65"/>
  <c r="DD438" i="65"/>
  <c r="DD502" i="65"/>
  <c r="DD350" i="65"/>
  <c r="DD352" i="65"/>
  <c r="DD78" i="65"/>
  <c r="DD251" i="65"/>
  <c r="DD267" i="65"/>
  <c r="DD395" i="65"/>
  <c r="DD507" i="65"/>
  <c r="DD302" i="65"/>
  <c r="DD366" i="65"/>
  <c r="DD430" i="65"/>
  <c r="DD494" i="65"/>
  <c r="DD5" i="65"/>
  <c r="DD294" i="65"/>
  <c r="DD322" i="65"/>
  <c r="DD408" i="65"/>
  <c r="DD168" i="65"/>
  <c r="DD232" i="65"/>
  <c r="DD147" i="65"/>
  <c r="DD190" i="65"/>
  <c r="DD230" i="65"/>
  <c r="DD478" i="65"/>
  <c r="DD338" i="65"/>
  <c r="DD466" i="65"/>
  <c r="DD480" i="65"/>
  <c r="DD518" i="65"/>
  <c r="DD538" i="65"/>
  <c r="DD19" i="65"/>
  <c r="DD28" i="65"/>
  <c r="DD76" i="65"/>
  <c r="DD124" i="65"/>
  <c r="DD156" i="65"/>
  <c r="DD188" i="65"/>
  <c r="DD236" i="65"/>
  <c r="DD67" i="65"/>
  <c r="DD110" i="65"/>
  <c r="DD153" i="65"/>
  <c r="DD195" i="65"/>
  <c r="DD238" i="65"/>
  <c r="DD26" i="65"/>
  <c r="DD74" i="65"/>
  <c r="DD138" i="65"/>
  <c r="DD202" i="65"/>
  <c r="DD259" i="65"/>
  <c r="DD291" i="65"/>
  <c r="DD355" i="65"/>
  <c r="DD371" i="65"/>
  <c r="DD387" i="65"/>
  <c r="DD419" i="65"/>
  <c r="DD467" i="65"/>
  <c r="DD499" i="65"/>
  <c r="DD70" i="65"/>
  <c r="DD155" i="65"/>
  <c r="DD240" i="65"/>
  <c r="DD313" i="65"/>
  <c r="DD356" i="65"/>
  <c r="DD398" i="65"/>
  <c r="DD462" i="65"/>
  <c r="DD8" i="65"/>
  <c r="DD392" i="65"/>
  <c r="DD22" i="65"/>
  <c r="DD272" i="65"/>
  <c r="DD400" i="65"/>
  <c r="DD442" i="65"/>
  <c r="DD464" i="65"/>
  <c r="DD506" i="65"/>
  <c r="DD9" i="65"/>
  <c r="DD54" i="65"/>
  <c r="DD97" i="65"/>
  <c r="DD139" i="65"/>
  <c r="DD182" i="65"/>
  <c r="DD260" i="65"/>
  <c r="DD284" i="65"/>
  <c r="DD305" i="65"/>
  <c r="DD326" i="65"/>
  <c r="DD348" i="65"/>
  <c r="DD369" i="65"/>
  <c r="DD390" i="65"/>
  <c r="DD412" i="65"/>
  <c r="DD454" i="65"/>
  <c r="DD476" i="65"/>
  <c r="DD119" i="65"/>
  <c r="DD162" i="65"/>
  <c r="DD344" i="65"/>
  <c r="DD472" i="65"/>
  <c r="DD17" i="65"/>
  <c r="DD424" i="65"/>
  <c r="DD12" i="65"/>
  <c r="DD146" i="65"/>
  <c r="DD86" i="65"/>
  <c r="DD321" i="65"/>
  <c r="DD385" i="65"/>
  <c r="DD513" i="65"/>
  <c r="DD66" i="65"/>
  <c r="DD194" i="65"/>
  <c r="DD296" i="65"/>
  <c r="DD418" i="65"/>
  <c r="DD6" i="65"/>
  <c r="DD23" i="65"/>
  <c r="DD39" i="65"/>
  <c r="DD32" i="65"/>
  <c r="DD48" i="65"/>
  <c r="DD64" i="65"/>
  <c r="DD80" i="65"/>
  <c r="DD96" i="65"/>
  <c r="DD112" i="65"/>
  <c r="DD128" i="65"/>
  <c r="DD144" i="65"/>
  <c r="DD160" i="65"/>
  <c r="DD176" i="65"/>
  <c r="DD192" i="65"/>
  <c r="DD208" i="65"/>
  <c r="DD224" i="65"/>
  <c r="DD25" i="65"/>
  <c r="DD51" i="65"/>
  <c r="DD73" i="65"/>
  <c r="DD94" i="65"/>
  <c r="DD137" i="65"/>
  <c r="DD179" i="65"/>
  <c r="DD242" i="65"/>
  <c r="DD258" i="65"/>
  <c r="DD34" i="65"/>
  <c r="DD58" i="65"/>
  <c r="DD79" i="65"/>
  <c r="DD122" i="65"/>
  <c r="DD143" i="65"/>
  <c r="DD186" i="65"/>
  <c r="DD247" i="65"/>
  <c r="DD263" i="65"/>
  <c r="DD311" i="65"/>
  <c r="DD327" i="65"/>
  <c r="DD343" i="65"/>
  <c r="DD359" i="65"/>
  <c r="DD375" i="65"/>
  <c r="DD391" i="65"/>
  <c r="DD439" i="65"/>
  <c r="DD455" i="65"/>
  <c r="DD487" i="65"/>
  <c r="DD503" i="65"/>
  <c r="DD11" i="65"/>
  <c r="DD37" i="65"/>
  <c r="DD209" i="65"/>
  <c r="DD248" i="65"/>
  <c r="DD276" i="65"/>
  <c r="DD318" i="65"/>
  <c r="DD340" i="65"/>
  <c r="DD361" i="65"/>
  <c r="DD382" i="65"/>
  <c r="DD404" i="65"/>
  <c r="DD446" i="65"/>
  <c r="DD510" i="65"/>
  <c r="DD360" i="65"/>
  <c r="DD488" i="65"/>
  <c r="DD38" i="65"/>
  <c r="DD82" i="65"/>
  <c r="DD167" i="65"/>
  <c r="DD210" i="65"/>
  <c r="DD249" i="65"/>
  <c r="DD320" i="65"/>
  <c r="DD384" i="65"/>
  <c r="DD426" i="65"/>
  <c r="DD448" i="65"/>
  <c r="DD490" i="65"/>
  <c r="DD512" i="65"/>
  <c r="DD65" i="65"/>
  <c r="DD107" i="65"/>
  <c r="DD150" i="65"/>
  <c r="DD193" i="65"/>
  <c r="DD235" i="65"/>
  <c r="DD268" i="65"/>
  <c r="DD289" i="65"/>
  <c r="DD332" i="65"/>
  <c r="DD353" i="65"/>
  <c r="DD396" i="65"/>
  <c r="DD460" i="65"/>
  <c r="DD87" i="65"/>
  <c r="DD130" i="65"/>
  <c r="DD215" i="65"/>
  <c r="DD280" i="65"/>
  <c r="DD312" i="65"/>
  <c r="DD354" i="65"/>
  <c r="DD440" i="65"/>
  <c r="DD482" i="65"/>
  <c r="DD24" i="65"/>
  <c r="DD56" i="65"/>
  <c r="DD88" i="65"/>
  <c r="DD120" i="65"/>
  <c r="DD152" i="65"/>
  <c r="DD184" i="65"/>
  <c r="DD216" i="65"/>
  <c r="DD41" i="65"/>
  <c r="DD83" i="65"/>
  <c r="DD126" i="65"/>
  <c r="DD169" i="65"/>
  <c r="DD47" i="65"/>
  <c r="DD111" i="65"/>
  <c r="DD154" i="65"/>
  <c r="DD175" i="65"/>
  <c r="DD447" i="65"/>
  <c r="DD18" i="65"/>
  <c r="DD102" i="65"/>
  <c r="DD264" i="65"/>
  <c r="DD308" i="65"/>
  <c r="DD372" i="65"/>
  <c r="DD414" i="65"/>
  <c r="DD288" i="65"/>
  <c r="DD43" i="65"/>
  <c r="DD129" i="65"/>
  <c r="DD214" i="65"/>
  <c r="DD300" i="65"/>
  <c r="DD342" i="65"/>
  <c r="DD406" i="65"/>
  <c r="DD470" i="65"/>
  <c r="DD376" i="65"/>
  <c r="DD504" i="65"/>
  <c r="DD27" i="65"/>
  <c r="DD20" i="65"/>
  <c r="DD36" i="65"/>
  <c r="DD52" i="65"/>
  <c r="DD68" i="65"/>
  <c r="DD84" i="65"/>
  <c r="DD100" i="65"/>
  <c r="DD116" i="65"/>
  <c r="DD132" i="65"/>
  <c r="DD148" i="65"/>
  <c r="DD164" i="65"/>
  <c r="DD180" i="65"/>
  <c r="DD196" i="65"/>
  <c r="DD212" i="65"/>
  <c r="DD228" i="65"/>
  <c r="DD33" i="65"/>
  <c r="DD57" i="65"/>
  <c r="DD99" i="65"/>
  <c r="DD121" i="65"/>
  <c r="DD142" i="65"/>
  <c r="DD163" i="65"/>
  <c r="DD185" i="65"/>
  <c r="DD206" i="65"/>
  <c r="DD227" i="65"/>
  <c r="DD246" i="65"/>
  <c r="DD262" i="65"/>
  <c r="DD42" i="65"/>
  <c r="DD63" i="65"/>
  <c r="DD85" i="65"/>
  <c r="DD106" i="65"/>
  <c r="DD127" i="65"/>
  <c r="DD149" i="65"/>
  <c r="DD170" i="65"/>
  <c r="DD191" i="65"/>
  <c r="DD283" i="65"/>
  <c r="DD331" i="65"/>
  <c r="DD347" i="65"/>
  <c r="DD363" i="65"/>
  <c r="DD411" i="65"/>
  <c r="DD427" i="65"/>
  <c r="DD459" i="65"/>
  <c r="DD475" i="65"/>
  <c r="DD491" i="65"/>
  <c r="DD15" i="65"/>
  <c r="DD49" i="65"/>
  <c r="DD91" i="65"/>
  <c r="DD134" i="65"/>
  <c r="DD177" i="65"/>
  <c r="DD219" i="65"/>
  <c r="DD256" i="65"/>
  <c r="DD281" i="65"/>
  <c r="DD324" i="65"/>
  <c r="DD345" i="65"/>
  <c r="DD388" i="65"/>
  <c r="DD328" i="65"/>
  <c r="DD370" i="65"/>
  <c r="DD456" i="65"/>
  <c r="DD498" i="65"/>
  <c r="DD304" i="65"/>
  <c r="DD368" i="65"/>
  <c r="DD410" i="65"/>
  <c r="DD432" i="65"/>
  <c r="DD474" i="65"/>
  <c r="DD496" i="65"/>
  <c r="DD517" i="65"/>
  <c r="DD75" i="65"/>
  <c r="DD118" i="65"/>
  <c r="DD161" i="65"/>
  <c r="DD203" i="65"/>
  <c r="DD244" i="65"/>
  <c r="DD316" i="65"/>
  <c r="DD337" i="65"/>
  <c r="DD380" i="65"/>
  <c r="DD444" i="65"/>
  <c r="DD508" i="65"/>
  <c r="DD10" i="65"/>
  <c r="DD55" i="65"/>
  <c r="DD98" i="65"/>
  <c r="DD183" i="65"/>
  <c r="DD226" i="65"/>
  <c r="DD290" i="65"/>
  <c r="DD31" i="65"/>
  <c r="DD40" i="65"/>
  <c r="DD72" i="65"/>
  <c r="DD104" i="65"/>
  <c r="DD136" i="65"/>
  <c r="DD200" i="65"/>
  <c r="DD62" i="65"/>
  <c r="DD105" i="65"/>
  <c r="DD233" i="65"/>
  <c r="DD69" i="65"/>
  <c r="DD90" i="65"/>
  <c r="DD133" i="65"/>
  <c r="DD431" i="65"/>
  <c r="DD286" i="65"/>
  <c r="DD393" i="65"/>
  <c r="DD436" i="65"/>
  <c r="DD103" i="65"/>
  <c r="DD231" i="65"/>
  <c r="DD416" i="65"/>
  <c r="DD171" i="65"/>
  <c r="DD278" i="65"/>
  <c r="DD364" i="65"/>
  <c r="DD428" i="65"/>
  <c r="DD492" i="65"/>
  <c r="DD16" i="65"/>
  <c r="DD151" i="65"/>
  <c r="DD483" i="65"/>
  <c r="DD21" i="65"/>
  <c r="DD113" i="65"/>
  <c r="DD198" i="65"/>
  <c r="DD270" i="65"/>
  <c r="DD292" i="65"/>
  <c r="DD334" i="65"/>
  <c r="DD377" i="65"/>
  <c r="DD420" i="65"/>
  <c r="DD306" i="65"/>
  <c r="DD434" i="65"/>
  <c r="DD241" i="65"/>
  <c r="DD336" i="65"/>
  <c r="DD225" i="65"/>
  <c r="DD540" i="65"/>
  <c r="DD539" i="65"/>
  <c r="DD521" i="65"/>
  <c r="DD522" i="65"/>
  <c r="DD530" i="65"/>
  <c r="DD524" i="65"/>
  <c r="DD537" i="65"/>
  <c r="DD534" i="65"/>
  <c r="DD117" i="65"/>
  <c r="DD181" i="65"/>
  <c r="DD243" i="65"/>
  <c r="DD307" i="65"/>
  <c r="DD339" i="65"/>
  <c r="DD386" i="65"/>
  <c r="DD514" i="65"/>
  <c r="DD265" i="65"/>
  <c r="DD458" i="65"/>
  <c r="DD201" i="65"/>
  <c r="DD101" i="65"/>
  <c r="DD165" i="65"/>
  <c r="DD407" i="65"/>
  <c r="DD471" i="65"/>
  <c r="DD81" i="65"/>
  <c r="DD123" i="65"/>
  <c r="DD297" i="65"/>
  <c r="DD211" i="65"/>
  <c r="DD415" i="65"/>
  <c r="DD187" i="65"/>
  <c r="DD299" i="65"/>
  <c r="DD315" i="65"/>
  <c r="DD379" i="65"/>
  <c r="DD443" i="65"/>
  <c r="DD257" i="65"/>
  <c r="DD273" i="65"/>
  <c r="DD358" i="65"/>
  <c r="DD401" i="65"/>
  <c r="DD422" i="65"/>
  <c r="DD486" i="65"/>
  <c r="DD450" i="65"/>
  <c r="DD197" i="65"/>
  <c r="DD59" i="65"/>
  <c r="DD145" i="65"/>
  <c r="DD329" i="65"/>
  <c r="DD44" i="65"/>
  <c r="DD60" i="65"/>
  <c r="DD92" i="65"/>
  <c r="DD108" i="65"/>
  <c r="DD140" i="65"/>
  <c r="DD172" i="65"/>
  <c r="DD204" i="65"/>
  <c r="DD220" i="65"/>
  <c r="DD46" i="65"/>
  <c r="DD89" i="65"/>
  <c r="DD131" i="65"/>
  <c r="DD174" i="65"/>
  <c r="DD217" i="65"/>
  <c r="DD254" i="65"/>
  <c r="DD53" i="65"/>
  <c r="DD95" i="65"/>
  <c r="DD159" i="65"/>
  <c r="DD275" i="65"/>
  <c r="DD403" i="65"/>
  <c r="DD533" i="65"/>
  <c r="DD223" i="65"/>
  <c r="DD71" i="65"/>
  <c r="DD394" i="65"/>
  <c r="DD362" i="65"/>
  <c r="DD319" i="65"/>
  <c r="DD234" i="65"/>
  <c r="DD178" i="65"/>
  <c r="DD463" i="65"/>
  <c r="CC540" i="65"/>
  <c r="CV540" i="65"/>
  <c r="CW540" i="65"/>
  <c r="CC543" i="65"/>
  <c r="CW543" i="65"/>
  <c r="CV543" i="65"/>
  <c r="CW524" i="65"/>
  <c r="CV524" i="65"/>
  <c r="CC223" i="65"/>
  <c r="CW223" i="65"/>
  <c r="CV223" i="65"/>
  <c r="CC323" i="65"/>
  <c r="CW323" i="65"/>
  <c r="CV323" i="65"/>
  <c r="CC435" i="65"/>
  <c r="CW435" i="65"/>
  <c r="CV435" i="65"/>
  <c r="CC71" i="65"/>
  <c r="CW71" i="65"/>
  <c r="CV71" i="65"/>
  <c r="CD30" i="65"/>
  <c r="CW30" i="65"/>
  <c r="CV30" i="65"/>
  <c r="CC514" i="65"/>
  <c r="CW514" i="65"/>
  <c r="CV514" i="65"/>
  <c r="CC394" i="65"/>
  <c r="CW394" i="65"/>
  <c r="CV394" i="65"/>
  <c r="CH81" i="65"/>
  <c r="CG81" i="65"/>
  <c r="CH123" i="65"/>
  <c r="CG123" i="65"/>
  <c r="CW402" i="65"/>
  <c r="CV402" i="65"/>
  <c r="CW362" i="65"/>
  <c r="CV362" i="65"/>
  <c r="CV14" i="65"/>
  <c r="CW14" i="65"/>
  <c r="CC374" i="65"/>
  <c r="CW374" i="65"/>
  <c r="CV374" i="65"/>
  <c r="CC502" i="65"/>
  <c r="CW502" i="65"/>
  <c r="CV502" i="65"/>
  <c r="CC211" i="65"/>
  <c r="CW211" i="65"/>
  <c r="CV211" i="65"/>
  <c r="CC350" i="65"/>
  <c r="CW350" i="65"/>
  <c r="CV350" i="65"/>
  <c r="CV541" i="65"/>
  <c r="CW541" i="65"/>
  <c r="CC535" i="65"/>
  <c r="CW535" i="65"/>
  <c r="CV535" i="65"/>
  <c r="CV533" i="65"/>
  <c r="CW533" i="65"/>
  <c r="CC35" i="65"/>
  <c r="CW35" i="65"/>
  <c r="CV35" i="65"/>
  <c r="CC307" i="65"/>
  <c r="CW307" i="65"/>
  <c r="CV307" i="65"/>
  <c r="CC451" i="65"/>
  <c r="CW451" i="65"/>
  <c r="CV451" i="65"/>
  <c r="CD274" i="65"/>
  <c r="CV274" i="65"/>
  <c r="CW274" i="65"/>
  <c r="CH458" i="65"/>
  <c r="CG458" i="65"/>
  <c r="CD252" i="65"/>
  <c r="CV252" i="65"/>
  <c r="CW252" i="65"/>
  <c r="CC115" i="65"/>
  <c r="CW115" i="65"/>
  <c r="CV115" i="65"/>
  <c r="CC158" i="65"/>
  <c r="CW158" i="65"/>
  <c r="CV158" i="65"/>
  <c r="CH201" i="65"/>
  <c r="CG201" i="65"/>
  <c r="CD222" i="65"/>
  <c r="CW222" i="65"/>
  <c r="CV222" i="65"/>
  <c r="CH101" i="65"/>
  <c r="CG101" i="65"/>
  <c r="CH165" i="65"/>
  <c r="CG165" i="65"/>
  <c r="CW279" i="65"/>
  <c r="CV279" i="65"/>
  <c r="CD295" i="65"/>
  <c r="CW295" i="65"/>
  <c r="CV295" i="65"/>
  <c r="CW407" i="65"/>
  <c r="CV407" i="65"/>
  <c r="CD423" i="65"/>
  <c r="CV423" i="65"/>
  <c r="CW423" i="65"/>
  <c r="CV166" i="65"/>
  <c r="CW166" i="65"/>
  <c r="CV310" i="65"/>
  <c r="CW310" i="65"/>
  <c r="CW438" i="65"/>
  <c r="CV438" i="65"/>
  <c r="CC319" i="65"/>
  <c r="CW319" i="65"/>
  <c r="CV319" i="65"/>
  <c r="CD415" i="65"/>
  <c r="CW415" i="65"/>
  <c r="CV415" i="65"/>
  <c r="CD187" i="65"/>
  <c r="CW187" i="65"/>
  <c r="CV187" i="65"/>
  <c r="CV352" i="65"/>
  <c r="CW352" i="65"/>
  <c r="CH501" i="65"/>
  <c r="CG501" i="65"/>
  <c r="CW78" i="65"/>
  <c r="CV78" i="65"/>
  <c r="CW234" i="65"/>
  <c r="CV234" i="65"/>
  <c r="CW251" i="65"/>
  <c r="CV251" i="65"/>
  <c r="CD267" i="65"/>
  <c r="CW267" i="65"/>
  <c r="CV267" i="65"/>
  <c r="CH315" i="65"/>
  <c r="CG315" i="65"/>
  <c r="CV379" i="65"/>
  <c r="CW379" i="65"/>
  <c r="CD395" i="65"/>
  <c r="CV395" i="65"/>
  <c r="CW395" i="65"/>
  <c r="CV443" i="65"/>
  <c r="CW443" i="65"/>
  <c r="CV507" i="65"/>
  <c r="CW507" i="65"/>
  <c r="CV302" i="65"/>
  <c r="CW302" i="65"/>
  <c r="CW366" i="65"/>
  <c r="CV366" i="65"/>
  <c r="CW430" i="65"/>
  <c r="CV430" i="65"/>
  <c r="CW494" i="65"/>
  <c r="CV494" i="65"/>
  <c r="CW5" i="65"/>
  <c r="CV5" i="65"/>
  <c r="CW178" i="65"/>
  <c r="CV178" i="65"/>
  <c r="CH257" i="65"/>
  <c r="CG257" i="65"/>
  <c r="CH273" i="65"/>
  <c r="CG273" i="65"/>
  <c r="CV294" i="65"/>
  <c r="CW294" i="65"/>
  <c r="CH401" i="65"/>
  <c r="CG401" i="65"/>
  <c r="CW422" i="65"/>
  <c r="CV422" i="65"/>
  <c r="CH465" i="65"/>
  <c r="CG465" i="65"/>
  <c r="CW322" i="65"/>
  <c r="CV322" i="65"/>
  <c r="CD408" i="65"/>
  <c r="CW408" i="65"/>
  <c r="CV408" i="65"/>
  <c r="CW450" i="65"/>
  <c r="CV450" i="65"/>
  <c r="CD168" i="65"/>
  <c r="CW168" i="65"/>
  <c r="CV168" i="65"/>
  <c r="CV232" i="65"/>
  <c r="CW232" i="65"/>
  <c r="CW147" i="65"/>
  <c r="CV147" i="65"/>
  <c r="CW190" i="65"/>
  <c r="CV190" i="65"/>
  <c r="CC463" i="65"/>
  <c r="CW463" i="65"/>
  <c r="CV463" i="65"/>
  <c r="CH145" i="65"/>
  <c r="CG145" i="65"/>
  <c r="CC230" i="65"/>
  <c r="CV230" i="65"/>
  <c r="CW230" i="65"/>
  <c r="CH329" i="65"/>
  <c r="CG329" i="65"/>
  <c r="CC478" i="65"/>
  <c r="CW478" i="65"/>
  <c r="CV478" i="65"/>
  <c r="CC338" i="65"/>
  <c r="CW338" i="65"/>
  <c r="CV338" i="65"/>
  <c r="CC466" i="65"/>
  <c r="CW466" i="65"/>
  <c r="CV466" i="65"/>
  <c r="CV480" i="65"/>
  <c r="CW480" i="65"/>
  <c r="CG531" i="65"/>
  <c r="CH531" i="65"/>
  <c r="CG520" i="65"/>
  <c r="CH520" i="65"/>
  <c r="CH518" i="65"/>
  <c r="CG518" i="65"/>
  <c r="CH539" i="65"/>
  <c r="CG539" i="65"/>
  <c r="CH529" i="65"/>
  <c r="CG529" i="65"/>
  <c r="CH521" i="65"/>
  <c r="CG521" i="65"/>
  <c r="CG519" i="65"/>
  <c r="CH519" i="65"/>
  <c r="CG532" i="65"/>
  <c r="CH532" i="65"/>
  <c r="CH533" i="65"/>
  <c r="CG533" i="65"/>
  <c r="CH545" i="65"/>
  <c r="CG545" i="65"/>
  <c r="CH523" i="65"/>
  <c r="CG523" i="65"/>
  <c r="CH538" i="65"/>
  <c r="CG538" i="65"/>
  <c r="CH527" i="65"/>
  <c r="CG527" i="65"/>
  <c r="CG544" i="65"/>
  <c r="CH544" i="65"/>
  <c r="CC531" i="65"/>
  <c r="CW531" i="65"/>
  <c r="CV531" i="65"/>
  <c r="CV521" i="65"/>
  <c r="CW521" i="65"/>
  <c r="CC519" i="65"/>
  <c r="CV519" i="65"/>
  <c r="CW519" i="65"/>
  <c r="CC525" i="65"/>
  <c r="CV525" i="65"/>
  <c r="CW525" i="65"/>
  <c r="CW527" i="65"/>
  <c r="CV527" i="65"/>
  <c r="CC534" i="65"/>
  <c r="CW534" i="65"/>
  <c r="CV534" i="65"/>
  <c r="CH181" i="65"/>
  <c r="CG181" i="65"/>
  <c r="CH429" i="65"/>
  <c r="CG429" i="65"/>
  <c r="CG514" i="65"/>
  <c r="CH514" i="65"/>
  <c r="CH229" i="65"/>
  <c r="CG229" i="65"/>
  <c r="CG407" i="65"/>
  <c r="CH407" i="65"/>
  <c r="CG471" i="65"/>
  <c r="CH471" i="65"/>
  <c r="CH341" i="65"/>
  <c r="CG341" i="65"/>
  <c r="CG211" i="65"/>
  <c r="CH211" i="65"/>
  <c r="CH187" i="65"/>
  <c r="CG187" i="65"/>
  <c r="CH437" i="65"/>
  <c r="CG437" i="65"/>
  <c r="CH213" i="65"/>
  <c r="CG213" i="65"/>
  <c r="CH358" i="65"/>
  <c r="CG358" i="65"/>
  <c r="CH422" i="65"/>
  <c r="CG422" i="65"/>
  <c r="CH486" i="65"/>
  <c r="CG486" i="65"/>
  <c r="CH365" i="65"/>
  <c r="CG365" i="65"/>
  <c r="CG450" i="65"/>
  <c r="CH450" i="65"/>
  <c r="CH493" i="65"/>
  <c r="CG493" i="65"/>
  <c r="CH197" i="65"/>
  <c r="CG197" i="65"/>
  <c r="CH59" i="65"/>
  <c r="CG59" i="65"/>
  <c r="CH373" i="65"/>
  <c r="CG373" i="65"/>
  <c r="CC526" i="65"/>
  <c r="CW526" i="65"/>
  <c r="CV526" i="65"/>
  <c r="CC528" i="65"/>
  <c r="CV528" i="65"/>
  <c r="CW528" i="65"/>
  <c r="CV545" i="65"/>
  <c r="CW545" i="65"/>
  <c r="CC529" i="65"/>
  <c r="CV529" i="65"/>
  <c r="CW529" i="65"/>
  <c r="CW536" i="65"/>
  <c r="CV536" i="65"/>
  <c r="CH19" i="65"/>
  <c r="CG19" i="65"/>
  <c r="CH35" i="65"/>
  <c r="CG35" i="65"/>
  <c r="CH28" i="65"/>
  <c r="CG28" i="65"/>
  <c r="CH44" i="65"/>
  <c r="CG44" i="65"/>
  <c r="CH60" i="65"/>
  <c r="CG60" i="65"/>
  <c r="CH76" i="65"/>
  <c r="CG76" i="65"/>
  <c r="CH92" i="65"/>
  <c r="CG92" i="65"/>
  <c r="CH108" i="65"/>
  <c r="CG108" i="65"/>
  <c r="CH124" i="65"/>
  <c r="CG124" i="65"/>
  <c r="CH140" i="65"/>
  <c r="CG140" i="65"/>
  <c r="CH156" i="65"/>
  <c r="CG156" i="65"/>
  <c r="CG172" i="65"/>
  <c r="CH172" i="65"/>
  <c r="CG188" i="65"/>
  <c r="CH188" i="65"/>
  <c r="CG204" i="65"/>
  <c r="CH204" i="65"/>
  <c r="CG220" i="65"/>
  <c r="CH220" i="65"/>
  <c r="CG236" i="65"/>
  <c r="CH236" i="65"/>
  <c r="CH46" i="65"/>
  <c r="CG46" i="65"/>
  <c r="CH67" i="65"/>
  <c r="CG67" i="65"/>
  <c r="CH89" i="65"/>
  <c r="CG89" i="65"/>
  <c r="CH110" i="65"/>
  <c r="CG110" i="65"/>
  <c r="CH131" i="65"/>
  <c r="CG131" i="65"/>
  <c r="CH153" i="65"/>
  <c r="CG153" i="65"/>
  <c r="CG174" i="65"/>
  <c r="CH174" i="65"/>
  <c r="CG195" i="65"/>
  <c r="CH195" i="65"/>
  <c r="CH217" i="65"/>
  <c r="CG217" i="65"/>
  <c r="CG238" i="65"/>
  <c r="CH238" i="65"/>
  <c r="CG254" i="65"/>
  <c r="CH254" i="65"/>
  <c r="CG26" i="65"/>
  <c r="CH26" i="65"/>
  <c r="CH53" i="65"/>
  <c r="CG53" i="65"/>
  <c r="CH74" i="65"/>
  <c r="CG74" i="65"/>
  <c r="CH95" i="65"/>
  <c r="CG95" i="65"/>
  <c r="CH138" i="65"/>
  <c r="CG138" i="65"/>
  <c r="CH159" i="65"/>
  <c r="CG159" i="65"/>
  <c r="CH202" i="65"/>
  <c r="CG202" i="65"/>
  <c r="CH223" i="65"/>
  <c r="CG223" i="65"/>
  <c r="CG259" i="65"/>
  <c r="CH259" i="65"/>
  <c r="CG275" i="65"/>
  <c r="CH275" i="65"/>
  <c r="CG291" i="65"/>
  <c r="CH291" i="65"/>
  <c r="CG323" i="65"/>
  <c r="CH323" i="65"/>
  <c r="CG355" i="65"/>
  <c r="CH355" i="65"/>
  <c r="CG371" i="65"/>
  <c r="CH371" i="65"/>
  <c r="CG387" i="65"/>
  <c r="CH387" i="65"/>
  <c r="CG403" i="65"/>
  <c r="CH403" i="65"/>
  <c r="CG419" i="65"/>
  <c r="CH419" i="65"/>
  <c r="CG435" i="65"/>
  <c r="CH435" i="65"/>
  <c r="CG451" i="65"/>
  <c r="CH451" i="65"/>
  <c r="CG467" i="65"/>
  <c r="CH467" i="65"/>
  <c r="CG483" i="65"/>
  <c r="CH483" i="65"/>
  <c r="CG499" i="65"/>
  <c r="CH499" i="65"/>
  <c r="CG515" i="65"/>
  <c r="CH515" i="65"/>
  <c r="CG7" i="65"/>
  <c r="CH7" i="65"/>
  <c r="CH21" i="65"/>
  <c r="CG21" i="65"/>
  <c r="CH70" i="65"/>
  <c r="CG70" i="65"/>
  <c r="CH113" i="65"/>
  <c r="CG113" i="65"/>
  <c r="CH155" i="65"/>
  <c r="CG155" i="65"/>
  <c r="CH198" i="65"/>
  <c r="CG198" i="65"/>
  <c r="CG240" i="65"/>
  <c r="CH240" i="65"/>
  <c r="CG270" i="65"/>
  <c r="CH270" i="65"/>
  <c r="CG292" i="65"/>
  <c r="CH292" i="65"/>
  <c r="CH313" i="65"/>
  <c r="CG313" i="65"/>
  <c r="CG334" i="65"/>
  <c r="CH334" i="65"/>
  <c r="CG356" i="65"/>
  <c r="CH356" i="65"/>
  <c r="CH377" i="65"/>
  <c r="CG377" i="65"/>
  <c r="CG398" i="65"/>
  <c r="CH398" i="65"/>
  <c r="CG420" i="65"/>
  <c r="CH420" i="65"/>
  <c r="CH441" i="65"/>
  <c r="CG441" i="65"/>
  <c r="CG462" i="65"/>
  <c r="CH462" i="65"/>
  <c r="CG484" i="65"/>
  <c r="CH484" i="65"/>
  <c r="CH505" i="65"/>
  <c r="CG505" i="65"/>
  <c r="CH8" i="65"/>
  <c r="CG8" i="65"/>
  <c r="CG306" i="65"/>
  <c r="CH306" i="65"/>
  <c r="CH349" i="65"/>
  <c r="CG349" i="65"/>
  <c r="CG392" i="65"/>
  <c r="CH392" i="65"/>
  <c r="CG434" i="65"/>
  <c r="CH434" i="65"/>
  <c r="CH477" i="65"/>
  <c r="CG477" i="65"/>
  <c r="CH22" i="65"/>
  <c r="CG22" i="65"/>
  <c r="CG71" i="65"/>
  <c r="CH71" i="65"/>
  <c r="CG114" i="65"/>
  <c r="CH114" i="65"/>
  <c r="CG157" i="65"/>
  <c r="CH157" i="65"/>
  <c r="CG199" i="65"/>
  <c r="CH199" i="65"/>
  <c r="CH241" i="65"/>
  <c r="CG241" i="65"/>
  <c r="CG272" i="65"/>
  <c r="CH272" i="65"/>
  <c r="CH293" i="65"/>
  <c r="CG293" i="65"/>
  <c r="CH314" i="65"/>
  <c r="CG314" i="65"/>
  <c r="CG336" i="65"/>
  <c r="CH336" i="65"/>
  <c r="CH357" i="65"/>
  <c r="CG357" i="65"/>
  <c r="CH378" i="65"/>
  <c r="CG378" i="65"/>
  <c r="CG400" i="65"/>
  <c r="CH400" i="65"/>
  <c r="CH421" i="65"/>
  <c r="CG421" i="65"/>
  <c r="CH442" i="65"/>
  <c r="CG442" i="65"/>
  <c r="CG464" i="65"/>
  <c r="CH464" i="65"/>
  <c r="CH485" i="65"/>
  <c r="CG485" i="65"/>
  <c r="CH506" i="65"/>
  <c r="CG506" i="65"/>
  <c r="CH9" i="65"/>
  <c r="CG9" i="65"/>
  <c r="CH54" i="65"/>
  <c r="CG54" i="65"/>
  <c r="CH97" i="65"/>
  <c r="CG97" i="65"/>
  <c r="CH139" i="65"/>
  <c r="CG139" i="65"/>
  <c r="CH182" i="65"/>
  <c r="CG182" i="65"/>
  <c r="CH225" i="65"/>
  <c r="CG225" i="65"/>
  <c r="CG260" i="65"/>
  <c r="CH260" i="65"/>
  <c r="CG284" i="65"/>
  <c r="CH284" i="65"/>
  <c r="CH305" i="65"/>
  <c r="CG305" i="65"/>
  <c r="CH326" i="65"/>
  <c r="CG326" i="65"/>
  <c r="CG348" i="65"/>
  <c r="CH348" i="65"/>
  <c r="CH369" i="65"/>
  <c r="CG369" i="65"/>
  <c r="CH390" i="65"/>
  <c r="CG390" i="65"/>
  <c r="CG412" i="65"/>
  <c r="CH412" i="65"/>
  <c r="CH433" i="65"/>
  <c r="CG433" i="65"/>
  <c r="CH454" i="65"/>
  <c r="CG454" i="65"/>
  <c r="CG476" i="65"/>
  <c r="CH476" i="65"/>
  <c r="CH497" i="65"/>
  <c r="CG497" i="65"/>
  <c r="CH30" i="65"/>
  <c r="CG30" i="65"/>
  <c r="CH77" i="65"/>
  <c r="CG77" i="65"/>
  <c r="CH119" i="65"/>
  <c r="CG119" i="65"/>
  <c r="CH162" i="65"/>
  <c r="CG162" i="65"/>
  <c r="CH205" i="65"/>
  <c r="CG205" i="65"/>
  <c r="CH245" i="65"/>
  <c r="CG245" i="65"/>
  <c r="CG274" i="65"/>
  <c r="CH274" i="65"/>
  <c r="CH301" i="65"/>
  <c r="CG301" i="65"/>
  <c r="CG344" i="65"/>
  <c r="CH344" i="65"/>
  <c r="CG472" i="65"/>
  <c r="CH472" i="65"/>
  <c r="CH17" i="65"/>
  <c r="CG17" i="65"/>
  <c r="CG424" i="65"/>
  <c r="CH424" i="65"/>
  <c r="CH12" i="65"/>
  <c r="CG12" i="65"/>
  <c r="CG146" i="65"/>
  <c r="CH146" i="65"/>
  <c r="CH330" i="65"/>
  <c r="CG330" i="65"/>
  <c r="CH394" i="65"/>
  <c r="CG394" i="65"/>
  <c r="CH86" i="65"/>
  <c r="CG86" i="65"/>
  <c r="CG252" i="65"/>
  <c r="CH252" i="65"/>
  <c r="CH321" i="65"/>
  <c r="CG321" i="65"/>
  <c r="CH385" i="65"/>
  <c r="CG385" i="65"/>
  <c r="CH449" i="65"/>
  <c r="CG449" i="65"/>
  <c r="CH513" i="65"/>
  <c r="CG513" i="65"/>
  <c r="CG66" i="65"/>
  <c r="CH66" i="65"/>
  <c r="CG194" i="65"/>
  <c r="CH194" i="65"/>
  <c r="CG296" i="65"/>
  <c r="CH296" i="65"/>
  <c r="CG418" i="65"/>
  <c r="CH418" i="65"/>
  <c r="CH6" i="65"/>
  <c r="CG6" i="65"/>
  <c r="CG23" i="65"/>
  <c r="CH23" i="65"/>
  <c r="CG39" i="65"/>
  <c r="CH39" i="65"/>
  <c r="CH32" i="65"/>
  <c r="CG32" i="65"/>
  <c r="CH48" i="65"/>
  <c r="CG48" i="65"/>
  <c r="CH64" i="65"/>
  <c r="CG64" i="65"/>
  <c r="CH80" i="65"/>
  <c r="CG80" i="65"/>
  <c r="CH96" i="65"/>
  <c r="CG96" i="65"/>
  <c r="CH112" i="65"/>
  <c r="CG112" i="65"/>
  <c r="CH128" i="65"/>
  <c r="CG128" i="65"/>
  <c r="CH144" i="65"/>
  <c r="CG144" i="65"/>
  <c r="CH160" i="65"/>
  <c r="CG160" i="65"/>
  <c r="CG176" i="65"/>
  <c r="CH176" i="65"/>
  <c r="CG192" i="65"/>
  <c r="CH192" i="65"/>
  <c r="CG208" i="65"/>
  <c r="CH208" i="65"/>
  <c r="CG224" i="65"/>
  <c r="CH224" i="65"/>
  <c r="CH25" i="65"/>
  <c r="CG25" i="65"/>
  <c r="CH51" i="65"/>
  <c r="CG51" i="65"/>
  <c r="CH73" i="65"/>
  <c r="CG73" i="65"/>
  <c r="CH94" i="65"/>
  <c r="CG94" i="65"/>
  <c r="CH115" i="65"/>
  <c r="CG115" i="65"/>
  <c r="CH137" i="65"/>
  <c r="CG137" i="65"/>
  <c r="CH158" i="65"/>
  <c r="CG158" i="65"/>
  <c r="CG179" i="65"/>
  <c r="CH179" i="65"/>
  <c r="CG222" i="65"/>
  <c r="CH222" i="65"/>
  <c r="CG242" i="65"/>
  <c r="CH242" i="65"/>
  <c r="CG258" i="65"/>
  <c r="CH258" i="65"/>
  <c r="CH34" i="65"/>
  <c r="CG34" i="65"/>
  <c r="CH58" i="65"/>
  <c r="CG58" i="65"/>
  <c r="CH79" i="65"/>
  <c r="CG79" i="65"/>
  <c r="CH122" i="65"/>
  <c r="CG122" i="65"/>
  <c r="CH143" i="65"/>
  <c r="CG143" i="65"/>
  <c r="CH186" i="65"/>
  <c r="CG186" i="65"/>
  <c r="CH207" i="65"/>
  <c r="CG207" i="65"/>
  <c r="CG247" i="65"/>
  <c r="CH247" i="65"/>
  <c r="CG263" i="65"/>
  <c r="CH263" i="65"/>
  <c r="CG279" i="65"/>
  <c r="CH279" i="65"/>
  <c r="CG295" i="65"/>
  <c r="CH295" i="65"/>
  <c r="CG311" i="65"/>
  <c r="CH311" i="65"/>
  <c r="CG327" i="65"/>
  <c r="CH327" i="65"/>
  <c r="CG343" i="65"/>
  <c r="CH343" i="65"/>
  <c r="CG359" i="65"/>
  <c r="CH359" i="65"/>
  <c r="CG375" i="65"/>
  <c r="CH375" i="65"/>
  <c r="CG391" i="65"/>
  <c r="CH391" i="65"/>
  <c r="CG423" i="65"/>
  <c r="CH423" i="65"/>
  <c r="CG439" i="65"/>
  <c r="CH439" i="65"/>
  <c r="CG455" i="65"/>
  <c r="CH455" i="65"/>
  <c r="CG487" i="65"/>
  <c r="CH487" i="65"/>
  <c r="CG503" i="65"/>
  <c r="CH503" i="65"/>
  <c r="CH11" i="65"/>
  <c r="CG11" i="65"/>
  <c r="CH37" i="65"/>
  <c r="CG37" i="65"/>
  <c r="CH166" i="65"/>
  <c r="CG166" i="65"/>
  <c r="CH209" i="65"/>
  <c r="CG209" i="65"/>
  <c r="CG248" i="65"/>
  <c r="CH248" i="65"/>
  <c r="CG276" i="65"/>
  <c r="CH276" i="65"/>
  <c r="CG318" i="65"/>
  <c r="CH318" i="65"/>
  <c r="CG340" i="65"/>
  <c r="CH340" i="65"/>
  <c r="CH361" i="65"/>
  <c r="CG361" i="65"/>
  <c r="CG382" i="65"/>
  <c r="CH382" i="65"/>
  <c r="CG404" i="65"/>
  <c r="CH404" i="65"/>
  <c r="CH425" i="65"/>
  <c r="CG425" i="65"/>
  <c r="CG446" i="65"/>
  <c r="CH446" i="65"/>
  <c r="CG468" i="65"/>
  <c r="CH468" i="65"/>
  <c r="CH489" i="65"/>
  <c r="CG489" i="65"/>
  <c r="CG510" i="65"/>
  <c r="CH510" i="65"/>
  <c r="CH13" i="65"/>
  <c r="CG13" i="65"/>
  <c r="CH317" i="65"/>
  <c r="CG317" i="65"/>
  <c r="CG360" i="65"/>
  <c r="CH360" i="65"/>
  <c r="CG402" i="65"/>
  <c r="CH402" i="65"/>
  <c r="CH445" i="65"/>
  <c r="CG445" i="65"/>
  <c r="CG488" i="65"/>
  <c r="CH488" i="65"/>
  <c r="CH38" i="65"/>
  <c r="CG38" i="65"/>
  <c r="CG82" i="65"/>
  <c r="CH82" i="65"/>
  <c r="CG125" i="65"/>
  <c r="CH125" i="65"/>
  <c r="CG167" i="65"/>
  <c r="CH167" i="65"/>
  <c r="CG210" i="65"/>
  <c r="CH210" i="65"/>
  <c r="CH249" i="65"/>
  <c r="CG249" i="65"/>
  <c r="CH277" i="65"/>
  <c r="CG277" i="65"/>
  <c r="CH298" i="65"/>
  <c r="CG298" i="65"/>
  <c r="CG320" i="65"/>
  <c r="CH320" i="65"/>
  <c r="CH362" i="65"/>
  <c r="CG362" i="65"/>
  <c r="CG384" i="65"/>
  <c r="CH384" i="65"/>
  <c r="CH405" i="65"/>
  <c r="CG405" i="65"/>
  <c r="CH426" i="65"/>
  <c r="CG426" i="65"/>
  <c r="CG448" i="65"/>
  <c r="CH448" i="65"/>
  <c r="CH469" i="65"/>
  <c r="CG469" i="65"/>
  <c r="CH490" i="65"/>
  <c r="CG490" i="65"/>
  <c r="CG512" i="65"/>
  <c r="CH512" i="65"/>
  <c r="CH14" i="65"/>
  <c r="CG14" i="65"/>
  <c r="CH65" i="65"/>
  <c r="CG65" i="65"/>
  <c r="CH107" i="65"/>
  <c r="CG107" i="65"/>
  <c r="CH150" i="65"/>
  <c r="CG150" i="65"/>
  <c r="CH193" i="65"/>
  <c r="CG193" i="65"/>
  <c r="CH235" i="65"/>
  <c r="CG235" i="65"/>
  <c r="CG268" i="65"/>
  <c r="CH268" i="65"/>
  <c r="CH289" i="65"/>
  <c r="CG289" i="65"/>
  <c r="CH310" i="65"/>
  <c r="CG310" i="65"/>
  <c r="CG332" i="65"/>
  <c r="CH332" i="65"/>
  <c r="CH353" i="65"/>
  <c r="CG353" i="65"/>
  <c r="CH374" i="65"/>
  <c r="CG374" i="65"/>
  <c r="CG396" i="65"/>
  <c r="CH396" i="65"/>
  <c r="CH417" i="65"/>
  <c r="CG417" i="65"/>
  <c r="CH438" i="65"/>
  <c r="CG438" i="65"/>
  <c r="CG460" i="65"/>
  <c r="CH460" i="65"/>
  <c r="CH481" i="65"/>
  <c r="CG481" i="65"/>
  <c r="CH502" i="65"/>
  <c r="CG502" i="65"/>
  <c r="CG45" i="65"/>
  <c r="CH45" i="65"/>
  <c r="CG87" i="65"/>
  <c r="CH87" i="65"/>
  <c r="CG130" i="65"/>
  <c r="CH130" i="65"/>
  <c r="CH173" i="65"/>
  <c r="CG173" i="65"/>
  <c r="CG215" i="65"/>
  <c r="CH215" i="65"/>
  <c r="CH253" i="65"/>
  <c r="CG253" i="65"/>
  <c r="CG280" i="65"/>
  <c r="CH280" i="65"/>
  <c r="CG312" i="65"/>
  <c r="CH312" i="65"/>
  <c r="CG354" i="65"/>
  <c r="CH354" i="65"/>
  <c r="CH397" i="65"/>
  <c r="CG397" i="65"/>
  <c r="CG440" i="65"/>
  <c r="CH440" i="65"/>
  <c r="CG482" i="65"/>
  <c r="CH482" i="65"/>
  <c r="CH24" i="65"/>
  <c r="CG24" i="65"/>
  <c r="CH56" i="65"/>
  <c r="CG56" i="65"/>
  <c r="CH88" i="65"/>
  <c r="CG88" i="65"/>
  <c r="CH120" i="65"/>
  <c r="CG120" i="65"/>
  <c r="CH152" i="65"/>
  <c r="CG152" i="65"/>
  <c r="CG184" i="65"/>
  <c r="CH184" i="65"/>
  <c r="CG216" i="65"/>
  <c r="CH216" i="65"/>
  <c r="CH41" i="65"/>
  <c r="CG41" i="65"/>
  <c r="CH83" i="65"/>
  <c r="CG83" i="65"/>
  <c r="CH126" i="65"/>
  <c r="CG126" i="65"/>
  <c r="CH169" i="65"/>
  <c r="CG169" i="65"/>
  <c r="CH250" i="65"/>
  <c r="CG250" i="65"/>
  <c r="CG47" i="65"/>
  <c r="CH47" i="65"/>
  <c r="CG111" i="65"/>
  <c r="CH111" i="65"/>
  <c r="CG154" i="65"/>
  <c r="CH154" i="65"/>
  <c r="CH175" i="65"/>
  <c r="CG175" i="65"/>
  <c r="CH218" i="65"/>
  <c r="CG218" i="65"/>
  <c r="CH255" i="65"/>
  <c r="CG255" i="65"/>
  <c r="CH287" i="65"/>
  <c r="CG287" i="65"/>
  <c r="CH319" i="65"/>
  <c r="CG319" i="65"/>
  <c r="CH383" i="65"/>
  <c r="CG383" i="65"/>
  <c r="CH447" i="65"/>
  <c r="CG447" i="65"/>
  <c r="CH479" i="65"/>
  <c r="CG479" i="65"/>
  <c r="CH511" i="65"/>
  <c r="CG511" i="65"/>
  <c r="CG18" i="65"/>
  <c r="CH18" i="65"/>
  <c r="CH102" i="65"/>
  <c r="CG102" i="65"/>
  <c r="CG264" i="65"/>
  <c r="CH264" i="65"/>
  <c r="CG308" i="65"/>
  <c r="CH308" i="65"/>
  <c r="CG350" i="65"/>
  <c r="CH350" i="65"/>
  <c r="CG372" i="65"/>
  <c r="CH372" i="65"/>
  <c r="CG414" i="65"/>
  <c r="CH414" i="65"/>
  <c r="CH457" i="65"/>
  <c r="CG457" i="65"/>
  <c r="CG500" i="65"/>
  <c r="CH500" i="65"/>
  <c r="CH381" i="65"/>
  <c r="CG381" i="65"/>
  <c r="CH509" i="65"/>
  <c r="CG509" i="65"/>
  <c r="CG61" i="65"/>
  <c r="CH61" i="65"/>
  <c r="CH189" i="65"/>
  <c r="CG189" i="65"/>
  <c r="CG288" i="65"/>
  <c r="CH288" i="65"/>
  <c r="CG352" i="65"/>
  <c r="CH352" i="65"/>
  <c r="CH43" i="65"/>
  <c r="CG43" i="65"/>
  <c r="CH129" i="65"/>
  <c r="CG129" i="65"/>
  <c r="CH214" i="65"/>
  <c r="CG214" i="65"/>
  <c r="CG300" i="65"/>
  <c r="CH300" i="65"/>
  <c r="CH342" i="65"/>
  <c r="CG342" i="65"/>
  <c r="CH406" i="65"/>
  <c r="CG406" i="65"/>
  <c r="CH470" i="65"/>
  <c r="CG470" i="65"/>
  <c r="CG109" i="65"/>
  <c r="CH109" i="65"/>
  <c r="CH269" i="65"/>
  <c r="CG269" i="65"/>
  <c r="CG376" i="65"/>
  <c r="CH376" i="65"/>
  <c r="CG504" i="65"/>
  <c r="CH504" i="65"/>
  <c r="CH27" i="65"/>
  <c r="CG27" i="65"/>
  <c r="CH20" i="65"/>
  <c r="CG20" i="65"/>
  <c r="CH36" i="65"/>
  <c r="CG36" i="65"/>
  <c r="CH52" i="65"/>
  <c r="CG52" i="65"/>
  <c r="CH68" i="65"/>
  <c r="CG68" i="65"/>
  <c r="CH84" i="65"/>
  <c r="CG84" i="65"/>
  <c r="CH100" i="65"/>
  <c r="CG100" i="65"/>
  <c r="CH116" i="65"/>
  <c r="CG116" i="65"/>
  <c r="CH132" i="65"/>
  <c r="CG132" i="65"/>
  <c r="CH148" i="65"/>
  <c r="CG148" i="65"/>
  <c r="CH164" i="65"/>
  <c r="CG164" i="65"/>
  <c r="CG180" i="65"/>
  <c r="CH180" i="65"/>
  <c r="CG196" i="65"/>
  <c r="CH196" i="65"/>
  <c r="CG212" i="65"/>
  <c r="CH212" i="65"/>
  <c r="CG228" i="65"/>
  <c r="CH228" i="65"/>
  <c r="CH33" i="65"/>
  <c r="CG33" i="65"/>
  <c r="CH57" i="65"/>
  <c r="CG57" i="65"/>
  <c r="CH78" i="65"/>
  <c r="CG78" i="65"/>
  <c r="CH99" i="65"/>
  <c r="CG99" i="65"/>
  <c r="CH121" i="65"/>
  <c r="CG121" i="65"/>
  <c r="CH142" i="65"/>
  <c r="CG142" i="65"/>
  <c r="CH163" i="65"/>
  <c r="CG163" i="65"/>
  <c r="CH185" i="65"/>
  <c r="CG185" i="65"/>
  <c r="CG206" i="65"/>
  <c r="CH206" i="65"/>
  <c r="CG227" i="65"/>
  <c r="CH227" i="65"/>
  <c r="CH246" i="65"/>
  <c r="CG246" i="65"/>
  <c r="CH262" i="65"/>
  <c r="CG262" i="65"/>
  <c r="CH42" i="65"/>
  <c r="CG42" i="65"/>
  <c r="CH63" i="65"/>
  <c r="CG63" i="65"/>
  <c r="CH85" i="65"/>
  <c r="CG85" i="65"/>
  <c r="CH106" i="65"/>
  <c r="CG106" i="65"/>
  <c r="CH127" i="65"/>
  <c r="CG127" i="65"/>
  <c r="CH149" i="65"/>
  <c r="CG149" i="65"/>
  <c r="CH170" i="65"/>
  <c r="CG170" i="65"/>
  <c r="CH191" i="65"/>
  <c r="CG191" i="65"/>
  <c r="CH234" i="65"/>
  <c r="CG234" i="65"/>
  <c r="CH251" i="65"/>
  <c r="CG251" i="65"/>
  <c r="CH267" i="65"/>
  <c r="CG267" i="65"/>
  <c r="CH283" i="65"/>
  <c r="CG283" i="65"/>
  <c r="CH331" i="65"/>
  <c r="CG331" i="65"/>
  <c r="CH347" i="65"/>
  <c r="CG347" i="65"/>
  <c r="CH363" i="65"/>
  <c r="CG363" i="65"/>
  <c r="CH395" i="65"/>
  <c r="CG395" i="65"/>
  <c r="CH411" i="65"/>
  <c r="CG411" i="65"/>
  <c r="CH427" i="65"/>
  <c r="CG427" i="65"/>
  <c r="CH459" i="65"/>
  <c r="CG459" i="65"/>
  <c r="CH475" i="65"/>
  <c r="CG475" i="65"/>
  <c r="CH491" i="65"/>
  <c r="CG491" i="65"/>
  <c r="CH507" i="65"/>
  <c r="CG507" i="65"/>
  <c r="CH15" i="65"/>
  <c r="CG15" i="65"/>
  <c r="CH49" i="65"/>
  <c r="CG49" i="65"/>
  <c r="CH91" i="65"/>
  <c r="CG91" i="65"/>
  <c r="CH134" i="65"/>
  <c r="CG134" i="65"/>
  <c r="CH177" i="65"/>
  <c r="CG177" i="65"/>
  <c r="CH219" i="65"/>
  <c r="CG219" i="65"/>
  <c r="CG256" i="65"/>
  <c r="CH256" i="65"/>
  <c r="CH281" i="65"/>
  <c r="CG281" i="65"/>
  <c r="CG302" i="65"/>
  <c r="CH302" i="65"/>
  <c r="CG324" i="65"/>
  <c r="CH324" i="65"/>
  <c r="CH345" i="65"/>
  <c r="CG345" i="65"/>
  <c r="CG366" i="65"/>
  <c r="CH366" i="65"/>
  <c r="CG388" i="65"/>
  <c r="CH388" i="65"/>
  <c r="CH409" i="65"/>
  <c r="CG409" i="65"/>
  <c r="CG430" i="65"/>
  <c r="CH430" i="65"/>
  <c r="CG452" i="65"/>
  <c r="CH452" i="65"/>
  <c r="CH473" i="65"/>
  <c r="CG473" i="65"/>
  <c r="CG494" i="65"/>
  <c r="CH494" i="65"/>
  <c r="CG516" i="65"/>
  <c r="CH516" i="65"/>
  <c r="CG5" i="65"/>
  <c r="CH5" i="65"/>
  <c r="CG328" i="65"/>
  <c r="CH328" i="65"/>
  <c r="CG370" i="65"/>
  <c r="CH370" i="65"/>
  <c r="CH413" i="65"/>
  <c r="CG413" i="65"/>
  <c r="CG456" i="65"/>
  <c r="CH456" i="65"/>
  <c r="CG498" i="65"/>
  <c r="CH498" i="65"/>
  <c r="CG50" i="65"/>
  <c r="CH50" i="65"/>
  <c r="CG93" i="65"/>
  <c r="CH93" i="65"/>
  <c r="CG135" i="65"/>
  <c r="CH135" i="65"/>
  <c r="CG178" i="65"/>
  <c r="CH178" i="65"/>
  <c r="CH221" i="65"/>
  <c r="CG221" i="65"/>
  <c r="CH282" i="65"/>
  <c r="CG282" i="65"/>
  <c r="CG304" i="65"/>
  <c r="CH304" i="65"/>
  <c r="CH325" i="65"/>
  <c r="CG325" i="65"/>
  <c r="CH346" i="65"/>
  <c r="CG346" i="65"/>
  <c r="CG368" i="65"/>
  <c r="CH368" i="65"/>
  <c r="CH389" i="65"/>
  <c r="CG389" i="65"/>
  <c r="CH410" i="65"/>
  <c r="CG410" i="65"/>
  <c r="CG432" i="65"/>
  <c r="CH432" i="65"/>
  <c r="CH453" i="65"/>
  <c r="CG453" i="65"/>
  <c r="CH474" i="65"/>
  <c r="CG474" i="65"/>
  <c r="CG496" i="65"/>
  <c r="CH496" i="65"/>
  <c r="CH517" i="65"/>
  <c r="CG517" i="65"/>
  <c r="CG29" i="65"/>
  <c r="CH29" i="65"/>
  <c r="CH75" i="65"/>
  <c r="CG75" i="65"/>
  <c r="CH118" i="65"/>
  <c r="CG118" i="65"/>
  <c r="CH161" i="65"/>
  <c r="CG161" i="65"/>
  <c r="CH203" i="65"/>
  <c r="CG203" i="65"/>
  <c r="CG244" i="65"/>
  <c r="CH244" i="65"/>
  <c r="CH294" i="65"/>
  <c r="CG294" i="65"/>
  <c r="CG316" i="65"/>
  <c r="CH316" i="65"/>
  <c r="CH337" i="65"/>
  <c r="CG337" i="65"/>
  <c r="CG380" i="65"/>
  <c r="CH380" i="65"/>
  <c r="CG444" i="65"/>
  <c r="CH444" i="65"/>
  <c r="CG508" i="65"/>
  <c r="CH508" i="65"/>
  <c r="CH10" i="65"/>
  <c r="CG10" i="65"/>
  <c r="CH55" i="65"/>
  <c r="CG55" i="65"/>
  <c r="CH98" i="65"/>
  <c r="CG98" i="65"/>
  <c r="CH141" i="65"/>
  <c r="CG141" i="65"/>
  <c r="CG183" i="65"/>
  <c r="CH183" i="65"/>
  <c r="CG226" i="65"/>
  <c r="CH226" i="65"/>
  <c r="CH261" i="65"/>
  <c r="CG261" i="65"/>
  <c r="CG290" i="65"/>
  <c r="CH290" i="65"/>
  <c r="CG322" i="65"/>
  <c r="CH322" i="65"/>
  <c r="CG408" i="65"/>
  <c r="CH408" i="65"/>
  <c r="CH31" i="65"/>
  <c r="CG31" i="65"/>
  <c r="CH40" i="65"/>
  <c r="CG40" i="65"/>
  <c r="CH72" i="65"/>
  <c r="CG72" i="65"/>
  <c r="CH104" i="65"/>
  <c r="CG104" i="65"/>
  <c r="CH136" i="65"/>
  <c r="CG136" i="65"/>
  <c r="CH168" i="65"/>
  <c r="CG168" i="65"/>
  <c r="CG200" i="65"/>
  <c r="CH200" i="65"/>
  <c r="CG232" i="65"/>
  <c r="CH232" i="65"/>
  <c r="CH62" i="65"/>
  <c r="CG62" i="65"/>
  <c r="CH105" i="65"/>
  <c r="CG105" i="65"/>
  <c r="CH147" i="65"/>
  <c r="CG147" i="65"/>
  <c r="CG190" i="65"/>
  <c r="CH190" i="65"/>
  <c r="CH233" i="65"/>
  <c r="CG233" i="65"/>
  <c r="CH266" i="65"/>
  <c r="CG266" i="65"/>
  <c r="CG69" i="65"/>
  <c r="CH69" i="65"/>
  <c r="CG90" i="65"/>
  <c r="CH90" i="65"/>
  <c r="CG133" i="65"/>
  <c r="CH133" i="65"/>
  <c r="CH239" i="65"/>
  <c r="CG239" i="65"/>
  <c r="CH271" i="65"/>
  <c r="CG271" i="65"/>
  <c r="CH303" i="65"/>
  <c r="CG303" i="65"/>
  <c r="CH335" i="65"/>
  <c r="CG335" i="65"/>
  <c r="CH367" i="65"/>
  <c r="CG367" i="65"/>
  <c r="CH399" i="65"/>
  <c r="CG399" i="65"/>
  <c r="CH431" i="65"/>
  <c r="CG431" i="65"/>
  <c r="CH463" i="65"/>
  <c r="CG463" i="65"/>
  <c r="CH495" i="65"/>
  <c r="CG495" i="65"/>
  <c r="CH230" i="65"/>
  <c r="CG230" i="65"/>
  <c r="CG286" i="65"/>
  <c r="CH286" i="65"/>
  <c r="CH393" i="65"/>
  <c r="CG393" i="65"/>
  <c r="CG436" i="65"/>
  <c r="CH436" i="65"/>
  <c r="CG478" i="65"/>
  <c r="CH478" i="65"/>
  <c r="CG338" i="65"/>
  <c r="CH338" i="65"/>
  <c r="CG466" i="65"/>
  <c r="CH466" i="65"/>
  <c r="CG103" i="65"/>
  <c r="CH103" i="65"/>
  <c r="CG231" i="65"/>
  <c r="CH231" i="65"/>
  <c r="CH309" i="65"/>
  <c r="CG309" i="65"/>
  <c r="CG416" i="65"/>
  <c r="CH416" i="65"/>
  <c r="CG480" i="65"/>
  <c r="CH480" i="65"/>
  <c r="CH171" i="65"/>
  <c r="CG171" i="65"/>
  <c r="CH278" i="65"/>
  <c r="CG278" i="65"/>
  <c r="CG364" i="65"/>
  <c r="CH364" i="65"/>
  <c r="CG428" i="65"/>
  <c r="CH428" i="65"/>
  <c r="CG492" i="65"/>
  <c r="CH492" i="65"/>
  <c r="CH16" i="65"/>
  <c r="CG16" i="65"/>
  <c r="CG151" i="65"/>
  <c r="CH151" i="65"/>
  <c r="CH237" i="65"/>
  <c r="CG237" i="65"/>
  <c r="CH333" i="65"/>
  <c r="CG333" i="65"/>
  <c r="CH461" i="65"/>
  <c r="CG461" i="65"/>
  <c r="CG526" i="65"/>
  <c r="CH526" i="65"/>
  <c r="CG528" i="65"/>
  <c r="CH528" i="65"/>
  <c r="CG540" i="65"/>
  <c r="CH540" i="65"/>
  <c r="CH541" i="65"/>
  <c r="CG541" i="65"/>
  <c r="CH543" i="65"/>
  <c r="CG543" i="65"/>
  <c r="CH522" i="65"/>
  <c r="CG522" i="65"/>
  <c r="CG535" i="65"/>
  <c r="CH535" i="65"/>
  <c r="CG530" i="65"/>
  <c r="CH530" i="65"/>
  <c r="CG524" i="65"/>
  <c r="CH524" i="65"/>
  <c r="CH525" i="65"/>
  <c r="CG525" i="65"/>
  <c r="CH537" i="65"/>
  <c r="CG537" i="65"/>
  <c r="CG536" i="65"/>
  <c r="CH536" i="65"/>
  <c r="CG542" i="65"/>
  <c r="CH542" i="65"/>
  <c r="CH534" i="65"/>
  <c r="CG534" i="65"/>
  <c r="CC522" i="65"/>
  <c r="CW522" i="65"/>
  <c r="CV522" i="65"/>
  <c r="CC530" i="65"/>
  <c r="CW530" i="65"/>
  <c r="CV530" i="65"/>
  <c r="CV523" i="65"/>
  <c r="CW523" i="65"/>
  <c r="CH117" i="65"/>
  <c r="CG117" i="65"/>
  <c r="CG243" i="65"/>
  <c r="CH243" i="65"/>
  <c r="CG307" i="65"/>
  <c r="CH307" i="65"/>
  <c r="CG339" i="65"/>
  <c r="CH339" i="65"/>
  <c r="CG386" i="65"/>
  <c r="CH386" i="65"/>
  <c r="CH265" i="65"/>
  <c r="CG265" i="65"/>
  <c r="CH297" i="65"/>
  <c r="CG297" i="65"/>
  <c r="CH351" i="65"/>
  <c r="CG351" i="65"/>
  <c r="CH285" i="65"/>
  <c r="CG285" i="65"/>
  <c r="CH299" i="65"/>
  <c r="CG299" i="65"/>
  <c r="CH379" i="65"/>
  <c r="CG379" i="65"/>
  <c r="CC520" i="65"/>
  <c r="CW520" i="65"/>
  <c r="CV520" i="65"/>
  <c r="CC518" i="65"/>
  <c r="CW518" i="65"/>
  <c r="CV518" i="65"/>
  <c r="CD539" i="65"/>
  <c r="CV539" i="65"/>
  <c r="CW539" i="65"/>
  <c r="CW538" i="65"/>
  <c r="CV538" i="65"/>
  <c r="CW532" i="65"/>
  <c r="CV532" i="65"/>
  <c r="CV537" i="65"/>
  <c r="CW537" i="65"/>
  <c r="CW542" i="65"/>
  <c r="CV542" i="65"/>
  <c r="CV544" i="65"/>
  <c r="CW544" i="65"/>
  <c r="CC19" i="65"/>
  <c r="CW19" i="65"/>
  <c r="CV19" i="65"/>
  <c r="CC28" i="65"/>
  <c r="CW28" i="65"/>
  <c r="CV28" i="65"/>
  <c r="CC44" i="65"/>
  <c r="CW44" i="65"/>
  <c r="CV44" i="65"/>
  <c r="CC60" i="65"/>
  <c r="CV60" i="65"/>
  <c r="CW60" i="65"/>
  <c r="CC76" i="65"/>
  <c r="CW76" i="65"/>
  <c r="CV76" i="65"/>
  <c r="CC92" i="65"/>
  <c r="CW92" i="65"/>
  <c r="CV92" i="65"/>
  <c r="CC108" i="65"/>
  <c r="CW108" i="65"/>
  <c r="CV108" i="65"/>
  <c r="CC124" i="65"/>
  <c r="CV124" i="65"/>
  <c r="CW124" i="65"/>
  <c r="CC140" i="65"/>
  <c r="CV140" i="65"/>
  <c r="CW140" i="65"/>
  <c r="CD156" i="65"/>
  <c r="CW156" i="65"/>
  <c r="CV156" i="65"/>
  <c r="CC172" i="65"/>
  <c r="CW172" i="65"/>
  <c r="CV172" i="65"/>
  <c r="CC188" i="65"/>
  <c r="CV188" i="65"/>
  <c r="CW188" i="65"/>
  <c r="CC204" i="65"/>
  <c r="CV204" i="65"/>
  <c r="CW204" i="65"/>
  <c r="CC220" i="65"/>
  <c r="CW220" i="65"/>
  <c r="CV220" i="65"/>
  <c r="CD236" i="65"/>
  <c r="CW236" i="65"/>
  <c r="CV236" i="65"/>
  <c r="CC46" i="65"/>
  <c r="CW46" i="65"/>
  <c r="CV46" i="65"/>
  <c r="CC67" i="65"/>
  <c r="CW67" i="65"/>
  <c r="CV67" i="65"/>
  <c r="CC89" i="65"/>
  <c r="CV89" i="65"/>
  <c r="CW89" i="65"/>
  <c r="CC110" i="65"/>
  <c r="CV110" i="65"/>
  <c r="CW110" i="65"/>
  <c r="CC131" i="65"/>
  <c r="CW131" i="65"/>
  <c r="CV131" i="65"/>
  <c r="CC153" i="65"/>
  <c r="CV153" i="65"/>
  <c r="CW153" i="65"/>
  <c r="CD174" i="65"/>
  <c r="CV174" i="65"/>
  <c r="CW174" i="65"/>
  <c r="CC195" i="65"/>
  <c r="CW195" i="65"/>
  <c r="CV195" i="65"/>
  <c r="CC217" i="65"/>
  <c r="CV217" i="65"/>
  <c r="CW217" i="65"/>
  <c r="CC238" i="65"/>
  <c r="CV238" i="65"/>
  <c r="CW238" i="65"/>
  <c r="CC254" i="65"/>
  <c r="CW254" i="65"/>
  <c r="CV254" i="65"/>
  <c r="CC26" i="65"/>
  <c r="CW26" i="65"/>
  <c r="CV26" i="65"/>
  <c r="CC53" i="65"/>
  <c r="CV53" i="65"/>
  <c r="CW53" i="65"/>
  <c r="CD74" i="65"/>
  <c r="CW74" i="65"/>
  <c r="CV74" i="65"/>
  <c r="CC95" i="65"/>
  <c r="CW95" i="65"/>
  <c r="CV95" i="65"/>
  <c r="CC117" i="65"/>
  <c r="CW117" i="65"/>
  <c r="CV117" i="65"/>
  <c r="CC138" i="65"/>
  <c r="CW138" i="65"/>
  <c r="CV138" i="65"/>
  <c r="CC159" i="65"/>
  <c r="CW159" i="65"/>
  <c r="CV159" i="65"/>
  <c r="CC181" i="65"/>
  <c r="CW181" i="65"/>
  <c r="CV181" i="65"/>
  <c r="CC202" i="65"/>
  <c r="CW202" i="65"/>
  <c r="CV202" i="65"/>
  <c r="CC243" i="65"/>
  <c r="CW243" i="65"/>
  <c r="CV243" i="65"/>
  <c r="CC259" i="65"/>
  <c r="CW259" i="65"/>
  <c r="CV259" i="65"/>
  <c r="CC275" i="65"/>
  <c r="CW275" i="65"/>
  <c r="CV275" i="65"/>
  <c r="CC291" i="65"/>
  <c r="CW291" i="65"/>
  <c r="CV291" i="65"/>
  <c r="CC339" i="65"/>
  <c r="CW339" i="65"/>
  <c r="CV339" i="65"/>
  <c r="CC355" i="65"/>
  <c r="CW355" i="65"/>
  <c r="CV355" i="65"/>
  <c r="CC371" i="65"/>
  <c r="CW371" i="65"/>
  <c r="CV371" i="65"/>
  <c r="CD387" i="65"/>
  <c r="CW387" i="65"/>
  <c r="CV387" i="65"/>
  <c r="CD403" i="65"/>
  <c r="CW403" i="65"/>
  <c r="CV403" i="65"/>
  <c r="CC419" i="65"/>
  <c r="CW419" i="65"/>
  <c r="CV419" i="65"/>
  <c r="CC467" i="65"/>
  <c r="CW467" i="65"/>
  <c r="CV467" i="65"/>
  <c r="CC483" i="65"/>
  <c r="CW483" i="65"/>
  <c r="CV483" i="65"/>
  <c r="CC499" i="65"/>
  <c r="CW499" i="65"/>
  <c r="CV499" i="65"/>
  <c r="CC515" i="65"/>
  <c r="CW515" i="65"/>
  <c r="CV515" i="65"/>
  <c r="CC7" i="65"/>
  <c r="CW7" i="65"/>
  <c r="CV7" i="65"/>
  <c r="CC21" i="65"/>
  <c r="CV21" i="65"/>
  <c r="CW21" i="65"/>
  <c r="CD70" i="65"/>
  <c r="CV70" i="65"/>
  <c r="CW70" i="65"/>
  <c r="CC113" i="65"/>
  <c r="CV113" i="65"/>
  <c r="CW113" i="65"/>
  <c r="CC155" i="65"/>
  <c r="CW155" i="65"/>
  <c r="CV155" i="65"/>
  <c r="CC198" i="65"/>
  <c r="CW198" i="65"/>
  <c r="CV198" i="65"/>
  <c r="CC240" i="65"/>
  <c r="CW240" i="65"/>
  <c r="CV240" i="65"/>
  <c r="CC270" i="65"/>
  <c r="CW270" i="65"/>
  <c r="CV270" i="65"/>
  <c r="CC292" i="65"/>
  <c r="CW292" i="65"/>
  <c r="CV292" i="65"/>
  <c r="CC313" i="65"/>
  <c r="CV313" i="65"/>
  <c r="CW313" i="65"/>
  <c r="CD334" i="65"/>
  <c r="CW334" i="65"/>
  <c r="CV334" i="65"/>
  <c r="CC356" i="65"/>
  <c r="CW356" i="65"/>
  <c r="CV356" i="65"/>
  <c r="CC377" i="65"/>
  <c r="CV377" i="65"/>
  <c r="CW377" i="65"/>
  <c r="CD398" i="65"/>
  <c r="CW398" i="65"/>
  <c r="CV398" i="65"/>
  <c r="CC420" i="65"/>
  <c r="CW420" i="65"/>
  <c r="CV420" i="65"/>
  <c r="CC441" i="65"/>
  <c r="CV441" i="65"/>
  <c r="CW441" i="65"/>
  <c r="CD462" i="65"/>
  <c r="CW462" i="65"/>
  <c r="CV462" i="65"/>
  <c r="CC484" i="65"/>
  <c r="CW484" i="65"/>
  <c r="CV484" i="65"/>
  <c r="CC505" i="65"/>
  <c r="CV505" i="65"/>
  <c r="CW505" i="65"/>
  <c r="CC8" i="65"/>
  <c r="CW8" i="65"/>
  <c r="CV8" i="65"/>
  <c r="CC306" i="65"/>
  <c r="CW306" i="65"/>
  <c r="CV306" i="65"/>
  <c r="CC349" i="65"/>
  <c r="CV349" i="65"/>
  <c r="CW349" i="65"/>
  <c r="CC392" i="65"/>
  <c r="CW392" i="65"/>
  <c r="CV392" i="65"/>
  <c r="CC434" i="65"/>
  <c r="CW434" i="65"/>
  <c r="CV434" i="65"/>
  <c r="CC477" i="65"/>
  <c r="CV477" i="65"/>
  <c r="CW477" i="65"/>
  <c r="CC22" i="65"/>
  <c r="CV22" i="65"/>
  <c r="CW22" i="65"/>
  <c r="CC114" i="65"/>
  <c r="CW114" i="65"/>
  <c r="CV114" i="65"/>
  <c r="CC157" i="65"/>
  <c r="CV157" i="65"/>
  <c r="CW157" i="65"/>
  <c r="CC199" i="65"/>
  <c r="CW199" i="65"/>
  <c r="CV199" i="65"/>
  <c r="CC241" i="65"/>
  <c r="CV241" i="65"/>
  <c r="CW241" i="65"/>
  <c r="CC272" i="65"/>
  <c r="CW272" i="65"/>
  <c r="CV272" i="65"/>
  <c r="CC293" i="65"/>
  <c r="CW293" i="65"/>
  <c r="CV293" i="65"/>
  <c r="CC314" i="65"/>
  <c r="CW314" i="65"/>
  <c r="CV314" i="65"/>
  <c r="CC336" i="65"/>
  <c r="CV336" i="65"/>
  <c r="CW336" i="65"/>
  <c r="CC357" i="65"/>
  <c r="CV357" i="65"/>
  <c r="CW357" i="65"/>
  <c r="CC378" i="65"/>
  <c r="CW378" i="65"/>
  <c r="CV378" i="65"/>
  <c r="CD400" i="65"/>
  <c r="CV400" i="65"/>
  <c r="CW400" i="65"/>
  <c r="CC421" i="65"/>
  <c r="CV421" i="65"/>
  <c r="CW421" i="65"/>
  <c r="CC442" i="65"/>
  <c r="CW442" i="65"/>
  <c r="CV442" i="65"/>
  <c r="CC464" i="65"/>
  <c r="CV464" i="65"/>
  <c r="CW464" i="65"/>
  <c r="CC485" i="65"/>
  <c r="CV485" i="65"/>
  <c r="CW485" i="65"/>
  <c r="CC506" i="65"/>
  <c r="CW506" i="65"/>
  <c r="CV506" i="65"/>
  <c r="CC9" i="65"/>
  <c r="CV9" i="65"/>
  <c r="CW9" i="65"/>
  <c r="CC54" i="65"/>
  <c r="CW54" i="65"/>
  <c r="CV54" i="65"/>
  <c r="CC97" i="65"/>
  <c r="CV97" i="65"/>
  <c r="CW97" i="65"/>
  <c r="CC139" i="65"/>
  <c r="CW139" i="65"/>
  <c r="CV139" i="65"/>
  <c r="CC182" i="65"/>
  <c r="CV182" i="65"/>
  <c r="CW182" i="65"/>
  <c r="CC225" i="65"/>
  <c r="CV225" i="65"/>
  <c r="CW225" i="65"/>
  <c r="CC260" i="65"/>
  <c r="CV260" i="65"/>
  <c r="CW260" i="65"/>
  <c r="CD284" i="65"/>
  <c r="CW284" i="65"/>
  <c r="CV284" i="65"/>
  <c r="CC305" i="65"/>
  <c r="CV305" i="65"/>
  <c r="CW305" i="65"/>
  <c r="CC326" i="65"/>
  <c r="CW326" i="65"/>
  <c r="CV326" i="65"/>
  <c r="CC348" i="65"/>
  <c r="CV348" i="65"/>
  <c r="CW348" i="65"/>
  <c r="CD369" i="65"/>
  <c r="CV369" i="65"/>
  <c r="CW369" i="65"/>
  <c r="CC390" i="65"/>
  <c r="CW390" i="65"/>
  <c r="CV390" i="65"/>
  <c r="CD412" i="65"/>
  <c r="CV412" i="65"/>
  <c r="CW412" i="65"/>
  <c r="CC433" i="65"/>
  <c r="CV433" i="65"/>
  <c r="CW433" i="65"/>
  <c r="CC454" i="65"/>
  <c r="CW454" i="65"/>
  <c r="CV454" i="65"/>
  <c r="CC476" i="65"/>
  <c r="CV476" i="65"/>
  <c r="CW476" i="65"/>
  <c r="CC497" i="65"/>
  <c r="CV497" i="65"/>
  <c r="CW497" i="65"/>
  <c r="CD77" i="65"/>
  <c r="CW77" i="65"/>
  <c r="CV77" i="65"/>
  <c r="CC119" i="65"/>
  <c r="CW119" i="65"/>
  <c r="CV119" i="65"/>
  <c r="CC162" i="65"/>
  <c r="CW162" i="65"/>
  <c r="CV162" i="65"/>
  <c r="CC205" i="65"/>
  <c r="CV205" i="65"/>
  <c r="CW205" i="65"/>
  <c r="CC245" i="65"/>
  <c r="CW245" i="65"/>
  <c r="CV245" i="65"/>
  <c r="CC301" i="65"/>
  <c r="CV301" i="65"/>
  <c r="CW301" i="65"/>
  <c r="CC344" i="65"/>
  <c r="CW344" i="65"/>
  <c r="CV344" i="65"/>
  <c r="CC386" i="65"/>
  <c r="CW386" i="65"/>
  <c r="CV386" i="65"/>
  <c r="CC429" i="65"/>
  <c r="CV429" i="65"/>
  <c r="CW429" i="65"/>
  <c r="CC472" i="65"/>
  <c r="CW472" i="65"/>
  <c r="CV472" i="65"/>
  <c r="CC17" i="65"/>
  <c r="CV17" i="65"/>
  <c r="CW17" i="65"/>
  <c r="CW424" i="65"/>
  <c r="CV424" i="65"/>
  <c r="CW12" i="65"/>
  <c r="CV12" i="65"/>
  <c r="CV146" i="65"/>
  <c r="CW146" i="65"/>
  <c r="CD265" i="65"/>
  <c r="CV265" i="65"/>
  <c r="CW265" i="65"/>
  <c r="CC330" i="65"/>
  <c r="CW330" i="65"/>
  <c r="CV330" i="65"/>
  <c r="CC458" i="65"/>
  <c r="CW458" i="65"/>
  <c r="CV458" i="65"/>
  <c r="CV86" i="65"/>
  <c r="CW86" i="65"/>
  <c r="CD321" i="65"/>
  <c r="CV321" i="65"/>
  <c r="CW321" i="65"/>
  <c r="CC385" i="65"/>
  <c r="CV385" i="65"/>
  <c r="CW385" i="65"/>
  <c r="CC449" i="65"/>
  <c r="CV449" i="65"/>
  <c r="CW449" i="65"/>
  <c r="CC513" i="65"/>
  <c r="CV513" i="65"/>
  <c r="CW513" i="65"/>
  <c r="CD66" i="65"/>
  <c r="CW66" i="65"/>
  <c r="CV66" i="65"/>
  <c r="CC194" i="65"/>
  <c r="CV194" i="65"/>
  <c r="CW194" i="65"/>
  <c r="CW296" i="65"/>
  <c r="CV296" i="65"/>
  <c r="CC418" i="65"/>
  <c r="CW418" i="65"/>
  <c r="CV418" i="65"/>
  <c r="CW6" i="65"/>
  <c r="CV6" i="65"/>
  <c r="CC23" i="65"/>
  <c r="CW23" i="65"/>
  <c r="CV23" i="65"/>
  <c r="CC39" i="65"/>
  <c r="CW39" i="65"/>
  <c r="CV39" i="65"/>
  <c r="CC32" i="65"/>
  <c r="CV32" i="65"/>
  <c r="CW32" i="65"/>
  <c r="CD48" i="65"/>
  <c r="CW48" i="65"/>
  <c r="CV48" i="65"/>
  <c r="CC64" i="65"/>
  <c r="CW64" i="65"/>
  <c r="CV64" i="65"/>
  <c r="CD80" i="65"/>
  <c r="CV80" i="65"/>
  <c r="CW80" i="65"/>
  <c r="CC96" i="65"/>
  <c r="CW96" i="65"/>
  <c r="CV96" i="65"/>
  <c r="CC112" i="65"/>
  <c r="CW112" i="65"/>
  <c r="CV112" i="65"/>
  <c r="CC128" i="65"/>
  <c r="CW128" i="65"/>
  <c r="CV128" i="65"/>
  <c r="CC144" i="65"/>
  <c r="CW144" i="65"/>
  <c r="CV144" i="65"/>
  <c r="CC160" i="65"/>
  <c r="CW160" i="65"/>
  <c r="CV160" i="65"/>
  <c r="CD176" i="65"/>
  <c r="CW176" i="65"/>
  <c r="CV176" i="65"/>
  <c r="CC192" i="65"/>
  <c r="CW192" i="65"/>
  <c r="CV192" i="65"/>
  <c r="CD208" i="65"/>
  <c r="CW208" i="65"/>
  <c r="CV208" i="65"/>
  <c r="CC224" i="65"/>
  <c r="CW224" i="65"/>
  <c r="CV224" i="65"/>
  <c r="CC25" i="65"/>
  <c r="CV25" i="65"/>
  <c r="CW25" i="65"/>
  <c r="CC51" i="65"/>
  <c r="CW51" i="65"/>
  <c r="CV51" i="65"/>
  <c r="CC73" i="65"/>
  <c r="CV73" i="65"/>
  <c r="CW73" i="65"/>
  <c r="CD94" i="65"/>
  <c r="CW94" i="65"/>
  <c r="CV94" i="65"/>
  <c r="CC137" i="65"/>
  <c r="CV137" i="65"/>
  <c r="CW137" i="65"/>
  <c r="CC179" i="65"/>
  <c r="CW179" i="65"/>
  <c r="CV179" i="65"/>
  <c r="CC201" i="65"/>
  <c r="CV201" i="65"/>
  <c r="CW201" i="65"/>
  <c r="CD242" i="65"/>
  <c r="CW242" i="65"/>
  <c r="CV242" i="65"/>
  <c r="CD258" i="65"/>
  <c r="CV258" i="65"/>
  <c r="CW258" i="65"/>
  <c r="CC34" i="65"/>
  <c r="CW34" i="65"/>
  <c r="CV34" i="65"/>
  <c r="CC58" i="65"/>
  <c r="CW58" i="65"/>
  <c r="CV58" i="65"/>
  <c r="CW79" i="65"/>
  <c r="CV79" i="65"/>
  <c r="CC101" i="65"/>
  <c r="CW101" i="65"/>
  <c r="CV101" i="65"/>
  <c r="CW122" i="65"/>
  <c r="CV122" i="65"/>
  <c r="CC143" i="65"/>
  <c r="CW143" i="65"/>
  <c r="CV143" i="65"/>
  <c r="CD165" i="65"/>
  <c r="CW165" i="65"/>
  <c r="CV165" i="65"/>
  <c r="CC186" i="65"/>
  <c r="CW186" i="65"/>
  <c r="CV186" i="65"/>
  <c r="CD207" i="65"/>
  <c r="CW207" i="65"/>
  <c r="CV207" i="65"/>
  <c r="CC229" i="65"/>
  <c r="CW229" i="65"/>
  <c r="CV229" i="65"/>
  <c r="CW247" i="65"/>
  <c r="CV247" i="65"/>
  <c r="CC263" i="65"/>
  <c r="CW263" i="65"/>
  <c r="CV263" i="65"/>
  <c r="CD311" i="65"/>
  <c r="CW311" i="65"/>
  <c r="CV311" i="65"/>
  <c r="CC327" i="65"/>
  <c r="CV327" i="65"/>
  <c r="CW327" i="65"/>
  <c r="CV343" i="65"/>
  <c r="CW343" i="65"/>
  <c r="CC359" i="65"/>
  <c r="CV359" i="65"/>
  <c r="CW359" i="65"/>
  <c r="CV375" i="65"/>
  <c r="CW375" i="65"/>
  <c r="CC391" i="65"/>
  <c r="CV391" i="65"/>
  <c r="CW391" i="65"/>
  <c r="CD439" i="65"/>
  <c r="CW439" i="65"/>
  <c r="CV439" i="65"/>
  <c r="CC455" i="65"/>
  <c r="CV455" i="65"/>
  <c r="CW455" i="65"/>
  <c r="CD471" i="65"/>
  <c r="CW471" i="65"/>
  <c r="CV471" i="65"/>
  <c r="CC487" i="65"/>
  <c r="CV487" i="65"/>
  <c r="CW487" i="65"/>
  <c r="CW503" i="65"/>
  <c r="CV503" i="65"/>
  <c r="CW11" i="65"/>
  <c r="CV11" i="65"/>
  <c r="CC37" i="65"/>
  <c r="CV37" i="65"/>
  <c r="CW37" i="65"/>
  <c r="CV81" i="65"/>
  <c r="CW81" i="65"/>
  <c r="CD123" i="65"/>
  <c r="CW123" i="65"/>
  <c r="CV123" i="65"/>
  <c r="CC209" i="65"/>
  <c r="CV209" i="65"/>
  <c r="CW209" i="65"/>
  <c r="CW248" i="65"/>
  <c r="CV248" i="65"/>
  <c r="CC276" i="65"/>
  <c r="CW276" i="65"/>
  <c r="CV276" i="65"/>
  <c r="CV297" i="65"/>
  <c r="CW297" i="65"/>
  <c r="CD318" i="65"/>
  <c r="CW318" i="65"/>
  <c r="CV318" i="65"/>
  <c r="CW340" i="65"/>
  <c r="CV340" i="65"/>
  <c r="CD361" i="65"/>
  <c r="CV361" i="65"/>
  <c r="CW361" i="65"/>
  <c r="CD382" i="65"/>
  <c r="CW382" i="65"/>
  <c r="CV382" i="65"/>
  <c r="CC404" i="65"/>
  <c r="CW404" i="65"/>
  <c r="CV404" i="65"/>
  <c r="CV425" i="65"/>
  <c r="CW425" i="65"/>
  <c r="CD446" i="65"/>
  <c r="CW446" i="65"/>
  <c r="CV446" i="65"/>
  <c r="CW468" i="65"/>
  <c r="CV468" i="65"/>
  <c r="CD489" i="65"/>
  <c r="CV489" i="65"/>
  <c r="CW489" i="65"/>
  <c r="CW510" i="65"/>
  <c r="CV510" i="65"/>
  <c r="CC13" i="65"/>
  <c r="CW13" i="65"/>
  <c r="CV13" i="65"/>
  <c r="CV317" i="65"/>
  <c r="CW317" i="65"/>
  <c r="CC360" i="65"/>
  <c r="CW360" i="65"/>
  <c r="CV360" i="65"/>
  <c r="CC445" i="65"/>
  <c r="CV445" i="65"/>
  <c r="CW445" i="65"/>
  <c r="CW488" i="65"/>
  <c r="CV488" i="65"/>
  <c r="CV38" i="65"/>
  <c r="CW38" i="65"/>
  <c r="CW82" i="65"/>
  <c r="CV82" i="65"/>
  <c r="CD125" i="65"/>
  <c r="CV125" i="65"/>
  <c r="CW125" i="65"/>
  <c r="CW167" i="65"/>
  <c r="CV167" i="65"/>
  <c r="CV210" i="65"/>
  <c r="CW210" i="65"/>
  <c r="CV249" i="65"/>
  <c r="CW249" i="65"/>
  <c r="CW277" i="65"/>
  <c r="CV277" i="65"/>
  <c r="CD298" i="65"/>
  <c r="CW298" i="65"/>
  <c r="CV298" i="65"/>
  <c r="CD320" i="65"/>
  <c r="CV320" i="65"/>
  <c r="CW320" i="65"/>
  <c r="CV341" i="65"/>
  <c r="CW341" i="65"/>
  <c r="CV384" i="65"/>
  <c r="CW384" i="65"/>
  <c r="CV405" i="65"/>
  <c r="CW405" i="65"/>
  <c r="CW426" i="65"/>
  <c r="CV426" i="65"/>
  <c r="CV448" i="65"/>
  <c r="CW448" i="65"/>
  <c r="CV469" i="65"/>
  <c r="CW469" i="65"/>
  <c r="CD490" i="65"/>
  <c r="CW490" i="65"/>
  <c r="CV490" i="65"/>
  <c r="CV512" i="65"/>
  <c r="CW512" i="65"/>
  <c r="CC65" i="65"/>
  <c r="CV65" i="65"/>
  <c r="CW65" i="65"/>
  <c r="CD107" i="65"/>
  <c r="CW107" i="65"/>
  <c r="CV107" i="65"/>
  <c r="CC150" i="65"/>
  <c r="CV150" i="65"/>
  <c r="CW150" i="65"/>
  <c r="CV193" i="65"/>
  <c r="CW193" i="65"/>
  <c r="CC235" i="65"/>
  <c r="CW235" i="65"/>
  <c r="CV235" i="65"/>
  <c r="CV268" i="65"/>
  <c r="CW268" i="65"/>
  <c r="CC289" i="65"/>
  <c r="CV289" i="65"/>
  <c r="CW289" i="65"/>
  <c r="CC332" i="65"/>
  <c r="CV332" i="65"/>
  <c r="CW332" i="65"/>
  <c r="CD353" i="65"/>
  <c r="CV353" i="65"/>
  <c r="CW353" i="65"/>
  <c r="CV396" i="65"/>
  <c r="CW396" i="65"/>
  <c r="CC417" i="65"/>
  <c r="CV417" i="65"/>
  <c r="CW417" i="65"/>
  <c r="CC460" i="65"/>
  <c r="CW460" i="65"/>
  <c r="CV460" i="65"/>
  <c r="CV481" i="65"/>
  <c r="CW481" i="65"/>
  <c r="CD45" i="65"/>
  <c r="CW45" i="65"/>
  <c r="CV45" i="65"/>
  <c r="CW87" i="65"/>
  <c r="CV87" i="65"/>
  <c r="CD130" i="65"/>
  <c r="CV130" i="65"/>
  <c r="CW130" i="65"/>
  <c r="CV173" i="65"/>
  <c r="CW173" i="65"/>
  <c r="CC215" i="65"/>
  <c r="CW215" i="65"/>
  <c r="CV215" i="65"/>
  <c r="CD253" i="65"/>
  <c r="CV253" i="65"/>
  <c r="CW253" i="65"/>
  <c r="CC280" i="65"/>
  <c r="CW280" i="65"/>
  <c r="CV280" i="65"/>
  <c r="CW312" i="65"/>
  <c r="CV312" i="65"/>
  <c r="CD354" i="65"/>
  <c r="CW354" i="65"/>
  <c r="CV354" i="65"/>
  <c r="CV397" i="65"/>
  <c r="CW397" i="65"/>
  <c r="CC440" i="65"/>
  <c r="CW440" i="65"/>
  <c r="CV440" i="65"/>
  <c r="CW482" i="65"/>
  <c r="CV482" i="65"/>
  <c r="CC24" i="65"/>
  <c r="CW24" i="65"/>
  <c r="CV24" i="65"/>
  <c r="CC56" i="65"/>
  <c r="CW56" i="65"/>
  <c r="CV56" i="65"/>
  <c r="CW88" i="65"/>
  <c r="CV88" i="65"/>
  <c r="CD120" i="65"/>
  <c r="CW120" i="65"/>
  <c r="CV120" i="65"/>
  <c r="CD152" i="65"/>
  <c r="CW152" i="65"/>
  <c r="CV152" i="65"/>
  <c r="CW184" i="65"/>
  <c r="CV184" i="65"/>
  <c r="CC216" i="65"/>
  <c r="CV216" i="65"/>
  <c r="CW216" i="65"/>
  <c r="CW41" i="65"/>
  <c r="CV41" i="65"/>
  <c r="CW83" i="65"/>
  <c r="CV83" i="65"/>
  <c r="CC126" i="65"/>
  <c r="CW126" i="65"/>
  <c r="CV126" i="65"/>
  <c r="CD169" i="65"/>
  <c r="CV169" i="65"/>
  <c r="CW169" i="65"/>
  <c r="CW250" i="65"/>
  <c r="CV250" i="65"/>
  <c r="CW47" i="65"/>
  <c r="CV47" i="65"/>
  <c r="CC111" i="65"/>
  <c r="CW111" i="65"/>
  <c r="CV111" i="65"/>
  <c r="CC154" i="65"/>
  <c r="CW154" i="65"/>
  <c r="CV154" i="65"/>
  <c r="CD175" i="65"/>
  <c r="CW175" i="65"/>
  <c r="CV175" i="65"/>
  <c r="CC218" i="65"/>
  <c r="CW218" i="65"/>
  <c r="CV218" i="65"/>
  <c r="CD255" i="65"/>
  <c r="CW255" i="65"/>
  <c r="CV255" i="65"/>
  <c r="CW287" i="65"/>
  <c r="CV287" i="65"/>
  <c r="CW351" i="65"/>
  <c r="CV351" i="65"/>
  <c r="CW383" i="65"/>
  <c r="CV383" i="65"/>
  <c r="CH415" i="65"/>
  <c r="CG415" i="65"/>
  <c r="CD447" i="65"/>
  <c r="CW447" i="65"/>
  <c r="CV447" i="65"/>
  <c r="CW479" i="65"/>
  <c r="CV479" i="65"/>
  <c r="CC511" i="65"/>
  <c r="CW511" i="65"/>
  <c r="CV511" i="65"/>
  <c r="CC18" i="65"/>
  <c r="CW18" i="65"/>
  <c r="CV18" i="65"/>
  <c r="CC102" i="65"/>
  <c r="CV102" i="65"/>
  <c r="CW102" i="65"/>
  <c r="CD264" i="65"/>
  <c r="CW264" i="65"/>
  <c r="CV264" i="65"/>
  <c r="CC308" i="65"/>
  <c r="CW308" i="65"/>
  <c r="CV308" i="65"/>
  <c r="CC372" i="65"/>
  <c r="CW372" i="65"/>
  <c r="CV372" i="65"/>
  <c r="CW414" i="65"/>
  <c r="CV414" i="65"/>
  <c r="CV457" i="65"/>
  <c r="CW457" i="65"/>
  <c r="CC500" i="65"/>
  <c r="CW500" i="65"/>
  <c r="CV500" i="65"/>
  <c r="CC285" i="65"/>
  <c r="CV285" i="65"/>
  <c r="CW285" i="65"/>
  <c r="CC381" i="65"/>
  <c r="CV381" i="65"/>
  <c r="CW381" i="65"/>
  <c r="CD509" i="65"/>
  <c r="CV509" i="65"/>
  <c r="CW509" i="65"/>
  <c r="CD61" i="65"/>
  <c r="CW61" i="65"/>
  <c r="CV61" i="65"/>
  <c r="CC189" i="65"/>
  <c r="CV189" i="65"/>
  <c r="CW189" i="65"/>
  <c r="CD288" i="65"/>
  <c r="CW288" i="65"/>
  <c r="CV288" i="65"/>
  <c r="CC437" i="65"/>
  <c r="CV437" i="65"/>
  <c r="CW437" i="65"/>
  <c r="CV501" i="65"/>
  <c r="CW501" i="65"/>
  <c r="CD43" i="65"/>
  <c r="CW43" i="65"/>
  <c r="CV43" i="65"/>
  <c r="CC129" i="65"/>
  <c r="CV129" i="65"/>
  <c r="CW129" i="65"/>
  <c r="CD214" i="65"/>
  <c r="CV214" i="65"/>
  <c r="CW214" i="65"/>
  <c r="CW300" i="65"/>
  <c r="CV300" i="65"/>
  <c r="CW342" i="65"/>
  <c r="CV342" i="65"/>
  <c r="CC406" i="65"/>
  <c r="CW406" i="65"/>
  <c r="CV406" i="65"/>
  <c r="CW470" i="65"/>
  <c r="CV470" i="65"/>
  <c r="CV109" i="65"/>
  <c r="CW109" i="65"/>
  <c r="CC269" i="65"/>
  <c r="CV269" i="65"/>
  <c r="CW269" i="65"/>
  <c r="CW376" i="65"/>
  <c r="CV376" i="65"/>
  <c r="CW504" i="65"/>
  <c r="CV504" i="65"/>
  <c r="CW27" i="65"/>
  <c r="CV27" i="65"/>
  <c r="CW20" i="65"/>
  <c r="CV20" i="65"/>
  <c r="CW36" i="65"/>
  <c r="CV36" i="65"/>
  <c r="CW52" i="65"/>
  <c r="CV52" i="65"/>
  <c r="CV68" i="65"/>
  <c r="CW68" i="65"/>
  <c r="CW84" i="65"/>
  <c r="CV84" i="65"/>
  <c r="CW100" i="65"/>
  <c r="CV100" i="65"/>
  <c r="CW116" i="65"/>
  <c r="CV116" i="65"/>
  <c r="CV132" i="65"/>
  <c r="CW132" i="65"/>
  <c r="CW148" i="65"/>
  <c r="CV148" i="65"/>
  <c r="CW164" i="65"/>
  <c r="CV164" i="65"/>
  <c r="CD180" i="65"/>
  <c r="CW180" i="65"/>
  <c r="CV180" i="65"/>
  <c r="CW196" i="65"/>
  <c r="CV196" i="65"/>
  <c r="CD212" i="65"/>
  <c r="CW212" i="65"/>
  <c r="CV212" i="65"/>
  <c r="CW228" i="65"/>
  <c r="CV228" i="65"/>
  <c r="CW33" i="65"/>
  <c r="CV33" i="65"/>
  <c r="CV57" i="65"/>
  <c r="CW57" i="65"/>
  <c r="CW99" i="65"/>
  <c r="CV99" i="65"/>
  <c r="CD121" i="65"/>
  <c r="CV121" i="65"/>
  <c r="CW121" i="65"/>
  <c r="CW142" i="65"/>
  <c r="CV142" i="65"/>
  <c r="CD163" i="65"/>
  <c r="CW163" i="65"/>
  <c r="CV163" i="65"/>
  <c r="CV185" i="65"/>
  <c r="CW185" i="65"/>
  <c r="CW206" i="65"/>
  <c r="CV206" i="65"/>
  <c r="CW227" i="65"/>
  <c r="CV227" i="65"/>
  <c r="CV246" i="65"/>
  <c r="CW246" i="65"/>
  <c r="CW262" i="65"/>
  <c r="CV262" i="65"/>
  <c r="CW42" i="65"/>
  <c r="CV42" i="65"/>
  <c r="CW63" i="65"/>
  <c r="CV63" i="65"/>
  <c r="CV85" i="65"/>
  <c r="CW85" i="65"/>
  <c r="CW106" i="65"/>
  <c r="CV106" i="65"/>
  <c r="CW127" i="65"/>
  <c r="CV127" i="65"/>
  <c r="CW149" i="65"/>
  <c r="CV149" i="65"/>
  <c r="CD170" i="65"/>
  <c r="CW170" i="65"/>
  <c r="CV170" i="65"/>
  <c r="CW191" i="65"/>
  <c r="CV191" i="65"/>
  <c r="CW213" i="65"/>
  <c r="CV213" i="65"/>
  <c r="CD283" i="65"/>
  <c r="CW283" i="65"/>
  <c r="CV283" i="65"/>
  <c r="CW299" i="65"/>
  <c r="CV299" i="65"/>
  <c r="CV315" i="65"/>
  <c r="CW315" i="65"/>
  <c r="CV331" i="65"/>
  <c r="CW331" i="65"/>
  <c r="CV347" i="65"/>
  <c r="CW347" i="65"/>
  <c r="CV363" i="65"/>
  <c r="CW363" i="65"/>
  <c r="CD411" i="65"/>
  <c r="CV411" i="65"/>
  <c r="CW411" i="65"/>
  <c r="CV427" i="65"/>
  <c r="CW427" i="65"/>
  <c r="CH443" i="65"/>
  <c r="CG443" i="65"/>
  <c r="CV459" i="65"/>
  <c r="CW459" i="65"/>
  <c r="CV475" i="65"/>
  <c r="CW475" i="65"/>
  <c r="CV491" i="65"/>
  <c r="CW491" i="65"/>
  <c r="CW15" i="65"/>
  <c r="CV15" i="65"/>
  <c r="CV49" i="65"/>
  <c r="CW49" i="65"/>
  <c r="CW91" i="65"/>
  <c r="CV91" i="65"/>
  <c r="CD134" i="65"/>
  <c r="CW134" i="65"/>
  <c r="CV134" i="65"/>
  <c r="CV177" i="65"/>
  <c r="CW177" i="65"/>
  <c r="CW219" i="65"/>
  <c r="CV219" i="65"/>
  <c r="CW256" i="65"/>
  <c r="CV256" i="65"/>
  <c r="CD281" i="65"/>
  <c r="CV281" i="65"/>
  <c r="CW281" i="65"/>
  <c r="CW324" i="65"/>
  <c r="CV324" i="65"/>
  <c r="CV345" i="65"/>
  <c r="CW345" i="65"/>
  <c r="CW388" i="65"/>
  <c r="CV388" i="65"/>
  <c r="CD409" i="65"/>
  <c r="CV409" i="65"/>
  <c r="CW409" i="65"/>
  <c r="CW452" i="65"/>
  <c r="CV452" i="65"/>
  <c r="CV473" i="65"/>
  <c r="CW473" i="65"/>
  <c r="CW516" i="65"/>
  <c r="CV516" i="65"/>
  <c r="CC328" i="65"/>
  <c r="CW328" i="65"/>
  <c r="CV328" i="65"/>
  <c r="CW370" i="65"/>
  <c r="CV370" i="65"/>
  <c r="CC413" i="65"/>
  <c r="CV413" i="65"/>
  <c r="CW413" i="65"/>
  <c r="CW456" i="65"/>
  <c r="CV456" i="65"/>
  <c r="CC498" i="65"/>
  <c r="CW498" i="65"/>
  <c r="CV498" i="65"/>
  <c r="CW50" i="65"/>
  <c r="CV50" i="65"/>
  <c r="CV93" i="65"/>
  <c r="CW93" i="65"/>
  <c r="CW135" i="65"/>
  <c r="CV135" i="65"/>
  <c r="CV221" i="65"/>
  <c r="CW221" i="65"/>
  <c r="CD257" i="65"/>
  <c r="CV257" i="65"/>
  <c r="CW257" i="65"/>
  <c r="CW282" i="65"/>
  <c r="CV282" i="65"/>
  <c r="CD304" i="65"/>
  <c r="CW304" i="65"/>
  <c r="CV304" i="65"/>
  <c r="CV325" i="65"/>
  <c r="CW325" i="65"/>
  <c r="CW346" i="65"/>
  <c r="CV346" i="65"/>
  <c r="CD368" i="65"/>
  <c r="CV368" i="65"/>
  <c r="CW368" i="65"/>
  <c r="CV389" i="65"/>
  <c r="CW389" i="65"/>
  <c r="CW410" i="65"/>
  <c r="CV410" i="65"/>
  <c r="CD432" i="65"/>
  <c r="CV432" i="65"/>
  <c r="CW432" i="65"/>
  <c r="CD453" i="65"/>
  <c r="CV453" i="65"/>
  <c r="CW453" i="65"/>
  <c r="CW474" i="65"/>
  <c r="CV474" i="65"/>
  <c r="CV496" i="65"/>
  <c r="CW496" i="65"/>
  <c r="CD517" i="65"/>
  <c r="CV517" i="65"/>
  <c r="CW517" i="65"/>
  <c r="CC29" i="65"/>
  <c r="CW29" i="65"/>
  <c r="CV29" i="65"/>
  <c r="CD75" i="65"/>
  <c r="CW75" i="65"/>
  <c r="CV75" i="65"/>
  <c r="CC118" i="65"/>
  <c r="CV118" i="65"/>
  <c r="CW118" i="65"/>
  <c r="CV161" i="65"/>
  <c r="CW161" i="65"/>
  <c r="CC203" i="65"/>
  <c r="CW203" i="65"/>
  <c r="CV203" i="65"/>
  <c r="CW244" i="65"/>
  <c r="CV244" i="65"/>
  <c r="CC273" i="65"/>
  <c r="CV273" i="65"/>
  <c r="CW273" i="65"/>
  <c r="CC316" i="65"/>
  <c r="CV316" i="65"/>
  <c r="CW316" i="65"/>
  <c r="CD337" i="65"/>
  <c r="CV337" i="65"/>
  <c r="CW337" i="65"/>
  <c r="CC358" i="65"/>
  <c r="CW358" i="65"/>
  <c r="CV358" i="65"/>
  <c r="CV380" i="65"/>
  <c r="CW380" i="65"/>
  <c r="CC401" i="65"/>
  <c r="CV401" i="65"/>
  <c r="CW401" i="65"/>
  <c r="CD444" i="65"/>
  <c r="CV444" i="65"/>
  <c r="CW444" i="65"/>
  <c r="CV465" i="65"/>
  <c r="CW465" i="65"/>
  <c r="CC486" i="65"/>
  <c r="CW486" i="65"/>
  <c r="CV486" i="65"/>
  <c r="CV508" i="65"/>
  <c r="CW508" i="65"/>
  <c r="CW10" i="65"/>
  <c r="CV10" i="65"/>
  <c r="CW55" i="65"/>
  <c r="CV55" i="65"/>
  <c r="CW98" i="65"/>
  <c r="CV98" i="65"/>
  <c r="CV141" i="65"/>
  <c r="CW141" i="65"/>
  <c r="CW183" i="65"/>
  <c r="CV183" i="65"/>
  <c r="CD226" i="65"/>
  <c r="CW226" i="65"/>
  <c r="CV226" i="65"/>
  <c r="CW261" i="65"/>
  <c r="CV261" i="65"/>
  <c r="CD290" i="65"/>
  <c r="CW290" i="65"/>
  <c r="CV290" i="65"/>
  <c r="CV365" i="65"/>
  <c r="CW365" i="65"/>
  <c r="CV493" i="65"/>
  <c r="CW493" i="65"/>
  <c r="CW31" i="65"/>
  <c r="CV31" i="65"/>
  <c r="CC40" i="65"/>
  <c r="CW40" i="65"/>
  <c r="CV40" i="65"/>
  <c r="CW72" i="65"/>
  <c r="CV72" i="65"/>
  <c r="CC104" i="65"/>
  <c r="CV104" i="65"/>
  <c r="CW104" i="65"/>
  <c r="CW136" i="65"/>
  <c r="CV136" i="65"/>
  <c r="CD200" i="65"/>
  <c r="CW200" i="65"/>
  <c r="CV200" i="65"/>
  <c r="CC62" i="65"/>
  <c r="CW62" i="65"/>
  <c r="CV62" i="65"/>
  <c r="CC105" i="65"/>
  <c r="CV105" i="65"/>
  <c r="CW105" i="65"/>
  <c r="CD233" i="65"/>
  <c r="CV233" i="65"/>
  <c r="CW233" i="65"/>
  <c r="CC266" i="65"/>
  <c r="CW266" i="65"/>
  <c r="CV266" i="65"/>
  <c r="CD69" i="65"/>
  <c r="CW69" i="65"/>
  <c r="CV69" i="65"/>
  <c r="CC90" i="65"/>
  <c r="CW90" i="65"/>
  <c r="CV90" i="65"/>
  <c r="CW133" i="65"/>
  <c r="CV133" i="65"/>
  <c r="CW197" i="65"/>
  <c r="CV197" i="65"/>
  <c r="CC239" i="65"/>
  <c r="CW239" i="65"/>
  <c r="CV239" i="65"/>
  <c r="CC271" i="65"/>
  <c r="CW271" i="65"/>
  <c r="CV271" i="65"/>
  <c r="CW303" i="65"/>
  <c r="CV303" i="65"/>
  <c r="CC335" i="65"/>
  <c r="CW335" i="65"/>
  <c r="CV335" i="65"/>
  <c r="CD367" i="65"/>
  <c r="CW367" i="65"/>
  <c r="CV367" i="65"/>
  <c r="CW399" i="65"/>
  <c r="CV399" i="65"/>
  <c r="CD431" i="65"/>
  <c r="CW431" i="65"/>
  <c r="CV431" i="65"/>
  <c r="CW495" i="65"/>
  <c r="CV495" i="65"/>
  <c r="CW59" i="65"/>
  <c r="CV59" i="65"/>
  <c r="CD145" i="65"/>
  <c r="CV145" i="65"/>
  <c r="CW145" i="65"/>
  <c r="CW286" i="65"/>
  <c r="CV286" i="65"/>
  <c r="CV329" i="65"/>
  <c r="CW329" i="65"/>
  <c r="CD393" i="65"/>
  <c r="CV393" i="65"/>
  <c r="CW393" i="65"/>
  <c r="CC436" i="65"/>
  <c r="CW436" i="65"/>
  <c r="CV436" i="65"/>
  <c r="CC103" i="65"/>
  <c r="CW103" i="65"/>
  <c r="CV103" i="65"/>
  <c r="CW231" i="65"/>
  <c r="CV231" i="65"/>
  <c r="CC309" i="65"/>
  <c r="CW309" i="65"/>
  <c r="CV309" i="65"/>
  <c r="CV373" i="65"/>
  <c r="CW373" i="65"/>
  <c r="CV416" i="65"/>
  <c r="CW416" i="65"/>
  <c r="CW171" i="65"/>
  <c r="CV171" i="65"/>
  <c r="CC278" i="65"/>
  <c r="CV278" i="65"/>
  <c r="CW278" i="65"/>
  <c r="CC364" i="65"/>
  <c r="CV364" i="65"/>
  <c r="CW364" i="65"/>
  <c r="CW428" i="65"/>
  <c r="CV428" i="65"/>
  <c r="CC492" i="65"/>
  <c r="CW492" i="65"/>
  <c r="CV492" i="65"/>
  <c r="CW16" i="65"/>
  <c r="CV16" i="65"/>
  <c r="CC151" i="65"/>
  <c r="CW151" i="65"/>
  <c r="CV151" i="65"/>
  <c r="CV237" i="65"/>
  <c r="CW237" i="65"/>
  <c r="CC333" i="65"/>
  <c r="CV333" i="65"/>
  <c r="CW333" i="65"/>
  <c r="CD461" i="65"/>
  <c r="CV461" i="65"/>
  <c r="CW461" i="65"/>
  <c r="CC120" i="65"/>
  <c r="CC145" i="65"/>
  <c r="CC242" i="65"/>
  <c r="CC226" i="65"/>
  <c r="CC152" i="65"/>
  <c r="CC334" i="65"/>
  <c r="CC107" i="65"/>
  <c r="CC30" i="65"/>
  <c r="CC77" i="65"/>
  <c r="CC423" i="65"/>
  <c r="CC439" i="65"/>
  <c r="CC304" i="65"/>
  <c r="CC74" i="65"/>
  <c r="CC539" i="65"/>
  <c r="CC208" i="65"/>
  <c r="CC369" i="65"/>
  <c r="CC361" i="65"/>
  <c r="CC212" i="65"/>
  <c r="CC168" i="65"/>
  <c r="CC222" i="65"/>
  <c r="CC200" i="65"/>
  <c r="CC398" i="65"/>
  <c r="CD466" i="65"/>
  <c r="CC265" i="65"/>
  <c r="CC130" i="65"/>
  <c r="CC134" i="65"/>
  <c r="CC281" i="65"/>
  <c r="CD263" i="65"/>
  <c r="CD486" i="65"/>
  <c r="CD350" i="65"/>
  <c r="CC156" i="65"/>
  <c r="CC288" i="65"/>
  <c r="CD92" i="65"/>
  <c r="CD419" i="65"/>
  <c r="CD476" i="65"/>
  <c r="CD386" i="65"/>
  <c r="CC509" i="65"/>
  <c r="CC411" i="65"/>
  <c r="CC75" i="65"/>
  <c r="CC367" i="65"/>
  <c r="CD254" i="65"/>
  <c r="CD348" i="65"/>
  <c r="CD162" i="65"/>
  <c r="CD218" i="65"/>
  <c r="CD543" i="65"/>
  <c r="CC284" i="65"/>
  <c r="CC471" i="65"/>
  <c r="CC353" i="65"/>
  <c r="CC255" i="65"/>
  <c r="CC43" i="65"/>
  <c r="CC267" i="65"/>
  <c r="CC283" i="65"/>
  <c r="CC257" i="65"/>
  <c r="CC408" i="65"/>
  <c r="CC431" i="65"/>
  <c r="CD60" i="65"/>
  <c r="CD46" i="65"/>
  <c r="CD217" i="65"/>
  <c r="CD138" i="65"/>
  <c r="CD323" i="65"/>
  <c r="CD515" i="65"/>
  <c r="CD477" i="65"/>
  <c r="CD9" i="65"/>
  <c r="CD305" i="65"/>
  <c r="CD433" i="65"/>
  <c r="CD301" i="65"/>
  <c r="CD56" i="65"/>
  <c r="CD90" i="65"/>
  <c r="CD458" i="65"/>
  <c r="CD391" i="65"/>
  <c r="CD276" i="65"/>
  <c r="CC174" i="65"/>
  <c r="CC444" i="65"/>
  <c r="CD28" i="65"/>
  <c r="CD95" i="65"/>
  <c r="CD223" i="65"/>
  <c r="CD483" i="65"/>
  <c r="CD392" i="65"/>
  <c r="CD260" i="65"/>
  <c r="CD17" i="65"/>
  <c r="CD211" i="65"/>
  <c r="CD102" i="65"/>
  <c r="CD330" i="65"/>
  <c r="CD13" i="65"/>
  <c r="CD150" i="65"/>
  <c r="CD406" i="65"/>
  <c r="CD309" i="65"/>
  <c r="CD89" i="65"/>
  <c r="CD97" i="65"/>
  <c r="CC70" i="65"/>
  <c r="CC400" i="65"/>
  <c r="CC48" i="65"/>
  <c r="CC125" i="65"/>
  <c r="CC187" i="65"/>
  <c r="CC121" i="65"/>
  <c r="CC517" i="65"/>
  <c r="CC290" i="65"/>
  <c r="CC233" i="65"/>
  <c r="CC461" i="65"/>
  <c r="CD19" i="65"/>
  <c r="CD124" i="65"/>
  <c r="CD131" i="65"/>
  <c r="CD53" i="65"/>
  <c r="CD451" i="65"/>
  <c r="CD306" i="65"/>
  <c r="CD182" i="65"/>
  <c r="CD518" i="65"/>
  <c r="CD472" i="65"/>
  <c r="CD62" i="65"/>
  <c r="CD511" i="65"/>
  <c r="CD436" i="65"/>
  <c r="CD189" i="65"/>
  <c r="CD374" i="65"/>
  <c r="CD498" i="65"/>
  <c r="CD29" i="65"/>
  <c r="CD111" i="65"/>
  <c r="CD364" i="65"/>
  <c r="CC79" i="65"/>
  <c r="CD79" i="65"/>
  <c r="CC122" i="65"/>
  <c r="CD122" i="65"/>
  <c r="CC396" i="65"/>
  <c r="CD396" i="65"/>
  <c r="CC481" i="65"/>
  <c r="CD481" i="65"/>
  <c r="CC352" i="65"/>
  <c r="CD352" i="65"/>
  <c r="CC142" i="65"/>
  <c r="CD142" i="65"/>
  <c r="CC315" i="65"/>
  <c r="CD315" i="65"/>
  <c r="CC363" i="65"/>
  <c r="CD363" i="65"/>
  <c r="CC324" i="65"/>
  <c r="CD324" i="65"/>
  <c r="CC389" i="65"/>
  <c r="CD389" i="65"/>
  <c r="CC190" i="65"/>
  <c r="CD190" i="65"/>
  <c r="CD181" i="65"/>
  <c r="CD245" i="65"/>
  <c r="CC545" i="65"/>
  <c r="CD545" i="65"/>
  <c r="CC536" i="65"/>
  <c r="CD536" i="65"/>
  <c r="CC236" i="65"/>
  <c r="CC412" i="65"/>
  <c r="CC252" i="65"/>
  <c r="CC321" i="65"/>
  <c r="CC80" i="65"/>
  <c r="CC94" i="65"/>
  <c r="CC258" i="65"/>
  <c r="CC165" i="65"/>
  <c r="CC295" i="65"/>
  <c r="CC311" i="65"/>
  <c r="CC343" i="65"/>
  <c r="CD343" i="65"/>
  <c r="CC375" i="65"/>
  <c r="CD375" i="65"/>
  <c r="CC123" i="65"/>
  <c r="CC248" i="65"/>
  <c r="CD248" i="65"/>
  <c r="CC297" i="65"/>
  <c r="CD297" i="65"/>
  <c r="CC446" i="65"/>
  <c r="CC468" i="65"/>
  <c r="CD468" i="65"/>
  <c r="CC298" i="65"/>
  <c r="CC320" i="65"/>
  <c r="CC341" i="65"/>
  <c r="CD341" i="65"/>
  <c r="CC384" i="65"/>
  <c r="CD384" i="65"/>
  <c r="CC405" i="65"/>
  <c r="CD405" i="65"/>
  <c r="CC426" i="65"/>
  <c r="CD426" i="65"/>
  <c r="CC448" i="65"/>
  <c r="CD448" i="65"/>
  <c r="CC469" i="65"/>
  <c r="CD469" i="65"/>
  <c r="CC438" i="65"/>
  <c r="CD438" i="65"/>
  <c r="CC312" i="65"/>
  <c r="CD312" i="65"/>
  <c r="CC169" i="65"/>
  <c r="CC250" i="65"/>
  <c r="CD250" i="65"/>
  <c r="CC47" i="65"/>
  <c r="CD47" i="65"/>
  <c r="CC415" i="65"/>
  <c r="CC447" i="65"/>
  <c r="CC479" i="65"/>
  <c r="CD479" i="65"/>
  <c r="CC264" i="65"/>
  <c r="CC214" i="65"/>
  <c r="CC300" i="65"/>
  <c r="CD300" i="65"/>
  <c r="CC342" i="65"/>
  <c r="CD342" i="65"/>
  <c r="CC470" i="65"/>
  <c r="CD470" i="65"/>
  <c r="CC109" i="65"/>
  <c r="CD109" i="65"/>
  <c r="CC376" i="65"/>
  <c r="CD376" i="65"/>
  <c r="CC504" i="65"/>
  <c r="CD504" i="65"/>
  <c r="CC27" i="65"/>
  <c r="CD27" i="65"/>
  <c r="CC20" i="65"/>
  <c r="CD20" i="65"/>
  <c r="CC36" i="65"/>
  <c r="CD36" i="65"/>
  <c r="CC52" i="65"/>
  <c r="CD52" i="65"/>
  <c r="CC68" i="65"/>
  <c r="CD68" i="65"/>
  <c r="CC84" i="65"/>
  <c r="CD84" i="65"/>
  <c r="CC100" i="65"/>
  <c r="CD100" i="65"/>
  <c r="CC116" i="65"/>
  <c r="CD116" i="65"/>
  <c r="CC132" i="65"/>
  <c r="CD132" i="65"/>
  <c r="CC148" i="65"/>
  <c r="CD148" i="65"/>
  <c r="CC164" i="65"/>
  <c r="CD164" i="65"/>
  <c r="CC163" i="65"/>
  <c r="CC185" i="65"/>
  <c r="CD185" i="65"/>
  <c r="CC206" i="65"/>
  <c r="CD206" i="65"/>
  <c r="CC227" i="65"/>
  <c r="CD227" i="65"/>
  <c r="CC246" i="65"/>
  <c r="CD246" i="65"/>
  <c r="CC262" i="65"/>
  <c r="CD262" i="65"/>
  <c r="CC42" i="65"/>
  <c r="CD42" i="65"/>
  <c r="CC63" i="65"/>
  <c r="CD63" i="65"/>
  <c r="CC85" i="65"/>
  <c r="CD85" i="65"/>
  <c r="CC106" i="65"/>
  <c r="CD106" i="65"/>
  <c r="CC127" i="65"/>
  <c r="CD127" i="65"/>
  <c r="CC149" i="65"/>
  <c r="CD149" i="65"/>
  <c r="CC379" i="65"/>
  <c r="CD379" i="65"/>
  <c r="CC302" i="65"/>
  <c r="CD302" i="65"/>
  <c r="CC366" i="65"/>
  <c r="CD366" i="65"/>
  <c r="CC409" i="65"/>
  <c r="CC452" i="65"/>
  <c r="CD452" i="65"/>
  <c r="CC473" i="65"/>
  <c r="CD473" i="65"/>
  <c r="CC516" i="65"/>
  <c r="CD516" i="65"/>
  <c r="CC370" i="65"/>
  <c r="CD370" i="65"/>
  <c r="CC456" i="65"/>
  <c r="CD456" i="65"/>
  <c r="CC50" i="65"/>
  <c r="CD50" i="65"/>
  <c r="CC93" i="65"/>
  <c r="CD93" i="65"/>
  <c r="CC135" i="65"/>
  <c r="CD135" i="65"/>
  <c r="CC221" i="65"/>
  <c r="CD221" i="65"/>
  <c r="CC432" i="65"/>
  <c r="CC453" i="65"/>
  <c r="CC294" i="65"/>
  <c r="CD294" i="65"/>
  <c r="CC337" i="65"/>
  <c r="CC380" i="65"/>
  <c r="CD380" i="65"/>
  <c r="CC322" i="65"/>
  <c r="CD322" i="65"/>
  <c r="CC493" i="65"/>
  <c r="CD493" i="65"/>
  <c r="CC31" i="65"/>
  <c r="CD31" i="65"/>
  <c r="CC72" i="65"/>
  <c r="CD72" i="65"/>
  <c r="CC136" i="65"/>
  <c r="CD136" i="65"/>
  <c r="CC69" i="65"/>
  <c r="CC133" i="65"/>
  <c r="CD133" i="65"/>
  <c r="CC197" i="65"/>
  <c r="CD197" i="65"/>
  <c r="CC303" i="65"/>
  <c r="CD303" i="65"/>
  <c r="CC393" i="65"/>
  <c r="CC231" i="65"/>
  <c r="CD231" i="65"/>
  <c r="CD21" i="65"/>
  <c r="CD113" i="65"/>
  <c r="CD198" i="65"/>
  <c r="CD270" i="65"/>
  <c r="CD313" i="65"/>
  <c r="CD356" i="65"/>
  <c r="CD441" i="65"/>
  <c r="CD484" i="65"/>
  <c r="CD526" i="65"/>
  <c r="CD71" i="65"/>
  <c r="CD157" i="65"/>
  <c r="CD241" i="65"/>
  <c r="CD293" i="65"/>
  <c r="CD336" i="65"/>
  <c r="CD378" i="65"/>
  <c r="CD421" i="65"/>
  <c r="CD464" i="65"/>
  <c r="CD506" i="65"/>
  <c r="CD540" i="65"/>
  <c r="CD385" i="65"/>
  <c r="CD513" i="65"/>
  <c r="CD151" i="65"/>
  <c r="CD333" i="65"/>
  <c r="CD23" i="65"/>
  <c r="CD32" i="65"/>
  <c r="CD64" i="65"/>
  <c r="CD96" i="65"/>
  <c r="CD128" i="65"/>
  <c r="CD160" i="65"/>
  <c r="CD192" i="65"/>
  <c r="CD224" i="65"/>
  <c r="CD51" i="65"/>
  <c r="CD137" i="65"/>
  <c r="CD179" i="65"/>
  <c r="CD58" i="65"/>
  <c r="CD229" i="65"/>
  <c r="CD359" i="65"/>
  <c r="CD487" i="65"/>
  <c r="CD535" i="65"/>
  <c r="CD209" i="65"/>
  <c r="CD404" i="65"/>
  <c r="CD530" i="65"/>
  <c r="CD65" i="65"/>
  <c r="CD332" i="65"/>
  <c r="CD502" i="65"/>
  <c r="CD215" i="65"/>
  <c r="CD525" i="65"/>
  <c r="CD230" i="65"/>
  <c r="CD278" i="65"/>
  <c r="CD413" i="65"/>
  <c r="CD273" i="65"/>
  <c r="CD40" i="65"/>
  <c r="CD103" i="65"/>
  <c r="CD418" i="65"/>
  <c r="CC521" i="65"/>
  <c r="CD521" i="65"/>
  <c r="CC523" i="65"/>
  <c r="CD523" i="65"/>
  <c r="CC527" i="65"/>
  <c r="CD527" i="65"/>
  <c r="CC11" i="65"/>
  <c r="CD11" i="65"/>
  <c r="CC457" i="65"/>
  <c r="CD457" i="65"/>
  <c r="CC78" i="65"/>
  <c r="CD78" i="65"/>
  <c r="CC331" i="65"/>
  <c r="CD331" i="65"/>
  <c r="CC410" i="65"/>
  <c r="CD410" i="65"/>
  <c r="CC147" i="65"/>
  <c r="CD147" i="65"/>
  <c r="CC329" i="65"/>
  <c r="CD329" i="65"/>
  <c r="CD188" i="65"/>
  <c r="CD259" i="65"/>
  <c r="CD355" i="65"/>
  <c r="CD280" i="65"/>
  <c r="CD316" i="65"/>
  <c r="CC538" i="65"/>
  <c r="CD538" i="65"/>
  <c r="CC532" i="65"/>
  <c r="CD532" i="65"/>
  <c r="CC537" i="65"/>
  <c r="CD537" i="65"/>
  <c r="CC542" i="65"/>
  <c r="CD542" i="65"/>
  <c r="CC544" i="65"/>
  <c r="CD544" i="65"/>
  <c r="CC387" i="65"/>
  <c r="CC403" i="65"/>
  <c r="CC462" i="65"/>
  <c r="CC274" i="65"/>
  <c r="CC424" i="65"/>
  <c r="CD424" i="65"/>
  <c r="CC12" i="65"/>
  <c r="CD12" i="65"/>
  <c r="CC146" i="65"/>
  <c r="CD146" i="65"/>
  <c r="CC66" i="65"/>
  <c r="CC296" i="65"/>
  <c r="CD296" i="65"/>
  <c r="CC176" i="65"/>
  <c r="CC207" i="65"/>
  <c r="CC407" i="65"/>
  <c r="CD407" i="65"/>
  <c r="CC166" i="65"/>
  <c r="CD166" i="65"/>
  <c r="CC318" i="65"/>
  <c r="CC340" i="65"/>
  <c r="CD340" i="65"/>
  <c r="CC489" i="65"/>
  <c r="CC510" i="65"/>
  <c r="CD510" i="65"/>
  <c r="CC317" i="65"/>
  <c r="CD317" i="65"/>
  <c r="CC488" i="65"/>
  <c r="CD488" i="65"/>
  <c r="CC38" i="65"/>
  <c r="CD38" i="65"/>
  <c r="CC82" i="65"/>
  <c r="CD82" i="65"/>
  <c r="CC362" i="65"/>
  <c r="CD362" i="65"/>
  <c r="CC490" i="65"/>
  <c r="CC512" i="65"/>
  <c r="CD512" i="65"/>
  <c r="CC45" i="65"/>
  <c r="CC87" i="65"/>
  <c r="CD87" i="65"/>
  <c r="CC354" i="65"/>
  <c r="CC397" i="65"/>
  <c r="CD397" i="65"/>
  <c r="CC482" i="65"/>
  <c r="CD482" i="65"/>
  <c r="CC88" i="65"/>
  <c r="CD88" i="65"/>
  <c r="CC175" i="65"/>
  <c r="CC61" i="65"/>
  <c r="CC180" i="65"/>
  <c r="CC196" i="65"/>
  <c r="CD196" i="65"/>
  <c r="CC170" i="65"/>
  <c r="CC191" i="65"/>
  <c r="CD191" i="65"/>
  <c r="CC213" i="65"/>
  <c r="CD213" i="65"/>
  <c r="CC395" i="65"/>
  <c r="CC427" i="65"/>
  <c r="CD427" i="65"/>
  <c r="CC459" i="65"/>
  <c r="CD459" i="65"/>
  <c r="CC475" i="65"/>
  <c r="CD475" i="65"/>
  <c r="CC491" i="65"/>
  <c r="CD491" i="65"/>
  <c r="CC15" i="65"/>
  <c r="CD15" i="65"/>
  <c r="CC49" i="65"/>
  <c r="CD49" i="65"/>
  <c r="CC91" i="65"/>
  <c r="CD91" i="65"/>
  <c r="CC430" i="65"/>
  <c r="CD430" i="65"/>
  <c r="CC494" i="65"/>
  <c r="CD494" i="65"/>
  <c r="CC5" i="65"/>
  <c r="CD5" i="65"/>
  <c r="CC178" i="65"/>
  <c r="CD178" i="65"/>
  <c r="CC282" i="65"/>
  <c r="CD282" i="65"/>
  <c r="CC474" i="65"/>
  <c r="CD474" i="65"/>
  <c r="CC496" i="65"/>
  <c r="CD496" i="65"/>
  <c r="CC422" i="65"/>
  <c r="CD422" i="65"/>
  <c r="CC465" i="65"/>
  <c r="CD465" i="65"/>
  <c r="CC508" i="65"/>
  <c r="CD508" i="65"/>
  <c r="CC10" i="65"/>
  <c r="CD10" i="65"/>
  <c r="CC55" i="65"/>
  <c r="CD55" i="65"/>
  <c r="CC98" i="65"/>
  <c r="CD98" i="65"/>
  <c r="CC141" i="65"/>
  <c r="CD141" i="65"/>
  <c r="CC183" i="65"/>
  <c r="CD183" i="65"/>
  <c r="CC450" i="65"/>
  <c r="CD450" i="65"/>
  <c r="CC399" i="65"/>
  <c r="CD399" i="65"/>
  <c r="CC373" i="65"/>
  <c r="CD373" i="65"/>
  <c r="CC416" i="65"/>
  <c r="CD416" i="65"/>
  <c r="CC171" i="65"/>
  <c r="CD171" i="65"/>
  <c r="CC428" i="65"/>
  <c r="CD428" i="65"/>
  <c r="CC16" i="65"/>
  <c r="CD16" i="65"/>
  <c r="CC237" i="65"/>
  <c r="CD237" i="65"/>
  <c r="CD35" i="65"/>
  <c r="CD44" i="65"/>
  <c r="CD76" i="65"/>
  <c r="CD108" i="65"/>
  <c r="CD140" i="65"/>
  <c r="CD172" i="65"/>
  <c r="CD204" i="65"/>
  <c r="CD67" i="65"/>
  <c r="CD110" i="65"/>
  <c r="CD153" i="65"/>
  <c r="CD195" i="65"/>
  <c r="CD238" i="65"/>
  <c r="CD26" i="65"/>
  <c r="CD117" i="65"/>
  <c r="CD159" i="65"/>
  <c r="CD202" i="65"/>
  <c r="CD243" i="65"/>
  <c r="CD275" i="65"/>
  <c r="CD307" i="65"/>
  <c r="CD339" i="65"/>
  <c r="CD371" i="65"/>
  <c r="CD435" i="65"/>
  <c r="CD467" i="65"/>
  <c r="CD499" i="65"/>
  <c r="CD531" i="65"/>
  <c r="CD8" i="65"/>
  <c r="CD349" i="65"/>
  <c r="CD434" i="65"/>
  <c r="CD520" i="65"/>
  <c r="CD54" i="65"/>
  <c r="CD139" i="65"/>
  <c r="CD225" i="65"/>
  <c r="CD326" i="65"/>
  <c r="CD454" i="65"/>
  <c r="CD497" i="65"/>
  <c r="CD119" i="65"/>
  <c r="CD205" i="65"/>
  <c r="CD344" i="65"/>
  <c r="CD429" i="65"/>
  <c r="CD514" i="65"/>
  <c r="CD24" i="65"/>
  <c r="CD104" i="65"/>
  <c r="CD126" i="65"/>
  <c r="CD266" i="65"/>
  <c r="CD154" i="65"/>
  <c r="CD271" i="65"/>
  <c r="CD463" i="65"/>
  <c r="CD18" i="65"/>
  <c r="CD372" i="65"/>
  <c r="CD500" i="65"/>
  <c r="CD338" i="65"/>
  <c r="CD394" i="65"/>
  <c r="CD522" i="65"/>
  <c r="CD186" i="65"/>
  <c r="CD327" i="65"/>
  <c r="CD455" i="65"/>
  <c r="CD445" i="65"/>
  <c r="CD289" i="65"/>
  <c r="CD460" i="65"/>
  <c r="CD440" i="65"/>
  <c r="CD328" i="65"/>
  <c r="CD203" i="65"/>
  <c r="CD401" i="65"/>
  <c r="CD105" i="65"/>
  <c r="CD335" i="65"/>
  <c r="CD381" i="65"/>
  <c r="CD194" i="65"/>
  <c r="CC541" i="65"/>
  <c r="CD541" i="65"/>
  <c r="CC279" i="65"/>
  <c r="CD279" i="65"/>
  <c r="CC503" i="65"/>
  <c r="CD503" i="65"/>
  <c r="CC81" i="65"/>
  <c r="CD81" i="65"/>
  <c r="CC425" i="65"/>
  <c r="CD425" i="65"/>
  <c r="CC310" i="65"/>
  <c r="CD310" i="65"/>
  <c r="CC184" i="65"/>
  <c r="CD184" i="65"/>
  <c r="CC41" i="65"/>
  <c r="CD41" i="65"/>
  <c r="CC83" i="65"/>
  <c r="CD83" i="65"/>
  <c r="CC414" i="65"/>
  <c r="CD414" i="65"/>
  <c r="CC299" i="65"/>
  <c r="CD299" i="65"/>
  <c r="CC347" i="65"/>
  <c r="CD347" i="65"/>
  <c r="CC345" i="65"/>
  <c r="CD345" i="65"/>
  <c r="CC388" i="65"/>
  <c r="CD388" i="65"/>
  <c r="CC161" i="65"/>
  <c r="CD161" i="65"/>
  <c r="CC244" i="65"/>
  <c r="CD244" i="65"/>
  <c r="CC365" i="65"/>
  <c r="CD365" i="65"/>
  <c r="CC232" i="65"/>
  <c r="CD232" i="65"/>
  <c r="CC286" i="65"/>
  <c r="CD286" i="65"/>
  <c r="CD220" i="65"/>
  <c r="CD291" i="65"/>
  <c r="CD390" i="65"/>
  <c r="CD319" i="65"/>
  <c r="CD308" i="65"/>
  <c r="CD285" i="65"/>
  <c r="CD101" i="65"/>
  <c r="CD519" i="65"/>
  <c r="CC533" i="65"/>
  <c r="CD533" i="65"/>
  <c r="CC524" i="65"/>
  <c r="CD524" i="65"/>
  <c r="CC86" i="65"/>
  <c r="CD86" i="65"/>
  <c r="CC6" i="65"/>
  <c r="CD6" i="65"/>
  <c r="CC247" i="65"/>
  <c r="CD247" i="65"/>
  <c r="CC382" i="65"/>
  <c r="CC402" i="65"/>
  <c r="CD402" i="65"/>
  <c r="CC167" i="65"/>
  <c r="CD167" i="65"/>
  <c r="CC210" i="65"/>
  <c r="CD210" i="65"/>
  <c r="CC249" i="65"/>
  <c r="CD249" i="65"/>
  <c r="CC277" i="65"/>
  <c r="CD277" i="65"/>
  <c r="CC14" i="65"/>
  <c r="CD14" i="65"/>
  <c r="CC193" i="65"/>
  <c r="CD193" i="65"/>
  <c r="CC268" i="65"/>
  <c r="CD268" i="65"/>
  <c r="CC173" i="65"/>
  <c r="CD173" i="65"/>
  <c r="CC253" i="65"/>
  <c r="CC287" i="65"/>
  <c r="CD287" i="65"/>
  <c r="CC351" i="65"/>
  <c r="CD351" i="65"/>
  <c r="CC383" i="65"/>
  <c r="CD383" i="65"/>
  <c r="CC501" i="65"/>
  <c r="CD501" i="65"/>
  <c r="CC228" i="65"/>
  <c r="CD228" i="65"/>
  <c r="CC33" i="65"/>
  <c r="CD33" i="65"/>
  <c r="CC57" i="65"/>
  <c r="CD57" i="65"/>
  <c r="CC99" i="65"/>
  <c r="CD99" i="65"/>
  <c r="CC234" i="65"/>
  <c r="CD234" i="65"/>
  <c r="CC251" i="65"/>
  <c r="CD251" i="65"/>
  <c r="CC443" i="65"/>
  <c r="CD443" i="65"/>
  <c r="CC507" i="65"/>
  <c r="CD507" i="65"/>
  <c r="CC177" i="65"/>
  <c r="CD177" i="65"/>
  <c r="CC219" i="65"/>
  <c r="CD219" i="65"/>
  <c r="CC256" i="65"/>
  <c r="CD256" i="65"/>
  <c r="CC325" i="65"/>
  <c r="CD325" i="65"/>
  <c r="CC346" i="65"/>
  <c r="CD346" i="65"/>
  <c r="CC368" i="65"/>
  <c r="CC261" i="65"/>
  <c r="CD261" i="65"/>
  <c r="CC495" i="65"/>
  <c r="CD495" i="65"/>
  <c r="CC59" i="65"/>
  <c r="CD59" i="65"/>
  <c r="CC480" i="65"/>
  <c r="CD480" i="65"/>
  <c r="CD7" i="65"/>
  <c r="CD155" i="65"/>
  <c r="CD240" i="65"/>
  <c r="CD292" i="65"/>
  <c r="CD377" i="65"/>
  <c r="CD420" i="65"/>
  <c r="CD505" i="65"/>
  <c r="CD22" i="65"/>
  <c r="CD114" i="65"/>
  <c r="CD199" i="65"/>
  <c r="CD272" i="65"/>
  <c r="CD314" i="65"/>
  <c r="CD357" i="65"/>
  <c r="CD442" i="65"/>
  <c r="CD485" i="65"/>
  <c r="CD528" i="65"/>
  <c r="CD129" i="65"/>
  <c r="CD449" i="65"/>
  <c r="CD269" i="65"/>
  <c r="CD39" i="65"/>
  <c r="CD112" i="65"/>
  <c r="CD144" i="65"/>
  <c r="CD25" i="65"/>
  <c r="CD73" i="65"/>
  <c r="CD115" i="65"/>
  <c r="CD158" i="65"/>
  <c r="CD201" i="65"/>
  <c r="CD34" i="65"/>
  <c r="CD143" i="65"/>
  <c r="CD37" i="65"/>
  <c r="CD360" i="65"/>
  <c r="CD235" i="65"/>
  <c r="CD417" i="65"/>
  <c r="CD478" i="65"/>
  <c r="CD534" i="65"/>
  <c r="CD118" i="65"/>
  <c r="CD358" i="65"/>
  <c r="CD529" i="65"/>
  <c r="CD216" i="65"/>
  <c r="CD239" i="65"/>
  <c r="CD437" i="65"/>
  <c r="CD492" i="65"/>
  <c r="O45" i="66" l="1"/>
  <c r="G18" i="66"/>
  <c r="F17" i="66"/>
  <c r="D45" i="66"/>
  <c r="E17" i="66"/>
  <c r="CX16" i="65"/>
  <c r="CX59" i="65"/>
  <c r="DC399" i="65"/>
  <c r="DA399" i="65"/>
  <c r="DB399" i="65"/>
  <c r="DA303" i="65"/>
  <c r="DB197" i="65"/>
  <c r="DC197" i="65"/>
  <c r="DA197" i="65"/>
  <c r="DC90" i="65"/>
  <c r="DB90" i="65"/>
  <c r="DA90" i="65"/>
  <c r="DC233" i="65"/>
  <c r="DB233" i="65"/>
  <c r="DA233" i="65"/>
  <c r="DC40" i="65"/>
  <c r="DA40" i="65"/>
  <c r="DB40" i="65"/>
  <c r="CX290" i="65"/>
  <c r="CX183" i="65"/>
  <c r="CX10" i="65"/>
  <c r="DA401" i="65"/>
  <c r="DB337" i="65"/>
  <c r="DC337" i="65"/>
  <c r="DA337" i="65"/>
  <c r="DA75" i="65"/>
  <c r="DA496" i="65"/>
  <c r="DB453" i="65"/>
  <c r="DC453" i="65"/>
  <c r="DA453" i="65"/>
  <c r="CX432" i="65"/>
  <c r="DA389" i="65"/>
  <c r="CX325" i="65"/>
  <c r="CX282" i="65"/>
  <c r="DA135" i="65"/>
  <c r="DA409" i="65"/>
  <c r="CX459" i="65"/>
  <c r="DB269" i="65"/>
  <c r="DC269" i="65"/>
  <c r="DA269" i="65"/>
  <c r="CX109" i="65"/>
  <c r="DA406" i="65"/>
  <c r="CX300" i="65"/>
  <c r="CX501" i="65"/>
  <c r="CX285" i="65"/>
  <c r="DA414" i="65"/>
  <c r="DC264" i="65"/>
  <c r="DA264" i="65"/>
  <c r="DB264" i="65"/>
  <c r="CX511" i="65"/>
  <c r="DA47" i="65"/>
  <c r="CX169" i="65"/>
  <c r="DC41" i="65"/>
  <c r="DB41" i="65"/>
  <c r="DA41" i="65"/>
  <c r="CX88" i="65"/>
  <c r="CX482" i="65"/>
  <c r="DC354" i="65"/>
  <c r="DB354" i="65"/>
  <c r="DA354" i="65"/>
  <c r="CX280" i="65"/>
  <c r="CX253" i="65"/>
  <c r="CX130" i="65"/>
  <c r="CX45" i="65"/>
  <c r="CX481" i="65"/>
  <c r="DA417" i="65"/>
  <c r="CX396" i="65"/>
  <c r="DC332" i="65"/>
  <c r="DB332" i="65"/>
  <c r="DA332" i="65"/>
  <c r="CX289" i="65"/>
  <c r="CX235" i="65"/>
  <c r="CX193" i="65"/>
  <c r="CX107" i="65"/>
  <c r="CX65" i="65"/>
  <c r="CX490" i="65"/>
  <c r="CX469" i="65"/>
  <c r="DC426" i="65"/>
  <c r="DB426" i="65"/>
  <c r="DA426" i="65"/>
  <c r="CX384" i="65"/>
  <c r="CX320" i="65"/>
  <c r="CX249" i="65"/>
  <c r="DA167" i="65"/>
  <c r="CX82" i="65"/>
  <c r="CX488" i="65"/>
  <c r="DB317" i="65"/>
  <c r="DC317" i="65"/>
  <c r="DA317" i="65"/>
  <c r="CX489" i="65"/>
  <c r="CX446" i="65"/>
  <c r="CX425" i="65"/>
  <c r="CX382" i="65"/>
  <c r="CX361" i="65"/>
  <c r="CX318" i="65"/>
  <c r="CX297" i="65"/>
  <c r="CX248" i="65"/>
  <c r="DB81" i="65"/>
  <c r="DC81" i="65"/>
  <c r="DA81" i="65"/>
  <c r="DA503" i="65"/>
  <c r="CX471" i="65"/>
  <c r="CX455" i="65"/>
  <c r="DC375" i="65"/>
  <c r="DA375" i="65"/>
  <c r="DB375" i="65"/>
  <c r="CX327" i="65"/>
  <c r="CX247" i="65"/>
  <c r="CX186" i="65"/>
  <c r="DB101" i="65"/>
  <c r="DC101" i="65"/>
  <c r="DA101" i="65"/>
  <c r="CX58" i="65"/>
  <c r="DC34" i="65"/>
  <c r="DB34" i="65"/>
  <c r="DA34" i="65"/>
  <c r="DC201" i="65"/>
  <c r="DB201" i="65"/>
  <c r="DA201" i="65"/>
  <c r="DA179" i="65"/>
  <c r="DC73" i="65"/>
  <c r="DB73" i="65"/>
  <c r="DA73" i="65"/>
  <c r="DA51" i="65"/>
  <c r="CX208" i="65"/>
  <c r="DC192" i="65"/>
  <c r="DA192" i="65"/>
  <c r="DB192" i="65"/>
  <c r="CX144" i="65"/>
  <c r="DC128" i="65"/>
  <c r="DB128" i="65"/>
  <c r="DA128" i="65"/>
  <c r="DC80" i="65"/>
  <c r="DB80" i="65"/>
  <c r="DA80" i="65"/>
  <c r="DC64" i="65"/>
  <c r="DA64" i="65"/>
  <c r="DB64" i="65"/>
  <c r="CX39" i="65"/>
  <c r="DA23" i="65"/>
  <c r="CX418" i="65"/>
  <c r="DC296" i="65"/>
  <c r="DA296" i="65"/>
  <c r="DB296" i="65"/>
  <c r="CX66" i="65"/>
  <c r="CX513" i="65"/>
  <c r="DB321" i="65"/>
  <c r="DC321" i="65"/>
  <c r="DA321" i="65"/>
  <c r="CX86" i="65"/>
  <c r="CX330" i="65"/>
  <c r="CX265" i="65"/>
  <c r="CX12" i="65"/>
  <c r="DB17" i="65"/>
  <c r="DA17" i="65"/>
  <c r="DC17" i="65"/>
  <c r="DA472" i="65"/>
  <c r="CX344" i="65"/>
  <c r="CX301" i="65"/>
  <c r="CX162" i="65"/>
  <c r="DA119" i="65"/>
  <c r="DC476" i="65"/>
  <c r="DB476" i="65"/>
  <c r="DA476" i="65"/>
  <c r="DC454" i="65"/>
  <c r="DB454" i="65"/>
  <c r="DA454" i="65"/>
  <c r="CX390" i="65"/>
  <c r="CX369" i="65"/>
  <c r="DB305" i="65"/>
  <c r="DC305" i="65"/>
  <c r="DA305" i="65"/>
  <c r="DA284" i="65"/>
  <c r="DC182" i="65"/>
  <c r="DB182" i="65"/>
  <c r="DA182" i="65"/>
  <c r="DA139" i="65"/>
  <c r="DC9" i="65"/>
  <c r="DB9" i="65"/>
  <c r="DA9" i="65"/>
  <c r="DC506" i="65"/>
  <c r="DB506" i="65"/>
  <c r="DA506" i="65"/>
  <c r="CX442" i="65"/>
  <c r="CX421" i="65"/>
  <c r="DA357" i="65"/>
  <c r="CX336" i="65"/>
  <c r="CX272" i="65"/>
  <c r="CX241" i="65"/>
  <c r="CX114" i="65"/>
  <c r="CX22" i="65"/>
  <c r="CX392" i="65"/>
  <c r="CX349" i="65"/>
  <c r="DC505" i="65"/>
  <c r="DB505" i="65"/>
  <c r="DA505" i="65"/>
  <c r="DC484" i="65"/>
  <c r="DB484" i="65"/>
  <c r="DA484" i="65"/>
  <c r="CX420" i="65"/>
  <c r="CX313" i="65"/>
  <c r="CX240" i="65"/>
  <c r="CX21" i="65"/>
  <c r="CX499" i="65"/>
  <c r="DC387" i="65"/>
  <c r="DB387" i="65"/>
  <c r="DA387" i="65"/>
  <c r="CX339" i="65"/>
  <c r="DC202" i="65"/>
  <c r="DB202" i="65"/>
  <c r="DA202" i="65"/>
  <c r="CX138" i="65"/>
  <c r="DC26" i="65"/>
  <c r="DB26" i="65"/>
  <c r="DA26" i="65"/>
  <c r="CX131" i="65"/>
  <c r="CX46" i="65"/>
  <c r="DC236" i="65"/>
  <c r="DB236" i="65"/>
  <c r="DA236" i="65"/>
  <c r="DA188" i="65"/>
  <c r="DA172" i="65"/>
  <c r="DA124" i="65"/>
  <c r="DA60" i="65"/>
  <c r="DB530" i="65"/>
  <c r="DC530" i="65"/>
  <c r="DA530" i="65"/>
  <c r="CX529" i="65"/>
  <c r="DC528" i="65"/>
  <c r="DB528" i="65"/>
  <c r="DA528" i="65"/>
  <c r="DC526" i="65"/>
  <c r="DB526" i="65"/>
  <c r="DA526" i="65"/>
  <c r="CX525" i="65"/>
  <c r="CX466" i="65"/>
  <c r="DC338" i="65"/>
  <c r="DB338" i="65"/>
  <c r="DA338" i="65"/>
  <c r="CX230" i="65"/>
  <c r="CX463" i="65"/>
  <c r="DC190" i="65"/>
  <c r="DB190" i="65"/>
  <c r="DA190" i="65"/>
  <c r="CX232" i="65"/>
  <c r="CX450" i="65"/>
  <c r="DC178" i="65"/>
  <c r="DB178" i="65"/>
  <c r="DA178" i="65"/>
  <c r="DC494" i="65"/>
  <c r="DB494" i="65"/>
  <c r="DA494" i="65"/>
  <c r="DA366" i="65"/>
  <c r="CX507" i="65"/>
  <c r="CX395" i="65"/>
  <c r="DC234" i="65"/>
  <c r="DB234" i="65"/>
  <c r="DA234" i="65"/>
  <c r="DA187" i="65"/>
  <c r="CX438" i="65"/>
  <c r="DC166" i="65"/>
  <c r="DB166" i="65"/>
  <c r="DA166" i="65"/>
  <c r="DA295" i="65"/>
  <c r="CX222" i="65"/>
  <c r="CX115" i="65"/>
  <c r="CX252" i="65"/>
  <c r="DC274" i="65"/>
  <c r="DB274" i="65"/>
  <c r="DA274" i="65"/>
  <c r="DA451" i="65"/>
  <c r="DB533" i="65"/>
  <c r="DC533" i="65"/>
  <c r="DA533" i="65"/>
  <c r="DC350" i="65"/>
  <c r="DB350" i="65"/>
  <c r="DA350" i="65"/>
  <c r="CX374" i="65"/>
  <c r="CX14" i="65"/>
  <c r="DC402" i="65"/>
  <c r="DB402" i="65"/>
  <c r="DA402" i="65"/>
  <c r="CX514" i="65"/>
  <c r="DC30" i="65"/>
  <c r="DB30" i="65"/>
  <c r="DA30" i="65"/>
  <c r="CX323" i="65"/>
  <c r="DA223" i="65"/>
  <c r="CX543" i="65"/>
  <c r="CX540" i="65"/>
  <c r="DB333" i="65"/>
  <c r="DC333" i="65"/>
  <c r="DA333" i="65"/>
  <c r="CX237" i="65"/>
  <c r="CX364" i="65"/>
  <c r="CX416" i="65"/>
  <c r="DB309" i="65"/>
  <c r="DC309" i="65"/>
  <c r="DA309" i="65"/>
  <c r="CX103" i="65"/>
  <c r="DC436" i="65"/>
  <c r="DB436" i="65"/>
  <c r="DA436" i="65"/>
  <c r="DC286" i="65"/>
  <c r="DB286" i="65"/>
  <c r="DA286" i="65"/>
  <c r="CX431" i="65"/>
  <c r="CX335" i="65"/>
  <c r="CX239" i="65"/>
  <c r="CX105" i="65"/>
  <c r="CX136" i="65"/>
  <c r="DB493" i="65"/>
  <c r="DC493" i="65"/>
  <c r="DA493" i="65"/>
  <c r="DB261" i="65"/>
  <c r="DA261" i="65"/>
  <c r="DC261" i="65"/>
  <c r="CX98" i="65"/>
  <c r="CX486" i="65"/>
  <c r="CX465" i="65"/>
  <c r="CX380" i="65"/>
  <c r="CX316" i="65"/>
  <c r="DA203" i="65"/>
  <c r="DC118" i="65"/>
  <c r="DB118" i="65"/>
  <c r="DA118" i="65"/>
  <c r="DC50" i="65"/>
  <c r="DB50" i="65"/>
  <c r="DA50" i="65"/>
  <c r="CX456" i="65"/>
  <c r="DC328" i="65"/>
  <c r="DA328" i="65"/>
  <c r="DB328" i="65"/>
  <c r="DC473" i="65"/>
  <c r="DB473" i="65"/>
  <c r="DA473" i="65"/>
  <c r="DC388" i="65"/>
  <c r="DB388" i="65"/>
  <c r="DA388" i="65"/>
  <c r="DA324" i="65"/>
  <c r="CX256" i="65"/>
  <c r="DB177" i="65"/>
  <c r="DC177" i="65"/>
  <c r="DA177" i="65"/>
  <c r="CX49" i="65"/>
  <c r="CX491" i="65"/>
  <c r="CX427" i="65"/>
  <c r="DC363" i="65"/>
  <c r="DB363" i="65"/>
  <c r="DA363" i="65"/>
  <c r="DC331" i="65"/>
  <c r="DB331" i="65"/>
  <c r="DA331" i="65"/>
  <c r="CX299" i="65"/>
  <c r="DA191" i="65"/>
  <c r="CX149" i="65"/>
  <c r="CX106" i="65"/>
  <c r="CX63" i="65"/>
  <c r="CX262" i="65"/>
  <c r="CX227" i="65"/>
  <c r="DC185" i="65"/>
  <c r="DB185" i="65"/>
  <c r="DA185" i="65"/>
  <c r="CX121" i="65"/>
  <c r="DC57" i="65"/>
  <c r="DB57" i="65"/>
  <c r="DA57" i="65"/>
  <c r="CX228" i="65"/>
  <c r="DA180" i="65"/>
  <c r="CX148" i="65"/>
  <c r="CX116" i="65"/>
  <c r="CX84" i="65"/>
  <c r="CX52" i="65"/>
  <c r="CX20" i="65"/>
  <c r="CX504" i="65"/>
  <c r="CX43" i="65"/>
  <c r="CX288" i="65"/>
  <c r="CX189" i="65"/>
  <c r="DA381" i="65"/>
  <c r="CX308" i="65"/>
  <c r="DA479" i="65"/>
  <c r="CX351" i="65"/>
  <c r="CX255" i="65"/>
  <c r="DC218" i="65"/>
  <c r="DB218" i="65"/>
  <c r="DA218" i="65"/>
  <c r="CX111" i="65"/>
  <c r="CX184" i="65"/>
  <c r="DB165" i="65"/>
  <c r="DC165" i="65"/>
  <c r="DA165" i="65"/>
  <c r="DA398" i="65"/>
  <c r="CX334" i="65"/>
  <c r="DC198" i="65"/>
  <c r="DB198" i="65"/>
  <c r="DA198" i="65"/>
  <c r="DC70" i="65"/>
  <c r="DB70" i="65"/>
  <c r="DA70" i="65"/>
  <c r="DA483" i="65"/>
  <c r="CX403" i="65"/>
  <c r="DA291" i="65"/>
  <c r="CX243" i="65"/>
  <c r="DB117" i="65"/>
  <c r="DC117" i="65"/>
  <c r="DA117" i="65"/>
  <c r="DA53" i="65"/>
  <c r="DB53" i="65"/>
  <c r="DC53" i="65"/>
  <c r="DC217" i="65"/>
  <c r="DB217" i="65"/>
  <c r="DA217" i="65"/>
  <c r="DA195" i="65"/>
  <c r="CX110" i="65"/>
  <c r="DA108" i="65"/>
  <c r="DA44" i="65"/>
  <c r="DC544" i="65"/>
  <c r="DB544" i="65"/>
  <c r="DA544" i="65"/>
  <c r="DA537" i="65"/>
  <c r="CX538" i="65"/>
  <c r="CX520" i="65"/>
  <c r="DA531" i="65"/>
  <c r="DB461" i="65"/>
  <c r="DC461" i="65"/>
  <c r="DA461" i="65"/>
  <c r="CX333" i="65"/>
  <c r="CX151" i="65"/>
  <c r="DC16" i="65"/>
  <c r="DA16" i="65"/>
  <c r="DB16" i="65"/>
  <c r="CX428" i="65"/>
  <c r="CX171" i="65"/>
  <c r="DA373" i="65"/>
  <c r="DA103" i="65"/>
  <c r="DA329" i="65"/>
  <c r="DB145" i="65"/>
  <c r="DC145" i="65"/>
  <c r="DA145" i="65"/>
  <c r="DA59" i="65"/>
  <c r="DC431" i="65"/>
  <c r="DA431" i="65"/>
  <c r="DB431" i="65"/>
  <c r="CX367" i="65"/>
  <c r="DA335" i="65"/>
  <c r="CX271" i="65"/>
  <c r="DC239" i="65"/>
  <c r="DA239" i="65"/>
  <c r="DB239" i="65"/>
  <c r="CX133" i="65"/>
  <c r="CX266" i="65"/>
  <c r="CX233" i="65"/>
  <c r="CX200" i="65"/>
  <c r="DC136" i="65"/>
  <c r="DA136" i="65"/>
  <c r="DB136" i="65"/>
  <c r="CX72" i="65"/>
  <c r="CX493" i="65"/>
  <c r="DC290" i="65"/>
  <c r="DB290" i="65"/>
  <c r="DA290" i="65"/>
  <c r="CX226" i="65"/>
  <c r="DA183" i="65"/>
  <c r="DC98" i="65"/>
  <c r="DB98" i="65"/>
  <c r="DA98" i="65"/>
  <c r="DC10" i="65"/>
  <c r="DB10" i="65"/>
  <c r="DA10" i="65"/>
  <c r="DC486" i="65"/>
  <c r="DB486" i="65"/>
  <c r="DA486" i="65"/>
  <c r="DC444" i="65"/>
  <c r="DB444" i="65"/>
  <c r="DA444" i="65"/>
  <c r="CX401" i="65"/>
  <c r="CX358" i="65"/>
  <c r="CX337" i="65"/>
  <c r="CX244" i="65"/>
  <c r="CX118" i="65"/>
  <c r="DB517" i="65"/>
  <c r="DA517" i="65"/>
  <c r="DC517" i="65"/>
  <c r="CX496" i="65"/>
  <c r="CX453" i="65"/>
  <c r="CX389" i="65"/>
  <c r="CX346" i="65"/>
  <c r="CX304" i="65"/>
  <c r="DC282" i="65"/>
  <c r="DB282" i="65"/>
  <c r="DA282" i="65"/>
  <c r="DB221" i="65"/>
  <c r="DC221" i="65"/>
  <c r="DA221" i="65"/>
  <c r="DC93" i="65"/>
  <c r="DB93" i="65"/>
  <c r="DA93" i="65"/>
  <c r="CX498" i="65"/>
  <c r="DA456" i="65"/>
  <c r="CX370" i="65"/>
  <c r="CX473" i="65"/>
  <c r="CX409" i="65"/>
  <c r="DC345" i="65"/>
  <c r="DB345" i="65"/>
  <c r="DA345" i="65"/>
  <c r="DC281" i="65"/>
  <c r="DB281" i="65"/>
  <c r="DA281" i="65"/>
  <c r="DC256" i="65"/>
  <c r="DA256" i="65"/>
  <c r="DB256" i="65"/>
  <c r="CX177" i="65"/>
  <c r="CX91" i="65"/>
  <c r="CX15" i="65"/>
  <c r="DA475" i="65"/>
  <c r="DC411" i="65"/>
  <c r="DB411" i="65"/>
  <c r="DA411" i="65"/>
  <c r="CX363" i="65"/>
  <c r="CX331" i="65"/>
  <c r="DA299" i="65"/>
  <c r="CX213" i="65"/>
  <c r="CX170" i="65"/>
  <c r="DB149" i="65"/>
  <c r="DC149" i="65"/>
  <c r="DA149" i="65"/>
  <c r="DC106" i="65"/>
  <c r="DB106" i="65"/>
  <c r="DA106" i="65"/>
  <c r="DA63" i="65"/>
  <c r="DC262" i="65"/>
  <c r="DB262" i="65"/>
  <c r="DA262" i="65"/>
  <c r="DA227" i="65"/>
  <c r="CX185" i="65"/>
  <c r="CX142" i="65"/>
  <c r="CX57" i="65"/>
  <c r="DA228" i="65"/>
  <c r="CX196" i="65"/>
  <c r="DA148" i="65"/>
  <c r="DA116" i="65"/>
  <c r="DA84" i="65"/>
  <c r="DA52" i="65"/>
  <c r="DA20" i="65"/>
  <c r="DA504" i="65"/>
  <c r="CX269" i="65"/>
  <c r="CX470" i="65"/>
  <c r="DA300" i="65"/>
  <c r="DB129" i="65"/>
  <c r="DC129" i="65"/>
  <c r="DA129" i="65"/>
  <c r="DA43" i="65"/>
  <c r="DB437" i="65"/>
  <c r="DC437" i="65"/>
  <c r="DA437" i="65"/>
  <c r="DC288" i="65"/>
  <c r="DA288" i="65"/>
  <c r="DB288" i="65"/>
  <c r="DB509" i="65"/>
  <c r="DC509" i="65"/>
  <c r="DA509" i="65"/>
  <c r="CX381" i="65"/>
  <c r="DC457" i="65"/>
  <c r="DB457" i="65"/>
  <c r="DA457" i="65"/>
  <c r="CX372" i="65"/>
  <c r="DA308" i="65"/>
  <c r="CX18" i="65"/>
  <c r="DA511" i="65"/>
  <c r="CX447" i="65"/>
  <c r="DC351" i="65"/>
  <c r="DA351" i="65"/>
  <c r="DB351" i="65"/>
  <c r="DA255" i="65"/>
  <c r="CX154" i="65"/>
  <c r="DA111" i="65"/>
  <c r="CX250" i="65"/>
  <c r="CX83" i="65"/>
  <c r="DC216" i="65"/>
  <c r="DA216" i="65"/>
  <c r="DB216" i="65"/>
  <c r="DC184" i="65"/>
  <c r="DA184" i="65"/>
  <c r="DB184" i="65"/>
  <c r="CX120" i="65"/>
  <c r="DC88" i="65"/>
  <c r="DB88" i="65"/>
  <c r="DA88" i="65"/>
  <c r="CX24" i="65"/>
  <c r="DC482" i="65"/>
  <c r="DB482" i="65"/>
  <c r="DA482" i="65"/>
  <c r="DA397" i="65"/>
  <c r="DC280" i="65"/>
  <c r="DA280" i="65"/>
  <c r="DB280" i="65"/>
  <c r="DB173" i="65"/>
  <c r="DC173" i="65"/>
  <c r="DA173" i="65"/>
  <c r="DC45" i="65"/>
  <c r="DA45" i="65"/>
  <c r="DB45" i="65"/>
  <c r="CX460" i="65"/>
  <c r="CX417" i="65"/>
  <c r="DA353" i="65"/>
  <c r="CX332" i="65"/>
  <c r="DC235" i="65"/>
  <c r="DB235" i="65"/>
  <c r="DA235" i="65"/>
  <c r="DC150" i="65"/>
  <c r="DB150" i="65"/>
  <c r="DA150" i="65"/>
  <c r="DA107" i="65"/>
  <c r="DC490" i="65"/>
  <c r="DB490" i="65"/>
  <c r="DA490" i="65"/>
  <c r="DC448" i="65"/>
  <c r="DA448" i="65"/>
  <c r="DB448" i="65"/>
  <c r="DA405" i="65"/>
  <c r="DA341" i="65"/>
  <c r="CX277" i="65"/>
  <c r="DC210" i="65"/>
  <c r="DB210" i="65"/>
  <c r="DA210" i="65"/>
  <c r="DC125" i="65"/>
  <c r="DB125" i="65"/>
  <c r="DA125" i="65"/>
  <c r="DC82" i="65"/>
  <c r="DB82" i="65"/>
  <c r="DA82" i="65"/>
  <c r="DA488" i="65"/>
  <c r="CX360" i="65"/>
  <c r="CX317" i="65"/>
  <c r="CX510" i="65"/>
  <c r="DC446" i="65"/>
  <c r="DB446" i="65"/>
  <c r="DA446" i="65"/>
  <c r="CX404" i="65"/>
  <c r="DA382" i="65"/>
  <c r="DC318" i="65"/>
  <c r="DB318" i="65"/>
  <c r="DA318" i="65"/>
  <c r="CX276" i="65"/>
  <c r="DC248" i="65"/>
  <c r="DA248" i="65"/>
  <c r="DB248" i="65"/>
  <c r="CX123" i="65"/>
  <c r="CX81" i="65"/>
  <c r="CX11" i="65"/>
  <c r="DA487" i="65"/>
  <c r="DA471" i="65"/>
  <c r="DC391" i="65"/>
  <c r="DA391" i="65"/>
  <c r="DB391" i="65"/>
  <c r="CX375" i="65"/>
  <c r="DC343" i="65"/>
  <c r="DA343" i="65"/>
  <c r="DB343" i="65"/>
  <c r="CX263" i="65"/>
  <c r="DC247" i="65"/>
  <c r="DA247" i="65"/>
  <c r="DB247" i="65"/>
  <c r="CX207" i="65"/>
  <c r="DC186" i="65"/>
  <c r="DB186" i="65"/>
  <c r="DA186" i="65"/>
  <c r="CX122" i="65"/>
  <c r="DC58" i="65"/>
  <c r="DB58" i="65"/>
  <c r="DA58" i="65"/>
  <c r="CX242" i="65"/>
  <c r="CX201" i="65"/>
  <c r="CX94" i="65"/>
  <c r="CX73" i="65"/>
  <c r="CX224" i="65"/>
  <c r="DC208" i="65"/>
  <c r="DA208" i="65"/>
  <c r="DB208" i="65"/>
  <c r="CX160" i="65"/>
  <c r="DC144" i="65"/>
  <c r="DB144" i="65"/>
  <c r="DA144" i="65"/>
  <c r="CX96" i="65"/>
  <c r="CX80" i="65"/>
  <c r="DC32" i="65"/>
  <c r="DA32" i="65"/>
  <c r="DB32" i="65"/>
  <c r="DA39" i="65"/>
  <c r="DC418" i="65"/>
  <c r="DB418" i="65"/>
  <c r="DA418" i="65"/>
  <c r="DC194" i="65"/>
  <c r="DB194" i="65"/>
  <c r="DA194" i="65"/>
  <c r="DC66" i="65"/>
  <c r="DB66" i="65"/>
  <c r="DA66" i="65"/>
  <c r="DA385" i="65"/>
  <c r="CX321" i="65"/>
  <c r="CX458" i="65"/>
  <c r="DC330" i="65"/>
  <c r="DB330" i="65"/>
  <c r="DA330" i="65"/>
  <c r="DA12" i="65"/>
  <c r="CX17" i="65"/>
  <c r="CX386" i="65"/>
  <c r="DC344" i="65"/>
  <c r="DA344" i="65"/>
  <c r="DB344" i="65"/>
  <c r="DB205" i="65"/>
  <c r="DC205" i="65"/>
  <c r="DA205" i="65"/>
  <c r="DC162" i="65"/>
  <c r="DB162" i="65"/>
  <c r="DA162" i="65"/>
  <c r="DB497" i="65"/>
  <c r="DC497" i="65"/>
  <c r="DA497" i="65"/>
  <c r="CX476" i="65"/>
  <c r="DC412" i="65"/>
  <c r="DB412" i="65"/>
  <c r="DA412" i="65"/>
  <c r="DA390" i="65"/>
  <c r="CX326" i="65"/>
  <c r="CX305" i="65"/>
  <c r="DB225" i="65"/>
  <c r="DC225" i="65"/>
  <c r="DA225" i="65"/>
  <c r="CX182" i="65"/>
  <c r="CX54" i="65"/>
  <c r="CX9" i="65"/>
  <c r="DA464" i="65"/>
  <c r="DC442" i="65"/>
  <c r="DB442" i="65"/>
  <c r="DA442" i="65"/>
  <c r="CX378" i="65"/>
  <c r="CX357" i="65"/>
  <c r="CX293" i="65"/>
  <c r="DC272" i="65"/>
  <c r="DA272" i="65"/>
  <c r="DB272" i="65"/>
  <c r="DB157" i="65"/>
  <c r="DC157" i="65"/>
  <c r="DA157" i="65"/>
  <c r="DC114" i="65"/>
  <c r="DB114" i="65"/>
  <c r="DA114" i="65"/>
  <c r="CX434" i="65"/>
  <c r="DC392" i="65"/>
  <c r="DA392" i="65"/>
  <c r="DB392" i="65"/>
  <c r="CX8" i="65"/>
  <c r="CX505" i="65"/>
  <c r="DC441" i="65"/>
  <c r="DB441" i="65"/>
  <c r="DA441" i="65"/>
  <c r="DC420" i="65"/>
  <c r="DB420" i="65"/>
  <c r="DA420" i="65"/>
  <c r="CX356" i="65"/>
  <c r="DC334" i="65"/>
  <c r="DB334" i="65"/>
  <c r="DA334" i="65"/>
  <c r="CX270" i="65"/>
  <c r="DC240" i="65"/>
  <c r="DA240" i="65"/>
  <c r="DB240" i="65"/>
  <c r="DB113" i="65"/>
  <c r="DC113" i="65"/>
  <c r="DA113" i="65"/>
  <c r="CX70" i="65"/>
  <c r="CX515" i="65"/>
  <c r="DA499" i="65"/>
  <c r="CX419" i="65"/>
  <c r="DC403" i="65"/>
  <c r="DB403" i="65"/>
  <c r="DA403" i="65"/>
  <c r="CX355" i="65"/>
  <c r="DC339" i="65"/>
  <c r="DB339" i="65"/>
  <c r="DA339" i="65"/>
  <c r="CX259" i="65"/>
  <c r="DA243" i="65"/>
  <c r="CX159" i="65"/>
  <c r="DC138" i="65"/>
  <c r="DB138" i="65"/>
  <c r="DA138" i="65"/>
  <c r="CX74" i="65"/>
  <c r="CX53" i="65"/>
  <c r="DC238" i="65"/>
  <c r="DB238" i="65"/>
  <c r="DA238" i="65"/>
  <c r="CX217" i="65"/>
  <c r="DC153" i="65"/>
  <c r="DB153" i="65"/>
  <c r="DA153" i="65"/>
  <c r="DA131" i="65"/>
  <c r="CX67" i="65"/>
  <c r="DC46" i="65"/>
  <c r="DB46" i="65"/>
  <c r="DA46" i="65"/>
  <c r="DA204" i="65"/>
  <c r="CX188" i="65"/>
  <c r="DA140" i="65"/>
  <c r="CX124" i="65"/>
  <c r="CX76" i="65"/>
  <c r="CX60" i="65"/>
  <c r="CX19" i="65"/>
  <c r="CX544" i="65"/>
  <c r="CX537" i="65"/>
  <c r="DB538" i="65"/>
  <c r="DC538" i="65"/>
  <c r="DA538" i="65"/>
  <c r="CX518" i="65"/>
  <c r="DA520" i="65"/>
  <c r="DC523" i="65"/>
  <c r="DB523" i="65"/>
  <c r="DA523" i="65"/>
  <c r="CX536" i="65"/>
  <c r="CX528" i="65"/>
  <c r="CX527" i="65"/>
  <c r="DB521" i="65"/>
  <c r="DC521" i="65"/>
  <c r="DA521" i="65"/>
  <c r="DC466" i="65"/>
  <c r="DB466" i="65"/>
  <c r="DA466" i="65"/>
  <c r="DA463" i="65"/>
  <c r="CX147" i="65"/>
  <c r="CX168" i="65"/>
  <c r="DC450" i="65"/>
  <c r="DB450" i="65"/>
  <c r="DA450" i="65"/>
  <c r="CX322" i="65"/>
  <c r="CX422" i="65"/>
  <c r="DC294" i="65"/>
  <c r="DB294" i="65"/>
  <c r="DA294" i="65"/>
  <c r="CX5" i="65"/>
  <c r="CX430" i="65"/>
  <c r="DC302" i="65"/>
  <c r="DB302" i="65"/>
  <c r="DA302" i="65"/>
  <c r="DC443" i="65"/>
  <c r="DB443" i="65"/>
  <c r="DA443" i="65"/>
  <c r="CX251" i="65"/>
  <c r="CX78" i="65"/>
  <c r="DC352" i="65"/>
  <c r="DA352" i="65"/>
  <c r="DB352" i="65"/>
  <c r="CX319" i="65"/>
  <c r="DC438" i="65"/>
  <c r="DB438" i="65"/>
  <c r="DA438" i="65"/>
  <c r="CX166" i="65"/>
  <c r="CX407" i="65"/>
  <c r="DC222" i="65"/>
  <c r="DB222" i="65"/>
  <c r="DA222" i="65"/>
  <c r="CX158" i="65"/>
  <c r="DA115" i="65"/>
  <c r="CX274" i="65"/>
  <c r="CX35" i="65"/>
  <c r="CX533" i="65"/>
  <c r="DB541" i="65"/>
  <c r="DC541" i="65"/>
  <c r="DA541" i="65"/>
  <c r="CX502" i="65"/>
  <c r="DA374" i="65"/>
  <c r="CX362" i="65"/>
  <c r="CX394" i="65"/>
  <c r="DC514" i="65"/>
  <c r="DB514" i="65"/>
  <c r="DA514" i="65"/>
  <c r="CX435" i="65"/>
  <c r="DC323" i="65"/>
  <c r="DB323" i="65"/>
  <c r="DA323" i="65"/>
  <c r="DA543" i="65"/>
  <c r="CX461" i="65"/>
  <c r="DA151" i="65"/>
  <c r="CX492" i="65"/>
  <c r="DC428" i="65"/>
  <c r="DB428" i="65"/>
  <c r="DA428" i="65"/>
  <c r="DC278" i="65"/>
  <c r="DB278" i="65"/>
  <c r="DA278" i="65"/>
  <c r="DA171" i="65"/>
  <c r="CX373" i="65"/>
  <c r="CX231" i="65"/>
  <c r="DA393" i="65"/>
  <c r="CX329" i="65"/>
  <c r="CX145" i="65"/>
  <c r="CX495" i="65"/>
  <c r="DC367" i="65"/>
  <c r="DA367" i="65"/>
  <c r="DB367" i="65"/>
  <c r="DA271" i="65"/>
  <c r="DB133" i="65"/>
  <c r="DC133" i="65"/>
  <c r="DA133" i="65"/>
  <c r="CX69" i="65"/>
  <c r="DC266" i="65"/>
  <c r="DB266" i="65"/>
  <c r="DA266" i="65"/>
  <c r="CX62" i="65"/>
  <c r="DC200" i="65"/>
  <c r="DA200" i="65"/>
  <c r="DB200" i="65"/>
  <c r="DC104" i="65"/>
  <c r="DA104" i="65"/>
  <c r="DB104" i="65"/>
  <c r="DC72" i="65"/>
  <c r="DA72" i="65"/>
  <c r="DB72" i="65"/>
  <c r="CX31" i="65"/>
  <c r="DA365" i="65"/>
  <c r="DC226" i="65"/>
  <c r="DB226" i="65"/>
  <c r="DA226" i="65"/>
  <c r="DC141" i="65"/>
  <c r="DB141" i="65"/>
  <c r="DA141" i="65"/>
  <c r="CX55" i="65"/>
  <c r="DC508" i="65"/>
  <c r="DB508" i="65"/>
  <c r="DA508" i="65"/>
  <c r="CX444" i="65"/>
  <c r="DA358" i="65"/>
  <c r="DB273" i="65"/>
  <c r="DC273" i="65"/>
  <c r="DA273" i="65"/>
  <c r="DC244" i="65"/>
  <c r="DB244" i="65"/>
  <c r="DA244" i="65"/>
  <c r="DB161" i="65"/>
  <c r="DC161" i="65"/>
  <c r="DA161" i="65"/>
  <c r="CX29" i="65"/>
  <c r="CX517" i="65"/>
  <c r="CX474" i="65"/>
  <c r="CX410" i="65"/>
  <c r="DC368" i="65"/>
  <c r="DA368" i="65"/>
  <c r="DB368" i="65"/>
  <c r="DC346" i="65"/>
  <c r="DB346" i="65"/>
  <c r="DA346" i="65"/>
  <c r="DC304" i="65"/>
  <c r="DA304" i="65"/>
  <c r="DB304" i="65"/>
  <c r="DB257" i="65"/>
  <c r="DC257" i="65"/>
  <c r="DA257" i="65"/>
  <c r="CX221" i="65"/>
  <c r="CX93" i="65"/>
  <c r="DC498" i="65"/>
  <c r="DB498" i="65"/>
  <c r="DA498" i="65"/>
  <c r="DA413" i="65"/>
  <c r="DC370" i="65"/>
  <c r="DB370" i="65"/>
  <c r="DA370" i="65"/>
  <c r="CX516" i="65"/>
  <c r="CX452" i="65"/>
  <c r="CX345" i="65"/>
  <c r="CX281" i="65"/>
  <c r="CX219" i="65"/>
  <c r="CX134" i="65"/>
  <c r="DA91" i="65"/>
  <c r="DA15" i="65"/>
  <c r="CX475" i="65"/>
  <c r="CX411" i="65"/>
  <c r="DA347" i="65"/>
  <c r="DA315" i="65"/>
  <c r="CX283" i="65"/>
  <c r="DB213" i="65"/>
  <c r="DC213" i="65"/>
  <c r="DA213" i="65"/>
  <c r="DC170" i="65"/>
  <c r="DB170" i="65"/>
  <c r="DA170" i="65"/>
  <c r="CX127" i="65"/>
  <c r="DB85" i="65"/>
  <c r="DC85" i="65"/>
  <c r="DA85" i="65"/>
  <c r="CX42" i="65"/>
  <c r="DC246" i="65"/>
  <c r="DB246" i="65"/>
  <c r="DA246" i="65"/>
  <c r="CX206" i="65"/>
  <c r="CX163" i="65"/>
  <c r="DC142" i="65"/>
  <c r="DB142" i="65"/>
  <c r="DA142" i="65"/>
  <c r="CX99" i="65"/>
  <c r="CX33" i="65"/>
  <c r="CX212" i="65"/>
  <c r="DA196" i="65"/>
  <c r="CX164" i="65"/>
  <c r="DA132" i="65"/>
  <c r="CX100" i="65"/>
  <c r="DA68" i="65"/>
  <c r="CX36" i="65"/>
  <c r="CX27" i="65"/>
  <c r="CX376" i="65"/>
  <c r="DC470" i="65"/>
  <c r="DB470" i="65"/>
  <c r="DA470" i="65"/>
  <c r="CX342" i="65"/>
  <c r="DC214" i="65"/>
  <c r="DB214" i="65"/>
  <c r="DA214" i="65"/>
  <c r="CX129" i="65"/>
  <c r="CX437" i="65"/>
  <c r="CX61" i="65"/>
  <c r="CX509" i="65"/>
  <c r="CX500" i="65"/>
  <c r="CX457" i="65"/>
  <c r="DC372" i="65"/>
  <c r="DB372" i="65"/>
  <c r="DA372" i="65"/>
  <c r="DC102" i="65"/>
  <c r="DB102" i="65"/>
  <c r="DA102" i="65"/>
  <c r="DC18" i="65"/>
  <c r="DB18" i="65"/>
  <c r="DA18" i="65"/>
  <c r="DC447" i="65"/>
  <c r="DA447" i="65"/>
  <c r="DB447" i="65"/>
  <c r="CX383" i="65"/>
  <c r="CX287" i="65"/>
  <c r="CX175" i="65"/>
  <c r="DC154" i="65"/>
  <c r="DB154" i="65"/>
  <c r="DA154" i="65"/>
  <c r="DC250" i="65"/>
  <c r="DB250" i="65"/>
  <c r="DA250" i="65"/>
  <c r="CX126" i="65"/>
  <c r="DA83" i="65"/>
  <c r="CX216" i="65"/>
  <c r="CX152" i="65"/>
  <c r="DC120" i="65"/>
  <c r="DB120" i="65"/>
  <c r="DA120" i="65"/>
  <c r="CX56" i="65"/>
  <c r="DC24" i="65"/>
  <c r="DA24" i="65"/>
  <c r="DB24" i="65"/>
  <c r="CX440" i="65"/>
  <c r="CX397" i="65"/>
  <c r="CX312" i="65"/>
  <c r="CX215" i="65"/>
  <c r="CX173" i="65"/>
  <c r="CX87" i="65"/>
  <c r="DC460" i="65"/>
  <c r="DB460" i="65"/>
  <c r="DA460" i="65"/>
  <c r="CX353" i="65"/>
  <c r="DA268" i="65"/>
  <c r="CX150" i="65"/>
  <c r="DA512" i="65"/>
  <c r="CX448" i="65"/>
  <c r="CX405" i="65"/>
  <c r="CX341" i="65"/>
  <c r="CX298" i="65"/>
  <c r="DB277" i="65"/>
  <c r="DC277" i="65"/>
  <c r="DA277" i="65"/>
  <c r="CX210" i="65"/>
  <c r="CX125" i="65"/>
  <c r="DC38" i="65"/>
  <c r="DB38" i="65"/>
  <c r="DA38" i="65"/>
  <c r="DA445" i="65"/>
  <c r="DC360" i="65"/>
  <c r="DA360" i="65"/>
  <c r="DB360" i="65"/>
  <c r="CX13" i="65"/>
  <c r="DC510" i="65"/>
  <c r="DB510" i="65"/>
  <c r="DA510" i="65"/>
  <c r="CX468" i="65"/>
  <c r="DC404" i="65"/>
  <c r="DB404" i="65"/>
  <c r="DA404" i="65"/>
  <c r="CX340" i="65"/>
  <c r="DA276" i="65"/>
  <c r="DB209" i="65"/>
  <c r="DC209" i="65"/>
  <c r="DA209" i="65"/>
  <c r="DA123" i="65"/>
  <c r="DA37" i="65"/>
  <c r="DB37" i="65"/>
  <c r="DC37" i="65"/>
  <c r="DA11" i="65"/>
  <c r="CX487" i="65"/>
  <c r="CX439" i="65"/>
  <c r="CX391" i="65"/>
  <c r="DC359" i="65"/>
  <c r="DA359" i="65"/>
  <c r="DB359" i="65"/>
  <c r="CX343" i="65"/>
  <c r="CX311" i="65"/>
  <c r="DA263" i="65"/>
  <c r="CX229" i="65"/>
  <c r="DA207" i="65"/>
  <c r="CX143" i="65"/>
  <c r="DC122" i="65"/>
  <c r="DB122" i="65"/>
  <c r="DA122" i="65"/>
  <c r="CX79" i="65"/>
  <c r="DC258" i="65"/>
  <c r="DB258" i="65"/>
  <c r="DA258" i="65"/>
  <c r="DC242" i="65"/>
  <c r="DB242" i="65"/>
  <c r="DA242" i="65"/>
  <c r="DC137" i="65"/>
  <c r="DB137" i="65"/>
  <c r="DA137" i="65"/>
  <c r="DC94" i="65"/>
  <c r="DB94" i="65"/>
  <c r="DA94" i="65"/>
  <c r="DC25" i="65"/>
  <c r="DB25" i="65"/>
  <c r="DA25" i="65"/>
  <c r="DC224" i="65"/>
  <c r="DA224" i="65"/>
  <c r="DB224" i="65"/>
  <c r="CX176" i="65"/>
  <c r="DC160" i="65"/>
  <c r="DA160" i="65"/>
  <c r="DB160" i="65"/>
  <c r="CX112" i="65"/>
  <c r="DC96" i="65"/>
  <c r="DB96" i="65"/>
  <c r="DA96" i="65"/>
  <c r="CX48" i="65"/>
  <c r="CX32" i="65"/>
  <c r="CX6" i="65"/>
  <c r="CX194" i="65"/>
  <c r="DB449" i="65"/>
  <c r="DC449" i="65"/>
  <c r="DA449" i="65"/>
  <c r="CX385" i="65"/>
  <c r="DC458" i="65"/>
  <c r="DB458" i="65"/>
  <c r="DA458" i="65"/>
  <c r="DC146" i="65"/>
  <c r="DB146" i="65"/>
  <c r="DA146" i="65"/>
  <c r="CX424" i="65"/>
  <c r="DB429" i="65"/>
  <c r="DC429" i="65"/>
  <c r="DA429" i="65"/>
  <c r="DC386" i="65"/>
  <c r="DB386" i="65"/>
  <c r="DA386" i="65"/>
  <c r="CX245" i="65"/>
  <c r="CX205" i="65"/>
  <c r="CX77" i="65"/>
  <c r="CX497" i="65"/>
  <c r="DA433" i="65"/>
  <c r="CX412" i="65"/>
  <c r="DC348" i="65"/>
  <c r="DB348" i="65"/>
  <c r="DA348" i="65"/>
  <c r="DC326" i="65"/>
  <c r="DB326" i="65"/>
  <c r="DA326" i="65"/>
  <c r="DA260" i="65"/>
  <c r="CX225" i="65"/>
  <c r="DB97" i="65"/>
  <c r="DC97" i="65"/>
  <c r="DA97" i="65"/>
  <c r="DC54" i="65"/>
  <c r="DB54" i="65"/>
  <c r="DA54" i="65"/>
  <c r="DB485" i="65"/>
  <c r="DC485" i="65"/>
  <c r="DA485" i="65"/>
  <c r="CX464" i="65"/>
  <c r="DC400" i="65"/>
  <c r="DA400" i="65"/>
  <c r="DB400" i="65"/>
  <c r="DC378" i="65"/>
  <c r="DB378" i="65"/>
  <c r="DA378" i="65"/>
  <c r="CX314" i="65"/>
  <c r="DB293" i="65"/>
  <c r="DC293" i="65"/>
  <c r="DA293" i="65"/>
  <c r="CX199" i="65"/>
  <c r="CX157" i="65"/>
  <c r="DB477" i="65"/>
  <c r="DC477" i="65"/>
  <c r="DA477" i="65"/>
  <c r="DC434" i="65"/>
  <c r="DB434" i="65"/>
  <c r="DA434" i="65"/>
  <c r="CX306" i="65"/>
  <c r="DC8" i="65"/>
  <c r="DA8" i="65"/>
  <c r="DB8" i="65"/>
  <c r="CX462" i="65"/>
  <c r="CX441" i="65"/>
  <c r="DA377" i="65"/>
  <c r="DC356" i="65"/>
  <c r="DB356" i="65"/>
  <c r="DA356" i="65"/>
  <c r="CX292" i="65"/>
  <c r="DC270" i="65"/>
  <c r="DB270" i="65"/>
  <c r="DA270" i="65"/>
  <c r="CX155" i="65"/>
  <c r="CX113" i="65"/>
  <c r="CX7" i="65"/>
  <c r="DA515" i="65"/>
  <c r="CX467" i="65"/>
  <c r="DC419" i="65"/>
  <c r="DB419" i="65"/>
  <c r="DA419" i="65"/>
  <c r="CX371" i="65"/>
  <c r="DC355" i="65"/>
  <c r="DB355" i="65"/>
  <c r="DA355" i="65"/>
  <c r="CX275" i="65"/>
  <c r="DA259" i="65"/>
  <c r="CX181" i="65"/>
  <c r="DA159" i="65"/>
  <c r="CX95" i="65"/>
  <c r="DC74" i="65"/>
  <c r="DB74" i="65"/>
  <c r="DA74" i="65"/>
  <c r="CX254" i="65"/>
  <c r="CX238" i="65"/>
  <c r="DC174" i="65"/>
  <c r="DB174" i="65"/>
  <c r="DA174" i="65"/>
  <c r="CX153" i="65"/>
  <c r="DC89" i="65"/>
  <c r="DB89" i="65"/>
  <c r="DA89" i="65"/>
  <c r="DA67" i="65"/>
  <c r="CX220" i="65"/>
  <c r="CX204" i="65"/>
  <c r="CX156" i="65"/>
  <c r="CX140" i="65"/>
  <c r="CX92" i="65"/>
  <c r="DA76" i="65"/>
  <c r="CX28" i="65"/>
  <c r="DA19" i="65"/>
  <c r="CX542" i="65"/>
  <c r="CX532" i="65"/>
  <c r="DC539" i="65"/>
  <c r="DB539" i="65"/>
  <c r="DA539" i="65"/>
  <c r="DC518" i="65"/>
  <c r="DB518" i="65"/>
  <c r="DA518" i="65"/>
  <c r="CX523" i="65"/>
  <c r="CX522" i="65"/>
  <c r="DC536" i="65"/>
  <c r="DB536" i="65"/>
  <c r="DA536" i="65"/>
  <c r="DB545" i="65"/>
  <c r="DC545" i="65"/>
  <c r="DA545" i="65"/>
  <c r="CX534" i="65"/>
  <c r="DC527" i="65"/>
  <c r="DB527" i="65"/>
  <c r="DA527" i="65"/>
  <c r="DC519" i="65"/>
  <c r="DB519" i="65"/>
  <c r="DA519" i="65"/>
  <c r="CX521" i="65"/>
  <c r="DA480" i="65"/>
  <c r="CX478" i="65"/>
  <c r="DA147" i="65"/>
  <c r="DC168" i="65"/>
  <c r="DA168" i="65"/>
  <c r="DB168" i="65"/>
  <c r="CX408" i="65"/>
  <c r="DC322" i="65"/>
  <c r="DB322" i="65"/>
  <c r="DA322" i="65"/>
  <c r="DA422" i="65"/>
  <c r="CX294" i="65"/>
  <c r="DB5" i="65"/>
  <c r="DC5" i="65"/>
  <c r="DA5" i="65"/>
  <c r="DC430" i="65"/>
  <c r="DB430" i="65"/>
  <c r="DA430" i="65"/>
  <c r="CX302" i="65"/>
  <c r="CX443" i="65"/>
  <c r="DC379" i="65"/>
  <c r="DB379" i="65"/>
  <c r="DA379" i="65"/>
  <c r="CX267" i="65"/>
  <c r="DC251" i="65"/>
  <c r="DB251" i="65"/>
  <c r="DA251" i="65"/>
  <c r="DC78" i="65"/>
  <c r="DB78" i="65"/>
  <c r="DA78" i="65"/>
  <c r="CX352" i="65"/>
  <c r="CX415" i="65"/>
  <c r="DA319" i="65"/>
  <c r="DC310" i="65"/>
  <c r="DB310" i="65"/>
  <c r="DA310" i="65"/>
  <c r="DC423" i="65"/>
  <c r="DA423" i="65"/>
  <c r="DB423" i="65"/>
  <c r="DC407" i="65"/>
  <c r="DA407" i="65"/>
  <c r="DB407" i="65"/>
  <c r="CX279" i="65"/>
  <c r="DC158" i="65"/>
  <c r="DB158" i="65"/>
  <c r="DA158" i="65"/>
  <c r="CX307" i="65"/>
  <c r="DA35" i="65"/>
  <c r="CX535" i="65"/>
  <c r="CX541" i="65"/>
  <c r="CX211" i="65"/>
  <c r="DC502" i="65"/>
  <c r="DB502" i="65"/>
  <c r="DA502" i="65"/>
  <c r="DC362" i="65"/>
  <c r="DB362" i="65"/>
  <c r="DA362" i="65"/>
  <c r="DC394" i="65"/>
  <c r="DB394" i="65"/>
  <c r="DA394" i="65"/>
  <c r="CX71" i="65"/>
  <c r="DC435" i="65"/>
  <c r="DB435" i="65"/>
  <c r="DA435" i="65"/>
  <c r="CX524" i="65"/>
  <c r="DA237" i="65"/>
  <c r="DC492" i="65"/>
  <c r="DB492" i="65"/>
  <c r="DA492" i="65"/>
  <c r="DC364" i="65"/>
  <c r="DB364" i="65"/>
  <c r="DA364" i="65"/>
  <c r="CX278" i="65"/>
  <c r="DC416" i="65"/>
  <c r="DA416" i="65"/>
  <c r="DB416" i="65"/>
  <c r="CX309" i="65"/>
  <c r="DA231" i="65"/>
  <c r="CX436" i="65"/>
  <c r="CX393" i="65"/>
  <c r="CX286" i="65"/>
  <c r="DA495" i="65"/>
  <c r="CX399" i="65"/>
  <c r="CX303" i="65"/>
  <c r="CX197" i="65"/>
  <c r="CX90" i="65"/>
  <c r="DA69" i="65"/>
  <c r="DB69" i="65"/>
  <c r="DC69" i="65"/>
  <c r="DC105" i="65"/>
  <c r="DB105" i="65"/>
  <c r="DA105" i="65"/>
  <c r="DC62" i="65"/>
  <c r="DB62" i="65"/>
  <c r="DA62" i="65"/>
  <c r="CX104" i="65"/>
  <c r="CX40" i="65"/>
  <c r="DA31" i="65"/>
  <c r="CX365" i="65"/>
  <c r="CX261" i="65"/>
  <c r="CX141" i="65"/>
  <c r="DA55" i="65"/>
  <c r="CX508" i="65"/>
  <c r="DB465" i="65"/>
  <c r="DC465" i="65"/>
  <c r="DA465" i="65"/>
  <c r="DC380" i="65"/>
  <c r="DB380" i="65"/>
  <c r="DA380" i="65"/>
  <c r="DA316" i="65"/>
  <c r="CX273" i="65"/>
  <c r="CX203" i="65"/>
  <c r="CX161" i="65"/>
  <c r="CX75" i="65"/>
  <c r="DC29" i="65"/>
  <c r="DA29" i="65"/>
  <c r="DB29" i="65"/>
  <c r="DC474" i="65"/>
  <c r="DB474" i="65"/>
  <c r="DA474" i="65"/>
  <c r="DC432" i="65"/>
  <c r="DA432" i="65"/>
  <c r="DB432" i="65"/>
  <c r="DC410" i="65"/>
  <c r="DB410" i="65"/>
  <c r="DA410" i="65"/>
  <c r="CX368" i="65"/>
  <c r="DB325" i="65"/>
  <c r="DC325" i="65"/>
  <c r="DA325" i="65"/>
  <c r="CX257" i="65"/>
  <c r="CX135" i="65"/>
  <c r="CX50" i="65"/>
  <c r="CX413" i="65"/>
  <c r="CX328" i="65"/>
  <c r="DC516" i="65"/>
  <c r="DB516" i="65"/>
  <c r="DA516" i="65"/>
  <c r="DC452" i="65"/>
  <c r="DB452" i="65"/>
  <c r="DA452" i="65"/>
  <c r="CX388" i="65"/>
  <c r="CX324" i="65"/>
  <c r="DA219" i="65"/>
  <c r="DC134" i="65"/>
  <c r="DB134" i="65"/>
  <c r="DA134" i="65"/>
  <c r="DB49" i="65"/>
  <c r="DA49" i="65"/>
  <c r="DC49" i="65"/>
  <c r="DA491" i="65"/>
  <c r="DA459" i="65"/>
  <c r="DA427" i="65"/>
  <c r="CX347" i="65"/>
  <c r="CX315" i="65"/>
  <c r="DA283" i="65"/>
  <c r="CX191" i="65"/>
  <c r="DA127" i="65"/>
  <c r="CX85" i="65"/>
  <c r="DC42" i="65"/>
  <c r="DB42" i="65"/>
  <c r="DA42" i="65"/>
  <c r="CX246" i="65"/>
  <c r="DC206" i="65"/>
  <c r="DB206" i="65"/>
  <c r="DA206" i="65"/>
  <c r="DA163" i="65"/>
  <c r="DC121" i="65"/>
  <c r="DB121" i="65"/>
  <c r="DA121" i="65"/>
  <c r="DA99" i="65"/>
  <c r="DB33" i="65"/>
  <c r="DA33" i="65"/>
  <c r="DC33" i="65"/>
  <c r="DA212" i="65"/>
  <c r="CX180" i="65"/>
  <c r="DC164" i="65"/>
  <c r="DB164" i="65"/>
  <c r="DA164" i="65"/>
  <c r="CX132" i="65"/>
  <c r="DA100" i="65"/>
  <c r="CX68" i="65"/>
  <c r="DA36" i="65"/>
  <c r="DA27" i="65"/>
  <c r="DC376" i="65"/>
  <c r="DA376" i="65"/>
  <c r="DB376" i="65"/>
  <c r="DC109" i="65"/>
  <c r="DB109" i="65"/>
  <c r="DA109" i="65"/>
  <c r="CX406" i="65"/>
  <c r="DC342" i="65"/>
  <c r="DB342" i="65"/>
  <c r="DA342" i="65"/>
  <c r="CX214" i="65"/>
  <c r="DB501" i="65"/>
  <c r="DC501" i="65"/>
  <c r="DA501" i="65"/>
  <c r="DB189" i="65"/>
  <c r="DC189" i="65"/>
  <c r="DA189" i="65"/>
  <c r="DC61" i="65"/>
  <c r="DA61" i="65"/>
  <c r="DB61" i="65"/>
  <c r="DB285" i="65"/>
  <c r="DC285" i="65"/>
  <c r="DA285" i="65"/>
  <c r="DC500" i="65"/>
  <c r="DB500" i="65"/>
  <c r="DA500" i="65"/>
  <c r="CX414" i="65"/>
  <c r="CX264" i="65"/>
  <c r="CX102" i="65"/>
  <c r="CX479" i="65"/>
  <c r="DC383" i="65"/>
  <c r="DA383" i="65"/>
  <c r="DB383" i="65"/>
  <c r="DA287" i="65"/>
  <c r="CX218" i="65"/>
  <c r="DA175" i="65"/>
  <c r="CX47" i="65"/>
  <c r="DC169" i="65"/>
  <c r="DB169" i="65"/>
  <c r="DA169" i="65"/>
  <c r="DC126" i="65"/>
  <c r="DB126" i="65"/>
  <c r="DA126" i="65"/>
  <c r="CX41" i="65"/>
  <c r="DC152" i="65"/>
  <c r="DA152" i="65"/>
  <c r="DB152" i="65"/>
  <c r="DC56" i="65"/>
  <c r="DA56" i="65"/>
  <c r="DB56" i="65"/>
  <c r="DC440" i="65"/>
  <c r="DA440" i="65"/>
  <c r="DB440" i="65"/>
  <c r="CX354" i="65"/>
  <c r="DC312" i="65"/>
  <c r="DA312" i="65"/>
  <c r="DB312" i="65"/>
  <c r="DB253" i="65"/>
  <c r="DC253" i="65"/>
  <c r="DA253" i="65"/>
  <c r="DA215" i="65"/>
  <c r="DC130" i="65"/>
  <c r="DB130" i="65"/>
  <c r="DA130" i="65"/>
  <c r="DA87" i="65"/>
  <c r="DB481" i="65"/>
  <c r="DC481" i="65"/>
  <c r="DA481" i="65"/>
  <c r="DC396" i="65"/>
  <c r="DB396" i="65"/>
  <c r="DA396" i="65"/>
  <c r="DB289" i="65"/>
  <c r="DC289" i="65"/>
  <c r="DA289" i="65"/>
  <c r="CX268" i="65"/>
  <c r="DB193" i="65"/>
  <c r="DC193" i="65"/>
  <c r="DA193" i="65"/>
  <c r="DB65" i="65"/>
  <c r="DA65" i="65"/>
  <c r="DC65" i="65"/>
  <c r="CX512" i="65"/>
  <c r="DB469" i="65"/>
  <c r="DC469" i="65"/>
  <c r="DA469" i="65"/>
  <c r="CX426" i="65"/>
  <c r="DC384" i="65"/>
  <c r="DA384" i="65"/>
  <c r="DB384" i="65"/>
  <c r="DC320" i="65"/>
  <c r="DA320" i="65"/>
  <c r="DB320" i="65"/>
  <c r="DC298" i="65"/>
  <c r="DB298" i="65"/>
  <c r="DA298" i="65"/>
  <c r="DA249" i="65"/>
  <c r="CX167" i="65"/>
  <c r="CX38" i="65"/>
  <c r="CX445" i="65"/>
  <c r="DC13" i="65"/>
  <c r="DA13" i="65"/>
  <c r="DB13" i="65"/>
  <c r="DC489" i="65"/>
  <c r="DB489" i="65"/>
  <c r="DA489" i="65"/>
  <c r="DC468" i="65"/>
  <c r="DB468" i="65"/>
  <c r="DA468" i="65"/>
  <c r="DC425" i="65"/>
  <c r="DB425" i="65"/>
  <c r="DA425" i="65"/>
  <c r="DA361" i="65"/>
  <c r="DC340" i="65"/>
  <c r="DB340" i="65"/>
  <c r="DA340" i="65"/>
  <c r="DC297" i="65"/>
  <c r="DB297" i="65"/>
  <c r="DA297" i="65"/>
  <c r="CX209" i="65"/>
  <c r="CX37" i="65"/>
  <c r="CX503" i="65"/>
  <c r="DA455" i="65"/>
  <c r="DA439" i="65"/>
  <c r="CX359" i="65"/>
  <c r="DC327" i="65"/>
  <c r="DA327" i="65"/>
  <c r="DB327" i="65"/>
  <c r="DA311" i="65"/>
  <c r="DB229" i="65"/>
  <c r="DC229" i="65"/>
  <c r="DA229" i="65"/>
  <c r="CX165" i="65"/>
  <c r="DA143" i="65"/>
  <c r="CX101" i="65"/>
  <c r="DA79" i="65"/>
  <c r="CX34" i="65"/>
  <c r="CX258" i="65"/>
  <c r="CX179" i="65"/>
  <c r="CX137" i="65"/>
  <c r="CX51" i="65"/>
  <c r="CX25" i="65"/>
  <c r="CX192" i="65"/>
  <c r="DC176" i="65"/>
  <c r="DA176" i="65"/>
  <c r="DB176" i="65"/>
  <c r="CX128" i="65"/>
  <c r="DC112" i="65"/>
  <c r="DB112" i="65"/>
  <c r="DA112" i="65"/>
  <c r="CX64" i="65"/>
  <c r="DC48" i="65"/>
  <c r="DA48" i="65"/>
  <c r="DB48" i="65"/>
  <c r="CX23" i="65"/>
  <c r="DC6" i="65"/>
  <c r="DB6" i="65"/>
  <c r="DA6" i="65"/>
  <c r="CX296" i="65"/>
  <c r="DB513" i="65"/>
  <c r="DC513" i="65"/>
  <c r="DA513" i="65"/>
  <c r="CX449" i="65"/>
  <c r="DC86" i="65"/>
  <c r="DB86" i="65"/>
  <c r="DA86" i="65"/>
  <c r="DC265" i="65"/>
  <c r="DB265" i="65"/>
  <c r="DA265" i="65"/>
  <c r="CX146" i="65"/>
  <c r="DC424" i="65"/>
  <c r="DA424" i="65"/>
  <c r="DB424" i="65"/>
  <c r="CX472" i="65"/>
  <c r="CX429" i="65"/>
  <c r="DB301" i="65"/>
  <c r="DC301" i="65"/>
  <c r="DA301" i="65"/>
  <c r="DB245" i="65"/>
  <c r="DC245" i="65"/>
  <c r="DA245" i="65"/>
  <c r="CX119" i="65"/>
  <c r="DC77" i="65"/>
  <c r="DB77" i="65"/>
  <c r="DA77" i="65"/>
  <c r="CX454" i="65"/>
  <c r="CX433" i="65"/>
  <c r="DA369" i="65"/>
  <c r="CX348" i="65"/>
  <c r="CX284" i="65"/>
  <c r="CX260" i="65"/>
  <c r="CX139" i="65"/>
  <c r="CX97" i="65"/>
  <c r="CX506" i="65"/>
  <c r="CX485" i="65"/>
  <c r="DB421" i="65"/>
  <c r="DC421" i="65"/>
  <c r="DA421" i="65"/>
  <c r="CX400" i="65"/>
  <c r="DC336" i="65"/>
  <c r="DA336" i="65"/>
  <c r="DB336" i="65"/>
  <c r="DC314" i="65"/>
  <c r="DB314" i="65"/>
  <c r="DA314" i="65"/>
  <c r="DB241" i="65"/>
  <c r="DC241" i="65"/>
  <c r="DA241" i="65"/>
  <c r="DA199" i="65"/>
  <c r="DC22" i="65"/>
  <c r="DB22" i="65"/>
  <c r="DA22" i="65"/>
  <c r="CX477" i="65"/>
  <c r="DB349" i="65"/>
  <c r="DC349" i="65"/>
  <c r="DA349" i="65"/>
  <c r="DC306" i="65"/>
  <c r="DB306" i="65"/>
  <c r="DA306" i="65"/>
  <c r="CX484" i="65"/>
  <c r="DC462" i="65"/>
  <c r="DB462" i="65"/>
  <c r="DA462" i="65"/>
  <c r="CX398" i="65"/>
  <c r="CX377" i="65"/>
  <c r="DC313" i="65"/>
  <c r="DB313" i="65"/>
  <c r="DA313" i="65"/>
  <c r="DA292" i="65"/>
  <c r="CX198" i="65"/>
  <c r="DA155" i="65"/>
  <c r="DA21" i="65"/>
  <c r="DB21" i="65"/>
  <c r="DC21" i="65"/>
  <c r="DA7" i="65"/>
  <c r="CX483" i="65"/>
  <c r="DA467" i="65"/>
  <c r="CX387" i="65"/>
  <c r="DC371" i="65"/>
  <c r="DB371" i="65"/>
  <c r="DA371" i="65"/>
  <c r="CX291" i="65"/>
  <c r="DA275" i="65"/>
  <c r="CX202" i="65"/>
  <c r="DB181" i="65"/>
  <c r="DC181" i="65"/>
  <c r="DA181" i="65"/>
  <c r="CX117" i="65"/>
  <c r="DA95" i="65"/>
  <c r="CX26" i="65"/>
  <c r="DC254" i="65"/>
  <c r="DB254" i="65"/>
  <c r="DA254" i="65"/>
  <c r="CX195" i="65"/>
  <c r="CX174" i="65"/>
  <c r="DC110" i="65"/>
  <c r="DB110" i="65"/>
  <c r="DA110" i="65"/>
  <c r="CX89" i="65"/>
  <c r="CX236" i="65"/>
  <c r="DA220" i="65"/>
  <c r="CX172" i="65"/>
  <c r="DC156" i="65"/>
  <c r="DB156" i="65"/>
  <c r="DA156" i="65"/>
  <c r="CX108" i="65"/>
  <c r="DA92" i="65"/>
  <c r="CX44" i="65"/>
  <c r="DA28" i="65"/>
  <c r="DC542" i="65"/>
  <c r="DB542" i="65"/>
  <c r="DA542" i="65"/>
  <c r="DC532" i="65"/>
  <c r="DB532" i="65"/>
  <c r="DA532" i="65"/>
  <c r="CX539" i="65"/>
  <c r="CX530" i="65"/>
  <c r="DB522" i="65"/>
  <c r="DC522" i="65"/>
  <c r="DA522" i="65"/>
  <c r="DB529" i="65"/>
  <c r="DC529" i="65"/>
  <c r="DA529" i="65"/>
  <c r="CX545" i="65"/>
  <c r="CX526" i="65"/>
  <c r="DC534" i="65"/>
  <c r="DB534" i="65"/>
  <c r="DA534" i="65"/>
  <c r="DA525" i="65"/>
  <c r="CX519" i="65"/>
  <c r="CX531" i="65"/>
  <c r="CX480" i="65"/>
  <c r="CX338" i="65"/>
  <c r="DC478" i="65"/>
  <c r="DB478" i="65"/>
  <c r="DA478" i="65"/>
  <c r="DC230" i="65"/>
  <c r="DB230" i="65"/>
  <c r="DA230" i="65"/>
  <c r="CX190" i="65"/>
  <c r="DC232" i="65"/>
  <c r="DA232" i="65"/>
  <c r="DB232" i="65"/>
  <c r="DC408" i="65"/>
  <c r="DA408" i="65"/>
  <c r="DB408" i="65"/>
  <c r="CX178" i="65"/>
  <c r="CX494" i="65"/>
  <c r="CX366" i="65"/>
  <c r="DA507" i="65"/>
  <c r="DC395" i="65"/>
  <c r="DB395" i="65"/>
  <c r="DA395" i="65"/>
  <c r="CX379" i="65"/>
  <c r="DA267" i="65"/>
  <c r="CX234" i="65"/>
  <c r="CX187" i="65"/>
  <c r="DC415" i="65"/>
  <c r="DA415" i="65"/>
  <c r="DB415" i="65"/>
  <c r="CX310" i="65"/>
  <c r="CX423" i="65"/>
  <c r="CX295" i="65"/>
  <c r="DA279" i="65"/>
  <c r="DC252" i="65"/>
  <c r="DB252" i="65"/>
  <c r="DA252" i="65"/>
  <c r="CX451" i="65"/>
  <c r="DA307" i="65"/>
  <c r="DC535" i="65"/>
  <c r="DB535" i="65"/>
  <c r="DA535" i="65"/>
  <c r="CX350" i="65"/>
  <c r="DA211" i="65"/>
  <c r="DC14" i="65"/>
  <c r="DB14" i="65"/>
  <c r="DA14" i="65"/>
  <c r="CX402" i="65"/>
  <c r="CX30" i="65"/>
  <c r="DA71" i="65"/>
  <c r="CX223" i="65"/>
  <c r="DC524" i="65"/>
  <c r="DB524" i="65"/>
  <c r="DA524" i="65"/>
  <c r="DC540" i="65"/>
  <c r="DB540" i="65"/>
  <c r="DA540" i="65"/>
  <c r="I18" i="66" l="1"/>
  <c r="L18" i="66" s="1"/>
  <c r="J18" i="66"/>
  <c r="H18" i="66"/>
  <c r="K18" i="66" s="1"/>
  <c r="F45" i="66"/>
  <c r="M45" i="66"/>
  <c r="N45" i="66" s="1"/>
  <c r="E45" i="66"/>
  <c r="G46" i="66"/>
  <c r="I46" i="66" s="1"/>
  <c r="AG58" i="63"/>
  <c r="AG59" i="63"/>
  <c r="AG60" i="63"/>
  <c r="AG61" i="63"/>
  <c r="AG62" i="63"/>
  <c r="AG63" i="63"/>
  <c r="AG64" i="63"/>
  <c r="AG65" i="63"/>
  <c r="AG66" i="63"/>
  <c r="AG67" i="63"/>
  <c r="AG68" i="63"/>
  <c r="AG69" i="63"/>
  <c r="AG70" i="63"/>
  <c r="AG71" i="63"/>
  <c r="AG72" i="63"/>
  <c r="AG73" i="63"/>
  <c r="AG74" i="63"/>
  <c r="AG75" i="63"/>
  <c r="AG76" i="63"/>
  <c r="AG77" i="63"/>
  <c r="AG78" i="63"/>
  <c r="AG79" i="63"/>
  <c r="AG80" i="63"/>
  <c r="AG81" i="63"/>
  <c r="AG82" i="63"/>
  <c r="AG83" i="63"/>
  <c r="AG84" i="63"/>
  <c r="AG85" i="63"/>
  <c r="AG86" i="63"/>
  <c r="AG87" i="63"/>
  <c r="AG88" i="63"/>
  <c r="AG89" i="63"/>
  <c r="AG90" i="63"/>
  <c r="AG91" i="63"/>
  <c r="AG92" i="63"/>
  <c r="AG93" i="63"/>
  <c r="AG94" i="63"/>
  <c r="AG95" i="63"/>
  <c r="AG96" i="63"/>
  <c r="AG97" i="63"/>
  <c r="AG98" i="63"/>
  <c r="AG99" i="63"/>
  <c r="AG100" i="63"/>
  <c r="AG101" i="63"/>
  <c r="AG102" i="63"/>
  <c r="AG103" i="63"/>
  <c r="AG104" i="63"/>
  <c r="AG105" i="63"/>
  <c r="AG106" i="63"/>
  <c r="AG107" i="63"/>
  <c r="AG108" i="63"/>
  <c r="AG109" i="63"/>
  <c r="AG110" i="63"/>
  <c r="AG111" i="63"/>
  <c r="AG112" i="63"/>
  <c r="AG113" i="63"/>
  <c r="AG114" i="63"/>
  <c r="AG115" i="63"/>
  <c r="AG116" i="63"/>
  <c r="AG117" i="63"/>
  <c r="AG118" i="63"/>
  <c r="AG119" i="63"/>
  <c r="AG120" i="63"/>
  <c r="AG121" i="63"/>
  <c r="AG122" i="63"/>
  <c r="AG123" i="63"/>
  <c r="AG124" i="63"/>
  <c r="AG125" i="63"/>
  <c r="AG126" i="63"/>
  <c r="AG127" i="63"/>
  <c r="AG128" i="63"/>
  <c r="AG129" i="63"/>
  <c r="AG130" i="63"/>
  <c r="AG131" i="63"/>
  <c r="AG132" i="63"/>
  <c r="AG133" i="63"/>
  <c r="AG134" i="63"/>
  <c r="AG135" i="63"/>
  <c r="AG136" i="63"/>
  <c r="AG137" i="63"/>
  <c r="AG138" i="63"/>
  <c r="AG139" i="63"/>
  <c r="AG140" i="63"/>
  <c r="AG141" i="63"/>
  <c r="AG142" i="63"/>
  <c r="AG143" i="63"/>
  <c r="AG144" i="63"/>
  <c r="AG145" i="63"/>
  <c r="AG146" i="63"/>
  <c r="AG147" i="63"/>
  <c r="AG148" i="63"/>
  <c r="AG149" i="63"/>
  <c r="AG150" i="63"/>
  <c r="AG151" i="63"/>
  <c r="AG152" i="63"/>
  <c r="AG153" i="63"/>
  <c r="AG154" i="63"/>
  <c r="AG155" i="63"/>
  <c r="AG156" i="63"/>
  <c r="AG157" i="63"/>
  <c r="AG158" i="63"/>
  <c r="AG159" i="63"/>
  <c r="AG160" i="63"/>
  <c r="AG161" i="63"/>
  <c r="AG162" i="63"/>
  <c r="AG163" i="63"/>
  <c r="AG164" i="63"/>
  <c r="AG165" i="63"/>
  <c r="AG166" i="63"/>
  <c r="AG167" i="63"/>
  <c r="AG168" i="63"/>
  <c r="AG169" i="63"/>
  <c r="AG170" i="63"/>
  <c r="AG171" i="63"/>
  <c r="AG172" i="63"/>
  <c r="AG173" i="63"/>
  <c r="AG174" i="63"/>
  <c r="AG175" i="63"/>
  <c r="AG176" i="63"/>
  <c r="AG177" i="63"/>
  <c r="AG178" i="63"/>
  <c r="AG179" i="63"/>
  <c r="AG180" i="63"/>
  <c r="AG181" i="63"/>
  <c r="AG182" i="63"/>
  <c r="AG183" i="63"/>
  <c r="AG184" i="63"/>
  <c r="AG185" i="63"/>
  <c r="AG186" i="63"/>
  <c r="AG187" i="63"/>
  <c r="AG188" i="63"/>
  <c r="AG189" i="63"/>
  <c r="AG190" i="63"/>
  <c r="AG191" i="63"/>
  <c r="AG192" i="63"/>
  <c r="AG193" i="63"/>
  <c r="AG194" i="63"/>
  <c r="AG195" i="63"/>
  <c r="AG196" i="63"/>
  <c r="AG197" i="63"/>
  <c r="AG198" i="63"/>
  <c r="AG199" i="63"/>
  <c r="AG200" i="63"/>
  <c r="AG201" i="63"/>
  <c r="AG202" i="63"/>
  <c r="AG203" i="63"/>
  <c r="AG204" i="63"/>
  <c r="AG205" i="63"/>
  <c r="AG206" i="63"/>
  <c r="AG207" i="63"/>
  <c r="AG208" i="63"/>
  <c r="AG209" i="63"/>
  <c r="AG210" i="63"/>
  <c r="AG211" i="63"/>
  <c r="AG212" i="63"/>
  <c r="AG213" i="63"/>
  <c r="AG214" i="63"/>
  <c r="AG215" i="63"/>
  <c r="AG216" i="63"/>
  <c r="AG217" i="63"/>
  <c r="AG218" i="63"/>
  <c r="AG219" i="63"/>
  <c r="AG220" i="63"/>
  <c r="AG221" i="63"/>
  <c r="AG222" i="63"/>
  <c r="AG223" i="63"/>
  <c r="AG224" i="63"/>
  <c r="AG225" i="63"/>
  <c r="AG226" i="63"/>
  <c r="AG227" i="63"/>
  <c r="AG228" i="63"/>
  <c r="AG229" i="63"/>
  <c r="AG230" i="63"/>
  <c r="AG231" i="63"/>
  <c r="AG232" i="63"/>
  <c r="AG233" i="63"/>
  <c r="AG234" i="63"/>
  <c r="AG235" i="63"/>
  <c r="AG236" i="63"/>
  <c r="AG237" i="63"/>
  <c r="AG238" i="63"/>
  <c r="AG239" i="63"/>
  <c r="AG240" i="63"/>
  <c r="AG241" i="63"/>
  <c r="AG242" i="63"/>
  <c r="AG243" i="63"/>
  <c r="AG244" i="63"/>
  <c r="AG245" i="63"/>
  <c r="AG246" i="63"/>
  <c r="AG247" i="63"/>
  <c r="AG248" i="63"/>
  <c r="AG249" i="63"/>
  <c r="AG250" i="63"/>
  <c r="AG251" i="63"/>
  <c r="AG252" i="63"/>
  <c r="AG253" i="63"/>
  <c r="AG254" i="63"/>
  <c r="AG255" i="63"/>
  <c r="AG256" i="63"/>
  <c r="AG257" i="63"/>
  <c r="AG258" i="63"/>
  <c r="AG259" i="63"/>
  <c r="AG260" i="63"/>
  <c r="AG261" i="63"/>
  <c r="AG262" i="63"/>
  <c r="AG263" i="63"/>
  <c r="AG264" i="63"/>
  <c r="AG265" i="63"/>
  <c r="AG266" i="63"/>
  <c r="AG267" i="63"/>
  <c r="AG268" i="63"/>
  <c r="AG269" i="63"/>
  <c r="AG270" i="63"/>
  <c r="AG271" i="63"/>
  <c r="AG272" i="63"/>
  <c r="AG273" i="63"/>
  <c r="AG274" i="63"/>
  <c r="AG275" i="63"/>
  <c r="AG276" i="63"/>
  <c r="AG277" i="63"/>
  <c r="AG278" i="63"/>
  <c r="AG279" i="63"/>
  <c r="AG280" i="63"/>
  <c r="AG281" i="63"/>
  <c r="AG282" i="63"/>
  <c r="AG283" i="63"/>
  <c r="AG284" i="63"/>
  <c r="AG285" i="63"/>
  <c r="AG286" i="63"/>
  <c r="AG287" i="63"/>
  <c r="AG288" i="63"/>
  <c r="AG289" i="63"/>
  <c r="AG290" i="63"/>
  <c r="AG291" i="63"/>
  <c r="AG292" i="63"/>
  <c r="AG293" i="63"/>
  <c r="AG294" i="63"/>
  <c r="AG295" i="63"/>
  <c r="AG296" i="63"/>
  <c r="AG297" i="63"/>
  <c r="AG298" i="63"/>
  <c r="AG299" i="63"/>
  <c r="AG300" i="63"/>
  <c r="AG301" i="63"/>
  <c r="AG302" i="63"/>
  <c r="AG303" i="63"/>
  <c r="AG304" i="63"/>
  <c r="AG305" i="63"/>
  <c r="AG306" i="63"/>
  <c r="AG307" i="63"/>
  <c r="AG308" i="63"/>
  <c r="AG309" i="63"/>
  <c r="AG310" i="63"/>
  <c r="AG311" i="63"/>
  <c r="AG312" i="63"/>
  <c r="AG313" i="63"/>
  <c r="AG314" i="63"/>
  <c r="AG315" i="63"/>
  <c r="AG316" i="63"/>
  <c r="AG317" i="63"/>
  <c r="AG318" i="63"/>
  <c r="AG319" i="63"/>
  <c r="AG320" i="63"/>
  <c r="AG321" i="63"/>
  <c r="AG322" i="63"/>
  <c r="AG323" i="63"/>
  <c r="AG324" i="63"/>
  <c r="AG325" i="63"/>
  <c r="AG326" i="63"/>
  <c r="AG327" i="63"/>
  <c r="AG328" i="63"/>
  <c r="AG329" i="63"/>
  <c r="AG330" i="63"/>
  <c r="AG331" i="63"/>
  <c r="AG332" i="63"/>
  <c r="AG333" i="63"/>
  <c r="AG334" i="63"/>
  <c r="AG335" i="63"/>
  <c r="AG336" i="63"/>
  <c r="AG337" i="63"/>
  <c r="AG338" i="63"/>
  <c r="AG339" i="63"/>
  <c r="AG340" i="63"/>
  <c r="AG341" i="63"/>
  <c r="AG342" i="63"/>
  <c r="AG343" i="63"/>
  <c r="AG344" i="63"/>
  <c r="AG345" i="63"/>
  <c r="AG346" i="63"/>
  <c r="AG347" i="63"/>
  <c r="AG348" i="63"/>
  <c r="AG349" i="63"/>
  <c r="AG350" i="63"/>
  <c r="AG351" i="63"/>
  <c r="AG352" i="63"/>
  <c r="AG353" i="63"/>
  <c r="AG354" i="63"/>
  <c r="AG355" i="63"/>
  <c r="AG356" i="63"/>
  <c r="AG357" i="63"/>
  <c r="AG358" i="63"/>
  <c r="AG359" i="63"/>
  <c r="AG360" i="63"/>
  <c r="AG361" i="63"/>
  <c r="AG362" i="63"/>
  <c r="AG363" i="63"/>
  <c r="AG364" i="63"/>
  <c r="AG365" i="63"/>
  <c r="AG366" i="63"/>
  <c r="AG367" i="63"/>
  <c r="AG368" i="63"/>
  <c r="AG369" i="63"/>
  <c r="AG370" i="63"/>
  <c r="AG371" i="63"/>
  <c r="AG372" i="63"/>
  <c r="AG373" i="63"/>
  <c r="AG374" i="63"/>
  <c r="AG375" i="63"/>
  <c r="AG376" i="63"/>
  <c r="AG377" i="63"/>
  <c r="AG378" i="63"/>
  <c r="AG379" i="63"/>
  <c r="AG380" i="63"/>
  <c r="AG381" i="63"/>
  <c r="AG382" i="63"/>
  <c r="AG383" i="63"/>
  <c r="AG384" i="63"/>
  <c r="AG385" i="63"/>
  <c r="AG386" i="63"/>
  <c r="AG387" i="63"/>
  <c r="AG388" i="63"/>
  <c r="AG389" i="63"/>
  <c r="AG390" i="63"/>
  <c r="AG391" i="63"/>
  <c r="AG392" i="63"/>
  <c r="AG393" i="63"/>
  <c r="AG394" i="63"/>
  <c r="AG395" i="63"/>
  <c r="AG396" i="63"/>
  <c r="AG397" i="63"/>
  <c r="AG398" i="63"/>
  <c r="AG399" i="63"/>
  <c r="AG400" i="63"/>
  <c r="AG401" i="63"/>
  <c r="AG402" i="63"/>
  <c r="AG403" i="63"/>
  <c r="AG404" i="63"/>
  <c r="AG405" i="63"/>
  <c r="AG406" i="63"/>
  <c r="AG407" i="63"/>
  <c r="AG408" i="63"/>
  <c r="AG409" i="63"/>
  <c r="AG410" i="63"/>
  <c r="AG411" i="63"/>
  <c r="AG412" i="63"/>
  <c r="AG413" i="63"/>
  <c r="AG414" i="63"/>
  <c r="AG415" i="63"/>
  <c r="AG416" i="63"/>
  <c r="AG417" i="63"/>
  <c r="AG418" i="63"/>
  <c r="AG419" i="63"/>
  <c r="AG420" i="63"/>
  <c r="AG421" i="63"/>
  <c r="AG422" i="63"/>
  <c r="AG423" i="63"/>
  <c r="AG424" i="63"/>
  <c r="AG425" i="63"/>
  <c r="AG426" i="63"/>
  <c r="AG427" i="63"/>
  <c r="AG428" i="63"/>
  <c r="AG429" i="63"/>
  <c r="AG430" i="63"/>
  <c r="AG431" i="63"/>
  <c r="AG432" i="63"/>
  <c r="AG433" i="63"/>
  <c r="AG434" i="63"/>
  <c r="AG435" i="63"/>
  <c r="AG436" i="63"/>
  <c r="AG437" i="63"/>
  <c r="AG438" i="63"/>
  <c r="AG439" i="63"/>
  <c r="AG440" i="63"/>
  <c r="AG441" i="63"/>
  <c r="AG442" i="63"/>
  <c r="AG443" i="63"/>
  <c r="AG444" i="63"/>
  <c r="AG445" i="63"/>
  <c r="AG446" i="63"/>
  <c r="AG447" i="63"/>
  <c r="AG448" i="63"/>
  <c r="AG449" i="63"/>
  <c r="AG450" i="63"/>
  <c r="AG451" i="63"/>
  <c r="AG452" i="63"/>
  <c r="AG453" i="63"/>
  <c r="AG454" i="63"/>
  <c r="AG455" i="63"/>
  <c r="AG456" i="63"/>
  <c r="AG457" i="63"/>
  <c r="AG458" i="63"/>
  <c r="AG459" i="63"/>
  <c r="AG460" i="63"/>
  <c r="AG461" i="63"/>
  <c r="AG462" i="63"/>
  <c r="AG463" i="63"/>
  <c r="AG464" i="63"/>
  <c r="AG465" i="63"/>
  <c r="AG466" i="63"/>
  <c r="AG467" i="63"/>
  <c r="AG468" i="63"/>
  <c r="AG469" i="63"/>
  <c r="AG470" i="63"/>
  <c r="AG471" i="63"/>
  <c r="AG472" i="63"/>
  <c r="AG473" i="63"/>
  <c r="AG474" i="63"/>
  <c r="AG475" i="63"/>
  <c r="AG476" i="63"/>
  <c r="AG477" i="63"/>
  <c r="AG478" i="63"/>
  <c r="AG479" i="63"/>
  <c r="AG480" i="63"/>
  <c r="AG481" i="63"/>
  <c r="AG482" i="63"/>
  <c r="AG483" i="63"/>
  <c r="AG484" i="63"/>
  <c r="AG485" i="63"/>
  <c r="AG486" i="63"/>
  <c r="AG487" i="63"/>
  <c r="AG488" i="63"/>
  <c r="AG489" i="63"/>
  <c r="AG490" i="63"/>
  <c r="AG491" i="63"/>
  <c r="AG492" i="63"/>
  <c r="AG493" i="63"/>
  <c r="AG494" i="63"/>
  <c r="AG495" i="63"/>
  <c r="AG496" i="63"/>
  <c r="AG497" i="63"/>
  <c r="AG498" i="63"/>
  <c r="AG499" i="63"/>
  <c r="AG500" i="63"/>
  <c r="AG501" i="63"/>
  <c r="AG502" i="63"/>
  <c r="AG503" i="63"/>
  <c r="AG504" i="63"/>
  <c r="AG505" i="63"/>
  <c r="AG506" i="63"/>
  <c r="AG507" i="63"/>
  <c r="AG508" i="63"/>
  <c r="AG509" i="63"/>
  <c r="AG510" i="63"/>
  <c r="AG511" i="63"/>
  <c r="AG512" i="63"/>
  <c r="AG513" i="63"/>
  <c r="AG514" i="63"/>
  <c r="AG515" i="63"/>
  <c r="AG516" i="63"/>
  <c r="AG517" i="63"/>
  <c r="AG518" i="63"/>
  <c r="AG519" i="63"/>
  <c r="AG520" i="63"/>
  <c r="AG521" i="63"/>
  <c r="AG522" i="63"/>
  <c r="AG523" i="63"/>
  <c r="AG524" i="63"/>
  <c r="AG525" i="63"/>
  <c r="AG526" i="63"/>
  <c r="AG527" i="63"/>
  <c r="AG528" i="63"/>
  <c r="AG529" i="63"/>
  <c r="AG530" i="63"/>
  <c r="AG531" i="63"/>
  <c r="AG532" i="63"/>
  <c r="AG533" i="63"/>
  <c r="AG534" i="63"/>
  <c r="AG535" i="63"/>
  <c r="AG536" i="63"/>
  <c r="AG537" i="63"/>
  <c r="AG538" i="63"/>
  <c r="AG539" i="63"/>
  <c r="AG540" i="63"/>
  <c r="AG541" i="63"/>
  <c r="AG542" i="63"/>
  <c r="AG543" i="63"/>
  <c r="AG544" i="63"/>
  <c r="AG545" i="63"/>
  <c r="AG546" i="63"/>
  <c r="AG547" i="63"/>
  <c r="AG548" i="63"/>
  <c r="AG549" i="63"/>
  <c r="AG550" i="63"/>
  <c r="AG551" i="63"/>
  <c r="AG552" i="63"/>
  <c r="AG553" i="63"/>
  <c r="AG554" i="63"/>
  <c r="AG555" i="63"/>
  <c r="AG556" i="63"/>
  <c r="AG557" i="63"/>
  <c r="AG558" i="63"/>
  <c r="AG559" i="63"/>
  <c r="AG560" i="63"/>
  <c r="AG561" i="63"/>
  <c r="AG562" i="63"/>
  <c r="AG563" i="63"/>
  <c r="AG564" i="63"/>
  <c r="AG565" i="63"/>
  <c r="AG566" i="63"/>
  <c r="AG567" i="63"/>
  <c r="AG568" i="63"/>
  <c r="AG569" i="63"/>
  <c r="AG570" i="63"/>
  <c r="AG571" i="63"/>
  <c r="AG572" i="63"/>
  <c r="AG573" i="63"/>
  <c r="AG574" i="63"/>
  <c r="AG575" i="63"/>
  <c r="AG576" i="63"/>
  <c r="AG577" i="63"/>
  <c r="AG578" i="63"/>
  <c r="AG579" i="63"/>
  <c r="AG580" i="63"/>
  <c r="AG581" i="63"/>
  <c r="AG582" i="63"/>
  <c r="AG583" i="63"/>
  <c r="AG584" i="63"/>
  <c r="AG585" i="63"/>
  <c r="AG586" i="63"/>
  <c r="AG587" i="63"/>
  <c r="AG588" i="63"/>
  <c r="AG589" i="63"/>
  <c r="AG590" i="63"/>
  <c r="AG591" i="63"/>
  <c r="AG592" i="63"/>
  <c r="AG593" i="63"/>
  <c r="AG594" i="63"/>
  <c r="AG595" i="63"/>
  <c r="AG596" i="63"/>
  <c r="AG597" i="63"/>
  <c r="AG598" i="63"/>
  <c r="AG599" i="63"/>
  <c r="AG600" i="63"/>
  <c r="AG601" i="63"/>
  <c r="AG602" i="63"/>
  <c r="AG603" i="63"/>
  <c r="AG604" i="63"/>
  <c r="AG605" i="63"/>
  <c r="AG606" i="63"/>
  <c r="AG607" i="63"/>
  <c r="AG608" i="63"/>
  <c r="AG609" i="63"/>
  <c r="AG610" i="63"/>
  <c r="AG611" i="63"/>
  <c r="AG612" i="63"/>
  <c r="AG613" i="63"/>
  <c r="AG614" i="63"/>
  <c r="AG615" i="63"/>
  <c r="AG616" i="63"/>
  <c r="AG617" i="63"/>
  <c r="AG618" i="63"/>
  <c r="AG619" i="63"/>
  <c r="AG620" i="63"/>
  <c r="AG621" i="63"/>
  <c r="AG622" i="63"/>
  <c r="AG623" i="63"/>
  <c r="AG624" i="63"/>
  <c r="AG625" i="63"/>
  <c r="AG626" i="63"/>
  <c r="AG627" i="63"/>
  <c r="AG628" i="63"/>
  <c r="AG629" i="63"/>
  <c r="AG630" i="63"/>
  <c r="AG631" i="63"/>
  <c r="AG632" i="63"/>
  <c r="AG633" i="63"/>
  <c r="AG634" i="63"/>
  <c r="AG635" i="63"/>
  <c r="AG636" i="63"/>
  <c r="AG637" i="63"/>
  <c r="AG638" i="63"/>
  <c r="AG639" i="63"/>
  <c r="AG640" i="63"/>
  <c r="AG641" i="63"/>
  <c r="AG642" i="63"/>
  <c r="AG643" i="63"/>
  <c r="AG644" i="63"/>
  <c r="AG645" i="63"/>
  <c r="AG646" i="63"/>
  <c r="AG647" i="63"/>
  <c r="AG648" i="63"/>
  <c r="AG649" i="63"/>
  <c r="AG650" i="63"/>
  <c r="AG651" i="63"/>
  <c r="AG652" i="63"/>
  <c r="AG653" i="63"/>
  <c r="AG654" i="63"/>
  <c r="AG655" i="63"/>
  <c r="AG656" i="63"/>
  <c r="AG657" i="63"/>
  <c r="AG658" i="63"/>
  <c r="AG659" i="63"/>
  <c r="AG660" i="63"/>
  <c r="AG661" i="63"/>
  <c r="AG662" i="63"/>
  <c r="AG663" i="63"/>
  <c r="AG664" i="63"/>
  <c r="AG665" i="63"/>
  <c r="AG666" i="63"/>
  <c r="AG667" i="63"/>
  <c r="AG668" i="63"/>
  <c r="AG669" i="63"/>
  <c r="AG670" i="63"/>
  <c r="AG671" i="63"/>
  <c r="AG672" i="63"/>
  <c r="AG673" i="63"/>
  <c r="AG674" i="63"/>
  <c r="AG675" i="63"/>
  <c r="AG676" i="63"/>
  <c r="AG677" i="63"/>
  <c r="AG678" i="63"/>
  <c r="AG679" i="63"/>
  <c r="AG680" i="63"/>
  <c r="AG681" i="63"/>
  <c r="AG682" i="63"/>
  <c r="AG683" i="63"/>
  <c r="AG684" i="63"/>
  <c r="AG685" i="63"/>
  <c r="AG686" i="63"/>
  <c r="AG687" i="63"/>
  <c r="AG688" i="63"/>
  <c r="AG689" i="63"/>
  <c r="AG690" i="63"/>
  <c r="AG691" i="63"/>
  <c r="AG692" i="63"/>
  <c r="AG693" i="63"/>
  <c r="AG694" i="63"/>
  <c r="AG695" i="63"/>
  <c r="AG696" i="63"/>
  <c r="AG697" i="63"/>
  <c r="AG698" i="63"/>
  <c r="AG699" i="63"/>
  <c r="AG700" i="63"/>
  <c r="AG701" i="63"/>
  <c r="AG702" i="63"/>
  <c r="AG703" i="63"/>
  <c r="AG704" i="63"/>
  <c r="AG705" i="63"/>
  <c r="AG706" i="63"/>
  <c r="AG707" i="63"/>
  <c r="AG708" i="63"/>
  <c r="AG709" i="63"/>
  <c r="AG710" i="63"/>
  <c r="AG711" i="63"/>
  <c r="AG712" i="63"/>
  <c r="AG713" i="63"/>
  <c r="AG714" i="63"/>
  <c r="AG715" i="63"/>
  <c r="AG716" i="63"/>
  <c r="AG717" i="63"/>
  <c r="AG718" i="63"/>
  <c r="AG719" i="63"/>
  <c r="AG720" i="63"/>
  <c r="AG721" i="63"/>
  <c r="AG722" i="63"/>
  <c r="AG723" i="63"/>
  <c r="AG724" i="63"/>
  <c r="AG725" i="63"/>
  <c r="AG726" i="63"/>
  <c r="AG727" i="63"/>
  <c r="AG728" i="63"/>
  <c r="AG729" i="63"/>
  <c r="AG730" i="63"/>
  <c r="AG731" i="63"/>
  <c r="AG732" i="63"/>
  <c r="AG733" i="63"/>
  <c r="AG734" i="63"/>
  <c r="AG735" i="63"/>
  <c r="AG736" i="63"/>
  <c r="AG737" i="63"/>
  <c r="AG738" i="63"/>
  <c r="AG739" i="63"/>
  <c r="AG740" i="63"/>
  <c r="AG741" i="63"/>
  <c r="AG742" i="63"/>
  <c r="AG743" i="63"/>
  <c r="AG744" i="63"/>
  <c r="AG745" i="63"/>
  <c r="AG746" i="63"/>
  <c r="AG747" i="63"/>
  <c r="AG748" i="63"/>
  <c r="AG749" i="63"/>
  <c r="AG750" i="63"/>
  <c r="AG751" i="63"/>
  <c r="AG752" i="63"/>
  <c r="AG753" i="63"/>
  <c r="AG754" i="63"/>
  <c r="AG755" i="63"/>
  <c r="AG756" i="63"/>
  <c r="AG757" i="63"/>
  <c r="AG758" i="63"/>
  <c r="AG759" i="63"/>
  <c r="AG760" i="63"/>
  <c r="AG761" i="63"/>
  <c r="AG762" i="63"/>
  <c r="AG763" i="63"/>
  <c r="AG764" i="63"/>
  <c r="AG765" i="63"/>
  <c r="AG766" i="63"/>
  <c r="AG767" i="63"/>
  <c r="AG768" i="63"/>
  <c r="AG769" i="63"/>
  <c r="AG770" i="63"/>
  <c r="AG771" i="63"/>
  <c r="AG772" i="63"/>
  <c r="AG773" i="63"/>
  <c r="AG774" i="63"/>
  <c r="AG775" i="63"/>
  <c r="AG776" i="63"/>
  <c r="AG777" i="63"/>
  <c r="AG778" i="63"/>
  <c r="AG779" i="63"/>
  <c r="AG780" i="63"/>
  <c r="AG781" i="63"/>
  <c r="AG782" i="63"/>
  <c r="AG783" i="63"/>
  <c r="AG784" i="63"/>
  <c r="AG785" i="63"/>
  <c r="AG786" i="63"/>
  <c r="AG787" i="63"/>
  <c r="AG788" i="63"/>
  <c r="AG789" i="63"/>
  <c r="AG790" i="63"/>
  <c r="AG791" i="63"/>
  <c r="AG792" i="63"/>
  <c r="AG793" i="63"/>
  <c r="AG794" i="63"/>
  <c r="AG795" i="63"/>
  <c r="AG796" i="63"/>
  <c r="AG797" i="63"/>
  <c r="AG798" i="63"/>
  <c r="AG799" i="63"/>
  <c r="AG800" i="63"/>
  <c r="AG801" i="63"/>
  <c r="AG802" i="63"/>
  <c r="AG803" i="63"/>
  <c r="AG804" i="63"/>
  <c r="AG805" i="63"/>
  <c r="AG806" i="63"/>
  <c r="AG807" i="63"/>
  <c r="AG808" i="63"/>
  <c r="AG809" i="63"/>
  <c r="AG810" i="63"/>
  <c r="AG811" i="63"/>
  <c r="AG812" i="63"/>
  <c r="AG813" i="63"/>
  <c r="AG814" i="63"/>
  <c r="AG815" i="63"/>
  <c r="AG816" i="63"/>
  <c r="AG817" i="63"/>
  <c r="AG818" i="63"/>
  <c r="AG819" i="63"/>
  <c r="AG820" i="63"/>
  <c r="AG821" i="63"/>
  <c r="AG822" i="63"/>
  <c r="AG823" i="63"/>
  <c r="AG824" i="63"/>
  <c r="AG825" i="63"/>
  <c r="AG826" i="63"/>
  <c r="AG827" i="63"/>
  <c r="AG828" i="63"/>
  <c r="AG829" i="63"/>
  <c r="AG830" i="63"/>
  <c r="AG831" i="63"/>
  <c r="AG832" i="63"/>
  <c r="AG833" i="63"/>
  <c r="AG834" i="63"/>
  <c r="AG835" i="63"/>
  <c r="AG836" i="63"/>
  <c r="AG837" i="63"/>
  <c r="AG838" i="63"/>
  <c r="AG839" i="63"/>
  <c r="AG840" i="63"/>
  <c r="AG841" i="63"/>
  <c r="AG842" i="63"/>
  <c r="AG843" i="63"/>
  <c r="AG844" i="63"/>
  <c r="AG845" i="63"/>
  <c r="AG846" i="63"/>
  <c r="AG847" i="63"/>
  <c r="AG848" i="63"/>
  <c r="AG849" i="63"/>
  <c r="AG850" i="63"/>
  <c r="AG851" i="63"/>
  <c r="AG852" i="63"/>
  <c r="AG853" i="63"/>
  <c r="AG854" i="63"/>
  <c r="AG855" i="63"/>
  <c r="AG856" i="63"/>
  <c r="AG857" i="63"/>
  <c r="AG858" i="63"/>
  <c r="AG859" i="63"/>
  <c r="AG860" i="63"/>
  <c r="AG861" i="63"/>
  <c r="AG862" i="63"/>
  <c r="AG863" i="63"/>
  <c r="AG864" i="63"/>
  <c r="AG865" i="63"/>
  <c r="AG866" i="63"/>
  <c r="AG867" i="63"/>
  <c r="AG868" i="63"/>
  <c r="AG869" i="63"/>
  <c r="AG870" i="63"/>
  <c r="AG871" i="63"/>
  <c r="AG872" i="63"/>
  <c r="AG873" i="63"/>
  <c r="AG874" i="63"/>
  <c r="AG875" i="63"/>
  <c r="AG876" i="63"/>
  <c r="AG877" i="63"/>
  <c r="AG878" i="63"/>
  <c r="AG879" i="63"/>
  <c r="AG880" i="63"/>
  <c r="AG881" i="63"/>
  <c r="AG882" i="63"/>
  <c r="AG883" i="63"/>
  <c r="AG884" i="63"/>
  <c r="AG885" i="63"/>
  <c r="AG886" i="63"/>
  <c r="AG887" i="63"/>
  <c r="AG888" i="63"/>
  <c r="AG889" i="63"/>
  <c r="AG890" i="63"/>
  <c r="AG57" i="63"/>
  <c r="O18" i="66" l="1"/>
  <c r="D18" i="66"/>
  <c r="H46" i="66"/>
  <c r="K46" i="66"/>
  <c r="J46" i="66"/>
  <c r="L46" i="66"/>
  <c r="N16" i="53"/>
  <c r="D46" i="66" l="1"/>
  <c r="G19" i="66"/>
  <c r="I19" i="66" s="1"/>
  <c r="E18" i="66"/>
  <c r="F18" i="66"/>
  <c r="O46" i="66"/>
  <c r="T6" i="64"/>
  <c r="T7" i="64"/>
  <c r="T8" i="64"/>
  <c r="T9" i="64"/>
  <c r="T10" i="64"/>
  <c r="T11" i="64"/>
  <c r="T12" i="64"/>
  <c r="T13" i="64"/>
  <c r="T14" i="64"/>
  <c r="T15" i="64"/>
  <c r="T16" i="64"/>
  <c r="T17" i="64"/>
  <c r="T18" i="64"/>
  <c r="T19" i="64"/>
  <c r="T20" i="64"/>
  <c r="T21" i="64"/>
  <c r="T22" i="64"/>
  <c r="T23" i="64"/>
  <c r="T24" i="64"/>
  <c r="T25" i="64"/>
  <c r="T26" i="64"/>
  <c r="T27" i="64"/>
  <c r="T28" i="64"/>
  <c r="T29" i="64"/>
  <c r="T30" i="64"/>
  <c r="T31" i="64"/>
  <c r="T32" i="64"/>
  <c r="T33" i="64"/>
  <c r="T34" i="64"/>
  <c r="T35" i="64"/>
  <c r="T36" i="64"/>
  <c r="T37" i="64"/>
  <c r="T38" i="64"/>
  <c r="T39" i="64"/>
  <c r="T40" i="64"/>
  <c r="T41" i="64"/>
  <c r="T42" i="64"/>
  <c r="T43" i="64"/>
  <c r="T44" i="64"/>
  <c r="T45" i="64"/>
  <c r="T46" i="64"/>
  <c r="T47" i="64"/>
  <c r="T48" i="64"/>
  <c r="T49" i="64"/>
  <c r="T50" i="64"/>
  <c r="T51" i="64"/>
  <c r="T52" i="64"/>
  <c r="T53" i="64"/>
  <c r="T54" i="64"/>
  <c r="T55" i="64"/>
  <c r="T56" i="64"/>
  <c r="T57" i="64"/>
  <c r="T58" i="64"/>
  <c r="T59" i="64"/>
  <c r="T60" i="64"/>
  <c r="T61" i="64"/>
  <c r="T62" i="64"/>
  <c r="T63" i="64"/>
  <c r="T64" i="64"/>
  <c r="T65" i="64"/>
  <c r="T66" i="64"/>
  <c r="T67" i="64"/>
  <c r="T68" i="64"/>
  <c r="T69" i="64"/>
  <c r="T70" i="64"/>
  <c r="T71" i="64"/>
  <c r="T72" i="64"/>
  <c r="T73" i="64"/>
  <c r="T74" i="64"/>
  <c r="T75" i="64"/>
  <c r="T76" i="64"/>
  <c r="T77" i="64"/>
  <c r="T78" i="64"/>
  <c r="T79" i="64"/>
  <c r="T80" i="64"/>
  <c r="T81" i="64"/>
  <c r="T82" i="64"/>
  <c r="T83" i="64"/>
  <c r="T84" i="64"/>
  <c r="T85" i="64"/>
  <c r="T86" i="64"/>
  <c r="T87" i="64"/>
  <c r="T88" i="64"/>
  <c r="T89" i="64"/>
  <c r="T90" i="64"/>
  <c r="T91" i="64"/>
  <c r="T92" i="64"/>
  <c r="T93" i="64"/>
  <c r="T94" i="64"/>
  <c r="T95" i="64"/>
  <c r="T96" i="64"/>
  <c r="T97" i="64"/>
  <c r="T98" i="64"/>
  <c r="T99" i="64"/>
  <c r="T100" i="64"/>
  <c r="T101" i="64"/>
  <c r="T102" i="64"/>
  <c r="T103" i="64"/>
  <c r="T104" i="64"/>
  <c r="T105" i="64"/>
  <c r="T106" i="64"/>
  <c r="T107" i="64"/>
  <c r="T108" i="64"/>
  <c r="T109" i="64"/>
  <c r="T110" i="64"/>
  <c r="T111" i="64"/>
  <c r="T112" i="64"/>
  <c r="T113" i="64"/>
  <c r="T114" i="64"/>
  <c r="T115" i="64"/>
  <c r="T116" i="64"/>
  <c r="T117" i="64"/>
  <c r="T118" i="64"/>
  <c r="T119" i="64"/>
  <c r="T120" i="64"/>
  <c r="T121" i="64"/>
  <c r="T122" i="64"/>
  <c r="T123" i="64"/>
  <c r="T124" i="64"/>
  <c r="T125" i="64"/>
  <c r="T126" i="64"/>
  <c r="T127" i="64"/>
  <c r="T128" i="64"/>
  <c r="T129" i="64"/>
  <c r="T130" i="64"/>
  <c r="T131" i="64"/>
  <c r="T132" i="64"/>
  <c r="T133" i="64"/>
  <c r="T134" i="64"/>
  <c r="T135" i="64"/>
  <c r="T136" i="64"/>
  <c r="T137" i="64"/>
  <c r="T138" i="64"/>
  <c r="T139" i="64"/>
  <c r="T140" i="64"/>
  <c r="T141" i="64"/>
  <c r="T142" i="64"/>
  <c r="T143" i="64"/>
  <c r="T144" i="64"/>
  <c r="T145" i="64"/>
  <c r="T146" i="64"/>
  <c r="T147" i="64"/>
  <c r="T148" i="64"/>
  <c r="T149" i="64"/>
  <c r="T150" i="64"/>
  <c r="T151" i="64"/>
  <c r="T152" i="64"/>
  <c r="T153" i="64"/>
  <c r="T154" i="64"/>
  <c r="T155" i="64"/>
  <c r="T156" i="64"/>
  <c r="T157" i="64"/>
  <c r="T158" i="64"/>
  <c r="T159" i="64"/>
  <c r="T160" i="64"/>
  <c r="T161" i="64"/>
  <c r="T162" i="64"/>
  <c r="T163" i="64"/>
  <c r="T164" i="64"/>
  <c r="T165" i="64"/>
  <c r="T166" i="64"/>
  <c r="T167" i="64"/>
  <c r="T168" i="64"/>
  <c r="T169" i="64"/>
  <c r="T170" i="64"/>
  <c r="T171" i="64"/>
  <c r="T172" i="64"/>
  <c r="T173" i="64"/>
  <c r="T5" i="64"/>
  <c r="C6" i="64"/>
  <c r="C7" i="64"/>
  <c r="C8" i="64"/>
  <c r="C9" i="64"/>
  <c r="C10" i="64"/>
  <c r="E10" i="64" s="1"/>
  <c r="C11" i="64"/>
  <c r="E11" i="64" s="1"/>
  <c r="C12" i="64"/>
  <c r="C13" i="64"/>
  <c r="C14" i="64"/>
  <c r="C15" i="64"/>
  <c r="C16" i="64"/>
  <c r="C17" i="64"/>
  <c r="C18" i="64"/>
  <c r="E18" i="64" s="1"/>
  <c r="C19" i="64"/>
  <c r="C20" i="64"/>
  <c r="C21" i="64"/>
  <c r="C22" i="64"/>
  <c r="C23" i="64"/>
  <c r="C24" i="64"/>
  <c r="C25" i="64"/>
  <c r="C26" i="64"/>
  <c r="C27" i="64"/>
  <c r="C28" i="64"/>
  <c r="C29" i="64"/>
  <c r="C30" i="64"/>
  <c r="C31" i="64"/>
  <c r="C32" i="64"/>
  <c r="C33" i="64"/>
  <c r="C34" i="64"/>
  <c r="C35" i="64"/>
  <c r="C36" i="64"/>
  <c r="C37" i="64"/>
  <c r="C38" i="64"/>
  <c r="C39" i="64"/>
  <c r="C40" i="64"/>
  <c r="C41" i="64"/>
  <c r="C42" i="64"/>
  <c r="C43" i="64"/>
  <c r="C44" i="64"/>
  <c r="C45" i="64"/>
  <c r="C46" i="64"/>
  <c r="C47" i="64"/>
  <c r="C48" i="64"/>
  <c r="C49" i="64"/>
  <c r="C50" i="64"/>
  <c r="C51" i="64"/>
  <c r="C52" i="64"/>
  <c r="C53" i="64"/>
  <c r="C54" i="64"/>
  <c r="C55" i="64"/>
  <c r="C56" i="64"/>
  <c r="C57" i="64"/>
  <c r="C58" i="64"/>
  <c r="C59" i="64"/>
  <c r="C60" i="64"/>
  <c r="C61" i="64"/>
  <c r="C62" i="64"/>
  <c r="C63" i="64"/>
  <c r="C64" i="64"/>
  <c r="C65" i="64"/>
  <c r="C66" i="64"/>
  <c r="C67" i="64"/>
  <c r="C68" i="64"/>
  <c r="C69" i="64"/>
  <c r="C70" i="64"/>
  <c r="C71" i="64"/>
  <c r="C72" i="64"/>
  <c r="C73" i="64"/>
  <c r="C74" i="64"/>
  <c r="C75" i="64"/>
  <c r="C76" i="64"/>
  <c r="C77" i="64"/>
  <c r="C78" i="64"/>
  <c r="C79" i="64"/>
  <c r="C80" i="64"/>
  <c r="C81" i="64"/>
  <c r="C82" i="64"/>
  <c r="C83" i="64"/>
  <c r="C84" i="64"/>
  <c r="C85" i="64"/>
  <c r="C86" i="64"/>
  <c r="C87" i="64"/>
  <c r="C88" i="64"/>
  <c r="C89" i="64"/>
  <c r="C90" i="64"/>
  <c r="C91" i="64"/>
  <c r="C92" i="64"/>
  <c r="C93" i="64"/>
  <c r="C94" i="64"/>
  <c r="C95" i="64"/>
  <c r="C96" i="64"/>
  <c r="C97" i="64"/>
  <c r="C98" i="64"/>
  <c r="C99" i="64"/>
  <c r="C100" i="64"/>
  <c r="C101" i="64"/>
  <c r="C102" i="64"/>
  <c r="C103" i="64"/>
  <c r="C104" i="64"/>
  <c r="C105" i="64"/>
  <c r="C106" i="64"/>
  <c r="C107" i="64"/>
  <c r="C108" i="64"/>
  <c r="C109" i="64"/>
  <c r="C110" i="64"/>
  <c r="C111" i="64"/>
  <c r="C112" i="64"/>
  <c r="C113" i="64"/>
  <c r="C114" i="64"/>
  <c r="C115" i="64"/>
  <c r="C116" i="64"/>
  <c r="C117" i="64"/>
  <c r="C118" i="64"/>
  <c r="C119" i="64"/>
  <c r="C120" i="64"/>
  <c r="C121" i="64"/>
  <c r="C122" i="64"/>
  <c r="C123" i="64"/>
  <c r="C124" i="64"/>
  <c r="C125" i="64"/>
  <c r="C126" i="64"/>
  <c r="C127" i="64"/>
  <c r="C128" i="64"/>
  <c r="C129" i="64"/>
  <c r="C130" i="64"/>
  <c r="C131" i="64"/>
  <c r="C132" i="64"/>
  <c r="C133" i="64"/>
  <c r="C134" i="64"/>
  <c r="C135" i="64"/>
  <c r="C136" i="64"/>
  <c r="C137" i="64"/>
  <c r="C138" i="64"/>
  <c r="C139" i="64"/>
  <c r="C140" i="64"/>
  <c r="C141" i="64"/>
  <c r="C142" i="64"/>
  <c r="C143" i="64"/>
  <c r="C144" i="64"/>
  <c r="C145" i="64"/>
  <c r="C146" i="64"/>
  <c r="C147" i="64"/>
  <c r="C148" i="64"/>
  <c r="C149" i="64"/>
  <c r="C150" i="64"/>
  <c r="C151" i="64"/>
  <c r="C152" i="64"/>
  <c r="C153" i="64"/>
  <c r="C154" i="64"/>
  <c r="C155" i="64"/>
  <c r="C156" i="64"/>
  <c r="C157" i="64"/>
  <c r="C158" i="64"/>
  <c r="C159" i="64"/>
  <c r="C160" i="64"/>
  <c r="C161" i="64"/>
  <c r="C162" i="64"/>
  <c r="C163" i="64"/>
  <c r="C164" i="64"/>
  <c r="C165" i="64"/>
  <c r="C166" i="64"/>
  <c r="C167" i="64"/>
  <c r="C168" i="64"/>
  <c r="C169" i="64"/>
  <c r="C170" i="64"/>
  <c r="C171" i="64"/>
  <c r="C172" i="64"/>
  <c r="C173" i="64"/>
  <c r="C5" i="64"/>
  <c r="F46" i="66" l="1"/>
  <c r="M46" i="66"/>
  <c r="N46" i="66" s="1"/>
  <c r="E46" i="66"/>
  <c r="G47" i="66"/>
  <c r="I47" i="66" s="1"/>
  <c r="H19" i="66"/>
  <c r="K19" i="66" s="1"/>
  <c r="J19" i="66"/>
  <c r="L19" i="66"/>
  <c r="G5" i="64"/>
  <c r="G14" i="64"/>
  <c r="E14" i="64"/>
  <c r="G17" i="64"/>
  <c r="G13" i="64"/>
  <c r="E13" i="64"/>
  <c r="G9" i="64"/>
  <c r="E17" i="64"/>
  <c r="G18" i="64"/>
  <c r="G6" i="64"/>
  <c r="E6" i="64"/>
  <c r="G16" i="64"/>
  <c r="E16" i="64"/>
  <c r="G12" i="64"/>
  <c r="E12" i="64"/>
  <c r="G8" i="64"/>
  <c r="E8" i="64"/>
  <c r="E9" i="64"/>
  <c r="G10" i="64"/>
  <c r="G15" i="64"/>
  <c r="E15" i="64"/>
  <c r="G11" i="64"/>
  <c r="E7" i="64"/>
  <c r="G7" i="64"/>
  <c r="E5" i="64"/>
  <c r="E19" i="64"/>
  <c r="G19" i="64"/>
  <c r="Z5" i="64"/>
  <c r="Y5" i="64"/>
  <c r="X5" i="64"/>
  <c r="X18" i="64"/>
  <c r="Y18" i="64"/>
  <c r="Z18" i="64"/>
  <c r="X14" i="64"/>
  <c r="Y14" i="64"/>
  <c r="Z14" i="64"/>
  <c r="X10" i="64"/>
  <c r="Y10" i="64"/>
  <c r="Z10" i="64"/>
  <c r="X6" i="64"/>
  <c r="Y6" i="64"/>
  <c r="Z6" i="64"/>
  <c r="Y16" i="64"/>
  <c r="Z16" i="64"/>
  <c r="Y12" i="64"/>
  <c r="Z12" i="64"/>
  <c r="X12" i="64"/>
  <c r="Y8" i="64"/>
  <c r="Z8" i="64"/>
  <c r="X8" i="64"/>
  <c r="X16" i="64"/>
  <c r="Z17" i="64"/>
  <c r="X17" i="64"/>
  <c r="Z13" i="64"/>
  <c r="X13" i="64"/>
  <c r="Z9" i="64"/>
  <c r="X9" i="64"/>
  <c r="Y9" i="64"/>
  <c r="Y13" i="64"/>
  <c r="X19" i="64"/>
  <c r="Y19" i="64"/>
  <c r="Z19" i="64"/>
  <c r="X15" i="64"/>
  <c r="Y15" i="64"/>
  <c r="Z15" i="64"/>
  <c r="X11" i="64"/>
  <c r="Y11" i="64"/>
  <c r="Z11" i="64"/>
  <c r="X7" i="64"/>
  <c r="Y7" i="64"/>
  <c r="Z7" i="64"/>
  <c r="Y17" i="64"/>
  <c r="I15" i="53"/>
  <c r="O19" i="66" l="1"/>
  <c r="H47" i="66"/>
  <c r="K47" i="66"/>
  <c r="D19" i="66"/>
  <c r="J47" i="66"/>
  <c r="L47" i="66"/>
  <c r="G6" i="54"/>
  <c r="G7" i="54"/>
  <c r="G8" i="54"/>
  <c r="G9" i="54"/>
  <c r="G10" i="54"/>
  <c r="G11" i="54"/>
  <c r="G12" i="54"/>
  <c r="G13" i="54"/>
  <c r="G14" i="54"/>
  <c r="G15" i="54"/>
  <c r="G16" i="54"/>
  <c r="G17" i="54"/>
  <c r="G18" i="54"/>
  <c r="G19" i="54"/>
  <c r="G20" i="54"/>
  <c r="G21" i="54"/>
  <c r="G22" i="54"/>
  <c r="G23" i="54"/>
  <c r="G24" i="54"/>
  <c r="G25" i="54"/>
  <c r="G26" i="54"/>
  <c r="G27" i="54"/>
  <c r="G28" i="54"/>
  <c r="G29" i="54"/>
  <c r="G30" i="54"/>
  <c r="G31" i="54"/>
  <c r="G32" i="54"/>
  <c r="G33" i="54"/>
  <c r="G34" i="54"/>
  <c r="G35" i="54"/>
  <c r="G36" i="54"/>
  <c r="G37" i="54"/>
  <c r="G38" i="54"/>
  <c r="G39" i="54"/>
  <c r="G40" i="54"/>
  <c r="G41" i="54"/>
  <c r="G42" i="54"/>
  <c r="G5" i="54"/>
  <c r="E5" i="58"/>
  <c r="E6" i="58"/>
  <c r="E7" i="58"/>
  <c r="E8" i="58"/>
  <c r="E9" i="58"/>
  <c r="E10" i="58"/>
  <c r="E11" i="58"/>
  <c r="E12" i="58"/>
  <c r="E13" i="58"/>
  <c r="E14" i="58"/>
  <c r="E15" i="58"/>
  <c r="E16" i="58"/>
  <c r="E17" i="58"/>
  <c r="E18" i="58"/>
  <c r="E19" i="58"/>
  <c r="E20" i="58"/>
  <c r="E21" i="58"/>
  <c r="E22" i="58"/>
  <c r="E23" i="58"/>
  <c r="E24" i="58"/>
  <c r="E25" i="58"/>
  <c r="E26" i="58"/>
  <c r="E27" i="58"/>
  <c r="E28" i="58"/>
  <c r="E29" i="58"/>
  <c r="E30" i="58"/>
  <c r="E31" i="58"/>
  <c r="E32" i="58"/>
  <c r="E33" i="58"/>
  <c r="E34" i="58"/>
  <c r="E35" i="58"/>
  <c r="E36" i="58"/>
  <c r="E37" i="58"/>
  <c r="E38" i="58"/>
  <c r="E39" i="58"/>
  <c r="E4" i="58"/>
  <c r="O47" i="66" l="1"/>
  <c r="E19" i="66"/>
  <c r="D47" i="66"/>
  <c r="F19" i="66"/>
  <c r="G20" i="66"/>
  <c r="I20" i="66" s="1"/>
  <c r="E42" i="54"/>
  <c r="E20" i="54"/>
  <c r="L20" i="66" l="1"/>
  <c r="F47" i="66"/>
  <c r="M47" i="66"/>
  <c r="N47" i="66" s="1"/>
  <c r="E47" i="66"/>
  <c r="G48" i="66"/>
  <c r="H20" i="66"/>
  <c r="K20" i="66"/>
  <c r="J20" i="66"/>
  <c r="AC58" i="63"/>
  <c r="AE58" i="63"/>
  <c r="AF58" i="63"/>
  <c r="AC59" i="63"/>
  <c r="AE59" i="63"/>
  <c r="AF59" i="63"/>
  <c r="AC60" i="63"/>
  <c r="AE60" i="63"/>
  <c r="AF60" i="63"/>
  <c r="AC61" i="63"/>
  <c r="AE61" i="63"/>
  <c r="AF61" i="63"/>
  <c r="AC62" i="63"/>
  <c r="AE62" i="63"/>
  <c r="AF62" i="63"/>
  <c r="AC63" i="63"/>
  <c r="AE63" i="63"/>
  <c r="AF63" i="63"/>
  <c r="AC64" i="63"/>
  <c r="AE64" i="63"/>
  <c r="AF64" i="63"/>
  <c r="AC65" i="63"/>
  <c r="AE65" i="63"/>
  <c r="AF65" i="63"/>
  <c r="AC66" i="63"/>
  <c r="AE66" i="63"/>
  <c r="AF66" i="63"/>
  <c r="AC67" i="63"/>
  <c r="AE67" i="63"/>
  <c r="AF67" i="63"/>
  <c r="AC68" i="63"/>
  <c r="AE68" i="63"/>
  <c r="AF68" i="63"/>
  <c r="AC69" i="63"/>
  <c r="AE69" i="63"/>
  <c r="AF69" i="63"/>
  <c r="AC70" i="63"/>
  <c r="AE70" i="63"/>
  <c r="AF70" i="63"/>
  <c r="AC71" i="63"/>
  <c r="AE71" i="63"/>
  <c r="AF71" i="63"/>
  <c r="AC72" i="63"/>
  <c r="AE72" i="63"/>
  <c r="AF72" i="63"/>
  <c r="AC73" i="63"/>
  <c r="AE73" i="63"/>
  <c r="AF73" i="63"/>
  <c r="AC74" i="63"/>
  <c r="AE74" i="63"/>
  <c r="AF74" i="63"/>
  <c r="AC75" i="63"/>
  <c r="AE75" i="63"/>
  <c r="AF75" i="63"/>
  <c r="AC76" i="63"/>
  <c r="AE76" i="63"/>
  <c r="AF76" i="63"/>
  <c r="AC77" i="63"/>
  <c r="AE77" i="63"/>
  <c r="AF77" i="63"/>
  <c r="AC78" i="63"/>
  <c r="AE78" i="63"/>
  <c r="AF78" i="63"/>
  <c r="AC79" i="63"/>
  <c r="AE79" i="63"/>
  <c r="AF79" i="63"/>
  <c r="AC80" i="63"/>
  <c r="AE80" i="63"/>
  <c r="AF80" i="63"/>
  <c r="AC81" i="63"/>
  <c r="AE81" i="63"/>
  <c r="AF81" i="63"/>
  <c r="AC82" i="63"/>
  <c r="AE82" i="63"/>
  <c r="AF82" i="63"/>
  <c r="AC83" i="63"/>
  <c r="AE83" i="63"/>
  <c r="AF83" i="63"/>
  <c r="AC84" i="63"/>
  <c r="AE84" i="63"/>
  <c r="AF84" i="63"/>
  <c r="AC85" i="63"/>
  <c r="AE85" i="63"/>
  <c r="AF85" i="63"/>
  <c r="AC86" i="63"/>
  <c r="AE86" i="63"/>
  <c r="AF86" i="63"/>
  <c r="AC87" i="63"/>
  <c r="AE87" i="63"/>
  <c r="AF87" i="63"/>
  <c r="AC88" i="63"/>
  <c r="AE88" i="63"/>
  <c r="AF88" i="63"/>
  <c r="AC89" i="63"/>
  <c r="AE89" i="63"/>
  <c r="AF89" i="63"/>
  <c r="AC90" i="63"/>
  <c r="AE90" i="63"/>
  <c r="AF90" i="63"/>
  <c r="AC91" i="63"/>
  <c r="AE91" i="63"/>
  <c r="AF91" i="63"/>
  <c r="AC92" i="63"/>
  <c r="AE92" i="63"/>
  <c r="AF92" i="63"/>
  <c r="AC93" i="63"/>
  <c r="AE93" i="63"/>
  <c r="AF93" i="63"/>
  <c r="AC94" i="63"/>
  <c r="AE94" i="63"/>
  <c r="AF94" i="63"/>
  <c r="AC95" i="63"/>
  <c r="AE95" i="63"/>
  <c r="AF95" i="63"/>
  <c r="AC96" i="63"/>
  <c r="AE96" i="63"/>
  <c r="AF96" i="63"/>
  <c r="AC97" i="63"/>
  <c r="AE97" i="63"/>
  <c r="AF97" i="63"/>
  <c r="AC98" i="63"/>
  <c r="AE98" i="63"/>
  <c r="AF98" i="63"/>
  <c r="AC99" i="63"/>
  <c r="AE99" i="63"/>
  <c r="AF99" i="63"/>
  <c r="AC100" i="63"/>
  <c r="AE100" i="63"/>
  <c r="AF100" i="63"/>
  <c r="AC101" i="63"/>
  <c r="AE101" i="63"/>
  <c r="AF101" i="63"/>
  <c r="AC102" i="63"/>
  <c r="AE102" i="63"/>
  <c r="AF102" i="63"/>
  <c r="AC103" i="63"/>
  <c r="AE103" i="63"/>
  <c r="AF103" i="63"/>
  <c r="AC104" i="63"/>
  <c r="AE104" i="63"/>
  <c r="AF104" i="63"/>
  <c r="AC105" i="63"/>
  <c r="AE105" i="63"/>
  <c r="AF105" i="63"/>
  <c r="AC106" i="63"/>
  <c r="AE106" i="63"/>
  <c r="AF106" i="63"/>
  <c r="AC107" i="63"/>
  <c r="AE107" i="63"/>
  <c r="AF107" i="63"/>
  <c r="AC108" i="63"/>
  <c r="AE108" i="63"/>
  <c r="AF108" i="63"/>
  <c r="AC109" i="63"/>
  <c r="AE109" i="63"/>
  <c r="AF109" i="63"/>
  <c r="AC110" i="63"/>
  <c r="AE110" i="63"/>
  <c r="AF110" i="63"/>
  <c r="AC111" i="63"/>
  <c r="AE111" i="63"/>
  <c r="AF111" i="63"/>
  <c r="AC112" i="63"/>
  <c r="AE112" i="63"/>
  <c r="AF112" i="63"/>
  <c r="AC113" i="63"/>
  <c r="AE113" i="63"/>
  <c r="AF113" i="63"/>
  <c r="AC114" i="63"/>
  <c r="AE114" i="63"/>
  <c r="AF114" i="63"/>
  <c r="AC115" i="63"/>
  <c r="AE115" i="63"/>
  <c r="AF115" i="63"/>
  <c r="AC116" i="63"/>
  <c r="AE116" i="63"/>
  <c r="AF116" i="63"/>
  <c r="AC117" i="63"/>
  <c r="AE117" i="63"/>
  <c r="AC118" i="63"/>
  <c r="AE118" i="63"/>
  <c r="AC119" i="63"/>
  <c r="AE119" i="63"/>
  <c r="AC120" i="63"/>
  <c r="AE120" i="63"/>
  <c r="AC121" i="63"/>
  <c r="AE121" i="63"/>
  <c r="AC122" i="63"/>
  <c r="AE122" i="63"/>
  <c r="AC123" i="63"/>
  <c r="AE123" i="63"/>
  <c r="AC124" i="63"/>
  <c r="AE124" i="63"/>
  <c r="AC125" i="63"/>
  <c r="AE125" i="63"/>
  <c r="AC126" i="63"/>
  <c r="AE126" i="63"/>
  <c r="AC127" i="63"/>
  <c r="AE127" i="63"/>
  <c r="AC128" i="63"/>
  <c r="AE128" i="63"/>
  <c r="AC129" i="63"/>
  <c r="AE129" i="63"/>
  <c r="AC130" i="63"/>
  <c r="AE130" i="63"/>
  <c r="AC131" i="63"/>
  <c r="AE131" i="63"/>
  <c r="AC132" i="63"/>
  <c r="AE132" i="63"/>
  <c r="AF132" i="63"/>
  <c r="AC133" i="63"/>
  <c r="AE133" i="63"/>
  <c r="AF133" i="63"/>
  <c r="AC134" i="63"/>
  <c r="AE134" i="63"/>
  <c r="AF134" i="63"/>
  <c r="AC135" i="63"/>
  <c r="AE135" i="63"/>
  <c r="AF135" i="63"/>
  <c r="AC136" i="63"/>
  <c r="AE136" i="63"/>
  <c r="AF136" i="63"/>
  <c r="AC137" i="63"/>
  <c r="AE137" i="63"/>
  <c r="AF137" i="63"/>
  <c r="AC138" i="63"/>
  <c r="AE138" i="63"/>
  <c r="AF138" i="63"/>
  <c r="AC139" i="63"/>
  <c r="AE139" i="63"/>
  <c r="AF139" i="63"/>
  <c r="AC140" i="63"/>
  <c r="AE140" i="63"/>
  <c r="AF140" i="63"/>
  <c r="AC141" i="63"/>
  <c r="AE141" i="63"/>
  <c r="AF141" i="63"/>
  <c r="AC142" i="63"/>
  <c r="AE142" i="63"/>
  <c r="AF142" i="63"/>
  <c r="AC143" i="63"/>
  <c r="AE143" i="63"/>
  <c r="AF143" i="63"/>
  <c r="AC144" i="63"/>
  <c r="AE144" i="63"/>
  <c r="AF144" i="63"/>
  <c r="AC145" i="63"/>
  <c r="AE145" i="63"/>
  <c r="AF145" i="63"/>
  <c r="AC146" i="63"/>
  <c r="AE146" i="63"/>
  <c r="AF146" i="63"/>
  <c r="AC147" i="63"/>
  <c r="AE147" i="63"/>
  <c r="AC148" i="63"/>
  <c r="AE148" i="63"/>
  <c r="AC149" i="63"/>
  <c r="AE149" i="63"/>
  <c r="AC150" i="63"/>
  <c r="AE150" i="63"/>
  <c r="AC151" i="63"/>
  <c r="AE151" i="63"/>
  <c r="AC152" i="63"/>
  <c r="AE152" i="63"/>
  <c r="AC153" i="63"/>
  <c r="AE153" i="63"/>
  <c r="AC154" i="63"/>
  <c r="AE154" i="63"/>
  <c r="AC155" i="63"/>
  <c r="AE155" i="63"/>
  <c r="AC156" i="63"/>
  <c r="AE156" i="63"/>
  <c r="AC157" i="63"/>
  <c r="AE157" i="63"/>
  <c r="AC158" i="63"/>
  <c r="AE158" i="63"/>
  <c r="AC159" i="63"/>
  <c r="AE159" i="63"/>
  <c r="AC160" i="63"/>
  <c r="AE160" i="63"/>
  <c r="AC161" i="63"/>
  <c r="AE161" i="63"/>
  <c r="AC162" i="63"/>
  <c r="AE162" i="63"/>
  <c r="AF162" i="63"/>
  <c r="AC163" i="63"/>
  <c r="AE163" i="63"/>
  <c r="AF163" i="63"/>
  <c r="AC164" i="63"/>
  <c r="AE164" i="63"/>
  <c r="AF164" i="63"/>
  <c r="AC165" i="63"/>
  <c r="AE165" i="63"/>
  <c r="AF165" i="63"/>
  <c r="AC166" i="63"/>
  <c r="AE166" i="63"/>
  <c r="AF166" i="63"/>
  <c r="AC167" i="63"/>
  <c r="AE167" i="63"/>
  <c r="AF167" i="63"/>
  <c r="AC168" i="63"/>
  <c r="AE168" i="63"/>
  <c r="AF168" i="63"/>
  <c r="AC169" i="63"/>
  <c r="AE169" i="63"/>
  <c r="AF169" i="63"/>
  <c r="AC170" i="63"/>
  <c r="AE170" i="63"/>
  <c r="AF170" i="63"/>
  <c r="AC171" i="63"/>
  <c r="AE171" i="63"/>
  <c r="AF171" i="63"/>
  <c r="AC172" i="63"/>
  <c r="AE172" i="63"/>
  <c r="AF172" i="63"/>
  <c r="AC173" i="63"/>
  <c r="AE173" i="63"/>
  <c r="AF173" i="63"/>
  <c r="AC174" i="63"/>
  <c r="AE174" i="63"/>
  <c r="AF174" i="63"/>
  <c r="AC175" i="63"/>
  <c r="AE175" i="63"/>
  <c r="AF175" i="63"/>
  <c r="AC176" i="63"/>
  <c r="AE176" i="63"/>
  <c r="AF176" i="63"/>
  <c r="AC177" i="63"/>
  <c r="AE177" i="63"/>
  <c r="AF177" i="63"/>
  <c r="AC178" i="63"/>
  <c r="AE178" i="63"/>
  <c r="AF178" i="63"/>
  <c r="AC179" i="63"/>
  <c r="AE179" i="63"/>
  <c r="AF179" i="63"/>
  <c r="AC180" i="63"/>
  <c r="AE180" i="63"/>
  <c r="AF180" i="63"/>
  <c r="AC181" i="63"/>
  <c r="AE181" i="63"/>
  <c r="AF181" i="63"/>
  <c r="AC182" i="63"/>
  <c r="AE182" i="63"/>
  <c r="AF182" i="63"/>
  <c r="AC183" i="63"/>
  <c r="AE183" i="63"/>
  <c r="AF183" i="63"/>
  <c r="AC184" i="63"/>
  <c r="AE184" i="63"/>
  <c r="AF184" i="63"/>
  <c r="AC185" i="63"/>
  <c r="AE185" i="63"/>
  <c r="AF185" i="63"/>
  <c r="AC186" i="63"/>
  <c r="AE186" i="63"/>
  <c r="AF186" i="63"/>
  <c r="AC187" i="63"/>
  <c r="AE187" i="63"/>
  <c r="AF187" i="63"/>
  <c r="AC188" i="63"/>
  <c r="AE188" i="63"/>
  <c r="AF188" i="63"/>
  <c r="AC189" i="63"/>
  <c r="AE189" i="63"/>
  <c r="AF189" i="63"/>
  <c r="AC190" i="63"/>
  <c r="AE190" i="63"/>
  <c r="AF190" i="63"/>
  <c r="AC191" i="63"/>
  <c r="AE191" i="63"/>
  <c r="AF191" i="63"/>
  <c r="AC192" i="63"/>
  <c r="AE192" i="63"/>
  <c r="AF192" i="63"/>
  <c r="AC193" i="63"/>
  <c r="AE193" i="63"/>
  <c r="AF193" i="63"/>
  <c r="AC194" i="63"/>
  <c r="AE194" i="63"/>
  <c r="AF194" i="63"/>
  <c r="AC195" i="63"/>
  <c r="AE195" i="63"/>
  <c r="AF195" i="63"/>
  <c r="AC196" i="63"/>
  <c r="AE196" i="63"/>
  <c r="AF196" i="63"/>
  <c r="AC197" i="63"/>
  <c r="AE197" i="63"/>
  <c r="AF197" i="63"/>
  <c r="AC198" i="63"/>
  <c r="AE198" i="63"/>
  <c r="AF198" i="63"/>
  <c r="AC199" i="63"/>
  <c r="AE199" i="63"/>
  <c r="AF199" i="63"/>
  <c r="AC200" i="63"/>
  <c r="AE200" i="63"/>
  <c r="AF200" i="63"/>
  <c r="AC201" i="63"/>
  <c r="AE201" i="63"/>
  <c r="AF201" i="63"/>
  <c r="AC202" i="63"/>
  <c r="AE202" i="63"/>
  <c r="AF202" i="63"/>
  <c r="AC203" i="63"/>
  <c r="AE203" i="63"/>
  <c r="AF203" i="63"/>
  <c r="AC204" i="63"/>
  <c r="AE204" i="63"/>
  <c r="AF204" i="63"/>
  <c r="AC205" i="63"/>
  <c r="AE205" i="63"/>
  <c r="AF205" i="63"/>
  <c r="AC206" i="63"/>
  <c r="AE206" i="63"/>
  <c r="AF206" i="63"/>
  <c r="AC207" i="63"/>
  <c r="AE207" i="63"/>
  <c r="AF207" i="63"/>
  <c r="AC208" i="63"/>
  <c r="AE208" i="63"/>
  <c r="AF208" i="63"/>
  <c r="AC209" i="63"/>
  <c r="AE209" i="63"/>
  <c r="AF209" i="63"/>
  <c r="AC210" i="63"/>
  <c r="AE210" i="63"/>
  <c r="AF210" i="63"/>
  <c r="AC211" i="63"/>
  <c r="AE211" i="63"/>
  <c r="AF211" i="63"/>
  <c r="AC212" i="63"/>
  <c r="AE212" i="63"/>
  <c r="AF212" i="63"/>
  <c r="AC213" i="63"/>
  <c r="AE213" i="63"/>
  <c r="AF213" i="63"/>
  <c r="AC214" i="63"/>
  <c r="AE214" i="63"/>
  <c r="AF214" i="63"/>
  <c r="AC215" i="63"/>
  <c r="AE215" i="63"/>
  <c r="AF215" i="63"/>
  <c r="AC216" i="63"/>
  <c r="AE216" i="63"/>
  <c r="AF216" i="63"/>
  <c r="AC217" i="63"/>
  <c r="AE217" i="63"/>
  <c r="AF217" i="63"/>
  <c r="AC218" i="63"/>
  <c r="AE218" i="63"/>
  <c r="AF218" i="63"/>
  <c r="AC219" i="63"/>
  <c r="AE219" i="63"/>
  <c r="AF219" i="63"/>
  <c r="AC220" i="63"/>
  <c r="AE220" i="63"/>
  <c r="AF220" i="63"/>
  <c r="AC221" i="63"/>
  <c r="AE221" i="63"/>
  <c r="AF221" i="63"/>
  <c r="AC222" i="63"/>
  <c r="AE222" i="63"/>
  <c r="AF222" i="63"/>
  <c r="AC223" i="63"/>
  <c r="AE223" i="63"/>
  <c r="AF223" i="63"/>
  <c r="AC224" i="63"/>
  <c r="AE224" i="63"/>
  <c r="AF224" i="63"/>
  <c r="AC225" i="63"/>
  <c r="AE225" i="63"/>
  <c r="AF225" i="63"/>
  <c r="AC226" i="63"/>
  <c r="AE226" i="63"/>
  <c r="AF226" i="63"/>
  <c r="AC227" i="63"/>
  <c r="AE227" i="63"/>
  <c r="AF227" i="63"/>
  <c r="AC228" i="63"/>
  <c r="AE228" i="63"/>
  <c r="AF228" i="63"/>
  <c r="AC229" i="63"/>
  <c r="AE229" i="63"/>
  <c r="AF229" i="63"/>
  <c r="AC230" i="63"/>
  <c r="AE230" i="63"/>
  <c r="AF230" i="63"/>
  <c r="AC231" i="63"/>
  <c r="AE231" i="63"/>
  <c r="AF231" i="63"/>
  <c r="AC232" i="63"/>
  <c r="AE232" i="63"/>
  <c r="AF232" i="63"/>
  <c r="AC233" i="63"/>
  <c r="AE233" i="63"/>
  <c r="AF233" i="63"/>
  <c r="AC234" i="63"/>
  <c r="AE234" i="63"/>
  <c r="AF234" i="63"/>
  <c r="AC235" i="63"/>
  <c r="AE235" i="63"/>
  <c r="AF235" i="63"/>
  <c r="AC236" i="63"/>
  <c r="AE236" i="63"/>
  <c r="AF236" i="63"/>
  <c r="AC237" i="63"/>
  <c r="AE237" i="63"/>
  <c r="AF237" i="63"/>
  <c r="AC238" i="63"/>
  <c r="AE238" i="63"/>
  <c r="AF238" i="63"/>
  <c r="AC239" i="63"/>
  <c r="AE239" i="63"/>
  <c r="AF239" i="63"/>
  <c r="AC240" i="63"/>
  <c r="AE240" i="63"/>
  <c r="AF240" i="63"/>
  <c r="AC241" i="63"/>
  <c r="AE241" i="63"/>
  <c r="AF241" i="63"/>
  <c r="AC242" i="63"/>
  <c r="AE242" i="63"/>
  <c r="AF242" i="63"/>
  <c r="AC243" i="63"/>
  <c r="AE243" i="63"/>
  <c r="AF243" i="63"/>
  <c r="AC244" i="63"/>
  <c r="AE244" i="63"/>
  <c r="AF244" i="63"/>
  <c r="AC245" i="63"/>
  <c r="AE245" i="63"/>
  <c r="AF245" i="63"/>
  <c r="AC246" i="63"/>
  <c r="AE246" i="63"/>
  <c r="AF246" i="63"/>
  <c r="AC247" i="63"/>
  <c r="AE247" i="63"/>
  <c r="AF247" i="63"/>
  <c r="AC248" i="63"/>
  <c r="AE248" i="63"/>
  <c r="AF248" i="63"/>
  <c r="AC249" i="63"/>
  <c r="AE249" i="63"/>
  <c r="AF249" i="63"/>
  <c r="AC250" i="63"/>
  <c r="AE250" i="63"/>
  <c r="AF250" i="63"/>
  <c r="AC251" i="63"/>
  <c r="AE251" i="63"/>
  <c r="AF251" i="63"/>
  <c r="AC252" i="63"/>
  <c r="AE252" i="63"/>
  <c r="AF252" i="63"/>
  <c r="AC253" i="63"/>
  <c r="AE253" i="63"/>
  <c r="AF253" i="63"/>
  <c r="AC254" i="63"/>
  <c r="AE254" i="63"/>
  <c r="AF254" i="63"/>
  <c r="AC255" i="63"/>
  <c r="AE255" i="63"/>
  <c r="AF255" i="63"/>
  <c r="AC256" i="63"/>
  <c r="AE256" i="63"/>
  <c r="AF256" i="63"/>
  <c r="AC257" i="63"/>
  <c r="AE257" i="63"/>
  <c r="AF257" i="63"/>
  <c r="AC258" i="63"/>
  <c r="AE258" i="63"/>
  <c r="AF258" i="63"/>
  <c r="AC259" i="63"/>
  <c r="AE259" i="63"/>
  <c r="AF259" i="63"/>
  <c r="AC260" i="63"/>
  <c r="AE260" i="63"/>
  <c r="AF260" i="63"/>
  <c r="AC261" i="63"/>
  <c r="AE261" i="63"/>
  <c r="AF261" i="63"/>
  <c r="AC262" i="63"/>
  <c r="AE262" i="63"/>
  <c r="AF262" i="63"/>
  <c r="AC263" i="63"/>
  <c r="AE263" i="63"/>
  <c r="AF263" i="63"/>
  <c r="AC264" i="63"/>
  <c r="AE264" i="63"/>
  <c r="AF264" i="63"/>
  <c r="AC265" i="63"/>
  <c r="AE265" i="63"/>
  <c r="AF265" i="63"/>
  <c r="AC266" i="63"/>
  <c r="AE266" i="63"/>
  <c r="AF266" i="63"/>
  <c r="AC267" i="63"/>
  <c r="AE267" i="63"/>
  <c r="AF267" i="63"/>
  <c r="AC268" i="63"/>
  <c r="AE268" i="63"/>
  <c r="AF268" i="63"/>
  <c r="AC269" i="63"/>
  <c r="AE269" i="63"/>
  <c r="AF269" i="63"/>
  <c r="AC270" i="63"/>
  <c r="AE270" i="63"/>
  <c r="AF270" i="63"/>
  <c r="AC271" i="63"/>
  <c r="AE271" i="63"/>
  <c r="AF271" i="63"/>
  <c r="AC272" i="63"/>
  <c r="AE272" i="63"/>
  <c r="AF272" i="63"/>
  <c r="AC273" i="63"/>
  <c r="AE273" i="63"/>
  <c r="AF273" i="63"/>
  <c r="AC274" i="63"/>
  <c r="AE274" i="63"/>
  <c r="AF274" i="63"/>
  <c r="AC275" i="63"/>
  <c r="AE275" i="63"/>
  <c r="AF275" i="63"/>
  <c r="AC276" i="63"/>
  <c r="AE276" i="63"/>
  <c r="AF276" i="63"/>
  <c r="AC277" i="63"/>
  <c r="AE277" i="63"/>
  <c r="AF277" i="63"/>
  <c r="AC278" i="63"/>
  <c r="AE278" i="63"/>
  <c r="AF278" i="63"/>
  <c r="AC279" i="63"/>
  <c r="AE279" i="63"/>
  <c r="AF279" i="63"/>
  <c r="AC280" i="63"/>
  <c r="AE280" i="63"/>
  <c r="AF280" i="63"/>
  <c r="AC281" i="63"/>
  <c r="AE281" i="63"/>
  <c r="AF281" i="63"/>
  <c r="AC282" i="63"/>
  <c r="AD282" i="63"/>
  <c r="AE282" i="63"/>
  <c r="AF282" i="63"/>
  <c r="AC283" i="63"/>
  <c r="AD283" i="63"/>
  <c r="AE283" i="63"/>
  <c r="AF283" i="63"/>
  <c r="AC284" i="63"/>
  <c r="AD284" i="63"/>
  <c r="AE284" i="63"/>
  <c r="AF284" i="63"/>
  <c r="AC285" i="63"/>
  <c r="AD285" i="63"/>
  <c r="AE285" i="63"/>
  <c r="AF285" i="63"/>
  <c r="AC286" i="63"/>
  <c r="AD286" i="63"/>
  <c r="AE286" i="63"/>
  <c r="AF286" i="63"/>
  <c r="AC287" i="63"/>
  <c r="AD287" i="63"/>
  <c r="AE287" i="63"/>
  <c r="AF287" i="63"/>
  <c r="AC288" i="63"/>
  <c r="AD288" i="63"/>
  <c r="AE288" i="63"/>
  <c r="AF288" i="63"/>
  <c r="AC289" i="63"/>
  <c r="AD289" i="63"/>
  <c r="AE289" i="63"/>
  <c r="AF289" i="63"/>
  <c r="AC290" i="63"/>
  <c r="AD290" i="63"/>
  <c r="AE290" i="63"/>
  <c r="AF290" i="63"/>
  <c r="AC291" i="63"/>
  <c r="AD291" i="63"/>
  <c r="AE291" i="63"/>
  <c r="AF291" i="63"/>
  <c r="AC292" i="63"/>
  <c r="AD292" i="63"/>
  <c r="AE292" i="63"/>
  <c r="AF292" i="63"/>
  <c r="AC293" i="63"/>
  <c r="AD293" i="63"/>
  <c r="AE293" i="63"/>
  <c r="AF293" i="63"/>
  <c r="AC294" i="63"/>
  <c r="AD294" i="63"/>
  <c r="AE294" i="63"/>
  <c r="AF294" i="63"/>
  <c r="AC295" i="63"/>
  <c r="AD295" i="63"/>
  <c r="AE295" i="63"/>
  <c r="AF295" i="63"/>
  <c r="AC296" i="63"/>
  <c r="AD296" i="63"/>
  <c r="AE296" i="63"/>
  <c r="AF296" i="63"/>
  <c r="AC297" i="63"/>
  <c r="AD297" i="63"/>
  <c r="AE297" i="63"/>
  <c r="AF297" i="63"/>
  <c r="AC298" i="63"/>
  <c r="AD298" i="63"/>
  <c r="AE298" i="63"/>
  <c r="AF298" i="63"/>
  <c r="AC299" i="63"/>
  <c r="AD299" i="63"/>
  <c r="AE299" i="63"/>
  <c r="AF299" i="63"/>
  <c r="AC300" i="63"/>
  <c r="AD300" i="63"/>
  <c r="AE300" i="63"/>
  <c r="AF300" i="63"/>
  <c r="AC301" i="63"/>
  <c r="AD301" i="63"/>
  <c r="AE301" i="63"/>
  <c r="AF301" i="63"/>
  <c r="AC302" i="63"/>
  <c r="AD302" i="63"/>
  <c r="AE302" i="63"/>
  <c r="AF302" i="63"/>
  <c r="AC303" i="63"/>
  <c r="AE303" i="63"/>
  <c r="AF303" i="63"/>
  <c r="AC304" i="63"/>
  <c r="AE304" i="63"/>
  <c r="AF304" i="63"/>
  <c r="AC305" i="63"/>
  <c r="AE305" i="63"/>
  <c r="AF305" i="63"/>
  <c r="AC306" i="63"/>
  <c r="AE306" i="63"/>
  <c r="AF306" i="63"/>
  <c r="AC307" i="63"/>
  <c r="AE307" i="63"/>
  <c r="AF307" i="63"/>
  <c r="AC308" i="63"/>
  <c r="AE308" i="63"/>
  <c r="AF308" i="63"/>
  <c r="AC309" i="63"/>
  <c r="AE309" i="63"/>
  <c r="AF309" i="63"/>
  <c r="AC310" i="63"/>
  <c r="AE310" i="63"/>
  <c r="AF310" i="63"/>
  <c r="AC311" i="63"/>
  <c r="AE311" i="63"/>
  <c r="AF311" i="63"/>
  <c r="AC312" i="63"/>
  <c r="AE312" i="63"/>
  <c r="AF312" i="63"/>
  <c r="AC313" i="63"/>
  <c r="AE313" i="63"/>
  <c r="AF313" i="63"/>
  <c r="AC314" i="63"/>
  <c r="AE314" i="63"/>
  <c r="AF314" i="63"/>
  <c r="AC315" i="63"/>
  <c r="AE315" i="63"/>
  <c r="AF315" i="63"/>
  <c r="AC316" i="63"/>
  <c r="AE316" i="63"/>
  <c r="AF316" i="63"/>
  <c r="AC317" i="63"/>
  <c r="AE317" i="63"/>
  <c r="AF317" i="63"/>
  <c r="AC318" i="63"/>
  <c r="AE318" i="63"/>
  <c r="AF318" i="63"/>
  <c r="AC319" i="63"/>
  <c r="AE319" i="63"/>
  <c r="AF319" i="63"/>
  <c r="AC320" i="63"/>
  <c r="AE320" i="63"/>
  <c r="AF320" i="63"/>
  <c r="AC321" i="63"/>
  <c r="AE321" i="63"/>
  <c r="AF321" i="63"/>
  <c r="AC322" i="63"/>
  <c r="AE322" i="63"/>
  <c r="AF322" i="63"/>
  <c r="AC323" i="63"/>
  <c r="AE323" i="63"/>
  <c r="AF323" i="63"/>
  <c r="AC324" i="63"/>
  <c r="AE324" i="63"/>
  <c r="AF324" i="63"/>
  <c r="AC325" i="63"/>
  <c r="AE325" i="63"/>
  <c r="AF325" i="63"/>
  <c r="AC326" i="63"/>
  <c r="AE326" i="63"/>
  <c r="AF326" i="63"/>
  <c r="AC327" i="63"/>
  <c r="AE327" i="63"/>
  <c r="AF327" i="63"/>
  <c r="AC328" i="63"/>
  <c r="AE328" i="63"/>
  <c r="AF328" i="63"/>
  <c r="AC329" i="63"/>
  <c r="AE329" i="63"/>
  <c r="AF329" i="63"/>
  <c r="AC330" i="63"/>
  <c r="AE330" i="63"/>
  <c r="AF330" i="63"/>
  <c r="AC331" i="63"/>
  <c r="AE331" i="63"/>
  <c r="AF331" i="63"/>
  <c r="AC332" i="63"/>
  <c r="AE332" i="63"/>
  <c r="AF332" i="63"/>
  <c r="AC333" i="63"/>
  <c r="AE333" i="63"/>
  <c r="AF333" i="63"/>
  <c r="AC334" i="63"/>
  <c r="AE334" i="63"/>
  <c r="AF334" i="63"/>
  <c r="AC335" i="63"/>
  <c r="AE335" i="63"/>
  <c r="AF335" i="63"/>
  <c r="AC336" i="63"/>
  <c r="AE336" i="63"/>
  <c r="AF336" i="63"/>
  <c r="AC337" i="63"/>
  <c r="AE337" i="63"/>
  <c r="AF337" i="63"/>
  <c r="AC338" i="63"/>
  <c r="AE338" i="63"/>
  <c r="AF338" i="63"/>
  <c r="AC339" i="63"/>
  <c r="AE339" i="63"/>
  <c r="AF339" i="63"/>
  <c r="AC340" i="63"/>
  <c r="AE340" i="63"/>
  <c r="AF340" i="63"/>
  <c r="AC341" i="63"/>
  <c r="AE341" i="63"/>
  <c r="AF341" i="63"/>
  <c r="AC342" i="63"/>
  <c r="AE342" i="63"/>
  <c r="AF342" i="63"/>
  <c r="AC343" i="63"/>
  <c r="AE343" i="63"/>
  <c r="AF343" i="63"/>
  <c r="AC344" i="63"/>
  <c r="AE344" i="63"/>
  <c r="AF344" i="63"/>
  <c r="AC345" i="63"/>
  <c r="AE345" i="63"/>
  <c r="AF345" i="63"/>
  <c r="AC346" i="63"/>
  <c r="AE346" i="63"/>
  <c r="AF346" i="63"/>
  <c r="AC347" i="63"/>
  <c r="AE347" i="63"/>
  <c r="AF347" i="63"/>
  <c r="AC348" i="63"/>
  <c r="AE348" i="63"/>
  <c r="AF348" i="63"/>
  <c r="AC349" i="63"/>
  <c r="AE349" i="63"/>
  <c r="AF349" i="63"/>
  <c r="AC350" i="63"/>
  <c r="AE350" i="63"/>
  <c r="AF350" i="63"/>
  <c r="AC351" i="63"/>
  <c r="AE351" i="63"/>
  <c r="AF351" i="63"/>
  <c r="AC352" i="63"/>
  <c r="AE352" i="63"/>
  <c r="AF352" i="63"/>
  <c r="AC353" i="63"/>
  <c r="AE353" i="63"/>
  <c r="AF353" i="63"/>
  <c r="AC354" i="63"/>
  <c r="AE354" i="63"/>
  <c r="AF354" i="63"/>
  <c r="AC355" i="63"/>
  <c r="AE355" i="63"/>
  <c r="AF355" i="63"/>
  <c r="AC356" i="63"/>
  <c r="AE356" i="63"/>
  <c r="AF356" i="63"/>
  <c r="AC357" i="63"/>
  <c r="AE357" i="63"/>
  <c r="AF357" i="63"/>
  <c r="AC358" i="63"/>
  <c r="AE358" i="63"/>
  <c r="AF358" i="63"/>
  <c r="AC359" i="63"/>
  <c r="AE359" i="63"/>
  <c r="AF359" i="63"/>
  <c r="AC360" i="63"/>
  <c r="AE360" i="63"/>
  <c r="AF360" i="63"/>
  <c r="AC361" i="63"/>
  <c r="AE361" i="63"/>
  <c r="AF361" i="63"/>
  <c r="AC362" i="63"/>
  <c r="AE362" i="63"/>
  <c r="AF362" i="63"/>
  <c r="AC363" i="63"/>
  <c r="AE363" i="63"/>
  <c r="AF363" i="63"/>
  <c r="AC364" i="63"/>
  <c r="AE364" i="63"/>
  <c r="AF364" i="63"/>
  <c r="AC365" i="63"/>
  <c r="AE365" i="63"/>
  <c r="AF365" i="63"/>
  <c r="AC366" i="63"/>
  <c r="AE366" i="63"/>
  <c r="AF366" i="63"/>
  <c r="AC367" i="63"/>
  <c r="AE367" i="63"/>
  <c r="AF367" i="63"/>
  <c r="AC368" i="63"/>
  <c r="AE368" i="63"/>
  <c r="AF368" i="63"/>
  <c r="AC369" i="63"/>
  <c r="AE369" i="63"/>
  <c r="AF369" i="63"/>
  <c r="AC370" i="63"/>
  <c r="AE370" i="63"/>
  <c r="AF370" i="63"/>
  <c r="AC371" i="63"/>
  <c r="AE371" i="63"/>
  <c r="AF371" i="63"/>
  <c r="AC372" i="63"/>
  <c r="AE372" i="63"/>
  <c r="AF372" i="63"/>
  <c r="AC373" i="63"/>
  <c r="AE373" i="63"/>
  <c r="AF373" i="63"/>
  <c r="AC374" i="63"/>
  <c r="AE374" i="63"/>
  <c r="AF374" i="63"/>
  <c r="AC375" i="63"/>
  <c r="AE375" i="63"/>
  <c r="AF375" i="63"/>
  <c r="AC376" i="63"/>
  <c r="AE376" i="63"/>
  <c r="AF376" i="63"/>
  <c r="AC377" i="63"/>
  <c r="AE377" i="63"/>
  <c r="AF377" i="63"/>
  <c r="AC378" i="63"/>
  <c r="AE378" i="63"/>
  <c r="AF378" i="63"/>
  <c r="AC379" i="63"/>
  <c r="AE379" i="63"/>
  <c r="AF379" i="63"/>
  <c r="AC380" i="63"/>
  <c r="AE380" i="63"/>
  <c r="AF380" i="63"/>
  <c r="AC381" i="63"/>
  <c r="AE381" i="63"/>
  <c r="AF381" i="63"/>
  <c r="AC382" i="63"/>
  <c r="AE382" i="63"/>
  <c r="AF382" i="63"/>
  <c r="AC383" i="63"/>
  <c r="AE383" i="63"/>
  <c r="AF383" i="63"/>
  <c r="AC384" i="63"/>
  <c r="AE384" i="63"/>
  <c r="AF384" i="63"/>
  <c r="AC385" i="63"/>
  <c r="AE385" i="63"/>
  <c r="AF385" i="63"/>
  <c r="AC386" i="63"/>
  <c r="AE386" i="63"/>
  <c r="AF386" i="63"/>
  <c r="AC387" i="63"/>
  <c r="AE387" i="63"/>
  <c r="AC388" i="63"/>
  <c r="AE388" i="63"/>
  <c r="AC389" i="63"/>
  <c r="AE389" i="63"/>
  <c r="AC390" i="63"/>
  <c r="AE390" i="63"/>
  <c r="AC391" i="63"/>
  <c r="AE391" i="63"/>
  <c r="AC392" i="63"/>
  <c r="AE392" i="63"/>
  <c r="AC393" i="63"/>
  <c r="AE393" i="63"/>
  <c r="AC394" i="63"/>
  <c r="AE394" i="63"/>
  <c r="AC395" i="63"/>
  <c r="AE395" i="63"/>
  <c r="AC396" i="63"/>
  <c r="AE396" i="63"/>
  <c r="AC397" i="63"/>
  <c r="AE397" i="63"/>
  <c r="AC398" i="63"/>
  <c r="AE398" i="63"/>
  <c r="AC399" i="63"/>
  <c r="AE399" i="63"/>
  <c r="AC400" i="63"/>
  <c r="AE400" i="63"/>
  <c r="AC401" i="63"/>
  <c r="AE401" i="63"/>
  <c r="AC402" i="63"/>
  <c r="AE402" i="63"/>
  <c r="AC403" i="63"/>
  <c r="AE403" i="63"/>
  <c r="AC404" i="63"/>
  <c r="AE404" i="63"/>
  <c r="AC405" i="63"/>
  <c r="AE405" i="63"/>
  <c r="AC406" i="63"/>
  <c r="AE406" i="63"/>
  <c r="AC407" i="63"/>
  <c r="AE407" i="63"/>
  <c r="AC408" i="63"/>
  <c r="AD408" i="63"/>
  <c r="AE408" i="63"/>
  <c r="AF408" i="63"/>
  <c r="AC409" i="63"/>
  <c r="AD409" i="63"/>
  <c r="AE409" i="63"/>
  <c r="AF409" i="63"/>
  <c r="AC410" i="63"/>
  <c r="AD410" i="63"/>
  <c r="AE410" i="63"/>
  <c r="AF410" i="63"/>
  <c r="AC411" i="63"/>
  <c r="AD411" i="63"/>
  <c r="AE411" i="63"/>
  <c r="AF411" i="63"/>
  <c r="AC412" i="63"/>
  <c r="AD412" i="63"/>
  <c r="AE412" i="63"/>
  <c r="AF412" i="63"/>
  <c r="AC413" i="63"/>
  <c r="AD413" i="63"/>
  <c r="AE413" i="63"/>
  <c r="AF413" i="63"/>
  <c r="AC414" i="63"/>
  <c r="AD414" i="63"/>
  <c r="AE414" i="63"/>
  <c r="AF414" i="63"/>
  <c r="AC415" i="63"/>
  <c r="AD415" i="63"/>
  <c r="AE415" i="63"/>
  <c r="AF415" i="63"/>
  <c r="AC416" i="63"/>
  <c r="AD416" i="63"/>
  <c r="AE416" i="63"/>
  <c r="AF416" i="63"/>
  <c r="AC417" i="63"/>
  <c r="AD417" i="63"/>
  <c r="AE417" i="63"/>
  <c r="AF417" i="63"/>
  <c r="AC418" i="63"/>
  <c r="AD418" i="63"/>
  <c r="AE418" i="63"/>
  <c r="AF418" i="63"/>
  <c r="AC419" i="63"/>
  <c r="AD419" i="63"/>
  <c r="AE419" i="63"/>
  <c r="AF419" i="63"/>
  <c r="AC420" i="63"/>
  <c r="AD420" i="63"/>
  <c r="AE420" i="63"/>
  <c r="AF420" i="63"/>
  <c r="AC421" i="63"/>
  <c r="AD421" i="63"/>
  <c r="AE421" i="63"/>
  <c r="AF421" i="63"/>
  <c r="AC422" i="63"/>
  <c r="AD422" i="63"/>
  <c r="AE422" i="63"/>
  <c r="AF422" i="63"/>
  <c r="AC423" i="63"/>
  <c r="AD423" i="63"/>
  <c r="AE423" i="63"/>
  <c r="AF423" i="63"/>
  <c r="AC424" i="63"/>
  <c r="AD424" i="63"/>
  <c r="AE424" i="63"/>
  <c r="AF424" i="63"/>
  <c r="AC425" i="63"/>
  <c r="AD425" i="63"/>
  <c r="AE425" i="63"/>
  <c r="AF425" i="63"/>
  <c r="AC426" i="63"/>
  <c r="AD426" i="63"/>
  <c r="AE426" i="63"/>
  <c r="AF426" i="63"/>
  <c r="AC427" i="63"/>
  <c r="AD427" i="63"/>
  <c r="AE427" i="63"/>
  <c r="AF427" i="63"/>
  <c r="AC428" i="63"/>
  <c r="AD428" i="63"/>
  <c r="AE428" i="63"/>
  <c r="AF428" i="63"/>
  <c r="AC429" i="63"/>
  <c r="AE429" i="63"/>
  <c r="AF429" i="63"/>
  <c r="AC430" i="63"/>
  <c r="AE430" i="63"/>
  <c r="AF430" i="63"/>
  <c r="AC431" i="63"/>
  <c r="AE431" i="63"/>
  <c r="AF431" i="63"/>
  <c r="AC432" i="63"/>
  <c r="AE432" i="63"/>
  <c r="AF432" i="63"/>
  <c r="AC433" i="63"/>
  <c r="AE433" i="63"/>
  <c r="AF433" i="63"/>
  <c r="AC434" i="63"/>
  <c r="AE434" i="63"/>
  <c r="AF434" i="63"/>
  <c r="AC435" i="63"/>
  <c r="AE435" i="63"/>
  <c r="AF435" i="63"/>
  <c r="AC436" i="63"/>
  <c r="AE436" i="63"/>
  <c r="AF436" i="63"/>
  <c r="AC437" i="63"/>
  <c r="AE437" i="63"/>
  <c r="AF437" i="63"/>
  <c r="AC438" i="63"/>
  <c r="AE438" i="63"/>
  <c r="AF438" i="63"/>
  <c r="AC439" i="63"/>
  <c r="AE439" i="63"/>
  <c r="AF439" i="63"/>
  <c r="AC440" i="63"/>
  <c r="AE440" i="63"/>
  <c r="AF440" i="63"/>
  <c r="AC441" i="63"/>
  <c r="AE441" i="63"/>
  <c r="AF441" i="63"/>
  <c r="AC442" i="63"/>
  <c r="AE442" i="63"/>
  <c r="AF442" i="63"/>
  <c r="AC443" i="63"/>
  <c r="AE443" i="63"/>
  <c r="AF443" i="63"/>
  <c r="AC444" i="63"/>
  <c r="AE444" i="63"/>
  <c r="AF444" i="63"/>
  <c r="AC445" i="63"/>
  <c r="AE445" i="63"/>
  <c r="AF445" i="63"/>
  <c r="AC446" i="63"/>
  <c r="AE446" i="63"/>
  <c r="AF446" i="63"/>
  <c r="AC447" i="63"/>
  <c r="AE447" i="63"/>
  <c r="AF447" i="63"/>
  <c r="AC448" i="63"/>
  <c r="AE448" i="63"/>
  <c r="AF448" i="63"/>
  <c r="AC449" i="63"/>
  <c r="AE449" i="63"/>
  <c r="AF449" i="63"/>
  <c r="AC450" i="63"/>
  <c r="AE450" i="63"/>
  <c r="AF450" i="63"/>
  <c r="AC451" i="63"/>
  <c r="AE451" i="63"/>
  <c r="AF451" i="63"/>
  <c r="AC452" i="63"/>
  <c r="AE452" i="63"/>
  <c r="AF452" i="63"/>
  <c r="AC453" i="63"/>
  <c r="AE453" i="63"/>
  <c r="AF453" i="63"/>
  <c r="AC454" i="63"/>
  <c r="AE454" i="63"/>
  <c r="AF454" i="63"/>
  <c r="AC455" i="63"/>
  <c r="AE455" i="63"/>
  <c r="AF455" i="63"/>
  <c r="AC456" i="63"/>
  <c r="AE456" i="63"/>
  <c r="AF456" i="63"/>
  <c r="AC457" i="63"/>
  <c r="AE457" i="63"/>
  <c r="AF457" i="63"/>
  <c r="AC458" i="63"/>
  <c r="AE458" i="63"/>
  <c r="AF458" i="63"/>
  <c r="AC459" i="63"/>
  <c r="AE459" i="63"/>
  <c r="AF459" i="63"/>
  <c r="AC460" i="63"/>
  <c r="AE460" i="63"/>
  <c r="AF460" i="63"/>
  <c r="AC461" i="63"/>
  <c r="AE461" i="63"/>
  <c r="AF461" i="63"/>
  <c r="AC462" i="63"/>
  <c r="AE462" i="63"/>
  <c r="AF462" i="63"/>
  <c r="AC463" i="63"/>
  <c r="AE463" i="63"/>
  <c r="AF463" i="63"/>
  <c r="AC464" i="63"/>
  <c r="AE464" i="63"/>
  <c r="AF464" i="63"/>
  <c r="AC465" i="63"/>
  <c r="AE465" i="63"/>
  <c r="AF465" i="63"/>
  <c r="AC466" i="63"/>
  <c r="AE466" i="63"/>
  <c r="AF466" i="63"/>
  <c r="AC467" i="63"/>
  <c r="AE467" i="63"/>
  <c r="AF467" i="63"/>
  <c r="AC468" i="63"/>
  <c r="AE468" i="63"/>
  <c r="AF468" i="63"/>
  <c r="AC469" i="63"/>
  <c r="AE469" i="63"/>
  <c r="AF469" i="63"/>
  <c r="AC470" i="63"/>
  <c r="AE470" i="63"/>
  <c r="AF470" i="63"/>
  <c r="AC471" i="63"/>
  <c r="AE471" i="63"/>
  <c r="AF471" i="63"/>
  <c r="AC472" i="63"/>
  <c r="AE472" i="63"/>
  <c r="AF472" i="63"/>
  <c r="AC473" i="63"/>
  <c r="AE473" i="63"/>
  <c r="AF473" i="63"/>
  <c r="AC474" i="63"/>
  <c r="AE474" i="63"/>
  <c r="AF474" i="63"/>
  <c r="AC475" i="63"/>
  <c r="AE475" i="63"/>
  <c r="AF475" i="63"/>
  <c r="AC476" i="63"/>
  <c r="AE476" i="63"/>
  <c r="AF476" i="63"/>
  <c r="AC477" i="63"/>
  <c r="AE477" i="63"/>
  <c r="AF477" i="63"/>
  <c r="AC478" i="63"/>
  <c r="AE478" i="63"/>
  <c r="AF478" i="63"/>
  <c r="AC479" i="63"/>
  <c r="AE479" i="63"/>
  <c r="AF479" i="63"/>
  <c r="AC480" i="63"/>
  <c r="AE480" i="63"/>
  <c r="AF480" i="63"/>
  <c r="AC481" i="63"/>
  <c r="AE481" i="63"/>
  <c r="AF481" i="63"/>
  <c r="AC482" i="63"/>
  <c r="AE482" i="63"/>
  <c r="AF482" i="63"/>
  <c r="AC483" i="63"/>
  <c r="AE483" i="63"/>
  <c r="AF483" i="63"/>
  <c r="AC484" i="63"/>
  <c r="AE484" i="63"/>
  <c r="AF484" i="63"/>
  <c r="AC485" i="63"/>
  <c r="AE485" i="63"/>
  <c r="AF485" i="63"/>
  <c r="AC486" i="63"/>
  <c r="AE486" i="63"/>
  <c r="AF486" i="63"/>
  <c r="AC487" i="63"/>
  <c r="AE487" i="63"/>
  <c r="AF487" i="63"/>
  <c r="AC488" i="63"/>
  <c r="AE488" i="63"/>
  <c r="AF488" i="63"/>
  <c r="AC489" i="63"/>
  <c r="AE489" i="63"/>
  <c r="AF489" i="63"/>
  <c r="AC490" i="63"/>
  <c r="AE490" i="63"/>
  <c r="AF490" i="63"/>
  <c r="AC491" i="63"/>
  <c r="AE491" i="63"/>
  <c r="AF491" i="63"/>
  <c r="AC492" i="63"/>
  <c r="AE492" i="63"/>
  <c r="AF492" i="63"/>
  <c r="AC493" i="63"/>
  <c r="AE493" i="63"/>
  <c r="AF493" i="63"/>
  <c r="AC494" i="63"/>
  <c r="AE494" i="63"/>
  <c r="AF494" i="63"/>
  <c r="AC495" i="63"/>
  <c r="AE495" i="63"/>
  <c r="AF495" i="63"/>
  <c r="AC496" i="63"/>
  <c r="AE496" i="63"/>
  <c r="AF496" i="63"/>
  <c r="AC497" i="63"/>
  <c r="AE497" i="63"/>
  <c r="AF497" i="63"/>
  <c r="AC498" i="63"/>
  <c r="AE498" i="63"/>
  <c r="AF498" i="63"/>
  <c r="AC499" i="63"/>
  <c r="AE499" i="63"/>
  <c r="AF499" i="63"/>
  <c r="AC500" i="63"/>
  <c r="AE500" i="63"/>
  <c r="AF500" i="63"/>
  <c r="AC501" i="63"/>
  <c r="AE501" i="63"/>
  <c r="AF501" i="63"/>
  <c r="AC502" i="63"/>
  <c r="AE502" i="63"/>
  <c r="AF502" i="63"/>
  <c r="AC503" i="63"/>
  <c r="AE503" i="63"/>
  <c r="AF503" i="63"/>
  <c r="AC504" i="63"/>
  <c r="AE504" i="63"/>
  <c r="AF504" i="63"/>
  <c r="AC505" i="63"/>
  <c r="AE505" i="63"/>
  <c r="AF505" i="63"/>
  <c r="AC506" i="63"/>
  <c r="AE506" i="63"/>
  <c r="AF506" i="63"/>
  <c r="AC507" i="63"/>
  <c r="AE507" i="63"/>
  <c r="AF507" i="63"/>
  <c r="AC508" i="63"/>
  <c r="AE508" i="63"/>
  <c r="AF508" i="63"/>
  <c r="AC509" i="63"/>
  <c r="AE509" i="63"/>
  <c r="AF509" i="63"/>
  <c r="AC510" i="63"/>
  <c r="AE510" i="63"/>
  <c r="AF510" i="63"/>
  <c r="AC511" i="63"/>
  <c r="AE511" i="63"/>
  <c r="AF511" i="63"/>
  <c r="AC512" i="63"/>
  <c r="AE512" i="63"/>
  <c r="AF512" i="63"/>
  <c r="AC513" i="63"/>
  <c r="AE513" i="63"/>
  <c r="AC514" i="63"/>
  <c r="AE514" i="63"/>
  <c r="AC515" i="63"/>
  <c r="AE515" i="63"/>
  <c r="AC516" i="63"/>
  <c r="AE516" i="63"/>
  <c r="AC517" i="63"/>
  <c r="AE517" i="63"/>
  <c r="AC518" i="63"/>
  <c r="AE518" i="63"/>
  <c r="AC519" i="63"/>
  <c r="AE519" i="63"/>
  <c r="AC520" i="63"/>
  <c r="AE520" i="63"/>
  <c r="AC521" i="63"/>
  <c r="AE521" i="63"/>
  <c r="AC522" i="63"/>
  <c r="AE522" i="63"/>
  <c r="AC523" i="63"/>
  <c r="AE523" i="63"/>
  <c r="AC524" i="63"/>
  <c r="AE524" i="63"/>
  <c r="AC525" i="63"/>
  <c r="AE525" i="63"/>
  <c r="AC526" i="63"/>
  <c r="AE526" i="63"/>
  <c r="AC527" i="63"/>
  <c r="AE527" i="63"/>
  <c r="AC528" i="63"/>
  <c r="AE528" i="63"/>
  <c r="AC529" i="63"/>
  <c r="AE529" i="63"/>
  <c r="AC530" i="63"/>
  <c r="AE530" i="63"/>
  <c r="AC531" i="63"/>
  <c r="AE531" i="63"/>
  <c r="AC532" i="63"/>
  <c r="AE532" i="63"/>
  <c r="AC533" i="63"/>
  <c r="AE533" i="63"/>
  <c r="AC534" i="63"/>
  <c r="AD534" i="63"/>
  <c r="AE534" i="63"/>
  <c r="AF534" i="63"/>
  <c r="AC535" i="63"/>
  <c r="AD535" i="63"/>
  <c r="AE535" i="63"/>
  <c r="AF535" i="63"/>
  <c r="AC536" i="63"/>
  <c r="AD536" i="63"/>
  <c r="AE536" i="63"/>
  <c r="AF536" i="63"/>
  <c r="AC537" i="63"/>
  <c r="AD537" i="63"/>
  <c r="AE537" i="63"/>
  <c r="AF537" i="63"/>
  <c r="AC538" i="63"/>
  <c r="AD538" i="63"/>
  <c r="AE538" i="63"/>
  <c r="AF538" i="63"/>
  <c r="AC539" i="63"/>
  <c r="AD539" i="63"/>
  <c r="AE539" i="63"/>
  <c r="AF539" i="63"/>
  <c r="AC540" i="63"/>
  <c r="AD540" i="63"/>
  <c r="AE540" i="63"/>
  <c r="AF540" i="63"/>
  <c r="AC541" i="63"/>
  <c r="AD541" i="63"/>
  <c r="AE541" i="63"/>
  <c r="AF541" i="63"/>
  <c r="AC542" i="63"/>
  <c r="AD542" i="63"/>
  <c r="AE542" i="63"/>
  <c r="AF542" i="63"/>
  <c r="AC543" i="63"/>
  <c r="AD543" i="63"/>
  <c r="AE543" i="63"/>
  <c r="AF543" i="63"/>
  <c r="AC544" i="63"/>
  <c r="AD544" i="63"/>
  <c r="AE544" i="63"/>
  <c r="AF544" i="63"/>
  <c r="AC545" i="63"/>
  <c r="AD545" i="63"/>
  <c r="AE545" i="63"/>
  <c r="AF545" i="63"/>
  <c r="AC546" i="63"/>
  <c r="AD546" i="63"/>
  <c r="AE546" i="63"/>
  <c r="AF546" i="63"/>
  <c r="AC547" i="63"/>
  <c r="AD547" i="63"/>
  <c r="AE547" i="63"/>
  <c r="AF547" i="63"/>
  <c r="AC548" i="63"/>
  <c r="AD548" i="63"/>
  <c r="AE548" i="63"/>
  <c r="AF548" i="63"/>
  <c r="AC549" i="63"/>
  <c r="AD549" i="63"/>
  <c r="AE549" i="63"/>
  <c r="AF549" i="63"/>
  <c r="AC550" i="63"/>
  <c r="AD550" i="63"/>
  <c r="AE550" i="63"/>
  <c r="AF550" i="63"/>
  <c r="AC551" i="63"/>
  <c r="AD551" i="63"/>
  <c r="AE551" i="63"/>
  <c r="AF551" i="63"/>
  <c r="AC552" i="63"/>
  <c r="AD552" i="63"/>
  <c r="AE552" i="63"/>
  <c r="AF552" i="63"/>
  <c r="AC553" i="63"/>
  <c r="AD553" i="63"/>
  <c r="AE553" i="63"/>
  <c r="AF553" i="63"/>
  <c r="AC554" i="63"/>
  <c r="AD554" i="63"/>
  <c r="AE554" i="63"/>
  <c r="AF554" i="63"/>
  <c r="AC555" i="63"/>
  <c r="AE555" i="63"/>
  <c r="AF555" i="63"/>
  <c r="AC556" i="63"/>
  <c r="AE556" i="63"/>
  <c r="AF556" i="63"/>
  <c r="AC557" i="63"/>
  <c r="AE557" i="63"/>
  <c r="AF557" i="63"/>
  <c r="AC558" i="63"/>
  <c r="AE558" i="63"/>
  <c r="AF558" i="63"/>
  <c r="AC559" i="63"/>
  <c r="AE559" i="63"/>
  <c r="AF559" i="63"/>
  <c r="AC560" i="63"/>
  <c r="AE560" i="63"/>
  <c r="AF560" i="63"/>
  <c r="AC561" i="63"/>
  <c r="AE561" i="63"/>
  <c r="AF561" i="63"/>
  <c r="AC562" i="63"/>
  <c r="AE562" i="63"/>
  <c r="AF562" i="63"/>
  <c r="AC563" i="63"/>
  <c r="AE563" i="63"/>
  <c r="AF563" i="63"/>
  <c r="AC564" i="63"/>
  <c r="AE564" i="63"/>
  <c r="AF564" i="63"/>
  <c r="AC565" i="63"/>
  <c r="AE565" i="63"/>
  <c r="AF565" i="63"/>
  <c r="AC566" i="63"/>
  <c r="AE566" i="63"/>
  <c r="AF566" i="63"/>
  <c r="AC567" i="63"/>
  <c r="AE567" i="63"/>
  <c r="AF567" i="63"/>
  <c r="AC568" i="63"/>
  <c r="AE568" i="63"/>
  <c r="AF568" i="63"/>
  <c r="AC569" i="63"/>
  <c r="AE569" i="63"/>
  <c r="AF569" i="63"/>
  <c r="AC570" i="63"/>
  <c r="AE570" i="63"/>
  <c r="AF570" i="63"/>
  <c r="AC571" i="63"/>
  <c r="AE571" i="63"/>
  <c r="AF571" i="63"/>
  <c r="AC572" i="63"/>
  <c r="AE572" i="63"/>
  <c r="AF572" i="63"/>
  <c r="AC573" i="63"/>
  <c r="AE573" i="63"/>
  <c r="AF573" i="63"/>
  <c r="AC574" i="63"/>
  <c r="AE574" i="63"/>
  <c r="AF574" i="63"/>
  <c r="AC575" i="63"/>
  <c r="AE575" i="63"/>
  <c r="AF575" i="63"/>
  <c r="AC576" i="63"/>
  <c r="AE576" i="63"/>
  <c r="AF576" i="63"/>
  <c r="AC577" i="63"/>
  <c r="AE577" i="63"/>
  <c r="AF577" i="63"/>
  <c r="AC578" i="63"/>
  <c r="AE578" i="63"/>
  <c r="AF578" i="63"/>
  <c r="AC579" i="63"/>
  <c r="AE579" i="63"/>
  <c r="AF579" i="63"/>
  <c r="AC580" i="63"/>
  <c r="AE580" i="63"/>
  <c r="AF580" i="63"/>
  <c r="AC581" i="63"/>
  <c r="AE581" i="63"/>
  <c r="AF581" i="63"/>
  <c r="AC582" i="63"/>
  <c r="AE582" i="63"/>
  <c r="AF582" i="63"/>
  <c r="AC583" i="63"/>
  <c r="AE583" i="63"/>
  <c r="AF583" i="63"/>
  <c r="AC584" i="63"/>
  <c r="AE584" i="63"/>
  <c r="AF584" i="63"/>
  <c r="AC585" i="63"/>
  <c r="AE585" i="63"/>
  <c r="AF585" i="63"/>
  <c r="AC586" i="63"/>
  <c r="AE586" i="63"/>
  <c r="AF586" i="63"/>
  <c r="AC587" i="63"/>
  <c r="AE587" i="63"/>
  <c r="AF587" i="63"/>
  <c r="AC588" i="63"/>
  <c r="AE588" i="63"/>
  <c r="AF588" i="63"/>
  <c r="AC589" i="63"/>
  <c r="AE589" i="63"/>
  <c r="AF589" i="63"/>
  <c r="AC590" i="63"/>
  <c r="AE590" i="63"/>
  <c r="AF590" i="63"/>
  <c r="AC591" i="63"/>
  <c r="AE591" i="63"/>
  <c r="AF591" i="63"/>
  <c r="AC592" i="63"/>
  <c r="AE592" i="63"/>
  <c r="AF592" i="63"/>
  <c r="AC593" i="63"/>
  <c r="AE593" i="63"/>
  <c r="AF593" i="63"/>
  <c r="AC594" i="63"/>
  <c r="AE594" i="63"/>
  <c r="AF594" i="63"/>
  <c r="AC595" i="63"/>
  <c r="AE595" i="63"/>
  <c r="AF595" i="63"/>
  <c r="AC596" i="63"/>
  <c r="AE596" i="63"/>
  <c r="AF596" i="63"/>
  <c r="AC597" i="63"/>
  <c r="AE597" i="63"/>
  <c r="AC598" i="63"/>
  <c r="AE598" i="63"/>
  <c r="AC599" i="63"/>
  <c r="AE599" i="63"/>
  <c r="AC600" i="63"/>
  <c r="AE600" i="63"/>
  <c r="AC601" i="63"/>
  <c r="AE601" i="63"/>
  <c r="AC602" i="63"/>
  <c r="AE602" i="63"/>
  <c r="AC603" i="63"/>
  <c r="AE603" i="63"/>
  <c r="AC604" i="63"/>
  <c r="AE604" i="63"/>
  <c r="AC605" i="63"/>
  <c r="AE605" i="63"/>
  <c r="AC606" i="63"/>
  <c r="AE606" i="63"/>
  <c r="AC607" i="63"/>
  <c r="AE607" i="63"/>
  <c r="AC608" i="63"/>
  <c r="AE608" i="63"/>
  <c r="AC609" i="63"/>
  <c r="AE609" i="63"/>
  <c r="AC610" i="63"/>
  <c r="AE610" i="63"/>
  <c r="AC611" i="63"/>
  <c r="AE611" i="63"/>
  <c r="AC612" i="63"/>
  <c r="AE612" i="63"/>
  <c r="AC613" i="63"/>
  <c r="AE613" i="63"/>
  <c r="AC614" i="63"/>
  <c r="AE614" i="63"/>
  <c r="AC615" i="63"/>
  <c r="AE615" i="63"/>
  <c r="AC616" i="63"/>
  <c r="AE616" i="63"/>
  <c r="AC617" i="63"/>
  <c r="AE617" i="63"/>
  <c r="AC618" i="63"/>
  <c r="AE618" i="63"/>
  <c r="AF618" i="63"/>
  <c r="AC619" i="63"/>
  <c r="AE619" i="63"/>
  <c r="AF619" i="63"/>
  <c r="AC620" i="63"/>
  <c r="AE620" i="63"/>
  <c r="AF620" i="63"/>
  <c r="AC621" i="63"/>
  <c r="AE621" i="63"/>
  <c r="AF621" i="63"/>
  <c r="AC622" i="63"/>
  <c r="AE622" i="63"/>
  <c r="AF622" i="63"/>
  <c r="AC623" i="63"/>
  <c r="AE623" i="63"/>
  <c r="AF623" i="63"/>
  <c r="AC624" i="63"/>
  <c r="AE624" i="63"/>
  <c r="AF624" i="63"/>
  <c r="AC625" i="63"/>
  <c r="AE625" i="63"/>
  <c r="AF625" i="63"/>
  <c r="AC626" i="63"/>
  <c r="AE626" i="63"/>
  <c r="AF626" i="63"/>
  <c r="AC627" i="63"/>
  <c r="AE627" i="63"/>
  <c r="AF627" i="63"/>
  <c r="AC628" i="63"/>
  <c r="AE628" i="63"/>
  <c r="AF628" i="63"/>
  <c r="AC629" i="63"/>
  <c r="AE629" i="63"/>
  <c r="AF629" i="63"/>
  <c r="AC630" i="63"/>
  <c r="AE630" i="63"/>
  <c r="AF630" i="63"/>
  <c r="AC631" i="63"/>
  <c r="AE631" i="63"/>
  <c r="AF631" i="63"/>
  <c r="AC632" i="63"/>
  <c r="AE632" i="63"/>
  <c r="AF632" i="63"/>
  <c r="AC633" i="63"/>
  <c r="AE633" i="63"/>
  <c r="AF633" i="63"/>
  <c r="AC634" i="63"/>
  <c r="AE634" i="63"/>
  <c r="AF634" i="63"/>
  <c r="AC635" i="63"/>
  <c r="AE635" i="63"/>
  <c r="AF635" i="63"/>
  <c r="AC636" i="63"/>
  <c r="AE636" i="63"/>
  <c r="AF636" i="63"/>
  <c r="AC637" i="63"/>
  <c r="AE637" i="63"/>
  <c r="AF637" i="63"/>
  <c r="AC638" i="63"/>
  <c r="AE638" i="63"/>
  <c r="AF638" i="63"/>
  <c r="AC639" i="63"/>
  <c r="AE639" i="63"/>
  <c r="AF639" i="63"/>
  <c r="AC640" i="63"/>
  <c r="AE640" i="63"/>
  <c r="AF640" i="63"/>
  <c r="AC641" i="63"/>
  <c r="AE641" i="63"/>
  <c r="AF641" i="63"/>
  <c r="AC642" i="63"/>
  <c r="AE642" i="63"/>
  <c r="AF642" i="63"/>
  <c r="AC643" i="63"/>
  <c r="AE643" i="63"/>
  <c r="AF643" i="63"/>
  <c r="AC644" i="63"/>
  <c r="AE644" i="63"/>
  <c r="AF644" i="63"/>
  <c r="AC645" i="63"/>
  <c r="AE645" i="63"/>
  <c r="AF645" i="63"/>
  <c r="AC646" i="63"/>
  <c r="AE646" i="63"/>
  <c r="AF646" i="63"/>
  <c r="AC647" i="63"/>
  <c r="AE647" i="63"/>
  <c r="AF647" i="63"/>
  <c r="AC648" i="63"/>
  <c r="AE648" i="63"/>
  <c r="AF648" i="63"/>
  <c r="AC649" i="63"/>
  <c r="AE649" i="63"/>
  <c r="AF649" i="63"/>
  <c r="AC650" i="63"/>
  <c r="AE650" i="63"/>
  <c r="AF650" i="63"/>
  <c r="AC651" i="63"/>
  <c r="AE651" i="63"/>
  <c r="AF651" i="63"/>
  <c r="AC652" i="63"/>
  <c r="AE652" i="63"/>
  <c r="AF652" i="63"/>
  <c r="AC653" i="63"/>
  <c r="AE653" i="63"/>
  <c r="AF653" i="63"/>
  <c r="AC654" i="63"/>
  <c r="AE654" i="63"/>
  <c r="AF654" i="63"/>
  <c r="AC655" i="63"/>
  <c r="AE655" i="63"/>
  <c r="AF655" i="63"/>
  <c r="AC656" i="63"/>
  <c r="AE656" i="63"/>
  <c r="AF656" i="63"/>
  <c r="AC657" i="63"/>
  <c r="AE657" i="63"/>
  <c r="AF657" i="63"/>
  <c r="AC658" i="63"/>
  <c r="AE658" i="63"/>
  <c r="AF658" i="63"/>
  <c r="AC659" i="63"/>
  <c r="AE659" i="63"/>
  <c r="AF659" i="63"/>
  <c r="AC660" i="63"/>
  <c r="AE660" i="63"/>
  <c r="AC661" i="63"/>
  <c r="AE661" i="63"/>
  <c r="AC662" i="63"/>
  <c r="AE662" i="63"/>
  <c r="AC663" i="63"/>
  <c r="AE663" i="63"/>
  <c r="AC664" i="63"/>
  <c r="AE664" i="63"/>
  <c r="AC665" i="63"/>
  <c r="AE665" i="63"/>
  <c r="AC666" i="63"/>
  <c r="AE666" i="63"/>
  <c r="AC667" i="63"/>
  <c r="AE667" i="63"/>
  <c r="AC668" i="63"/>
  <c r="AE668" i="63"/>
  <c r="AC669" i="63"/>
  <c r="AE669" i="63"/>
  <c r="AC670" i="63"/>
  <c r="AE670" i="63"/>
  <c r="AC671" i="63"/>
  <c r="AE671" i="63"/>
  <c r="AC672" i="63"/>
  <c r="AE672" i="63"/>
  <c r="AC673" i="63"/>
  <c r="AE673" i="63"/>
  <c r="AC674" i="63"/>
  <c r="AE674" i="63"/>
  <c r="AC675" i="63"/>
  <c r="AE675" i="63"/>
  <c r="AC676" i="63"/>
  <c r="AE676" i="63"/>
  <c r="AC677" i="63"/>
  <c r="AE677" i="63"/>
  <c r="AC678" i="63"/>
  <c r="AE678" i="63"/>
  <c r="AC679" i="63"/>
  <c r="AE679" i="63"/>
  <c r="AC680" i="63"/>
  <c r="AE680" i="63"/>
  <c r="AC681" i="63"/>
  <c r="AE681" i="63"/>
  <c r="AF681" i="63"/>
  <c r="AC682" i="63"/>
  <c r="AE682" i="63"/>
  <c r="AF682" i="63"/>
  <c r="AC683" i="63"/>
  <c r="AE683" i="63"/>
  <c r="AF683" i="63"/>
  <c r="AC684" i="63"/>
  <c r="AE684" i="63"/>
  <c r="AF684" i="63"/>
  <c r="AC685" i="63"/>
  <c r="AE685" i="63"/>
  <c r="AF685" i="63"/>
  <c r="AC686" i="63"/>
  <c r="AE686" i="63"/>
  <c r="AF686" i="63"/>
  <c r="AC687" i="63"/>
  <c r="AE687" i="63"/>
  <c r="AF687" i="63"/>
  <c r="AC688" i="63"/>
  <c r="AE688" i="63"/>
  <c r="AF688" i="63"/>
  <c r="AC689" i="63"/>
  <c r="AE689" i="63"/>
  <c r="AF689" i="63"/>
  <c r="AC690" i="63"/>
  <c r="AE690" i="63"/>
  <c r="AF690" i="63"/>
  <c r="AC691" i="63"/>
  <c r="AE691" i="63"/>
  <c r="AF691" i="63"/>
  <c r="AC692" i="63"/>
  <c r="AE692" i="63"/>
  <c r="AF692" i="63"/>
  <c r="AC693" i="63"/>
  <c r="AE693" i="63"/>
  <c r="AF693" i="63"/>
  <c r="AC694" i="63"/>
  <c r="AE694" i="63"/>
  <c r="AF694" i="63"/>
  <c r="AC695" i="63"/>
  <c r="AE695" i="63"/>
  <c r="AF695" i="63"/>
  <c r="AC696" i="63"/>
  <c r="AE696" i="63"/>
  <c r="AF696" i="63"/>
  <c r="AC697" i="63"/>
  <c r="AE697" i="63"/>
  <c r="AF697" i="63"/>
  <c r="AC698" i="63"/>
  <c r="AE698" i="63"/>
  <c r="AF698" i="63"/>
  <c r="AC699" i="63"/>
  <c r="AE699" i="63"/>
  <c r="AF699" i="63"/>
  <c r="AC700" i="63"/>
  <c r="AE700" i="63"/>
  <c r="AF700" i="63"/>
  <c r="AC701" i="63"/>
  <c r="AE701" i="63"/>
  <c r="AF701" i="63"/>
  <c r="AC702" i="63"/>
  <c r="AE702" i="63"/>
  <c r="AF702" i="63"/>
  <c r="AC703" i="63"/>
  <c r="AE703" i="63"/>
  <c r="AF703" i="63"/>
  <c r="AC704" i="63"/>
  <c r="AE704" i="63"/>
  <c r="AF704" i="63"/>
  <c r="AC705" i="63"/>
  <c r="AE705" i="63"/>
  <c r="AF705" i="63"/>
  <c r="AC706" i="63"/>
  <c r="AE706" i="63"/>
  <c r="AF706" i="63"/>
  <c r="AC707" i="63"/>
  <c r="AE707" i="63"/>
  <c r="AF707" i="63"/>
  <c r="AC708" i="63"/>
  <c r="AE708" i="63"/>
  <c r="AF708" i="63"/>
  <c r="AC709" i="63"/>
  <c r="AE709" i="63"/>
  <c r="AF709" i="63"/>
  <c r="AC710" i="63"/>
  <c r="AE710" i="63"/>
  <c r="AF710" i="63"/>
  <c r="AC711" i="63"/>
  <c r="AE711" i="63"/>
  <c r="AF711" i="63"/>
  <c r="AC712" i="63"/>
  <c r="AE712" i="63"/>
  <c r="AF712" i="63"/>
  <c r="AC713" i="63"/>
  <c r="AE713" i="63"/>
  <c r="AF713" i="63"/>
  <c r="AC714" i="63"/>
  <c r="AE714" i="63"/>
  <c r="AF714" i="63"/>
  <c r="AC715" i="63"/>
  <c r="AE715" i="63"/>
  <c r="AF715" i="63"/>
  <c r="AC716" i="63"/>
  <c r="AE716" i="63"/>
  <c r="AF716" i="63"/>
  <c r="AC717" i="63"/>
  <c r="AE717" i="63"/>
  <c r="AF717" i="63"/>
  <c r="AC718" i="63"/>
  <c r="AE718" i="63"/>
  <c r="AF718" i="63"/>
  <c r="AC719" i="63"/>
  <c r="AE719" i="63"/>
  <c r="AF719" i="63"/>
  <c r="AC720" i="63"/>
  <c r="AE720" i="63"/>
  <c r="AF720" i="63"/>
  <c r="AC721" i="63"/>
  <c r="AE721" i="63"/>
  <c r="AF721" i="63"/>
  <c r="AC722" i="63"/>
  <c r="AE722" i="63"/>
  <c r="AF722" i="63"/>
  <c r="AC723" i="63"/>
  <c r="AE723" i="63"/>
  <c r="AF723" i="63"/>
  <c r="AC724" i="63"/>
  <c r="AE724" i="63"/>
  <c r="AF724" i="63"/>
  <c r="AC725" i="63"/>
  <c r="AE725" i="63"/>
  <c r="AF725" i="63"/>
  <c r="AC726" i="63"/>
  <c r="AE726" i="63"/>
  <c r="AF726" i="63"/>
  <c r="AC727" i="63"/>
  <c r="AE727" i="63"/>
  <c r="AF727" i="63"/>
  <c r="AC728" i="63"/>
  <c r="AE728" i="63"/>
  <c r="AF728" i="63"/>
  <c r="AC729" i="63"/>
  <c r="AE729" i="63"/>
  <c r="AF729" i="63"/>
  <c r="AC730" i="63"/>
  <c r="AE730" i="63"/>
  <c r="AF730" i="63"/>
  <c r="AC731" i="63"/>
  <c r="AE731" i="63"/>
  <c r="AF731" i="63"/>
  <c r="AC732" i="63"/>
  <c r="AE732" i="63"/>
  <c r="AF732" i="63"/>
  <c r="AC733" i="63"/>
  <c r="AE733" i="63"/>
  <c r="AF733" i="63"/>
  <c r="AC734" i="63"/>
  <c r="AE734" i="63"/>
  <c r="AF734" i="63"/>
  <c r="AC735" i="63"/>
  <c r="AE735" i="63"/>
  <c r="AF735" i="63"/>
  <c r="AC736" i="63"/>
  <c r="AE736" i="63"/>
  <c r="AF736" i="63"/>
  <c r="AC737" i="63"/>
  <c r="AE737" i="63"/>
  <c r="AF737" i="63"/>
  <c r="AC738" i="63"/>
  <c r="AE738" i="63"/>
  <c r="AF738" i="63"/>
  <c r="AC739" i="63"/>
  <c r="AE739" i="63"/>
  <c r="AF739" i="63"/>
  <c r="AC740" i="63"/>
  <c r="AE740" i="63"/>
  <c r="AF740" i="63"/>
  <c r="AC741" i="63"/>
  <c r="AE741" i="63"/>
  <c r="AF741" i="63"/>
  <c r="AC742" i="63"/>
  <c r="AE742" i="63"/>
  <c r="AF742" i="63"/>
  <c r="AC743" i="63"/>
  <c r="AE743" i="63"/>
  <c r="AF743" i="63"/>
  <c r="AC744" i="63"/>
  <c r="AE744" i="63"/>
  <c r="AF744" i="63"/>
  <c r="AC745" i="63"/>
  <c r="AE745" i="63"/>
  <c r="AF745" i="63"/>
  <c r="AC746" i="63"/>
  <c r="AE746" i="63"/>
  <c r="AF746" i="63"/>
  <c r="AC747" i="63"/>
  <c r="AE747" i="63"/>
  <c r="AF747" i="63"/>
  <c r="AC748" i="63"/>
  <c r="AE748" i="63"/>
  <c r="AF748" i="63"/>
  <c r="AC749" i="63"/>
  <c r="AE749" i="63"/>
  <c r="AF749" i="63"/>
  <c r="AC750" i="63"/>
  <c r="AE750" i="63"/>
  <c r="AF750" i="63"/>
  <c r="AC751" i="63"/>
  <c r="AE751" i="63"/>
  <c r="AF751" i="63"/>
  <c r="AC752" i="63"/>
  <c r="AE752" i="63"/>
  <c r="AF752" i="63"/>
  <c r="AC753" i="63"/>
  <c r="AE753" i="63"/>
  <c r="AF753" i="63"/>
  <c r="AC754" i="63"/>
  <c r="AE754" i="63"/>
  <c r="AF754" i="63"/>
  <c r="AC755" i="63"/>
  <c r="AE755" i="63"/>
  <c r="AF755" i="63"/>
  <c r="AC756" i="63"/>
  <c r="AE756" i="63"/>
  <c r="AF756" i="63"/>
  <c r="AC757" i="63"/>
  <c r="AE757" i="63"/>
  <c r="AF757" i="63"/>
  <c r="AC758" i="63"/>
  <c r="AE758" i="63"/>
  <c r="AF758" i="63"/>
  <c r="AC759" i="63"/>
  <c r="AE759" i="63"/>
  <c r="AF759" i="63"/>
  <c r="AC760" i="63"/>
  <c r="AE760" i="63"/>
  <c r="AF760" i="63"/>
  <c r="AC761" i="63"/>
  <c r="AE761" i="63"/>
  <c r="AF761" i="63"/>
  <c r="AC762" i="63"/>
  <c r="AE762" i="63"/>
  <c r="AF762" i="63"/>
  <c r="AC763" i="63"/>
  <c r="AE763" i="63"/>
  <c r="AF763" i="63"/>
  <c r="AC764" i="63"/>
  <c r="AE764" i="63"/>
  <c r="AF764" i="63"/>
  <c r="AC765" i="63"/>
  <c r="AE765" i="63"/>
  <c r="AC766" i="63"/>
  <c r="AE766" i="63"/>
  <c r="AC767" i="63"/>
  <c r="AE767" i="63"/>
  <c r="AC768" i="63"/>
  <c r="AE768" i="63"/>
  <c r="AC769" i="63"/>
  <c r="AE769" i="63"/>
  <c r="AC770" i="63"/>
  <c r="AE770" i="63"/>
  <c r="AC771" i="63"/>
  <c r="AE771" i="63"/>
  <c r="AC772" i="63"/>
  <c r="AE772" i="63"/>
  <c r="AC773" i="63"/>
  <c r="AE773" i="63"/>
  <c r="AC774" i="63"/>
  <c r="AE774" i="63"/>
  <c r="AC775" i="63"/>
  <c r="AE775" i="63"/>
  <c r="AC776" i="63"/>
  <c r="AE776" i="63"/>
  <c r="AC777" i="63"/>
  <c r="AE777" i="63"/>
  <c r="AC778" i="63"/>
  <c r="AE778" i="63"/>
  <c r="AC779" i="63"/>
  <c r="AE779" i="63"/>
  <c r="AC780" i="63"/>
  <c r="AE780" i="63"/>
  <c r="AC781" i="63"/>
  <c r="AE781" i="63"/>
  <c r="AC782" i="63"/>
  <c r="AE782" i="63"/>
  <c r="AC783" i="63"/>
  <c r="AE783" i="63"/>
  <c r="AC784" i="63"/>
  <c r="AE784" i="63"/>
  <c r="AC785" i="63"/>
  <c r="AE785" i="63"/>
  <c r="AC786" i="63"/>
  <c r="AE786" i="63"/>
  <c r="AF786" i="63"/>
  <c r="AC787" i="63"/>
  <c r="AE787" i="63"/>
  <c r="AF787" i="63"/>
  <c r="AC788" i="63"/>
  <c r="AE788" i="63"/>
  <c r="AF788" i="63"/>
  <c r="AC789" i="63"/>
  <c r="AE789" i="63"/>
  <c r="AF789" i="63"/>
  <c r="AC790" i="63"/>
  <c r="AE790" i="63"/>
  <c r="AF790" i="63"/>
  <c r="AC791" i="63"/>
  <c r="AE791" i="63"/>
  <c r="AF791" i="63"/>
  <c r="AC792" i="63"/>
  <c r="AE792" i="63"/>
  <c r="AF792" i="63"/>
  <c r="AC793" i="63"/>
  <c r="AE793" i="63"/>
  <c r="AF793" i="63"/>
  <c r="AC794" i="63"/>
  <c r="AE794" i="63"/>
  <c r="AF794" i="63"/>
  <c r="AC795" i="63"/>
  <c r="AE795" i="63"/>
  <c r="AF795" i="63"/>
  <c r="AC796" i="63"/>
  <c r="AE796" i="63"/>
  <c r="AF796" i="63"/>
  <c r="AC797" i="63"/>
  <c r="AE797" i="63"/>
  <c r="AF797" i="63"/>
  <c r="AC798" i="63"/>
  <c r="AE798" i="63"/>
  <c r="AF798" i="63"/>
  <c r="AC799" i="63"/>
  <c r="AE799" i="63"/>
  <c r="AF799" i="63"/>
  <c r="AC800" i="63"/>
  <c r="AE800" i="63"/>
  <c r="AF800" i="63"/>
  <c r="AC801" i="63"/>
  <c r="AE801" i="63"/>
  <c r="AF801" i="63"/>
  <c r="AC802" i="63"/>
  <c r="AE802" i="63"/>
  <c r="AF802" i="63"/>
  <c r="AC803" i="63"/>
  <c r="AE803" i="63"/>
  <c r="AF803" i="63"/>
  <c r="AC804" i="63"/>
  <c r="AE804" i="63"/>
  <c r="AF804" i="63"/>
  <c r="AC805" i="63"/>
  <c r="AE805" i="63"/>
  <c r="AF805" i="63"/>
  <c r="AC806" i="63"/>
  <c r="AE806" i="63"/>
  <c r="AF806" i="63"/>
  <c r="AC807" i="63"/>
  <c r="AE807" i="63"/>
  <c r="AF807" i="63"/>
  <c r="AC808" i="63"/>
  <c r="AE808" i="63"/>
  <c r="AF808" i="63"/>
  <c r="AC809" i="63"/>
  <c r="AE809" i="63"/>
  <c r="AF809" i="63"/>
  <c r="AC810" i="63"/>
  <c r="AE810" i="63"/>
  <c r="AF810" i="63"/>
  <c r="AC811" i="63"/>
  <c r="AE811" i="63"/>
  <c r="AF811" i="63"/>
  <c r="AC812" i="63"/>
  <c r="AE812" i="63"/>
  <c r="AF812" i="63"/>
  <c r="AC813" i="63"/>
  <c r="AE813" i="63"/>
  <c r="AF813" i="63"/>
  <c r="AC814" i="63"/>
  <c r="AE814" i="63"/>
  <c r="AF814" i="63"/>
  <c r="AC815" i="63"/>
  <c r="AE815" i="63"/>
  <c r="AF815" i="63"/>
  <c r="AC816" i="63"/>
  <c r="AE816" i="63"/>
  <c r="AF816" i="63"/>
  <c r="AC817" i="63"/>
  <c r="AE817" i="63"/>
  <c r="AF817" i="63"/>
  <c r="AC818" i="63"/>
  <c r="AE818" i="63"/>
  <c r="AF818" i="63"/>
  <c r="AC819" i="63"/>
  <c r="AE819" i="63"/>
  <c r="AF819" i="63"/>
  <c r="AC820" i="63"/>
  <c r="AE820" i="63"/>
  <c r="AF820" i="63"/>
  <c r="AC821" i="63"/>
  <c r="AE821" i="63"/>
  <c r="AF821" i="63"/>
  <c r="AC822" i="63"/>
  <c r="AE822" i="63"/>
  <c r="AF822" i="63"/>
  <c r="AC823" i="63"/>
  <c r="AE823" i="63"/>
  <c r="AF823" i="63"/>
  <c r="AC824" i="63"/>
  <c r="AE824" i="63"/>
  <c r="AF824" i="63"/>
  <c r="AC825" i="63"/>
  <c r="AE825" i="63"/>
  <c r="AF825" i="63"/>
  <c r="AC826" i="63"/>
  <c r="AE826" i="63"/>
  <c r="AF826" i="63"/>
  <c r="AC827" i="63"/>
  <c r="AE827" i="63"/>
  <c r="AF827" i="63"/>
  <c r="AC828" i="63"/>
  <c r="AE828" i="63"/>
  <c r="AC829" i="63"/>
  <c r="AE829" i="63"/>
  <c r="AC830" i="63"/>
  <c r="AE830" i="63"/>
  <c r="AC831" i="63"/>
  <c r="AE831" i="63"/>
  <c r="AC832" i="63"/>
  <c r="AE832" i="63"/>
  <c r="AC833" i="63"/>
  <c r="AE833" i="63"/>
  <c r="AC834" i="63"/>
  <c r="AE834" i="63"/>
  <c r="AC835" i="63"/>
  <c r="AE835" i="63"/>
  <c r="AC836" i="63"/>
  <c r="AE836" i="63"/>
  <c r="AC837" i="63"/>
  <c r="AE837" i="63"/>
  <c r="AC838" i="63"/>
  <c r="AE838" i="63"/>
  <c r="AC839" i="63"/>
  <c r="AE839" i="63"/>
  <c r="AC840" i="63"/>
  <c r="AE840" i="63"/>
  <c r="AC841" i="63"/>
  <c r="AE841" i="63"/>
  <c r="AC842" i="63"/>
  <c r="AE842" i="63"/>
  <c r="AC843" i="63"/>
  <c r="AE843" i="63"/>
  <c r="AC844" i="63"/>
  <c r="AE844" i="63"/>
  <c r="AC845" i="63"/>
  <c r="AE845" i="63"/>
  <c r="AC846" i="63"/>
  <c r="AE846" i="63"/>
  <c r="AC847" i="63"/>
  <c r="AE847" i="63"/>
  <c r="AC848" i="63"/>
  <c r="AE848" i="63"/>
  <c r="AC849" i="63"/>
  <c r="AE849" i="63"/>
  <c r="AF849" i="63"/>
  <c r="AC850" i="63"/>
  <c r="AE850" i="63"/>
  <c r="AF850" i="63"/>
  <c r="AC851" i="63"/>
  <c r="AE851" i="63"/>
  <c r="AF851" i="63"/>
  <c r="AC852" i="63"/>
  <c r="AE852" i="63"/>
  <c r="AF852" i="63"/>
  <c r="AC853" i="63"/>
  <c r="AE853" i="63"/>
  <c r="AF853" i="63"/>
  <c r="AC854" i="63"/>
  <c r="AE854" i="63"/>
  <c r="AF854" i="63"/>
  <c r="AC855" i="63"/>
  <c r="AE855" i="63"/>
  <c r="AF855" i="63"/>
  <c r="AC856" i="63"/>
  <c r="AE856" i="63"/>
  <c r="AF856" i="63"/>
  <c r="AC857" i="63"/>
  <c r="AE857" i="63"/>
  <c r="AF857" i="63"/>
  <c r="AC858" i="63"/>
  <c r="AE858" i="63"/>
  <c r="AF858" i="63"/>
  <c r="AC859" i="63"/>
  <c r="AE859" i="63"/>
  <c r="AF859" i="63"/>
  <c r="AC860" i="63"/>
  <c r="AE860" i="63"/>
  <c r="AF860" i="63"/>
  <c r="AC861" i="63"/>
  <c r="AE861" i="63"/>
  <c r="AF861" i="63"/>
  <c r="AC862" i="63"/>
  <c r="AE862" i="63"/>
  <c r="AF862" i="63"/>
  <c r="AC863" i="63"/>
  <c r="AE863" i="63"/>
  <c r="AF863" i="63"/>
  <c r="AC864" i="63"/>
  <c r="AE864" i="63"/>
  <c r="AF864" i="63"/>
  <c r="AC865" i="63"/>
  <c r="AE865" i="63"/>
  <c r="AF865" i="63"/>
  <c r="AC866" i="63"/>
  <c r="AE866" i="63"/>
  <c r="AF866" i="63"/>
  <c r="AC867" i="63"/>
  <c r="AE867" i="63"/>
  <c r="AF867" i="63"/>
  <c r="AC868" i="63"/>
  <c r="AE868" i="63"/>
  <c r="AF868" i="63"/>
  <c r="AC869" i="63"/>
  <c r="AE869" i="63"/>
  <c r="AF869" i="63"/>
  <c r="AC870" i="63"/>
  <c r="AE870" i="63"/>
  <c r="AF870" i="63"/>
  <c r="AC871" i="63"/>
  <c r="AE871" i="63"/>
  <c r="AF871" i="63"/>
  <c r="AC872" i="63"/>
  <c r="AE872" i="63"/>
  <c r="AF872" i="63"/>
  <c r="AC873" i="63"/>
  <c r="AE873" i="63"/>
  <c r="AF873" i="63"/>
  <c r="AC874" i="63"/>
  <c r="AE874" i="63"/>
  <c r="AF874" i="63"/>
  <c r="AC875" i="63"/>
  <c r="AE875" i="63"/>
  <c r="AF875" i="63"/>
  <c r="AC876" i="63"/>
  <c r="AE876" i="63"/>
  <c r="AF876" i="63"/>
  <c r="AC877" i="63"/>
  <c r="AE877" i="63"/>
  <c r="AF877" i="63"/>
  <c r="AC878" i="63"/>
  <c r="AE878" i="63"/>
  <c r="AF878" i="63"/>
  <c r="AC879" i="63"/>
  <c r="AE879" i="63"/>
  <c r="AF879" i="63"/>
  <c r="AC880" i="63"/>
  <c r="AE880" i="63"/>
  <c r="AF880" i="63"/>
  <c r="AC881" i="63"/>
  <c r="AE881" i="63"/>
  <c r="AF881" i="63"/>
  <c r="AC882" i="63"/>
  <c r="AE882" i="63"/>
  <c r="AF882" i="63"/>
  <c r="AC883" i="63"/>
  <c r="AE883" i="63"/>
  <c r="AF883" i="63"/>
  <c r="AC884" i="63"/>
  <c r="AE884" i="63"/>
  <c r="AF884" i="63"/>
  <c r="AC885" i="63"/>
  <c r="AE885" i="63"/>
  <c r="AF885" i="63"/>
  <c r="AC886" i="63"/>
  <c r="AE886" i="63"/>
  <c r="AF886" i="63"/>
  <c r="AC887" i="63"/>
  <c r="AE887" i="63"/>
  <c r="AF887" i="63"/>
  <c r="AC888" i="63"/>
  <c r="AE888" i="63"/>
  <c r="AF888" i="63"/>
  <c r="AC889" i="63"/>
  <c r="AE889" i="63"/>
  <c r="AF889" i="63"/>
  <c r="AC890" i="63"/>
  <c r="AE890" i="63"/>
  <c r="AF890" i="63"/>
  <c r="AF57" i="63"/>
  <c r="AE57" i="63"/>
  <c r="AC57" i="63"/>
  <c r="S58" i="63"/>
  <c r="S59" i="63"/>
  <c r="S60" i="63"/>
  <c r="S61" i="63"/>
  <c r="S62" i="63"/>
  <c r="S63" i="63"/>
  <c r="S64" i="63"/>
  <c r="S65" i="63"/>
  <c r="S66" i="63"/>
  <c r="S67" i="63"/>
  <c r="S68" i="63"/>
  <c r="S69" i="63"/>
  <c r="S70" i="63"/>
  <c r="S71" i="63"/>
  <c r="S72" i="63"/>
  <c r="S73" i="63"/>
  <c r="S74" i="63"/>
  <c r="S75" i="63"/>
  <c r="S76" i="63"/>
  <c r="S77" i="63"/>
  <c r="S78" i="63"/>
  <c r="S79" i="63"/>
  <c r="S80" i="63"/>
  <c r="S81" i="63"/>
  <c r="S82" i="63"/>
  <c r="S83" i="63"/>
  <c r="S84" i="63"/>
  <c r="S85" i="63"/>
  <c r="S86" i="63"/>
  <c r="S87" i="63"/>
  <c r="S88" i="63"/>
  <c r="S89" i="63"/>
  <c r="S90" i="63"/>
  <c r="S91" i="63"/>
  <c r="S92" i="63"/>
  <c r="S93" i="63"/>
  <c r="S94" i="63"/>
  <c r="S95" i="63"/>
  <c r="S96" i="63"/>
  <c r="S97" i="63"/>
  <c r="S98" i="63"/>
  <c r="S99" i="63"/>
  <c r="S100" i="63"/>
  <c r="S101" i="63"/>
  <c r="S102" i="63"/>
  <c r="S103" i="63"/>
  <c r="S104" i="63"/>
  <c r="S105" i="63"/>
  <c r="S106" i="63"/>
  <c r="S107" i="63"/>
  <c r="S108" i="63"/>
  <c r="S109" i="63"/>
  <c r="S110" i="63"/>
  <c r="S111" i="63"/>
  <c r="S112" i="63"/>
  <c r="S113" i="63"/>
  <c r="S114" i="63"/>
  <c r="S115" i="63"/>
  <c r="S116" i="63"/>
  <c r="S117" i="63"/>
  <c r="S118" i="63"/>
  <c r="S119" i="63"/>
  <c r="S120" i="63"/>
  <c r="S121" i="63"/>
  <c r="S122" i="63"/>
  <c r="S123" i="63"/>
  <c r="S124" i="63"/>
  <c r="S125" i="63"/>
  <c r="S126" i="63"/>
  <c r="S127" i="63"/>
  <c r="S128" i="63"/>
  <c r="S129" i="63"/>
  <c r="S130" i="63"/>
  <c r="S131" i="63"/>
  <c r="S132" i="63"/>
  <c r="S133" i="63"/>
  <c r="S134" i="63"/>
  <c r="S135" i="63"/>
  <c r="S136" i="63"/>
  <c r="S137" i="63"/>
  <c r="S138" i="63"/>
  <c r="S139" i="63"/>
  <c r="S140" i="63"/>
  <c r="S141" i="63"/>
  <c r="S142" i="63"/>
  <c r="S143" i="63"/>
  <c r="S144" i="63"/>
  <c r="S145" i="63"/>
  <c r="S146" i="63"/>
  <c r="S147" i="63"/>
  <c r="S148" i="63"/>
  <c r="S149" i="63"/>
  <c r="S150" i="63"/>
  <c r="S151" i="63"/>
  <c r="S152" i="63"/>
  <c r="S153" i="63"/>
  <c r="S154" i="63"/>
  <c r="S155" i="63"/>
  <c r="S156" i="63"/>
  <c r="S157" i="63"/>
  <c r="S158" i="63"/>
  <c r="S159" i="63"/>
  <c r="S160" i="63"/>
  <c r="S161" i="63"/>
  <c r="S162" i="63"/>
  <c r="S163" i="63"/>
  <c r="S164" i="63"/>
  <c r="S165" i="63"/>
  <c r="S166" i="63"/>
  <c r="S167" i="63"/>
  <c r="S168" i="63"/>
  <c r="S169" i="63"/>
  <c r="S170" i="63"/>
  <c r="S171" i="63"/>
  <c r="S172" i="63"/>
  <c r="S173" i="63"/>
  <c r="S174" i="63"/>
  <c r="S175" i="63"/>
  <c r="S176" i="63"/>
  <c r="S177" i="63"/>
  <c r="S178" i="63"/>
  <c r="S179" i="63"/>
  <c r="S180" i="63"/>
  <c r="S181" i="63"/>
  <c r="S182" i="63"/>
  <c r="S183" i="63"/>
  <c r="S184" i="63"/>
  <c r="S185" i="63"/>
  <c r="S186" i="63"/>
  <c r="S187" i="63"/>
  <c r="S188" i="63"/>
  <c r="S189" i="63"/>
  <c r="S190" i="63"/>
  <c r="S191" i="63"/>
  <c r="S192" i="63"/>
  <c r="S193" i="63"/>
  <c r="S194" i="63"/>
  <c r="S195" i="63"/>
  <c r="S196" i="63"/>
  <c r="S197" i="63"/>
  <c r="S198" i="63"/>
  <c r="S199" i="63"/>
  <c r="S200" i="63"/>
  <c r="S201" i="63"/>
  <c r="S202" i="63"/>
  <c r="S203" i="63"/>
  <c r="S204" i="63"/>
  <c r="S205" i="63"/>
  <c r="S206" i="63"/>
  <c r="S207" i="63"/>
  <c r="S208" i="63"/>
  <c r="S209" i="63"/>
  <c r="S210" i="63"/>
  <c r="S211" i="63"/>
  <c r="S212" i="63"/>
  <c r="S213" i="63"/>
  <c r="S214" i="63"/>
  <c r="S215" i="63"/>
  <c r="S216" i="63"/>
  <c r="S217" i="63"/>
  <c r="S218" i="63"/>
  <c r="S219" i="63"/>
  <c r="S220" i="63"/>
  <c r="S221" i="63"/>
  <c r="S222" i="63"/>
  <c r="S223" i="63"/>
  <c r="S224" i="63"/>
  <c r="S225" i="63"/>
  <c r="S226" i="63"/>
  <c r="S227" i="63"/>
  <c r="S228" i="63"/>
  <c r="S229" i="63"/>
  <c r="S230" i="63"/>
  <c r="S231" i="63"/>
  <c r="S232" i="63"/>
  <c r="S233" i="63"/>
  <c r="S234" i="63"/>
  <c r="S235" i="63"/>
  <c r="S236" i="63"/>
  <c r="S237" i="63"/>
  <c r="S238" i="63"/>
  <c r="S239" i="63"/>
  <c r="S240" i="63"/>
  <c r="S241" i="63"/>
  <c r="S242" i="63"/>
  <c r="S243" i="63"/>
  <c r="S244" i="63"/>
  <c r="S245" i="63"/>
  <c r="S246" i="63"/>
  <c r="S247" i="63"/>
  <c r="S248" i="63"/>
  <c r="S249" i="63"/>
  <c r="S250" i="63"/>
  <c r="S251" i="63"/>
  <c r="S252" i="63"/>
  <c r="S253" i="63"/>
  <c r="S254" i="63"/>
  <c r="S255" i="63"/>
  <c r="S256" i="63"/>
  <c r="S257" i="63"/>
  <c r="S258" i="63"/>
  <c r="S259" i="63"/>
  <c r="S260" i="63"/>
  <c r="S261" i="63"/>
  <c r="S262" i="63"/>
  <c r="S263" i="63"/>
  <c r="S264" i="63"/>
  <c r="S265" i="63"/>
  <c r="S266" i="63"/>
  <c r="S267" i="63"/>
  <c r="S268" i="63"/>
  <c r="S269" i="63"/>
  <c r="S270" i="63"/>
  <c r="S271" i="63"/>
  <c r="S272" i="63"/>
  <c r="S273" i="63"/>
  <c r="S274" i="63"/>
  <c r="S275" i="63"/>
  <c r="S276" i="63"/>
  <c r="S277" i="63"/>
  <c r="S278" i="63"/>
  <c r="S279" i="63"/>
  <c r="S280" i="63"/>
  <c r="S281" i="63"/>
  <c r="S282" i="63"/>
  <c r="S283" i="63"/>
  <c r="S284" i="63"/>
  <c r="S285" i="63"/>
  <c r="S286" i="63"/>
  <c r="S287" i="63"/>
  <c r="S288" i="63"/>
  <c r="S289" i="63"/>
  <c r="S290" i="63"/>
  <c r="S291" i="63"/>
  <c r="S292" i="63"/>
  <c r="S293" i="63"/>
  <c r="S294" i="63"/>
  <c r="S295" i="63"/>
  <c r="S296" i="63"/>
  <c r="S297" i="63"/>
  <c r="S298" i="63"/>
  <c r="S299" i="63"/>
  <c r="S300" i="63"/>
  <c r="S301" i="63"/>
  <c r="S302" i="63"/>
  <c r="S303" i="63"/>
  <c r="S304" i="63"/>
  <c r="S305" i="63"/>
  <c r="S306" i="63"/>
  <c r="S307" i="63"/>
  <c r="S308" i="63"/>
  <c r="S309" i="63"/>
  <c r="S310" i="63"/>
  <c r="S311" i="63"/>
  <c r="S312" i="63"/>
  <c r="S313" i="63"/>
  <c r="S314" i="63"/>
  <c r="S315" i="63"/>
  <c r="S316" i="63"/>
  <c r="S317" i="63"/>
  <c r="S318" i="63"/>
  <c r="S319" i="63"/>
  <c r="S320" i="63"/>
  <c r="S321" i="63"/>
  <c r="S322" i="63"/>
  <c r="S323" i="63"/>
  <c r="S324" i="63"/>
  <c r="S325" i="63"/>
  <c r="S326" i="63"/>
  <c r="S327" i="63"/>
  <c r="S328" i="63"/>
  <c r="S329" i="63"/>
  <c r="S330" i="63"/>
  <c r="S331" i="63"/>
  <c r="S332" i="63"/>
  <c r="S333" i="63"/>
  <c r="S334" i="63"/>
  <c r="S335" i="63"/>
  <c r="S336" i="63"/>
  <c r="S337" i="63"/>
  <c r="S338" i="63"/>
  <c r="S339" i="63"/>
  <c r="S340" i="63"/>
  <c r="S341" i="63"/>
  <c r="S342" i="63"/>
  <c r="S343" i="63"/>
  <c r="S344" i="63"/>
  <c r="S345" i="63"/>
  <c r="S346" i="63"/>
  <c r="S347" i="63"/>
  <c r="S348" i="63"/>
  <c r="S349" i="63"/>
  <c r="S350" i="63"/>
  <c r="S351" i="63"/>
  <c r="S352" i="63"/>
  <c r="S353" i="63"/>
  <c r="S354" i="63"/>
  <c r="S355" i="63"/>
  <c r="S356" i="63"/>
  <c r="S357" i="63"/>
  <c r="S358" i="63"/>
  <c r="S359" i="63"/>
  <c r="S360" i="63"/>
  <c r="S361" i="63"/>
  <c r="S362" i="63"/>
  <c r="S363" i="63"/>
  <c r="S364" i="63"/>
  <c r="S365" i="63"/>
  <c r="S366" i="63"/>
  <c r="S367" i="63"/>
  <c r="S368" i="63"/>
  <c r="S369" i="63"/>
  <c r="S370" i="63"/>
  <c r="S371" i="63"/>
  <c r="S372" i="63"/>
  <c r="S373" i="63"/>
  <c r="S374" i="63"/>
  <c r="S375" i="63"/>
  <c r="S376" i="63"/>
  <c r="S377" i="63"/>
  <c r="S378" i="63"/>
  <c r="S379" i="63"/>
  <c r="S380" i="63"/>
  <c r="S381" i="63"/>
  <c r="S382" i="63"/>
  <c r="S383" i="63"/>
  <c r="S384" i="63"/>
  <c r="S385" i="63"/>
  <c r="S386" i="63"/>
  <c r="S387" i="63"/>
  <c r="S388" i="63"/>
  <c r="S389" i="63"/>
  <c r="S390" i="63"/>
  <c r="S391" i="63"/>
  <c r="S392" i="63"/>
  <c r="S393" i="63"/>
  <c r="S394" i="63"/>
  <c r="S395" i="63"/>
  <c r="S396" i="63"/>
  <c r="S397" i="63"/>
  <c r="S398" i="63"/>
  <c r="S399" i="63"/>
  <c r="S400" i="63"/>
  <c r="S401" i="63"/>
  <c r="S402" i="63"/>
  <c r="S403" i="63"/>
  <c r="S404" i="63"/>
  <c r="S405" i="63"/>
  <c r="S406" i="63"/>
  <c r="S407" i="63"/>
  <c r="S408" i="63"/>
  <c r="S409" i="63"/>
  <c r="S410" i="63"/>
  <c r="S411" i="63"/>
  <c r="S412" i="63"/>
  <c r="S413" i="63"/>
  <c r="S414" i="63"/>
  <c r="S415" i="63"/>
  <c r="S416" i="63"/>
  <c r="S417" i="63"/>
  <c r="S418" i="63"/>
  <c r="S419" i="63"/>
  <c r="S420" i="63"/>
  <c r="S421" i="63"/>
  <c r="S422" i="63"/>
  <c r="S423" i="63"/>
  <c r="S424" i="63"/>
  <c r="S425" i="63"/>
  <c r="S426" i="63"/>
  <c r="S427" i="63"/>
  <c r="S428" i="63"/>
  <c r="S429" i="63"/>
  <c r="S430" i="63"/>
  <c r="S431" i="63"/>
  <c r="S432" i="63"/>
  <c r="S433" i="63"/>
  <c r="S434" i="63"/>
  <c r="S435" i="63"/>
  <c r="S436" i="63"/>
  <c r="S437" i="63"/>
  <c r="S438" i="63"/>
  <c r="S439" i="63"/>
  <c r="S440" i="63"/>
  <c r="S441" i="63"/>
  <c r="S442" i="63"/>
  <c r="S443" i="63"/>
  <c r="S444" i="63"/>
  <c r="S445" i="63"/>
  <c r="S446" i="63"/>
  <c r="S447" i="63"/>
  <c r="S448" i="63"/>
  <c r="S449" i="63"/>
  <c r="S450" i="63"/>
  <c r="S451" i="63"/>
  <c r="S452" i="63"/>
  <c r="S453" i="63"/>
  <c r="S454" i="63"/>
  <c r="S455" i="63"/>
  <c r="S456" i="63"/>
  <c r="S457" i="63"/>
  <c r="S458" i="63"/>
  <c r="S459" i="63"/>
  <c r="S460" i="63"/>
  <c r="S461" i="63"/>
  <c r="S462" i="63"/>
  <c r="S463" i="63"/>
  <c r="S464" i="63"/>
  <c r="S465" i="63"/>
  <c r="S466" i="63"/>
  <c r="S467" i="63"/>
  <c r="S468" i="63"/>
  <c r="S469" i="63"/>
  <c r="S470" i="63"/>
  <c r="S471" i="63"/>
  <c r="S472" i="63"/>
  <c r="S473" i="63"/>
  <c r="S474" i="63"/>
  <c r="S475" i="63"/>
  <c r="S476" i="63"/>
  <c r="S477" i="63"/>
  <c r="S478" i="63"/>
  <c r="S479" i="63"/>
  <c r="S480" i="63"/>
  <c r="S481" i="63"/>
  <c r="S482" i="63"/>
  <c r="S483" i="63"/>
  <c r="S484" i="63"/>
  <c r="S485" i="63"/>
  <c r="S486" i="63"/>
  <c r="S487" i="63"/>
  <c r="S488" i="63"/>
  <c r="S489" i="63"/>
  <c r="S490" i="63"/>
  <c r="S491" i="63"/>
  <c r="S492" i="63"/>
  <c r="S493" i="63"/>
  <c r="S494" i="63"/>
  <c r="S495" i="63"/>
  <c r="S496" i="63"/>
  <c r="S497" i="63"/>
  <c r="S498" i="63"/>
  <c r="S499" i="63"/>
  <c r="S500" i="63"/>
  <c r="S501" i="63"/>
  <c r="S502" i="63"/>
  <c r="S503" i="63"/>
  <c r="S504" i="63"/>
  <c r="S505" i="63"/>
  <c r="S506" i="63"/>
  <c r="S507" i="63"/>
  <c r="S508" i="63"/>
  <c r="S509" i="63"/>
  <c r="S510" i="63"/>
  <c r="S511" i="63"/>
  <c r="S512" i="63"/>
  <c r="S513" i="63"/>
  <c r="S514" i="63"/>
  <c r="S515" i="63"/>
  <c r="S516" i="63"/>
  <c r="S517" i="63"/>
  <c r="S518" i="63"/>
  <c r="S519" i="63"/>
  <c r="S520" i="63"/>
  <c r="S521" i="63"/>
  <c r="S522" i="63"/>
  <c r="S523" i="63"/>
  <c r="S524" i="63"/>
  <c r="S525" i="63"/>
  <c r="S526" i="63"/>
  <c r="S527" i="63"/>
  <c r="S528" i="63"/>
  <c r="S529" i="63"/>
  <c r="S530" i="63"/>
  <c r="S531" i="63"/>
  <c r="S532" i="63"/>
  <c r="S533" i="63"/>
  <c r="S534" i="63"/>
  <c r="S535" i="63"/>
  <c r="S536" i="63"/>
  <c r="S537" i="63"/>
  <c r="S538" i="63"/>
  <c r="S539" i="63"/>
  <c r="S540" i="63"/>
  <c r="S541" i="63"/>
  <c r="S542" i="63"/>
  <c r="S543" i="63"/>
  <c r="S544" i="63"/>
  <c r="S545" i="63"/>
  <c r="S546" i="63"/>
  <c r="S547" i="63"/>
  <c r="S548" i="63"/>
  <c r="S549" i="63"/>
  <c r="S550" i="63"/>
  <c r="S551" i="63"/>
  <c r="S552" i="63"/>
  <c r="S553" i="63"/>
  <c r="S554" i="63"/>
  <c r="S555" i="63"/>
  <c r="S556" i="63"/>
  <c r="S557" i="63"/>
  <c r="S558" i="63"/>
  <c r="S559" i="63"/>
  <c r="S560" i="63"/>
  <c r="S561" i="63"/>
  <c r="S562" i="63"/>
  <c r="S563" i="63"/>
  <c r="S564" i="63"/>
  <c r="S565" i="63"/>
  <c r="S566" i="63"/>
  <c r="S567" i="63"/>
  <c r="S568" i="63"/>
  <c r="S569" i="63"/>
  <c r="S570" i="63"/>
  <c r="S571" i="63"/>
  <c r="S572" i="63"/>
  <c r="S573" i="63"/>
  <c r="S574" i="63"/>
  <c r="S575" i="63"/>
  <c r="S576" i="63"/>
  <c r="S577" i="63"/>
  <c r="S578" i="63"/>
  <c r="S579" i="63"/>
  <c r="S580" i="63"/>
  <c r="S581" i="63"/>
  <c r="S582" i="63"/>
  <c r="S583" i="63"/>
  <c r="S584" i="63"/>
  <c r="S585" i="63"/>
  <c r="S586" i="63"/>
  <c r="S587" i="63"/>
  <c r="S588" i="63"/>
  <c r="S589" i="63"/>
  <c r="S590" i="63"/>
  <c r="S591" i="63"/>
  <c r="S592" i="63"/>
  <c r="S593" i="63"/>
  <c r="S594" i="63"/>
  <c r="S595" i="63"/>
  <c r="S596" i="63"/>
  <c r="S597" i="63"/>
  <c r="S598" i="63"/>
  <c r="S599" i="63"/>
  <c r="S600" i="63"/>
  <c r="S601" i="63"/>
  <c r="S602" i="63"/>
  <c r="S603" i="63"/>
  <c r="S604" i="63"/>
  <c r="S605" i="63"/>
  <c r="S606" i="63"/>
  <c r="S607" i="63"/>
  <c r="S608" i="63"/>
  <c r="S609" i="63"/>
  <c r="S610" i="63"/>
  <c r="S611" i="63"/>
  <c r="S612" i="63"/>
  <c r="S613" i="63"/>
  <c r="S614" i="63"/>
  <c r="S615" i="63"/>
  <c r="S616" i="63"/>
  <c r="S617" i="63"/>
  <c r="S618" i="63"/>
  <c r="S619" i="63"/>
  <c r="S620" i="63"/>
  <c r="S621" i="63"/>
  <c r="S622" i="63"/>
  <c r="S623" i="63"/>
  <c r="S624" i="63"/>
  <c r="S625" i="63"/>
  <c r="S626" i="63"/>
  <c r="S627" i="63"/>
  <c r="S628" i="63"/>
  <c r="S629" i="63"/>
  <c r="S630" i="63"/>
  <c r="S631" i="63"/>
  <c r="S632" i="63"/>
  <c r="S633" i="63"/>
  <c r="S634" i="63"/>
  <c r="S635" i="63"/>
  <c r="S636" i="63"/>
  <c r="S637" i="63"/>
  <c r="S638" i="63"/>
  <c r="S639" i="63"/>
  <c r="S640" i="63"/>
  <c r="S641" i="63"/>
  <c r="S642" i="63"/>
  <c r="S643" i="63"/>
  <c r="S644" i="63"/>
  <c r="S645" i="63"/>
  <c r="S646" i="63"/>
  <c r="S647" i="63"/>
  <c r="S648" i="63"/>
  <c r="S649" i="63"/>
  <c r="S650" i="63"/>
  <c r="S651" i="63"/>
  <c r="S652" i="63"/>
  <c r="S653" i="63"/>
  <c r="S654" i="63"/>
  <c r="S655" i="63"/>
  <c r="S656" i="63"/>
  <c r="S657" i="63"/>
  <c r="S658" i="63"/>
  <c r="S659" i="63"/>
  <c r="S660" i="63"/>
  <c r="S661" i="63"/>
  <c r="S662" i="63"/>
  <c r="S663" i="63"/>
  <c r="S664" i="63"/>
  <c r="S665" i="63"/>
  <c r="S666" i="63"/>
  <c r="S667" i="63"/>
  <c r="S668" i="63"/>
  <c r="S669" i="63"/>
  <c r="S670" i="63"/>
  <c r="S671" i="63"/>
  <c r="S672" i="63"/>
  <c r="S673" i="63"/>
  <c r="S674" i="63"/>
  <c r="S675" i="63"/>
  <c r="S676" i="63"/>
  <c r="S677" i="63"/>
  <c r="S678" i="63"/>
  <c r="S679" i="63"/>
  <c r="S680" i="63"/>
  <c r="S681" i="63"/>
  <c r="S682" i="63"/>
  <c r="S683" i="63"/>
  <c r="S684" i="63"/>
  <c r="S685" i="63"/>
  <c r="S686" i="63"/>
  <c r="S687" i="63"/>
  <c r="S688" i="63"/>
  <c r="S689" i="63"/>
  <c r="S690" i="63"/>
  <c r="S691" i="63"/>
  <c r="S692" i="63"/>
  <c r="S693" i="63"/>
  <c r="S694" i="63"/>
  <c r="S695" i="63"/>
  <c r="S696" i="63"/>
  <c r="S697" i="63"/>
  <c r="S698" i="63"/>
  <c r="S699" i="63"/>
  <c r="S700" i="63"/>
  <c r="S701" i="63"/>
  <c r="S702" i="63"/>
  <c r="S703" i="63"/>
  <c r="S704" i="63"/>
  <c r="S705" i="63"/>
  <c r="S706" i="63"/>
  <c r="S707" i="63"/>
  <c r="S708" i="63"/>
  <c r="S709" i="63"/>
  <c r="S710" i="63"/>
  <c r="S711" i="63"/>
  <c r="S712" i="63"/>
  <c r="S713" i="63"/>
  <c r="S714" i="63"/>
  <c r="S715" i="63"/>
  <c r="S716" i="63"/>
  <c r="S717" i="63"/>
  <c r="S718" i="63"/>
  <c r="S719" i="63"/>
  <c r="S720" i="63"/>
  <c r="S721" i="63"/>
  <c r="S722" i="63"/>
  <c r="S723" i="63"/>
  <c r="S724" i="63"/>
  <c r="S725" i="63"/>
  <c r="S726" i="63"/>
  <c r="S727" i="63"/>
  <c r="S728" i="63"/>
  <c r="S729" i="63"/>
  <c r="S730" i="63"/>
  <c r="S731" i="63"/>
  <c r="S732" i="63"/>
  <c r="S733" i="63"/>
  <c r="S734" i="63"/>
  <c r="S735" i="63"/>
  <c r="S736" i="63"/>
  <c r="S737" i="63"/>
  <c r="S738" i="63"/>
  <c r="S739" i="63"/>
  <c r="S740" i="63"/>
  <c r="S741" i="63"/>
  <c r="S742" i="63"/>
  <c r="S743" i="63"/>
  <c r="S744" i="63"/>
  <c r="S745" i="63"/>
  <c r="S746" i="63"/>
  <c r="S747" i="63"/>
  <c r="S748" i="63"/>
  <c r="S749" i="63"/>
  <c r="S750" i="63"/>
  <c r="S751" i="63"/>
  <c r="S752" i="63"/>
  <c r="S753" i="63"/>
  <c r="S754" i="63"/>
  <c r="S755" i="63"/>
  <c r="S756" i="63"/>
  <c r="S757" i="63"/>
  <c r="S758" i="63"/>
  <c r="S759" i="63"/>
  <c r="S760" i="63"/>
  <c r="S761" i="63"/>
  <c r="S762" i="63"/>
  <c r="S763" i="63"/>
  <c r="S764" i="63"/>
  <c r="S765" i="63"/>
  <c r="S766" i="63"/>
  <c r="S767" i="63"/>
  <c r="S768" i="63"/>
  <c r="S769" i="63"/>
  <c r="S770" i="63"/>
  <c r="S771" i="63"/>
  <c r="S772" i="63"/>
  <c r="S773" i="63"/>
  <c r="S774" i="63"/>
  <c r="S775" i="63"/>
  <c r="S776" i="63"/>
  <c r="S777" i="63"/>
  <c r="S778" i="63"/>
  <c r="S779" i="63"/>
  <c r="S780" i="63"/>
  <c r="S781" i="63"/>
  <c r="S782" i="63"/>
  <c r="S783" i="63"/>
  <c r="S784" i="63"/>
  <c r="S785" i="63"/>
  <c r="S786" i="63"/>
  <c r="S787" i="63"/>
  <c r="S788" i="63"/>
  <c r="S789" i="63"/>
  <c r="S790" i="63"/>
  <c r="S791" i="63"/>
  <c r="S792" i="63"/>
  <c r="S793" i="63"/>
  <c r="S794" i="63"/>
  <c r="S795" i="63"/>
  <c r="S796" i="63"/>
  <c r="S797" i="63"/>
  <c r="S798" i="63"/>
  <c r="S799" i="63"/>
  <c r="S800" i="63"/>
  <c r="S801" i="63"/>
  <c r="S802" i="63"/>
  <c r="S803" i="63"/>
  <c r="S804" i="63"/>
  <c r="S805" i="63"/>
  <c r="S806" i="63"/>
  <c r="S807" i="63"/>
  <c r="S808" i="63"/>
  <c r="S809" i="63"/>
  <c r="S810" i="63"/>
  <c r="S811" i="63"/>
  <c r="S812" i="63"/>
  <c r="S813" i="63"/>
  <c r="S814" i="63"/>
  <c r="S815" i="63"/>
  <c r="S816" i="63"/>
  <c r="S817" i="63"/>
  <c r="S818" i="63"/>
  <c r="S819" i="63"/>
  <c r="S820" i="63"/>
  <c r="S821" i="63"/>
  <c r="S822" i="63"/>
  <c r="S823" i="63"/>
  <c r="S824" i="63"/>
  <c r="S825" i="63"/>
  <c r="S826" i="63"/>
  <c r="S827" i="63"/>
  <c r="S828" i="63"/>
  <c r="S829" i="63"/>
  <c r="S830" i="63"/>
  <c r="S831" i="63"/>
  <c r="S832" i="63"/>
  <c r="S833" i="63"/>
  <c r="S834" i="63"/>
  <c r="S835" i="63"/>
  <c r="S836" i="63"/>
  <c r="S837" i="63"/>
  <c r="S838" i="63"/>
  <c r="S839" i="63"/>
  <c r="S840" i="63"/>
  <c r="S841" i="63"/>
  <c r="S842" i="63"/>
  <c r="S843" i="63"/>
  <c r="S844" i="63"/>
  <c r="S845" i="63"/>
  <c r="S846" i="63"/>
  <c r="S847" i="63"/>
  <c r="S848" i="63"/>
  <c r="S849" i="63"/>
  <c r="S850" i="63"/>
  <c r="S851" i="63"/>
  <c r="S852" i="63"/>
  <c r="S853" i="63"/>
  <c r="S854" i="63"/>
  <c r="S855" i="63"/>
  <c r="S856" i="63"/>
  <c r="S857" i="63"/>
  <c r="S858" i="63"/>
  <c r="S859" i="63"/>
  <c r="S860" i="63"/>
  <c r="S861" i="63"/>
  <c r="S862" i="63"/>
  <c r="S863" i="63"/>
  <c r="S864" i="63"/>
  <c r="S865" i="63"/>
  <c r="S866" i="63"/>
  <c r="S867" i="63"/>
  <c r="S868" i="63"/>
  <c r="S869" i="63"/>
  <c r="S870" i="63"/>
  <c r="S871" i="63"/>
  <c r="S872" i="63"/>
  <c r="S873" i="63"/>
  <c r="S874" i="63"/>
  <c r="S875" i="63"/>
  <c r="S876" i="63"/>
  <c r="S877" i="63"/>
  <c r="S878" i="63"/>
  <c r="S879" i="63"/>
  <c r="S880" i="63"/>
  <c r="S881" i="63"/>
  <c r="S882" i="63"/>
  <c r="S883" i="63"/>
  <c r="S884" i="63"/>
  <c r="S885" i="63"/>
  <c r="S886" i="63"/>
  <c r="S887" i="63"/>
  <c r="S888" i="63"/>
  <c r="S889" i="63"/>
  <c r="S890" i="63"/>
  <c r="S57" i="63"/>
  <c r="D20" i="66" l="1"/>
  <c r="H48" i="66"/>
  <c r="K48" i="66" s="1"/>
  <c r="O20" i="66"/>
  <c r="I48" i="66"/>
  <c r="L48" i="66" s="1"/>
  <c r="J48" i="66"/>
  <c r="Y6" i="63"/>
  <c r="Z6" i="63"/>
  <c r="AA6" i="63"/>
  <c r="Y7" i="63"/>
  <c r="Z7" i="63"/>
  <c r="AA7" i="63"/>
  <c r="Y8" i="63"/>
  <c r="Z8" i="63"/>
  <c r="AA8" i="63"/>
  <c r="Y9" i="63"/>
  <c r="Z9" i="63"/>
  <c r="AA9" i="63"/>
  <c r="Y10" i="63"/>
  <c r="Z10" i="63"/>
  <c r="AA10" i="63"/>
  <c r="Y11" i="63"/>
  <c r="Z11" i="63"/>
  <c r="AA11" i="63"/>
  <c r="Y12" i="63"/>
  <c r="Z12" i="63"/>
  <c r="AA12" i="63"/>
  <c r="Y13" i="63"/>
  <c r="Z13" i="63"/>
  <c r="AA13" i="63"/>
  <c r="Y14" i="63"/>
  <c r="Z14" i="63"/>
  <c r="AA14" i="63"/>
  <c r="Y15" i="63"/>
  <c r="Z15" i="63"/>
  <c r="AA15" i="63"/>
  <c r="Y16" i="63"/>
  <c r="Z16" i="63"/>
  <c r="AA16" i="63"/>
  <c r="Y17" i="63"/>
  <c r="Z17" i="63"/>
  <c r="AA17" i="63"/>
  <c r="Y18" i="63"/>
  <c r="Z18" i="63"/>
  <c r="AA18" i="63"/>
  <c r="Y19" i="63"/>
  <c r="Z19" i="63"/>
  <c r="AA19" i="63"/>
  <c r="Y20" i="63"/>
  <c r="Z20" i="63"/>
  <c r="AA20" i="63"/>
  <c r="Y21" i="63"/>
  <c r="Z21" i="63"/>
  <c r="AA21" i="63"/>
  <c r="Y22" i="63"/>
  <c r="Z22" i="63"/>
  <c r="AA22" i="63"/>
  <c r="Y23" i="63"/>
  <c r="Z23" i="63"/>
  <c r="AA23" i="63"/>
  <c r="Y24" i="63"/>
  <c r="Z24" i="63"/>
  <c r="AA24" i="63"/>
  <c r="Y25" i="63"/>
  <c r="Z25" i="63"/>
  <c r="AA25" i="63"/>
  <c r="Y26" i="63"/>
  <c r="Z26" i="63"/>
  <c r="AA26" i="63"/>
  <c r="Y27" i="63"/>
  <c r="Z27" i="63"/>
  <c r="AA27" i="63"/>
  <c r="Y28" i="63"/>
  <c r="Z28" i="63"/>
  <c r="AA28" i="63"/>
  <c r="Y29" i="63"/>
  <c r="Z29" i="63"/>
  <c r="AA29" i="63"/>
  <c r="Y30" i="63"/>
  <c r="Z30" i="63"/>
  <c r="AA30" i="63"/>
  <c r="Y31" i="63"/>
  <c r="Z31" i="63"/>
  <c r="AA31" i="63"/>
  <c r="Y32" i="63"/>
  <c r="Z32" i="63"/>
  <c r="AA32" i="63"/>
  <c r="Y33" i="63"/>
  <c r="Z33" i="63"/>
  <c r="AA33" i="63"/>
  <c r="Y34" i="63"/>
  <c r="Z34" i="63"/>
  <c r="AA34" i="63"/>
  <c r="Y35" i="63"/>
  <c r="Z35" i="63"/>
  <c r="AA35" i="63"/>
  <c r="Y36" i="63"/>
  <c r="Z36" i="63"/>
  <c r="AA36" i="63"/>
  <c r="Y37" i="63"/>
  <c r="Z37" i="63"/>
  <c r="AA37" i="63"/>
  <c r="Y38" i="63"/>
  <c r="Z38" i="63"/>
  <c r="AA38" i="63"/>
  <c r="Y39" i="63"/>
  <c r="Z39" i="63"/>
  <c r="AA39" i="63"/>
  <c r="Y40" i="63"/>
  <c r="Z40" i="63"/>
  <c r="AA40" i="63"/>
  <c r="Y41" i="63"/>
  <c r="Z41" i="63"/>
  <c r="AA41" i="63"/>
  <c r="Y42" i="63"/>
  <c r="Z42" i="63"/>
  <c r="AA42" i="63"/>
  <c r="Y43" i="63"/>
  <c r="Z43" i="63"/>
  <c r="AA43" i="63"/>
  <c r="Y44" i="63"/>
  <c r="Z44" i="63"/>
  <c r="AA44" i="63"/>
  <c r="Y45" i="63"/>
  <c r="Z45" i="63"/>
  <c r="AA45" i="63"/>
  <c r="Y46" i="63"/>
  <c r="Z46" i="63"/>
  <c r="AA46" i="63"/>
  <c r="Z5" i="63"/>
  <c r="AA5" i="63"/>
  <c r="Y5" i="63"/>
  <c r="O48" i="66" l="1"/>
  <c r="D48" i="66"/>
  <c r="G21" i="66"/>
  <c r="I21" i="66" s="1"/>
  <c r="F20" i="66"/>
  <c r="L21" i="66" s="1"/>
  <c r="E20" i="66"/>
  <c r="J21" i="66"/>
  <c r="L4" i="63"/>
  <c r="F48" i="66" l="1"/>
  <c r="M48" i="66"/>
  <c r="N48" i="66" s="1"/>
  <c r="E48" i="66"/>
  <c r="G49" i="66"/>
  <c r="H21" i="66"/>
  <c r="K21" i="66"/>
  <c r="D21" i="66"/>
  <c r="X6" i="63"/>
  <c r="X7" i="63"/>
  <c r="X8" i="63"/>
  <c r="X9" i="63"/>
  <c r="X10" i="63"/>
  <c r="X11" i="63"/>
  <c r="X12" i="63"/>
  <c r="X13" i="63"/>
  <c r="X14" i="63"/>
  <c r="X15" i="63"/>
  <c r="X16" i="63"/>
  <c r="X17" i="63"/>
  <c r="X18" i="63"/>
  <c r="X19" i="63"/>
  <c r="X20" i="63"/>
  <c r="X21" i="63"/>
  <c r="X22" i="63"/>
  <c r="X23" i="63"/>
  <c r="X24" i="63"/>
  <c r="X25" i="63"/>
  <c r="X26" i="63"/>
  <c r="X27" i="63"/>
  <c r="X28" i="63"/>
  <c r="X29" i="63"/>
  <c r="X30" i="63"/>
  <c r="X31" i="63"/>
  <c r="X32" i="63"/>
  <c r="X33" i="63"/>
  <c r="X34" i="63"/>
  <c r="X35" i="63"/>
  <c r="X36" i="63"/>
  <c r="X37" i="63"/>
  <c r="X38" i="63"/>
  <c r="X39" i="63"/>
  <c r="X40" i="63"/>
  <c r="X41" i="63"/>
  <c r="X42" i="63"/>
  <c r="X43" i="63"/>
  <c r="X44" i="63"/>
  <c r="X45" i="63"/>
  <c r="X46" i="63"/>
  <c r="X5" i="63"/>
  <c r="O21" i="66" l="1"/>
  <c r="L49" i="66"/>
  <c r="H49" i="66"/>
  <c r="K49" i="66" s="1"/>
  <c r="D49" i="66"/>
  <c r="E21" i="66"/>
  <c r="H22" i="66" s="1"/>
  <c r="G22" i="66"/>
  <c r="F21" i="66"/>
  <c r="I49" i="66"/>
  <c r="J49" i="66"/>
  <c r="Q833" i="63"/>
  <c r="Q840" i="63"/>
  <c r="Q841" i="63"/>
  <c r="Q848" i="63"/>
  <c r="Q849" i="63"/>
  <c r="Q856" i="63"/>
  <c r="Q857" i="63"/>
  <c r="Q864" i="63"/>
  <c r="Q865" i="63"/>
  <c r="Q872" i="63"/>
  <c r="Q873" i="63"/>
  <c r="Q880" i="63"/>
  <c r="Q881" i="63"/>
  <c r="Q885" i="63"/>
  <c r="Q888" i="63"/>
  <c r="Q834" i="63"/>
  <c r="Q835" i="63"/>
  <c r="Q836" i="63"/>
  <c r="Q837" i="63"/>
  <c r="Q844" i="63"/>
  <c r="Q845" i="63"/>
  <c r="Q852" i="63"/>
  <c r="Q853" i="63"/>
  <c r="Q860" i="63"/>
  <c r="Q861" i="63"/>
  <c r="Q868" i="63"/>
  <c r="Q869" i="63"/>
  <c r="Q876" i="63"/>
  <c r="Q877" i="63"/>
  <c r="Q883" i="63"/>
  <c r="Q890" i="63"/>
  <c r="Q842" i="63"/>
  <c r="Q851" i="63"/>
  <c r="Q858" i="63"/>
  <c r="Q867" i="63"/>
  <c r="Q874" i="63"/>
  <c r="Q863" i="63"/>
  <c r="Q889" i="63"/>
  <c r="Q839" i="63"/>
  <c r="Q846" i="63"/>
  <c r="Q855" i="63"/>
  <c r="Q862" i="63"/>
  <c r="Q871" i="63"/>
  <c r="Q878" i="63"/>
  <c r="Q884" i="63"/>
  <c r="Q887" i="63"/>
  <c r="Q854" i="63"/>
  <c r="Q870" i="63"/>
  <c r="Q879" i="63"/>
  <c r="Q843" i="63"/>
  <c r="Q850" i="63"/>
  <c r="Q859" i="63"/>
  <c r="Q866" i="63"/>
  <c r="Q875" i="63"/>
  <c r="Q882" i="63"/>
  <c r="Q838" i="63"/>
  <c r="Q847" i="63"/>
  <c r="Q886" i="63"/>
  <c r="Q61" i="63"/>
  <c r="Q65" i="63"/>
  <c r="Q69" i="63"/>
  <c r="Q73" i="63"/>
  <c r="Q77" i="63"/>
  <c r="Q81" i="63"/>
  <c r="Q85" i="63"/>
  <c r="Q89" i="63"/>
  <c r="Q93" i="63"/>
  <c r="Q97" i="63"/>
  <c r="Q101" i="63"/>
  <c r="Q105" i="63"/>
  <c r="Q109" i="63"/>
  <c r="Q113" i="63"/>
  <c r="Q117" i="63"/>
  <c r="Q121" i="63"/>
  <c r="Q125" i="63"/>
  <c r="Q129" i="63"/>
  <c r="Q133" i="63"/>
  <c r="Q137" i="63"/>
  <c r="Q141" i="63"/>
  <c r="Q145" i="63"/>
  <c r="Q149" i="63"/>
  <c r="Q153" i="63"/>
  <c r="Q157" i="63"/>
  <c r="Q161" i="63"/>
  <c r="Q165" i="63"/>
  <c r="Q169" i="63"/>
  <c r="Q173" i="63"/>
  <c r="Q177" i="63"/>
  <c r="Q181" i="63"/>
  <c r="Q185" i="63"/>
  <c r="Q189" i="63"/>
  <c r="Q193" i="63"/>
  <c r="Q197" i="63"/>
  <c r="Q201" i="63"/>
  <c r="Q205" i="63"/>
  <c r="Q209" i="63"/>
  <c r="Q213" i="63"/>
  <c r="Q217" i="63"/>
  <c r="Q221" i="63"/>
  <c r="Q58" i="63"/>
  <c r="Q62" i="63"/>
  <c r="Q66" i="63"/>
  <c r="Q70" i="63"/>
  <c r="Q74" i="63"/>
  <c r="Q78" i="63"/>
  <c r="Q82" i="63"/>
  <c r="Q86" i="63"/>
  <c r="Q90" i="63"/>
  <c r="Q94" i="63"/>
  <c r="Q98" i="63"/>
  <c r="Q102" i="63"/>
  <c r="Q106" i="63"/>
  <c r="Q110" i="63"/>
  <c r="Q114" i="63"/>
  <c r="Q118" i="63"/>
  <c r="Q122" i="63"/>
  <c r="Q126" i="63"/>
  <c r="Q130" i="63"/>
  <c r="Q134" i="63"/>
  <c r="Q138" i="63"/>
  <c r="Q142" i="63"/>
  <c r="Q146" i="63"/>
  <c r="Q150" i="63"/>
  <c r="Q154" i="63"/>
  <c r="Q158" i="63"/>
  <c r="Q162" i="63"/>
  <c r="Q166" i="63"/>
  <c r="Q170" i="63"/>
  <c r="Q174" i="63"/>
  <c r="Q178" i="63"/>
  <c r="Q182" i="63"/>
  <c r="Q186" i="63"/>
  <c r="Q190" i="63"/>
  <c r="Q194" i="63"/>
  <c r="Q198" i="63"/>
  <c r="Q202" i="63"/>
  <c r="Q206" i="63"/>
  <c r="Q210" i="63"/>
  <c r="Q214" i="63"/>
  <c r="Q218" i="63"/>
  <c r="Q222" i="63"/>
  <c r="Q226" i="63"/>
  <c r="Q230" i="63"/>
  <c r="Q234" i="63"/>
  <c r="Q238" i="63"/>
  <c r="Q242" i="63"/>
  <c r="Q246" i="63"/>
  <c r="Q250" i="63"/>
  <c r="Q254" i="63"/>
  <c r="Q258" i="63"/>
  <c r="Q262" i="63"/>
  <c r="Q266" i="63"/>
  <c r="Q270" i="63"/>
  <c r="Q274" i="63"/>
  <c r="Q278" i="63"/>
  <c r="Q282" i="63"/>
  <c r="Q286" i="63"/>
  <c r="Q290" i="63"/>
  <c r="Q294" i="63"/>
  <c r="Q298" i="63"/>
  <c r="Q302" i="63"/>
  <c r="Q306" i="63"/>
  <c r="Q310" i="63"/>
  <c r="Q64" i="63"/>
  <c r="Q72" i="63"/>
  <c r="Q80" i="63"/>
  <c r="Q88" i="63"/>
  <c r="Q96" i="63"/>
  <c r="Q104" i="63"/>
  <c r="Q112" i="63"/>
  <c r="Q120" i="63"/>
  <c r="Q128" i="63"/>
  <c r="Q136" i="63"/>
  <c r="Q144" i="63"/>
  <c r="Q152" i="63"/>
  <c r="Q160" i="63"/>
  <c r="Q168" i="63"/>
  <c r="Q176" i="63"/>
  <c r="Q184" i="63"/>
  <c r="Q192" i="63"/>
  <c r="Q200" i="63"/>
  <c r="Q208" i="63"/>
  <c r="Q216" i="63"/>
  <c r="Q224" i="63"/>
  <c r="Q229" i="63"/>
  <c r="Q235" i="63"/>
  <c r="Q240" i="63"/>
  <c r="Q245" i="63"/>
  <c r="Q251" i="63"/>
  <c r="Q256" i="63"/>
  <c r="Q261" i="63"/>
  <c r="Q267" i="63"/>
  <c r="Q272" i="63"/>
  <c r="Q277" i="63"/>
  <c r="Q283" i="63"/>
  <c r="Q288" i="63"/>
  <c r="Q293" i="63"/>
  <c r="Q299" i="63"/>
  <c r="Q304" i="63"/>
  <c r="Q309" i="63"/>
  <c r="Q314" i="63"/>
  <c r="Q318" i="63"/>
  <c r="Q322" i="63"/>
  <c r="Q326" i="63"/>
  <c r="Q330" i="63"/>
  <c r="Q334" i="63"/>
  <c r="Q338" i="63"/>
  <c r="Q342" i="63"/>
  <c r="Q346" i="63"/>
  <c r="Q350" i="63"/>
  <c r="Q354" i="63"/>
  <c r="Q358" i="63"/>
  <c r="Q362" i="63"/>
  <c r="Q366" i="63"/>
  <c r="Q370" i="63"/>
  <c r="Q374" i="63"/>
  <c r="Q378" i="63"/>
  <c r="Q382" i="63"/>
  <c r="Q386" i="63"/>
  <c r="Q390" i="63"/>
  <c r="Q394" i="63"/>
  <c r="Q398" i="63"/>
  <c r="Q402" i="63"/>
  <c r="Q406" i="63"/>
  <c r="Q410" i="63"/>
  <c r="Q414" i="63"/>
  <c r="Q418" i="63"/>
  <c r="Q422" i="63"/>
  <c r="Q426" i="63"/>
  <c r="Q430" i="63"/>
  <c r="Q434" i="63"/>
  <c r="Q438" i="63"/>
  <c r="Q442" i="63"/>
  <c r="Q446" i="63"/>
  <c r="Q450" i="63"/>
  <c r="Q454" i="63"/>
  <c r="Q458" i="63"/>
  <c r="Q462" i="63"/>
  <c r="Q466" i="63"/>
  <c r="Q470" i="63"/>
  <c r="Q474" i="63"/>
  <c r="Q478" i="63"/>
  <c r="Q482" i="63"/>
  <c r="Q486" i="63"/>
  <c r="Q490" i="63"/>
  <c r="Q494" i="63"/>
  <c r="Q498" i="63"/>
  <c r="Q502" i="63"/>
  <c r="Q506" i="63"/>
  <c r="Q510" i="63"/>
  <c r="Q514" i="63"/>
  <c r="Q518" i="63"/>
  <c r="Q522" i="63"/>
  <c r="Q526" i="63"/>
  <c r="Q530" i="63"/>
  <c r="Q534" i="63"/>
  <c r="Q538" i="63"/>
  <c r="Q542" i="63"/>
  <c r="Q546" i="63"/>
  <c r="Q550" i="63"/>
  <c r="Q554" i="63"/>
  <c r="Q558" i="63"/>
  <c r="Q562" i="63"/>
  <c r="Q566" i="63"/>
  <c r="Q570" i="63"/>
  <c r="Q574" i="63"/>
  <c r="Q578" i="63"/>
  <c r="Q582" i="63"/>
  <c r="Q586" i="63"/>
  <c r="Q590" i="63"/>
  <c r="Q594" i="63"/>
  <c r="Q598" i="63"/>
  <c r="Q602" i="63"/>
  <c r="Q606" i="63"/>
  <c r="Q610" i="63"/>
  <c r="Q614" i="63"/>
  <c r="Q618" i="63"/>
  <c r="Q622" i="63"/>
  <c r="Q626" i="63"/>
  <c r="Q630" i="63"/>
  <c r="Q634" i="63"/>
  <c r="Q638" i="63"/>
  <c r="Q642" i="63"/>
  <c r="Q646" i="63"/>
  <c r="Q650" i="63"/>
  <c r="Q654" i="63"/>
  <c r="Q658" i="63"/>
  <c r="Q662" i="63"/>
  <c r="Q666" i="63"/>
  <c r="Q670" i="63"/>
  <c r="Q674" i="63"/>
  <c r="Q678" i="63"/>
  <c r="Q682" i="63"/>
  <c r="Q686" i="63"/>
  <c r="Q690" i="63"/>
  <c r="Q694" i="63"/>
  <c r="Q698" i="63"/>
  <c r="Q702" i="63"/>
  <c r="Q706" i="63"/>
  <c r="Q710" i="63"/>
  <c r="Q714" i="63"/>
  <c r="Q718" i="63"/>
  <c r="Q722" i="63"/>
  <c r="Q726" i="63"/>
  <c r="Q730" i="63"/>
  <c r="Q734" i="63"/>
  <c r="Q738" i="63"/>
  <c r="Q742" i="63"/>
  <c r="Q746" i="63"/>
  <c r="Q750" i="63"/>
  <c r="Q754" i="63"/>
  <c r="Q758" i="63"/>
  <c r="Q762" i="63"/>
  <c r="Q766" i="63"/>
  <c r="Q770" i="63"/>
  <c r="Q774" i="63"/>
  <c r="Q778" i="63"/>
  <c r="Q782" i="63"/>
  <c r="Q786" i="63"/>
  <c r="Q790" i="63"/>
  <c r="Q794" i="63"/>
  <c r="Q798" i="63"/>
  <c r="Q802" i="63"/>
  <c r="Q806" i="63"/>
  <c r="Q810" i="63"/>
  <c r="Q814" i="63"/>
  <c r="Q818" i="63"/>
  <c r="Q822" i="63"/>
  <c r="Q826" i="63"/>
  <c r="Q830" i="63"/>
  <c r="Q565" i="63"/>
  <c r="Q593" i="63"/>
  <c r="Q609" i="63"/>
  <c r="Q621" i="63"/>
  <c r="Q633" i="63"/>
  <c r="Q645" i="63"/>
  <c r="Q657" i="63"/>
  <c r="Q669" i="63"/>
  <c r="Q681" i="63"/>
  <c r="Q693" i="63"/>
  <c r="Q705" i="63"/>
  <c r="Q717" i="63"/>
  <c r="Q729" i="63"/>
  <c r="Q741" i="63"/>
  <c r="Q753" i="63"/>
  <c r="Q765" i="63"/>
  <c r="Q777" i="63"/>
  <c r="Q789" i="63"/>
  <c r="Q801" i="63"/>
  <c r="Q813" i="63"/>
  <c r="Q825" i="63"/>
  <c r="Q59" i="63"/>
  <c r="Q67" i="63"/>
  <c r="Q75" i="63"/>
  <c r="Q83" i="63"/>
  <c r="Q91" i="63"/>
  <c r="Q99" i="63"/>
  <c r="Q107" i="63"/>
  <c r="Q115" i="63"/>
  <c r="Q123" i="63"/>
  <c r="Q131" i="63"/>
  <c r="Q139" i="63"/>
  <c r="Q147" i="63"/>
  <c r="Q155" i="63"/>
  <c r="Q163" i="63"/>
  <c r="Q171" i="63"/>
  <c r="Q179" i="63"/>
  <c r="Q187" i="63"/>
  <c r="Q195" i="63"/>
  <c r="Q203" i="63"/>
  <c r="Q211" i="63"/>
  <c r="Q219" i="63"/>
  <c r="Q225" i="63"/>
  <c r="Q231" i="63"/>
  <c r="Q236" i="63"/>
  <c r="Q241" i="63"/>
  <c r="Q247" i="63"/>
  <c r="Q252" i="63"/>
  <c r="Q257" i="63"/>
  <c r="Q263" i="63"/>
  <c r="Q268" i="63"/>
  <c r="Q273" i="63"/>
  <c r="Q279" i="63"/>
  <c r="Q284" i="63"/>
  <c r="Q289" i="63"/>
  <c r="Q295" i="63"/>
  <c r="Q300" i="63"/>
  <c r="Q305" i="63"/>
  <c r="Q311" i="63"/>
  <c r="Q315" i="63"/>
  <c r="Q319" i="63"/>
  <c r="Q323" i="63"/>
  <c r="Q327" i="63"/>
  <c r="Q331" i="63"/>
  <c r="Q335" i="63"/>
  <c r="Q339" i="63"/>
  <c r="Q343" i="63"/>
  <c r="Q347" i="63"/>
  <c r="Q351" i="63"/>
  <c r="Q355" i="63"/>
  <c r="Q359" i="63"/>
  <c r="Q363" i="63"/>
  <c r="Q367" i="63"/>
  <c r="Q371" i="63"/>
  <c r="Q375" i="63"/>
  <c r="Q379" i="63"/>
  <c r="Q383" i="63"/>
  <c r="Q387" i="63"/>
  <c r="Q391" i="63"/>
  <c r="Q395" i="63"/>
  <c r="Q399" i="63"/>
  <c r="Q403" i="63"/>
  <c r="Q407" i="63"/>
  <c r="Q411" i="63"/>
  <c r="Q415" i="63"/>
  <c r="Q419" i="63"/>
  <c r="Q423" i="63"/>
  <c r="Q427" i="63"/>
  <c r="Q431" i="63"/>
  <c r="Q435" i="63"/>
  <c r="Q439" i="63"/>
  <c r="Q443" i="63"/>
  <c r="Q447" i="63"/>
  <c r="Q451" i="63"/>
  <c r="Q455" i="63"/>
  <c r="Q459" i="63"/>
  <c r="Q463" i="63"/>
  <c r="Q467" i="63"/>
  <c r="Q471" i="63"/>
  <c r="Q475" i="63"/>
  <c r="Q479" i="63"/>
  <c r="Q483" i="63"/>
  <c r="Q487" i="63"/>
  <c r="Q491" i="63"/>
  <c r="Q495" i="63"/>
  <c r="Q499" i="63"/>
  <c r="Q503" i="63"/>
  <c r="Q507" i="63"/>
  <c r="Q511" i="63"/>
  <c r="Q515" i="63"/>
  <c r="Q519" i="63"/>
  <c r="Q523" i="63"/>
  <c r="Q527" i="63"/>
  <c r="Q531" i="63"/>
  <c r="Q535" i="63"/>
  <c r="Q539" i="63"/>
  <c r="Q543" i="63"/>
  <c r="Q547" i="63"/>
  <c r="Q551" i="63"/>
  <c r="Q555" i="63"/>
  <c r="Q559" i="63"/>
  <c r="Q563" i="63"/>
  <c r="Q567" i="63"/>
  <c r="Q571" i="63"/>
  <c r="Q575" i="63"/>
  <c r="Q579" i="63"/>
  <c r="Q583" i="63"/>
  <c r="Q587" i="63"/>
  <c r="Q591" i="63"/>
  <c r="Q595" i="63"/>
  <c r="Q599" i="63"/>
  <c r="Q603" i="63"/>
  <c r="Q607" i="63"/>
  <c r="Q611" i="63"/>
  <c r="Q615" i="63"/>
  <c r="Q619" i="63"/>
  <c r="Q623" i="63"/>
  <c r="Q627" i="63"/>
  <c r="Q631" i="63"/>
  <c r="Q635" i="63"/>
  <c r="Q639" i="63"/>
  <c r="Q643" i="63"/>
  <c r="Q647" i="63"/>
  <c r="Q651" i="63"/>
  <c r="Q655" i="63"/>
  <c r="Q659" i="63"/>
  <c r="Q663" i="63"/>
  <c r="Q667" i="63"/>
  <c r="Q671" i="63"/>
  <c r="Q675" i="63"/>
  <c r="Q679" i="63"/>
  <c r="Q683" i="63"/>
  <c r="Q687" i="63"/>
  <c r="Q691" i="63"/>
  <c r="Q695" i="63"/>
  <c r="Q699" i="63"/>
  <c r="Q703" i="63"/>
  <c r="Q707" i="63"/>
  <c r="Q711" i="63"/>
  <c r="Q715" i="63"/>
  <c r="Q719" i="63"/>
  <c r="Q723" i="63"/>
  <c r="Q727" i="63"/>
  <c r="Q731" i="63"/>
  <c r="Q735" i="63"/>
  <c r="Q739" i="63"/>
  <c r="Q743" i="63"/>
  <c r="Q747" i="63"/>
  <c r="Q751" i="63"/>
  <c r="Q755" i="63"/>
  <c r="Q759" i="63"/>
  <c r="Q763" i="63"/>
  <c r="Q767" i="63"/>
  <c r="Q771" i="63"/>
  <c r="Q775" i="63"/>
  <c r="Q779" i="63"/>
  <c r="Q783" i="63"/>
  <c r="Q787" i="63"/>
  <c r="Q791" i="63"/>
  <c r="Q795" i="63"/>
  <c r="Q799" i="63"/>
  <c r="Q803" i="63"/>
  <c r="Q807" i="63"/>
  <c r="Q811" i="63"/>
  <c r="Q815" i="63"/>
  <c r="Q819" i="63"/>
  <c r="Q823" i="63"/>
  <c r="Q827" i="63"/>
  <c r="Q831" i="63"/>
  <c r="Q776" i="63"/>
  <c r="Q784" i="63"/>
  <c r="Q792" i="63"/>
  <c r="Q800" i="63"/>
  <c r="Q804" i="63"/>
  <c r="Q812" i="63"/>
  <c r="Q820" i="63"/>
  <c r="Q828" i="63"/>
  <c r="Q63" i="63"/>
  <c r="Q79" i="63"/>
  <c r="Q95" i="63"/>
  <c r="Q111" i="63"/>
  <c r="Q127" i="63"/>
  <c r="Q143" i="63"/>
  <c r="Q159" i="63"/>
  <c r="Q175" i="63"/>
  <c r="Q191" i="63"/>
  <c r="Q207" i="63"/>
  <c r="Q223" i="63"/>
  <c r="Q233" i="63"/>
  <c r="Q244" i="63"/>
  <c r="Q255" i="63"/>
  <c r="Q265" i="63"/>
  <c r="Q276" i="63"/>
  <c r="Q287" i="63"/>
  <c r="Q297" i="63"/>
  <c r="Q313" i="63"/>
  <c r="Q321" i="63"/>
  <c r="Q329" i="63"/>
  <c r="Q337" i="63"/>
  <c r="Q345" i="63"/>
  <c r="Q353" i="63"/>
  <c r="Q361" i="63"/>
  <c r="Q369" i="63"/>
  <c r="Q377" i="63"/>
  <c r="Q385" i="63"/>
  <c r="Q393" i="63"/>
  <c r="Q401" i="63"/>
  <c r="Q409" i="63"/>
  <c r="Q417" i="63"/>
  <c r="Q425" i="63"/>
  <c r="Q433" i="63"/>
  <c r="Q441" i="63"/>
  <c r="Q449" i="63"/>
  <c r="Q457" i="63"/>
  <c r="Q465" i="63"/>
  <c r="Q473" i="63"/>
  <c r="Q481" i="63"/>
  <c r="Q489" i="63"/>
  <c r="Q497" i="63"/>
  <c r="Q505" i="63"/>
  <c r="Q513" i="63"/>
  <c r="Q521" i="63"/>
  <c r="Q529" i="63"/>
  <c r="Q537" i="63"/>
  <c r="Q545" i="63"/>
  <c r="Q553" i="63"/>
  <c r="Q561" i="63"/>
  <c r="Q573" i="63"/>
  <c r="Q581" i="63"/>
  <c r="Q589" i="63"/>
  <c r="Q601" i="63"/>
  <c r="Q613" i="63"/>
  <c r="Q625" i="63"/>
  <c r="Q637" i="63"/>
  <c r="Q649" i="63"/>
  <c r="Q661" i="63"/>
  <c r="Q673" i="63"/>
  <c r="Q685" i="63"/>
  <c r="Q697" i="63"/>
  <c r="Q709" i="63"/>
  <c r="Q721" i="63"/>
  <c r="Q733" i="63"/>
  <c r="Q745" i="63"/>
  <c r="Q757" i="63"/>
  <c r="Q769" i="63"/>
  <c r="Q781" i="63"/>
  <c r="Q793" i="63"/>
  <c r="Q805" i="63"/>
  <c r="Q817" i="63"/>
  <c r="Q829" i="63"/>
  <c r="Q60" i="63"/>
  <c r="Q68" i="63"/>
  <c r="Q76" i="63"/>
  <c r="Q84" i="63"/>
  <c r="Q92" i="63"/>
  <c r="Q100" i="63"/>
  <c r="Q108" i="63"/>
  <c r="Q116" i="63"/>
  <c r="Q124" i="63"/>
  <c r="Q132" i="63"/>
  <c r="Q140" i="63"/>
  <c r="Q148" i="63"/>
  <c r="Q156" i="63"/>
  <c r="Q164" i="63"/>
  <c r="Q172" i="63"/>
  <c r="Q180" i="63"/>
  <c r="Q188" i="63"/>
  <c r="Q196" i="63"/>
  <c r="Q204" i="63"/>
  <c r="Q212" i="63"/>
  <c r="Q220" i="63"/>
  <c r="Q227" i="63"/>
  <c r="Q232" i="63"/>
  <c r="Q237" i="63"/>
  <c r="Q243" i="63"/>
  <c r="Q248" i="63"/>
  <c r="Q253" i="63"/>
  <c r="Q259" i="63"/>
  <c r="Q264" i="63"/>
  <c r="Q269" i="63"/>
  <c r="Q275" i="63"/>
  <c r="Q280" i="63"/>
  <c r="Q285" i="63"/>
  <c r="Q291" i="63"/>
  <c r="Q296" i="63"/>
  <c r="Q301" i="63"/>
  <c r="Q307" i="63"/>
  <c r="Q312" i="63"/>
  <c r="Q316" i="63"/>
  <c r="Q320" i="63"/>
  <c r="Q324" i="63"/>
  <c r="Q328" i="63"/>
  <c r="Q332" i="63"/>
  <c r="Q336" i="63"/>
  <c r="Q340" i="63"/>
  <c r="Q344" i="63"/>
  <c r="Q348" i="63"/>
  <c r="Q352" i="63"/>
  <c r="Q356" i="63"/>
  <c r="Q360" i="63"/>
  <c r="Q364" i="63"/>
  <c r="Q368" i="63"/>
  <c r="Q372" i="63"/>
  <c r="Q376" i="63"/>
  <c r="Q380" i="63"/>
  <c r="Q384" i="63"/>
  <c r="Q388" i="63"/>
  <c r="Q392" i="63"/>
  <c r="Q396" i="63"/>
  <c r="Q400" i="63"/>
  <c r="Q404" i="63"/>
  <c r="Q408" i="63"/>
  <c r="Q412" i="63"/>
  <c r="Q416" i="63"/>
  <c r="Q420" i="63"/>
  <c r="Q424" i="63"/>
  <c r="Q428" i="63"/>
  <c r="Q432" i="63"/>
  <c r="Q436" i="63"/>
  <c r="Q440" i="63"/>
  <c r="Q444" i="63"/>
  <c r="Q448" i="63"/>
  <c r="Q452" i="63"/>
  <c r="Q456" i="63"/>
  <c r="Q460" i="63"/>
  <c r="Q464" i="63"/>
  <c r="Q468" i="63"/>
  <c r="Q472" i="63"/>
  <c r="Q476" i="63"/>
  <c r="Q480" i="63"/>
  <c r="Q484" i="63"/>
  <c r="Q488" i="63"/>
  <c r="Q492" i="63"/>
  <c r="Q496" i="63"/>
  <c r="Q500" i="63"/>
  <c r="Q504" i="63"/>
  <c r="Q508" i="63"/>
  <c r="Q512" i="63"/>
  <c r="Q516" i="63"/>
  <c r="Q520" i="63"/>
  <c r="Q524" i="63"/>
  <c r="Q528" i="63"/>
  <c r="Q532" i="63"/>
  <c r="Q536" i="63"/>
  <c r="Q540" i="63"/>
  <c r="Q544" i="63"/>
  <c r="Q548" i="63"/>
  <c r="Q552" i="63"/>
  <c r="Q556" i="63"/>
  <c r="Q560" i="63"/>
  <c r="Q564" i="63"/>
  <c r="Q568" i="63"/>
  <c r="Q572" i="63"/>
  <c r="Q576" i="63"/>
  <c r="Q580" i="63"/>
  <c r="Q584" i="63"/>
  <c r="Q588" i="63"/>
  <c r="Q592" i="63"/>
  <c r="Q596" i="63"/>
  <c r="Q600" i="63"/>
  <c r="Q604" i="63"/>
  <c r="Q608" i="63"/>
  <c r="Q612" i="63"/>
  <c r="Q616" i="63"/>
  <c r="Q620" i="63"/>
  <c r="Q624" i="63"/>
  <c r="Q628" i="63"/>
  <c r="Q632" i="63"/>
  <c r="Q636" i="63"/>
  <c r="Q640" i="63"/>
  <c r="Q644" i="63"/>
  <c r="Q648" i="63"/>
  <c r="Q652" i="63"/>
  <c r="Q656" i="63"/>
  <c r="Q660" i="63"/>
  <c r="Q664" i="63"/>
  <c r="Q668" i="63"/>
  <c r="Q672" i="63"/>
  <c r="Q676" i="63"/>
  <c r="Q680" i="63"/>
  <c r="Q684" i="63"/>
  <c r="Q688" i="63"/>
  <c r="Q692" i="63"/>
  <c r="Q696" i="63"/>
  <c r="Q700" i="63"/>
  <c r="Q704" i="63"/>
  <c r="Q708" i="63"/>
  <c r="Q712" i="63"/>
  <c r="Q716" i="63"/>
  <c r="Q720" i="63"/>
  <c r="Q724" i="63"/>
  <c r="Q728" i="63"/>
  <c r="Q732" i="63"/>
  <c r="Q736" i="63"/>
  <c r="Q740" i="63"/>
  <c r="Q744" i="63"/>
  <c r="Q748" i="63"/>
  <c r="Q752" i="63"/>
  <c r="Q756" i="63"/>
  <c r="Q760" i="63"/>
  <c r="Q764" i="63"/>
  <c r="Q768" i="63"/>
  <c r="Q772" i="63"/>
  <c r="Q780" i="63"/>
  <c r="Q788" i="63"/>
  <c r="Q796" i="63"/>
  <c r="Q808" i="63"/>
  <c r="Q816" i="63"/>
  <c r="Q824" i="63"/>
  <c r="Q832" i="63"/>
  <c r="Q71" i="63"/>
  <c r="Q87" i="63"/>
  <c r="Q103" i="63"/>
  <c r="Q119" i="63"/>
  <c r="Q135" i="63"/>
  <c r="Q151" i="63"/>
  <c r="Q167" i="63"/>
  <c r="Q183" i="63"/>
  <c r="Q199" i="63"/>
  <c r="Q215" i="63"/>
  <c r="Q228" i="63"/>
  <c r="Q239" i="63"/>
  <c r="Q249" i="63"/>
  <c r="Q260" i="63"/>
  <c r="Q271" i="63"/>
  <c r="Q281" i="63"/>
  <c r="Q292" i="63"/>
  <c r="Q303" i="63"/>
  <c r="Q308" i="63"/>
  <c r="Q317" i="63"/>
  <c r="Q325" i="63"/>
  <c r="Q333" i="63"/>
  <c r="Q341" i="63"/>
  <c r="Q349" i="63"/>
  <c r="Q357" i="63"/>
  <c r="Q365" i="63"/>
  <c r="Q373" i="63"/>
  <c r="Q381" i="63"/>
  <c r="Q389" i="63"/>
  <c r="Q397" i="63"/>
  <c r="Q405" i="63"/>
  <c r="Q413" i="63"/>
  <c r="Q421" i="63"/>
  <c r="Q429" i="63"/>
  <c r="Q437" i="63"/>
  <c r="Q445" i="63"/>
  <c r="Q453" i="63"/>
  <c r="Q461" i="63"/>
  <c r="Q469" i="63"/>
  <c r="Q477" i="63"/>
  <c r="Q485" i="63"/>
  <c r="Q493" i="63"/>
  <c r="Q501" i="63"/>
  <c r="Q509" i="63"/>
  <c r="Q517" i="63"/>
  <c r="Q525" i="63"/>
  <c r="Q533" i="63"/>
  <c r="Q541" i="63"/>
  <c r="Q549" i="63"/>
  <c r="Q557" i="63"/>
  <c r="Q569" i="63"/>
  <c r="Q577" i="63"/>
  <c r="Q585" i="63"/>
  <c r="Q597" i="63"/>
  <c r="Q605" i="63"/>
  <c r="Q617" i="63"/>
  <c r="Q629" i="63"/>
  <c r="Q641" i="63"/>
  <c r="Q653" i="63"/>
  <c r="Q665" i="63"/>
  <c r="Q677" i="63"/>
  <c r="Q689" i="63"/>
  <c r="Q701" i="63"/>
  <c r="Q713" i="63"/>
  <c r="Q725" i="63"/>
  <c r="Q737" i="63"/>
  <c r="Q749" i="63"/>
  <c r="Q761" i="63"/>
  <c r="Q773" i="63"/>
  <c r="Q785" i="63"/>
  <c r="Q797" i="63"/>
  <c r="Q809" i="63"/>
  <c r="Q821" i="63"/>
  <c r="Q57" i="63"/>
  <c r="R57" i="63" s="1"/>
  <c r="O49" i="66" l="1"/>
  <c r="I22" i="66"/>
  <c r="J22" i="66"/>
  <c r="F49" i="66"/>
  <c r="M49" i="66"/>
  <c r="N49" i="66" s="1"/>
  <c r="E49" i="66"/>
  <c r="H50" i="66" s="1"/>
  <c r="G50" i="66"/>
  <c r="I50" i="66" s="1"/>
  <c r="L50" i="66" s="1"/>
  <c r="K22" i="66"/>
  <c r="L22" i="66"/>
  <c r="Y737" i="63"/>
  <c r="Z737" i="63"/>
  <c r="X737" i="63"/>
  <c r="AA737" i="63" s="1"/>
  <c r="Y597" i="63"/>
  <c r="Z597" i="63"/>
  <c r="X597" i="63"/>
  <c r="AA597" i="63" s="1"/>
  <c r="Y493" i="63"/>
  <c r="Z493" i="63"/>
  <c r="X493" i="63"/>
  <c r="AA493" i="63" s="1"/>
  <c r="Y397" i="63"/>
  <c r="Z397" i="63"/>
  <c r="X397" i="63"/>
  <c r="AA397" i="63" s="1"/>
  <c r="Y303" i="63"/>
  <c r="Z303" i="63"/>
  <c r="X303" i="63"/>
  <c r="AA303" i="63" s="1"/>
  <c r="Y151" i="63"/>
  <c r="Z151" i="63"/>
  <c r="X151" i="63"/>
  <c r="AA151" i="63" s="1"/>
  <c r="Y780" i="63"/>
  <c r="Z780" i="63"/>
  <c r="X780" i="63"/>
  <c r="AA780" i="63" s="1"/>
  <c r="Y728" i="63"/>
  <c r="Z728" i="63"/>
  <c r="X728" i="63"/>
  <c r="AA728" i="63" s="1"/>
  <c r="Y696" i="63"/>
  <c r="Z696" i="63"/>
  <c r="X696" i="63"/>
  <c r="AA696" i="63" s="1"/>
  <c r="Y664" i="63"/>
  <c r="Z664" i="63"/>
  <c r="X664" i="63"/>
  <c r="AA664" i="63" s="1"/>
  <c r="Y616" i="63"/>
  <c r="Z616" i="63"/>
  <c r="X616" i="63"/>
  <c r="AA616" i="63" s="1"/>
  <c r="Y568" i="63"/>
  <c r="X568" i="63"/>
  <c r="AA568" i="63" s="1"/>
  <c r="Z568" i="63"/>
  <c r="Y520" i="63"/>
  <c r="X520" i="63"/>
  <c r="AA520" i="63" s="1"/>
  <c r="Z520" i="63"/>
  <c r="Y472" i="63"/>
  <c r="Z472" i="63"/>
  <c r="X472" i="63"/>
  <c r="AA472" i="63" s="1"/>
  <c r="Y408" i="63"/>
  <c r="Z408" i="63"/>
  <c r="X408" i="63"/>
  <c r="AA408" i="63" s="1"/>
  <c r="Y360" i="63"/>
  <c r="Z360" i="63"/>
  <c r="X360" i="63"/>
  <c r="AA360" i="63" s="1"/>
  <c r="Y312" i="63"/>
  <c r="Z312" i="63"/>
  <c r="X312" i="63"/>
  <c r="AA312" i="63" s="1"/>
  <c r="Y269" i="63"/>
  <c r="Z269" i="63"/>
  <c r="X269" i="63"/>
  <c r="AA269" i="63" s="1"/>
  <c r="Y196" i="63"/>
  <c r="Z196" i="63"/>
  <c r="X196" i="63"/>
  <c r="AA196" i="63" s="1"/>
  <c r="Y100" i="63"/>
  <c r="Z100" i="63"/>
  <c r="X100" i="63"/>
  <c r="AA100" i="63" s="1"/>
  <c r="Y805" i="63"/>
  <c r="Z805" i="63"/>
  <c r="X805" i="63"/>
  <c r="AA805" i="63" s="1"/>
  <c r="Y661" i="63"/>
  <c r="Z661" i="63"/>
  <c r="X661" i="63"/>
  <c r="AA661" i="63" s="1"/>
  <c r="Y573" i="63"/>
  <c r="Z573" i="63"/>
  <c r="X573" i="63"/>
  <c r="AA573" i="63" s="1"/>
  <c r="Y505" i="63"/>
  <c r="Z505" i="63"/>
  <c r="X505" i="63"/>
  <c r="AA505" i="63" s="1"/>
  <c r="Y473" i="63"/>
  <c r="Z473" i="63"/>
  <c r="X473" i="63"/>
  <c r="AA473" i="63" s="1"/>
  <c r="Y409" i="63"/>
  <c r="Z409" i="63"/>
  <c r="X409" i="63"/>
  <c r="AA409" i="63" s="1"/>
  <c r="Y313" i="63"/>
  <c r="Z313" i="63"/>
  <c r="X313" i="63"/>
  <c r="AA313" i="63" s="1"/>
  <c r="Y223" i="63"/>
  <c r="Z223" i="63"/>
  <c r="X223" i="63"/>
  <c r="AA223" i="63" s="1"/>
  <c r="Y95" i="63"/>
  <c r="Z95" i="63"/>
  <c r="X95" i="63"/>
  <c r="AA95" i="63" s="1"/>
  <c r="Y792" i="63"/>
  <c r="Z792" i="63"/>
  <c r="X792" i="63"/>
  <c r="AA792" i="63" s="1"/>
  <c r="Y811" i="63"/>
  <c r="Z811" i="63"/>
  <c r="X811" i="63"/>
  <c r="AA811" i="63" s="1"/>
  <c r="Y779" i="63"/>
  <c r="Z779" i="63"/>
  <c r="X779" i="63"/>
  <c r="AA779" i="63" s="1"/>
  <c r="Y747" i="63"/>
  <c r="Z747" i="63"/>
  <c r="X747" i="63"/>
  <c r="AA747" i="63" s="1"/>
  <c r="Y715" i="63"/>
  <c r="Z715" i="63"/>
  <c r="X715" i="63"/>
  <c r="AA715" i="63" s="1"/>
  <c r="Y683" i="63"/>
  <c r="Z683" i="63"/>
  <c r="X683" i="63"/>
  <c r="AA683" i="63" s="1"/>
  <c r="Y651" i="63"/>
  <c r="Z651" i="63"/>
  <c r="X651" i="63"/>
  <c r="AA651" i="63" s="1"/>
  <c r="Y619" i="63"/>
  <c r="Z619" i="63"/>
  <c r="X619" i="63"/>
  <c r="AA619" i="63" s="1"/>
  <c r="Y587" i="63"/>
  <c r="X587" i="63"/>
  <c r="AA587" i="63" s="1"/>
  <c r="Z587" i="63"/>
  <c r="Y539" i="63"/>
  <c r="X539" i="63"/>
  <c r="AA539" i="63" s="1"/>
  <c r="Z539" i="63"/>
  <c r="Y491" i="63"/>
  <c r="X491" i="63"/>
  <c r="AA491" i="63" s="1"/>
  <c r="Z491" i="63"/>
  <c r="Y443" i="63"/>
  <c r="Z443" i="63"/>
  <c r="X443" i="63"/>
  <c r="AA443" i="63" s="1"/>
  <c r="Y395" i="63"/>
  <c r="Z395" i="63"/>
  <c r="X395" i="63"/>
  <c r="AA395" i="63" s="1"/>
  <c r="Y347" i="63"/>
  <c r="Z347" i="63"/>
  <c r="X347" i="63"/>
  <c r="AA347" i="63" s="1"/>
  <c r="Y315" i="63"/>
  <c r="Z315" i="63"/>
  <c r="X315" i="63"/>
  <c r="AA315" i="63" s="1"/>
  <c r="Y252" i="63"/>
  <c r="Z252" i="63"/>
  <c r="X252" i="63"/>
  <c r="AA252" i="63" s="1"/>
  <c r="Y171" i="63"/>
  <c r="Z171" i="63"/>
  <c r="X171" i="63"/>
  <c r="AA171" i="63" s="1"/>
  <c r="Y75" i="63"/>
  <c r="Z75" i="63"/>
  <c r="X75" i="63"/>
  <c r="AA75" i="63" s="1"/>
  <c r="Y669" i="63"/>
  <c r="Z669" i="63"/>
  <c r="X669" i="63"/>
  <c r="AA669" i="63" s="1"/>
  <c r="Y814" i="63"/>
  <c r="Z814" i="63"/>
  <c r="X814" i="63"/>
  <c r="AA814" i="63" s="1"/>
  <c r="Y766" i="63"/>
  <c r="Z766" i="63"/>
  <c r="X766" i="63"/>
  <c r="AA766" i="63" s="1"/>
  <c r="Y718" i="63"/>
  <c r="Z718" i="63"/>
  <c r="X718" i="63"/>
  <c r="AA718" i="63" s="1"/>
  <c r="Y670" i="63"/>
  <c r="Z670" i="63"/>
  <c r="X670" i="63"/>
  <c r="AA670" i="63" s="1"/>
  <c r="Y622" i="63"/>
  <c r="Z622" i="63"/>
  <c r="X622" i="63"/>
  <c r="AA622" i="63" s="1"/>
  <c r="Y574" i="63"/>
  <c r="Z574" i="63"/>
  <c r="X574" i="63"/>
  <c r="AA574" i="63" s="1"/>
  <c r="Y526" i="63"/>
  <c r="Z526" i="63"/>
  <c r="X526" i="63"/>
  <c r="AA526" i="63" s="1"/>
  <c r="Y478" i="63"/>
  <c r="Z478" i="63"/>
  <c r="X478" i="63"/>
  <c r="AA478" i="63" s="1"/>
  <c r="Y430" i="63"/>
  <c r="Z430" i="63"/>
  <c r="X430" i="63"/>
  <c r="AA430" i="63" s="1"/>
  <c r="Y382" i="63"/>
  <c r="Z382" i="63"/>
  <c r="X382" i="63"/>
  <c r="AA382" i="63" s="1"/>
  <c r="Y334" i="63"/>
  <c r="Z334" i="63"/>
  <c r="X334" i="63"/>
  <c r="AA334" i="63" s="1"/>
  <c r="Y277" i="63"/>
  <c r="Z277" i="63"/>
  <c r="X277" i="63"/>
  <c r="AA277" i="63" s="1"/>
  <c r="Y208" i="63"/>
  <c r="Z208" i="63"/>
  <c r="X208" i="63"/>
  <c r="AA208" i="63" s="1"/>
  <c r="Y112" i="63"/>
  <c r="Z112" i="63"/>
  <c r="X112" i="63"/>
  <c r="AA112" i="63" s="1"/>
  <c r="Y274" i="63"/>
  <c r="Z274" i="63"/>
  <c r="X274" i="63"/>
  <c r="AA274" i="63" s="1"/>
  <c r="Y226" i="63"/>
  <c r="Z226" i="63"/>
  <c r="X226" i="63"/>
  <c r="AA226" i="63" s="1"/>
  <c r="Y162" i="63"/>
  <c r="Z162" i="63"/>
  <c r="X162" i="63"/>
  <c r="AA162" i="63" s="1"/>
  <c r="Y114" i="63"/>
  <c r="Z114" i="63"/>
  <c r="X114" i="63"/>
  <c r="AA114" i="63" s="1"/>
  <c r="Y66" i="63"/>
  <c r="Z66" i="63"/>
  <c r="X66" i="63"/>
  <c r="AA66" i="63" s="1"/>
  <c r="Y185" i="63"/>
  <c r="Z185" i="63"/>
  <c r="X185" i="63"/>
  <c r="AA185" i="63" s="1"/>
  <c r="Y137" i="63"/>
  <c r="Z137" i="63"/>
  <c r="X137" i="63"/>
  <c r="AA137" i="63" s="1"/>
  <c r="Y105" i="63"/>
  <c r="Z105" i="63"/>
  <c r="X105" i="63"/>
  <c r="AA105" i="63" s="1"/>
  <c r="Y859" i="63"/>
  <c r="Z859" i="63"/>
  <c r="X859" i="63"/>
  <c r="AA859" i="63" s="1"/>
  <c r="Y855" i="63"/>
  <c r="Z855" i="63"/>
  <c r="X855" i="63"/>
  <c r="AA855" i="63" s="1"/>
  <c r="Y876" i="63"/>
  <c r="Z876" i="63"/>
  <c r="X876" i="63"/>
  <c r="AA876" i="63" s="1"/>
  <c r="Y860" i="63"/>
  <c r="Z860" i="63"/>
  <c r="X860" i="63"/>
  <c r="AA860" i="63" s="1"/>
  <c r="Y844" i="63"/>
  <c r="Z844" i="63"/>
  <c r="X844" i="63"/>
  <c r="AA844" i="63" s="1"/>
  <c r="Y834" i="63"/>
  <c r="Z834" i="63"/>
  <c r="X834" i="63"/>
  <c r="AA834" i="63" s="1"/>
  <c r="Y864" i="63"/>
  <c r="Z864" i="63"/>
  <c r="X864" i="63"/>
  <c r="AA864" i="63" s="1"/>
  <c r="Y677" i="63"/>
  <c r="Z677" i="63"/>
  <c r="X677" i="63"/>
  <c r="AA677" i="63" s="1"/>
  <c r="Y549" i="63"/>
  <c r="Z549" i="63"/>
  <c r="X549" i="63"/>
  <c r="AA549" i="63" s="1"/>
  <c r="Y453" i="63"/>
  <c r="Z453" i="63"/>
  <c r="X453" i="63"/>
  <c r="AA453" i="63" s="1"/>
  <c r="Y325" i="63"/>
  <c r="Z325" i="63"/>
  <c r="X325" i="63"/>
  <c r="AA325" i="63" s="1"/>
  <c r="Y135" i="63"/>
  <c r="Z135" i="63"/>
  <c r="X135" i="63"/>
  <c r="AA135" i="63" s="1"/>
  <c r="Y756" i="63"/>
  <c r="Z756" i="63"/>
  <c r="X756" i="63"/>
  <c r="AA756" i="63" s="1"/>
  <c r="Y692" i="63"/>
  <c r="Z692" i="63"/>
  <c r="X692" i="63"/>
  <c r="AA692" i="63" s="1"/>
  <c r="Y628" i="63"/>
  <c r="Z628" i="63"/>
  <c r="X628" i="63"/>
  <c r="AA628" i="63" s="1"/>
  <c r="Y564" i="63"/>
  <c r="X564" i="63"/>
  <c r="AA564" i="63" s="1"/>
  <c r="Z564" i="63"/>
  <c r="Y500" i="63"/>
  <c r="X500" i="63"/>
  <c r="AA500" i="63" s="1"/>
  <c r="Z500" i="63"/>
  <c r="Y436" i="63"/>
  <c r="Z436" i="63"/>
  <c r="X436" i="63"/>
  <c r="AA436" i="63" s="1"/>
  <c r="Y388" i="63"/>
  <c r="Z388" i="63"/>
  <c r="X388" i="63"/>
  <c r="AA388" i="63" s="1"/>
  <c r="Y340" i="63"/>
  <c r="Z340" i="63"/>
  <c r="X340" i="63"/>
  <c r="AA340" i="63" s="1"/>
  <c r="Y307" i="63"/>
  <c r="Z307" i="63"/>
  <c r="X307" i="63"/>
  <c r="AA307" i="63" s="1"/>
  <c r="Y285" i="63"/>
  <c r="Z285" i="63"/>
  <c r="X285" i="63"/>
  <c r="AA285" i="63" s="1"/>
  <c r="Y264" i="63"/>
  <c r="Z264" i="63"/>
  <c r="X264" i="63"/>
  <c r="AA264" i="63" s="1"/>
  <c r="Y220" i="63"/>
  <c r="Z220" i="63"/>
  <c r="X220" i="63"/>
  <c r="AA220" i="63" s="1"/>
  <c r="Y156" i="63"/>
  <c r="Z156" i="63"/>
  <c r="X156" i="63"/>
  <c r="AA156" i="63" s="1"/>
  <c r="Y124" i="63"/>
  <c r="Z124" i="63"/>
  <c r="X124" i="63"/>
  <c r="AA124" i="63" s="1"/>
  <c r="Y92" i="63"/>
  <c r="Z92" i="63"/>
  <c r="X92" i="63"/>
  <c r="AA92" i="63" s="1"/>
  <c r="Y60" i="63"/>
  <c r="Z60" i="63"/>
  <c r="X60" i="63"/>
  <c r="AA60" i="63" s="1"/>
  <c r="Y793" i="63"/>
  <c r="Z793" i="63"/>
  <c r="X793" i="63"/>
  <c r="AA793" i="63" s="1"/>
  <c r="Y745" i="63"/>
  <c r="Z745" i="63"/>
  <c r="X745" i="63"/>
  <c r="AA745" i="63" s="1"/>
  <c r="Y697" i="63"/>
  <c r="Z697" i="63"/>
  <c r="X697" i="63"/>
  <c r="AA697" i="63" s="1"/>
  <c r="Y649" i="63"/>
  <c r="Z649" i="63"/>
  <c r="X649" i="63"/>
  <c r="AA649" i="63" s="1"/>
  <c r="Y601" i="63"/>
  <c r="Z601" i="63"/>
  <c r="X601" i="63"/>
  <c r="AA601" i="63" s="1"/>
  <c r="Y561" i="63"/>
  <c r="Z561" i="63"/>
  <c r="X561" i="63"/>
  <c r="AA561" i="63" s="1"/>
  <c r="Y529" i="63"/>
  <c r="Z529" i="63"/>
  <c r="X529" i="63"/>
  <c r="AA529" i="63" s="1"/>
  <c r="Y497" i="63"/>
  <c r="Z497" i="63"/>
  <c r="X497" i="63"/>
  <c r="AA497" i="63" s="1"/>
  <c r="Y465" i="63"/>
  <c r="Z465" i="63"/>
  <c r="X465" i="63"/>
  <c r="AA465" i="63" s="1"/>
  <c r="Y433" i="63"/>
  <c r="Z433" i="63"/>
  <c r="X433" i="63"/>
  <c r="AA433" i="63" s="1"/>
  <c r="Y401" i="63"/>
  <c r="Z401" i="63"/>
  <c r="X401" i="63"/>
  <c r="AA401" i="63" s="1"/>
  <c r="Y369" i="63"/>
  <c r="Z369" i="63"/>
  <c r="X369" i="63"/>
  <c r="AA369" i="63" s="1"/>
  <c r="Y337" i="63"/>
  <c r="Z337" i="63"/>
  <c r="X337" i="63"/>
  <c r="AA337" i="63" s="1"/>
  <c r="Y297" i="63"/>
  <c r="Z297" i="63"/>
  <c r="X297" i="63"/>
  <c r="AA297" i="63" s="1"/>
  <c r="Y255" i="63"/>
  <c r="Z255" i="63"/>
  <c r="X255" i="63"/>
  <c r="AA255" i="63" s="1"/>
  <c r="Y207" i="63"/>
  <c r="Z207" i="63"/>
  <c r="X207" i="63"/>
  <c r="AA207" i="63" s="1"/>
  <c r="Y143" i="63"/>
  <c r="Z143" i="63"/>
  <c r="X143" i="63"/>
  <c r="AA143" i="63" s="1"/>
  <c r="Y79" i="63"/>
  <c r="Z79" i="63"/>
  <c r="X79" i="63"/>
  <c r="AA79" i="63" s="1"/>
  <c r="Y812" i="63"/>
  <c r="Z812" i="63"/>
  <c r="X812" i="63"/>
  <c r="AA812" i="63" s="1"/>
  <c r="Y784" i="63"/>
  <c r="Z784" i="63"/>
  <c r="X784" i="63"/>
  <c r="AA784" i="63" s="1"/>
  <c r="Y823" i="63"/>
  <c r="Z823" i="63"/>
  <c r="X823" i="63"/>
  <c r="AA823" i="63" s="1"/>
  <c r="Y807" i="63"/>
  <c r="Z807" i="63"/>
  <c r="X807" i="63"/>
  <c r="AA807" i="63" s="1"/>
  <c r="Y791" i="63"/>
  <c r="Z791" i="63"/>
  <c r="X791" i="63"/>
  <c r="AA791" i="63" s="1"/>
  <c r="Y775" i="63"/>
  <c r="Z775" i="63"/>
  <c r="X775" i="63"/>
  <c r="AA775" i="63" s="1"/>
  <c r="Y759" i="63"/>
  <c r="Z759" i="63"/>
  <c r="X759" i="63"/>
  <c r="AA759" i="63" s="1"/>
  <c r="Y743" i="63"/>
  <c r="Z743" i="63"/>
  <c r="X743" i="63"/>
  <c r="AA743" i="63" s="1"/>
  <c r="Y727" i="63"/>
  <c r="Z727" i="63"/>
  <c r="X727" i="63"/>
  <c r="AA727" i="63" s="1"/>
  <c r="Y711" i="63"/>
  <c r="Z711" i="63"/>
  <c r="X711" i="63"/>
  <c r="AA711" i="63" s="1"/>
  <c r="Y695" i="63"/>
  <c r="Z695" i="63"/>
  <c r="X695" i="63"/>
  <c r="AA695" i="63" s="1"/>
  <c r="Y679" i="63"/>
  <c r="Z679" i="63"/>
  <c r="X679" i="63"/>
  <c r="AA679" i="63" s="1"/>
  <c r="Y663" i="63"/>
  <c r="Z663" i="63"/>
  <c r="X663" i="63"/>
  <c r="AA663" i="63" s="1"/>
  <c r="Y647" i="63"/>
  <c r="Z647" i="63"/>
  <c r="X647" i="63"/>
  <c r="AA647" i="63" s="1"/>
  <c r="Y631" i="63"/>
  <c r="Z631" i="63"/>
  <c r="X631" i="63"/>
  <c r="AA631" i="63" s="1"/>
  <c r="Y615" i="63"/>
  <c r="Z615" i="63"/>
  <c r="X615" i="63"/>
  <c r="AA615" i="63" s="1"/>
  <c r="Y599" i="63"/>
  <c r="Z599" i="63"/>
  <c r="X599" i="63"/>
  <c r="AA599" i="63" s="1"/>
  <c r="Y583" i="63"/>
  <c r="X583" i="63"/>
  <c r="AA583" i="63" s="1"/>
  <c r="Z583" i="63"/>
  <c r="Y567" i="63"/>
  <c r="X567" i="63"/>
  <c r="AA567" i="63" s="1"/>
  <c r="Z567" i="63"/>
  <c r="Y551" i="63"/>
  <c r="X551" i="63"/>
  <c r="AA551" i="63" s="1"/>
  <c r="Z551" i="63"/>
  <c r="Y535" i="63"/>
  <c r="X535" i="63"/>
  <c r="AA535" i="63" s="1"/>
  <c r="Z535" i="63"/>
  <c r="Y519" i="63"/>
  <c r="X519" i="63"/>
  <c r="AA519" i="63" s="1"/>
  <c r="Z519" i="63"/>
  <c r="Y503" i="63"/>
  <c r="X503" i="63"/>
  <c r="AA503" i="63" s="1"/>
  <c r="Z503" i="63"/>
  <c r="Y487" i="63"/>
  <c r="X487" i="63"/>
  <c r="AA487" i="63" s="1"/>
  <c r="Z487" i="63"/>
  <c r="Y471" i="63"/>
  <c r="Z471" i="63"/>
  <c r="X471" i="63"/>
  <c r="AA471" i="63" s="1"/>
  <c r="Y455" i="63"/>
  <c r="Z455" i="63"/>
  <c r="X455" i="63"/>
  <c r="AA455" i="63" s="1"/>
  <c r="Y439" i="63"/>
  <c r="Z439" i="63"/>
  <c r="X439" i="63"/>
  <c r="AA439" i="63" s="1"/>
  <c r="Y423" i="63"/>
  <c r="Z423" i="63"/>
  <c r="X423" i="63"/>
  <c r="AA423" i="63" s="1"/>
  <c r="Y407" i="63"/>
  <c r="Z407" i="63"/>
  <c r="X407" i="63"/>
  <c r="AA407" i="63" s="1"/>
  <c r="Y391" i="63"/>
  <c r="Z391" i="63"/>
  <c r="X391" i="63"/>
  <c r="AA391" i="63" s="1"/>
  <c r="Y375" i="63"/>
  <c r="Z375" i="63"/>
  <c r="X375" i="63"/>
  <c r="AA375" i="63" s="1"/>
  <c r="Y359" i="63"/>
  <c r="Z359" i="63"/>
  <c r="X359" i="63"/>
  <c r="AA359" i="63" s="1"/>
  <c r="Y343" i="63"/>
  <c r="Z343" i="63"/>
  <c r="X343" i="63"/>
  <c r="AA343" i="63" s="1"/>
  <c r="Y327" i="63"/>
  <c r="Z327" i="63"/>
  <c r="X327" i="63"/>
  <c r="AA327" i="63" s="1"/>
  <c r="Y311" i="63"/>
  <c r="Z311" i="63"/>
  <c r="X311" i="63"/>
  <c r="AA311" i="63" s="1"/>
  <c r="Y289" i="63"/>
  <c r="Z289" i="63"/>
  <c r="X289" i="63"/>
  <c r="AA289" i="63" s="1"/>
  <c r="Y268" i="63"/>
  <c r="Z268" i="63"/>
  <c r="X268" i="63"/>
  <c r="AA268" i="63" s="1"/>
  <c r="Y247" i="63"/>
  <c r="Z247" i="63"/>
  <c r="X247" i="63"/>
  <c r="AA247" i="63" s="1"/>
  <c r="Y225" i="63"/>
  <c r="Z225" i="63"/>
  <c r="X225" i="63"/>
  <c r="AA225" i="63" s="1"/>
  <c r="Y195" i="63"/>
  <c r="Z195" i="63"/>
  <c r="X195" i="63"/>
  <c r="AA195" i="63" s="1"/>
  <c r="Y163" i="63"/>
  <c r="Z163" i="63"/>
  <c r="X163" i="63"/>
  <c r="AA163" i="63" s="1"/>
  <c r="Y131" i="63"/>
  <c r="Z131" i="63"/>
  <c r="X131" i="63"/>
  <c r="AA131" i="63" s="1"/>
  <c r="Y99" i="63"/>
  <c r="Z99" i="63"/>
  <c r="X99" i="63"/>
  <c r="AA99" i="63" s="1"/>
  <c r="Y67" i="63"/>
  <c r="Z67" i="63"/>
  <c r="X67" i="63"/>
  <c r="AA67" i="63" s="1"/>
  <c r="Y801" i="63"/>
  <c r="Z801" i="63"/>
  <c r="X801" i="63"/>
  <c r="AA801" i="63" s="1"/>
  <c r="Y753" i="63"/>
  <c r="Z753" i="63"/>
  <c r="X753" i="63"/>
  <c r="AA753" i="63" s="1"/>
  <c r="Y705" i="63"/>
  <c r="Z705" i="63"/>
  <c r="X705" i="63"/>
  <c r="AA705" i="63" s="1"/>
  <c r="Y657" i="63"/>
  <c r="Z657" i="63"/>
  <c r="X657" i="63"/>
  <c r="AA657" i="63" s="1"/>
  <c r="Y609" i="63"/>
  <c r="Z609" i="63"/>
  <c r="X609" i="63"/>
  <c r="AA609" i="63" s="1"/>
  <c r="Y826" i="63"/>
  <c r="Z826" i="63"/>
  <c r="X826" i="63"/>
  <c r="AA826" i="63" s="1"/>
  <c r="Y810" i="63"/>
  <c r="Z810" i="63"/>
  <c r="X810" i="63"/>
  <c r="AA810" i="63" s="1"/>
  <c r="Y794" i="63"/>
  <c r="Z794" i="63"/>
  <c r="X794" i="63"/>
  <c r="AA794" i="63" s="1"/>
  <c r="Y778" i="63"/>
  <c r="Z778" i="63"/>
  <c r="X778" i="63"/>
  <c r="AA778" i="63" s="1"/>
  <c r="Y762" i="63"/>
  <c r="Z762" i="63"/>
  <c r="X762" i="63"/>
  <c r="AA762" i="63" s="1"/>
  <c r="Y746" i="63"/>
  <c r="Z746" i="63"/>
  <c r="X746" i="63"/>
  <c r="AA746" i="63" s="1"/>
  <c r="Y730" i="63"/>
  <c r="Z730" i="63"/>
  <c r="X730" i="63"/>
  <c r="AA730" i="63" s="1"/>
  <c r="Y714" i="63"/>
  <c r="Z714" i="63"/>
  <c r="X714" i="63"/>
  <c r="AA714" i="63" s="1"/>
  <c r="Y698" i="63"/>
  <c r="Z698" i="63"/>
  <c r="X698" i="63"/>
  <c r="AA698" i="63" s="1"/>
  <c r="Y682" i="63"/>
  <c r="Z682" i="63"/>
  <c r="X682" i="63"/>
  <c r="AA682" i="63" s="1"/>
  <c r="Y666" i="63"/>
  <c r="Z666" i="63"/>
  <c r="X666" i="63"/>
  <c r="AA666" i="63" s="1"/>
  <c r="Y650" i="63"/>
  <c r="Z650" i="63"/>
  <c r="X650" i="63"/>
  <c r="AA650" i="63" s="1"/>
  <c r="Y634" i="63"/>
  <c r="Z634" i="63"/>
  <c r="X634" i="63"/>
  <c r="AA634" i="63" s="1"/>
  <c r="Y618" i="63"/>
  <c r="Z618" i="63"/>
  <c r="X618" i="63"/>
  <c r="AA618" i="63" s="1"/>
  <c r="Y602" i="63"/>
  <c r="Z602" i="63"/>
  <c r="X602" i="63"/>
  <c r="AA602" i="63" s="1"/>
  <c r="Y586" i="63"/>
  <c r="Z586" i="63"/>
  <c r="X586" i="63"/>
  <c r="AA586" i="63" s="1"/>
  <c r="Y570" i="63"/>
  <c r="Z570" i="63"/>
  <c r="X570" i="63"/>
  <c r="AA570" i="63" s="1"/>
  <c r="Y554" i="63"/>
  <c r="Z554" i="63"/>
  <c r="X554" i="63"/>
  <c r="AA554" i="63" s="1"/>
  <c r="Y538" i="63"/>
  <c r="Z538" i="63"/>
  <c r="X538" i="63"/>
  <c r="AA538" i="63" s="1"/>
  <c r="Y522" i="63"/>
  <c r="Z522" i="63"/>
  <c r="X522" i="63"/>
  <c r="AA522" i="63" s="1"/>
  <c r="Y506" i="63"/>
  <c r="Z506" i="63"/>
  <c r="X506" i="63"/>
  <c r="AA506" i="63" s="1"/>
  <c r="Y490" i="63"/>
  <c r="Z490" i="63"/>
  <c r="X490" i="63"/>
  <c r="AA490" i="63" s="1"/>
  <c r="Y474" i="63"/>
  <c r="Z474" i="63"/>
  <c r="X474" i="63"/>
  <c r="AA474" i="63" s="1"/>
  <c r="Y458" i="63"/>
  <c r="Z458" i="63"/>
  <c r="X458" i="63"/>
  <c r="AA458" i="63" s="1"/>
  <c r="Y442" i="63"/>
  <c r="Z442" i="63"/>
  <c r="X442" i="63"/>
  <c r="AA442" i="63" s="1"/>
  <c r="Y426" i="63"/>
  <c r="Z426" i="63"/>
  <c r="X426" i="63"/>
  <c r="AA426" i="63" s="1"/>
  <c r="Y410" i="63"/>
  <c r="Z410" i="63"/>
  <c r="X410" i="63"/>
  <c r="AA410" i="63" s="1"/>
  <c r="Y394" i="63"/>
  <c r="Z394" i="63"/>
  <c r="X394" i="63"/>
  <c r="AA394" i="63" s="1"/>
  <c r="Y378" i="63"/>
  <c r="Z378" i="63"/>
  <c r="X378" i="63"/>
  <c r="AA378" i="63" s="1"/>
  <c r="Y362" i="63"/>
  <c r="Z362" i="63"/>
  <c r="X362" i="63"/>
  <c r="AA362" i="63" s="1"/>
  <c r="Y346" i="63"/>
  <c r="Z346" i="63"/>
  <c r="X346" i="63"/>
  <c r="AA346" i="63" s="1"/>
  <c r="Y330" i="63"/>
  <c r="Z330" i="63"/>
  <c r="X330" i="63"/>
  <c r="AA330" i="63" s="1"/>
  <c r="Y314" i="63"/>
  <c r="Z314" i="63"/>
  <c r="X314" i="63"/>
  <c r="AA314" i="63" s="1"/>
  <c r="Y293" i="63"/>
  <c r="Z293" i="63"/>
  <c r="X293" i="63"/>
  <c r="AA293" i="63" s="1"/>
  <c r="Y272" i="63"/>
  <c r="Z272" i="63"/>
  <c r="X272" i="63"/>
  <c r="AA272" i="63" s="1"/>
  <c r="Y251" i="63"/>
  <c r="Z251" i="63"/>
  <c r="X251" i="63"/>
  <c r="AA251" i="63" s="1"/>
  <c r="Y229" i="63"/>
  <c r="Z229" i="63"/>
  <c r="X229" i="63"/>
  <c r="AA229" i="63" s="1"/>
  <c r="Y200" i="63"/>
  <c r="Z200" i="63"/>
  <c r="X200" i="63"/>
  <c r="AA200" i="63" s="1"/>
  <c r="Y168" i="63"/>
  <c r="Z168" i="63"/>
  <c r="X168" i="63"/>
  <c r="AA168" i="63" s="1"/>
  <c r="Y136" i="63"/>
  <c r="Z136" i="63"/>
  <c r="X136" i="63"/>
  <c r="AA136" i="63" s="1"/>
  <c r="Y104" i="63"/>
  <c r="Z104" i="63"/>
  <c r="X104" i="63"/>
  <c r="AA104" i="63" s="1"/>
  <c r="Y72" i="63"/>
  <c r="Z72" i="63"/>
  <c r="X72" i="63"/>
  <c r="AA72" i="63" s="1"/>
  <c r="Y302" i="63"/>
  <c r="Z302" i="63"/>
  <c r="X302" i="63"/>
  <c r="AA302" i="63" s="1"/>
  <c r="Y286" i="63"/>
  <c r="Z286" i="63"/>
  <c r="X286" i="63"/>
  <c r="AA286" i="63" s="1"/>
  <c r="Y270" i="63"/>
  <c r="Z270" i="63"/>
  <c r="X270" i="63"/>
  <c r="AA270" i="63" s="1"/>
  <c r="Y254" i="63"/>
  <c r="Z254" i="63"/>
  <c r="X254" i="63"/>
  <c r="AA254" i="63" s="1"/>
  <c r="Y238" i="63"/>
  <c r="Z238" i="63"/>
  <c r="X238" i="63"/>
  <c r="AA238" i="63" s="1"/>
  <c r="Y222" i="63"/>
  <c r="Z222" i="63"/>
  <c r="X222" i="63"/>
  <c r="AA222" i="63" s="1"/>
  <c r="Y206" i="63"/>
  <c r="Z206" i="63"/>
  <c r="X206" i="63"/>
  <c r="AA206" i="63" s="1"/>
  <c r="Y190" i="63"/>
  <c r="Z190" i="63"/>
  <c r="X190" i="63"/>
  <c r="AA190" i="63" s="1"/>
  <c r="Y174" i="63"/>
  <c r="Z174" i="63"/>
  <c r="X174" i="63"/>
  <c r="AA174" i="63" s="1"/>
  <c r="Y158" i="63"/>
  <c r="Z158" i="63"/>
  <c r="X158" i="63"/>
  <c r="AA158" i="63" s="1"/>
  <c r="Y142" i="63"/>
  <c r="Z142" i="63"/>
  <c r="X142" i="63"/>
  <c r="AA142" i="63" s="1"/>
  <c r="Y126" i="63"/>
  <c r="Z126" i="63"/>
  <c r="X126" i="63"/>
  <c r="AA126" i="63" s="1"/>
  <c r="Y110" i="63"/>
  <c r="Z110" i="63"/>
  <c r="X110" i="63"/>
  <c r="AA110" i="63" s="1"/>
  <c r="Y94" i="63"/>
  <c r="Z94" i="63"/>
  <c r="X94" i="63"/>
  <c r="AA94" i="63" s="1"/>
  <c r="Y78" i="63"/>
  <c r="Z78" i="63"/>
  <c r="X78" i="63"/>
  <c r="AA78" i="63" s="1"/>
  <c r="Y62" i="63"/>
  <c r="Z62" i="63"/>
  <c r="X62" i="63"/>
  <c r="AA62" i="63" s="1"/>
  <c r="Y213" i="63"/>
  <c r="Z213" i="63"/>
  <c r="X213" i="63"/>
  <c r="AA213" i="63" s="1"/>
  <c r="Y197" i="63"/>
  <c r="Z197" i="63"/>
  <c r="X197" i="63"/>
  <c r="AA197" i="63" s="1"/>
  <c r="Y181" i="63"/>
  <c r="Z181" i="63"/>
  <c r="X181" i="63"/>
  <c r="AA181" i="63" s="1"/>
  <c r="Y165" i="63"/>
  <c r="Z165" i="63"/>
  <c r="X165" i="63"/>
  <c r="AA165" i="63" s="1"/>
  <c r="Y149" i="63"/>
  <c r="Z149" i="63"/>
  <c r="X149" i="63"/>
  <c r="AA149" i="63" s="1"/>
  <c r="Y133" i="63"/>
  <c r="Z133" i="63"/>
  <c r="X133" i="63"/>
  <c r="AA133" i="63" s="1"/>
  <c r="Y117" i="63"/>
  <c r="Z117" i="63"/>
  <c r="X117" i="63"/>
  <c r="AA117" i="63" s="1"/>
  <c r="Y101" i="63"/>
  <c r="Z101" i="63"/>
  <c r="X101" i="63"/>
  <c r="AA101" i="63" s="1"/>
  <c r="Y85" i="63"/>
  <c r="Z85" i="63"/>
  <c r="X85" i="63"/>
  <c r="AA85" i="63" s="1"/>
  <c r="Y69" i="63"/>
  <c r="Z69" i="63"/>
  <c r="X69" i="63"/>
  <c r="AA69" i="63" s="1"/>
  <c r="Y847" i="63"/>
  <c r="Z847" i="63"/>
  <c r="X847" i="63"/>
  <c r="AA847" i="63" s="1"/>
  <c r="Y882" i="63"/>
  <c r="Z882" i="63"/>
  <c r="X882" i="63"/>
  <c r="AA882" i="63" s="1"/>
  <c r="Y850" i="63"/>
  <c r="Z850" i="63"/>
  <c r="X850" i="63"/>
  <c r="AA850" i="63" s="1"/>
  <c r="Y854" i="63"/>
  <c r="Z854" i="63"/>
  <c r="X854" i="63"/>
  <c r="AA854" i="63" s="1"/>
  <c r="Y878" i="63"/>
  <c r="Z878" i="63"/>
  <c r="X878" i="63"/>
  <c r="AA878" i="63" s="1"/>
  <c r="Y846" i="63"/>
  <c r="Z846" i="63"/>
  <c r="X846" i="63"/>
  <c r="AA846" i="63" s="1"/>
  <c r="Y889" i="63"/>
  <c r="Z889" i="63"/>
  <c r="X889" i="63"/>
  <c r="AA889" i="63" s="1"/>
  <c r="Y858" i="63"/>
  <c r="Z858" i="63"/>
  <c r="X858" i="63"/>
  <c r="AA858" i="63" s="1"/>
  <c r="Y890" i="63"/>
  <c r="Z890" i="63"/>
  <c r="X890" i="63"/>
  <c r="AA890" i="63" s="1"/>
  <c r="Y869" i="63"/>
  <c r="Z869" i="63"/>
  <c r="X869" i="63"/>
  <c r="AA869" i="63" s="1"/>
  <c r="Y853" i="63"/>
  <c r="Z853" i="63"/>
  <c r="X853" i="63"/>
  <c r="AA853" i="63" s="1"/>
  <c r="Y837" i="63"/>
  <c r="Z837" i="63"/>
  <c r="X837" i="63"/>
  <c r="AA837" i="63" s="1"/>
  <c r="Y888" i="63"/>
  <c r="Z888" i="63"/>
  <c r="X888" i="63"/>
  <c r="AA888" i="63" s="1"/>
  <c r="Y873" i="63"/>
  <c r="Z873" i="63"/>
  <c r="X873" i="63"/>
  <c r="AA873" i="63" s="1"/>
  <c r="Y857" i="63"/>
  <c r="Z857" i="63"/>
  <c r="X857" i="63"/>
  <c r="AA857" i="63" s="1"/>
  <c r="Y841" i="63"/>
  <c r="Z841" i="63"/>
  <c r="X841" i="63"/>
  <c r="AA841" i="63" s="1"/>
  <c r="Y57" i="63"/>
  <c r="Z57" i="63"/>
  <c r="X57" i="63"/>
  <c r="AA57" i="63" s="1"/>
  <c r="Y689" i="63"/>
  <c r="Z689" i="63"/>
  <c r="X689" i="63"/>
  <c r="AA689" i="63" s="1"/>
  <c r="Y557" i="63"/>
  <c r="Z557" i="63"/>
  <c r="X557" i="63"/>
  <c r="AA557" i="63" s="1"/>
  <c r="Y461" i="63"/>
  <c r="Z461" i="63"/>
  <c r="X461" i="63"/>
  <c r="AA461" i="63" s="1"/>
  <c r="Y333" i="63"/>
  <c r="Z333" i="63"/>
  <c r="X333" i="63"/>
  <c r="AA333" i="63" s="1"/>
  <c r="Y215" i="63"/>
  <c r="Z215" i="63"/>
  <c r="X215" i="63"/>
  <c r="AA215" i="63" s="1"/>
  <c r="Y816" i="63"/>
  <c r="Z816" i="63"/>
  <c r="X816" i="63"/>
  <c r="AA816" i="63" s="1"/>
  <c r="Y760" i="63"/>
  <c r="Z760" i="63"/>
  <c r="X760" i="63"/>
  <c r="AA760" i="63" s="1"/>
  <c r="Y712" i="63"/>
  <c r="Z712" i="63"/>
  <c r="X712" i="63"/>
  <c r="AA712" i="63" s="1"/>
  <c r="Y648" i="63"/>
  <c r="Z648" i="63"/>
  <c r="X648" i="63"/>
  <c r="AA648" i="63" s="1"/>
  <c r="Y600" i="63"/>
  <c r="Z600" i="63"/>
  <c r="X600" i="63"/>
  <c r="AA600" i="63" s="1"/>
  <c r="Y552" i="63"/>
  <c r="X552" i="63"/>
  <c r="AA552" i="63" s="1"/>
  <c r="Z552" i="63"/>
  <c r="Y488" i="63"/>
  <c r="X488" i="63"/>
  <c r="AA488" i="63" s="1"/>
  <c r="Z488" i="63"/>
  <c r="Y440" i="63"/>
  <c r="Z440" i="63"/>
  <c r="X440" i="63"/>
  <c r="AA440" i="63" s="1"/>
  <c r="Y392" i="63"/>
  <c r="Z392" i="63"/>
  <c r="X392" i="63"/>
  <c r="AA392" i="63" s="1"/>
  <c r="Y344" i="63"/>
  <c r="Z344" i="63"/>
  <c r="X344" i="63"/>
  <c r="AA344" i="63" s="1"/>
  <c r="Y291" i="63"/>
  <c r="Z291" i="63"/>
  <c r="X291" i="63"/>
  <c r="AA291" i="63" s="1"/>
  <c r="Y227" i="63"/>
  <c r="Z227" i="63"/>
  <c r="X227" i="63"/>
  <c r="AA227" i="63" s="1"/>
  <c r="Y132" i="63"/>
  <c r="Z132" i="63"/>
  <c r="X132" i="63"/>
  <c r="AA132" i="63" s="1"/>
  <c r="Y68" i="63"/>
  <c r="Z68" i="63"/>
  <c r="X68" i="63"/>
  <c r="AA68" i="63" s="1"/>
  <c r="Y709" i="63"/>
  <c r="Z709" i="63"/>
  <c r="X709" i="63"/>
  <c r="AA709" i="63" s="1"/>
  <c r="Y613" i="63"/>
  <c r="Z613" i="63"/>
  <c r="X613" i="63"/>
  <c r="AA613" i="63" s="1"/>
  <c r="Y537" i="63"/>
  <c r="Z537" i="63"/>
  <c r="X537" i="63"/>
  <c r="AA537" i="63" s="1"/>
  <c r="Y441" i="63"/>
  <c r="Z441" i="63"/>
  <c r="X441" i="63"/>
  <c r="AA441" i="63" s="1"/>
  <c r="Y345" i="63"/>
  <c r="Z345" i="63"/>
  <c r="X345" i="63"/>
  <c r="AA345" i="63" s="1"/>
  <c r="Y265" i="63"/>
  <c r="Z265" i="63"/>
  <c r="X265" i="63"/>
  <c r="AA265" i="63" s="1"/>
  <c r="Y159" i="63"/>
  <c r="Z159" i="63"/>
  <c r="X159" i="63"/>
  <c r="AA159" i="63" s="1"/>
  <c r="Y820" i="63"/>
  <c r="Z820" i="63"/>
  <c r="X820" i="63"/>
  <c r="AA820" i="63" s="1"/>
  <c r="Y827" i="63"/>
  <c r="Z827" i="63"/>
  <c r="X827" i="63"/>
  <c r="AA827" i="63" s="1"/>
  <c r="Y795" i="63"/>
  <c r="Z795" i="63"/>
  <c r="X795" i="63"/>
  <c r="AA795" i="63" s="1"/>
  <c r="Y763" i="63"/>
  <c r="Z763" i="63"/>
  <c r="X763" i="63"/>
  <c r="AA763" i="63" s="1"/>
  <c r="Y731" i="63"/>
  <c r="Z731" i="63"/>
  <c r="X731" i="63"/>
  <c r="AA731" i="63" s="1"/>
  <c r="Y699" i="63"/>
  <c r="Z699" i="63"/>
  <c r="X699" i="63"/>
  <c r="AA699" i="63" s="1"/>
  <c r="Y667" i="63"/>
  <c r="Z667" i="63"/>
  <c r="X667" i="63"/>
  <c r="AA667" i="63" s="1"/>
  <c r="Y635" i="63"/>
  <c r="Z635" i="63"/>
  <c r="X635" i="63"/>
  <c r="AA635" i="63" s="1"/>
  <c r="Y603" i="63"/>
  <c r="Z603" i="63"/>
  <c r="X603" i="63"/>
  <c r="AA603" i="63" s="1"/>
  <c r="Y571" i="63"/>
  <c r="X571" i="63"/>
  <c r="AA571" i="63" s="1"/>
  <c r="Z571" i="63"/>
  <c r="Y523" i="63"/>
  <c r="X523" i="63"/>
  <c r="AA523" i="63" s="1"/>
  <c r="Z523" i="63"/>
  <c r="Y475" i="63"/>
  <c r="Z475" i="63"/>
  <c r="X475" i="63"/>
  <c r="AA475" i="63" s="1"/>
  <c r="Y427" i="63"/>
  <c r="Z427" i="63"/>
  <c r="X427" i="63"/>
  <c r="AA427" i="63" s="1"/>
  <c r="Y379" i="63"/>
  <c r="Z379" i="63"/>
  <c r="X379" i="63"/>
  <c r="AA379" i="63" s="1"/>
  <c r="Y331" i="63"/>
  <c r="Z331" i="63"/>
  <c r="X331" i="63"/>
  <c r="AA331" i="63" s="1"/>
  <c r="Y273" i="63"/>
  <c r="Z273" i="63"/>
  <c r="X273" i="63"/>
  <c r="AA273" i="63" s="1"/>
  <c r="Y203" i="63"/>
  <c r="Z203" i="63"/>
  <c r="X203" i="63"/>
  <c r="AA203" i="63" s="1"/>
  <c r="Y107" i="63"/>
  <c r="Z107" i="63"/>
  <c r="X107" i="63"/>
  <c r="AA107" i="63" s="1"/>
  <c r="Y813" i="63"/>
  <c r="Z813" i="63"/>
  <c r="X813" i="63"/>
  <c r="AA813" i="63" s="1"/>
  <c r="Y717" i="63"/>
  <c r="Z717" i="63"/>
  <c r="X717" i="63"/>
  <c r="AA717" i="63" s="1"/>
  <c r="Y830" i="63"/>
  <c r="Z830" i="63"/>
  <c r="X830" i="63"/>
  <c r="AA830" i="63" s="1"/>
  <c r="Y782" i="63"/>
  <c r="Z782" i="63"/>
  <c r="X782" i="63"/>
  <c r="AA782" i="63" s="1"/>
  <c r="Y734" i="63"/>
  <c r="Z734" i="63"/>
  <c r="X734" i="63"/>
  <c r="AA734" i="63" s="1"/>
  <c r="Y686" i="63"/>
  <c r="Z686" i="63"/>
  <c r="X686" i="63"/>
  <c r="AA686" i="63" s="1"/>
  <c r="Y638" i="63"/>
  <c r="Z638" i="63"/>
  <c r="X638" i="63"/>
  <c r="AA638" i="63" s="1"/>
  <c r="Y590" i="63"/>
  <c r="Z590" i="63"/>
  <c r="X590" i="63"/>
  <c r="AA590" i="63" s="1"/>
  <c r="Y542" i="63"/>
  <c r="Z542" i="63"/>
  <c r="X542" i="63"/>
  <c r="AA542" i="63" s="1"/>
  <c r="Y510" i="63"/>
  <c r="Z510" i="63"/>
  <c r="X510" i="63"/>
  <c r="AA510" i="63" s="1"/>
  <c r="Y462" i="63"/>
  <c r="Z462" i="63"/>
  <c r="X462" i="63"/>
  <c r="AA462" i="63" s="1"/>
  <c r="Y414" i="63"/>
  <c r="Z414" i="63"/>
  <c r="X414" i="63"/>
  <c r="AA414" i="63" s="1"/>
  <c r="Y366" i="63"/>
  <c r="Z366" i="63"/>
  <c r="X366" i="63"/>
  <c r="AA366" i="63" s="1"/>
  <c r="Y318" i="63"/>
  <c r="Z318" i="63"/>
  <c r="X318" i="63"/>
  <c r="AA318" i="63" s="1"/>
  <c r="Y256" i="63"/>
  <c r="Z256" i="63"/>
  <c r="X256" i="63"/>
  <c r="AA256" i="63" s="1"/>
  <c r="Y176" i="63"/>
  <c r="Z176" i="63"/>
  <c r="X176" i="63"/>
  <c r="AA176" i="63" s="1"/>
  <c r="Y80" i="63"/>
  <c r="Z80" i="63"/>
  <c r="X80" i="63"/>
  <c r="AA80" i="63" s="1"/>
  <c r="Y290" i="63"/>
  <c r="Z290" i="63"/>
  <c r="X290" i="63"/>
  <c r="AA290" i="63" s="1"/>
  <c r="Y242" i="63"/>
  <c r="Z242" i="63"/>
  <c r="X242" i="63"/>
  <c r="AA242" i="63" s="1"/>
  <c r="Y194" i="63"/>
  <c r="Z194" i="63"/>
  <c r="X194" i="63"/>
  <c r="AA194" i="63" s="1"/>
  <c r="Y146" i="63"/>
  <c r="Z146" i="63"/>
  <c r="X146" i="63"/>
  <c r="AA146" i="63" s="1"/>
  <c r="Y98" i="63"/>
  <c r="Z98" i="63"/>
  <c r="X98" i="63"/>
  <c r="AA98" i="63" s="1"/>
  <c r="Y217" i="63"/>
  <c r="Z217" i="63"/>
  <c r="X217" i="63"/>
  <c r="AA217" i="63" s="1"/>
  <c r="Y169" i="63"/>
  <c r="Z169" i="63"/>
  <c r="X169" i="63"/>
  <c r="AA169" i="63" s="1"/>
  <c r="Y121" i="63"/>
  <c r="Z121" i="63"/>
  <c r="X121" i="63"/>
  <c r="AA121" i="63" s="1"/>
  <c r="Y73" i="63"/>
  <c r="Z73" i="63"/>
  <c r="X73" i="63"/>
  <c r="AA73" i="63" s="1"/>
  <c r="Y886" i="63"/>
  <c r="Z886" i="63"/>
  <c r="X886" i="63"/>
  <c r="AA886" i="63" s="1"/>
  <c r="Y867" i="63"/>
  <c r="Z867" i="63"/>
  <c r="X867" i="63"/>
  <c r="AA867" i="63" s="1"/>
  <c r="Y880" i="63"/>
  <c r="Z880" i="63"/>
  <c r="X880" i="63"/>
  <c r="AA880" i="63" s="1"/>
  <c r="Y821" i="63"/>
  <c r="Z821" i="63"/>
  <c r="X821" i="63"/>
  <c r="AA821" i="63" s="1"/>
  <c r="Y725" i="63"/>
  <c r="Z725" i="63"/>
  <c r="X725" i="63"/>
  <c r="AA725" i="63" s="1"/>
  <c r="Y585" i="63"/>
  <c r="Z585" i="63"/>
  <c r="X585" i="63"/>
  <c r="AA585" i="63" s="1"/>
  <c r="Y485" i="63"/>
  <c r="Z485" i="63"/>
  <c r="X485" i="63"/>
  <c r="AA485" i="63" s="1"/>
  <c r="Y421" i="63"/>
  <c r="Z421" i="63"/>
  <c r="X421" i="63"/>
  <c r="AA421" i="63" s="1"/>
  <c r="Y357" i="63"/>
  <c r="Z357" i="63"/>
  <c r="X357" i="63"/>
  <c r="AA357" i="63" s="1"/>
  <c r="Y199" i="63"/>
  <c r="Z199" i="63"/>
  <c r="X199" i="63"/>
  <c r="AA199" i="63" s="1"/>
  <c r="Y808" i="63"/>
  <c r="Z808" i="63"/>
  <c r="X808" i="63"/>
  <c r="AA808" i="63" s="1"/>
  <c r="Y740" i="63"/>
  <c r="Z740" i="63"/>
  <c r="X740" i="63"/>
  <c r="AA740" i="63" s="1"/>
  <c r="Y708" i="63"/>
  <c r="Z708" i="63"/>
  <c r="X708" i="63"/>
  <c r="AA708" i="63" s="1"/>
  <c r="Y660" i="63"/>
  <c r="Z660" i="63"/>
  <c r="X660" i="63"/>
  <c r="AA660" i="63" s="1"/>
  <c r="Y612" i="63"/>
  <c r="Z612" i="63"/>
  <c r="X612" i="63"/>
  <c r="AA612" i="63" s="1"/>
  <c r="Y580" i="63"/>
  <c r="X580" i="63"/>
  <c r="AA580" i="63" s="1"/>
  <c r="Z580" i="63"/>
  <c r="Y532" i="63"/>
  <c r="X532" i="63"/>
  <c r="AA532" i="63" s="1"/>
  <c r="Z532" i="63"/>
  <c r="Y516" i="63"/>
  <c r="X516" i="63"/>
  <c r="AA516" i="63" s="1"/>
  <c r="Z516" i="63"/>
  <c r="Y468" i="63"/>
  <c r="Z468" i="63"/>
  <c r="X468" i="63"/>
  <c r="AA468" i="63" s="1"/>
  <c r="Y420" i="63"/>
  <c r="Z420" i="63"/>
  <c r="X420" i="63"/>
  <c r="AA420" i="63" s="1"/>
  <c r="Y372" i="63"/>
  <c r="Z372" i="63"/>
  <c r="X372" i="63"/>
  <c r="AA372" i="63" s="1"/>
  <c r="Y324" i="63"/>
  <c r="Z324" i="63"/>
  <c r="X324" i="63"/>
  <c r="AA324" i="63" s="1"/>
  <c r="Y243" i="63"/>
  <c r="Z243" i="63"/>
  <c r="X243" i="63"/>
  <c r="AA243" i="63" s="1"/>
  <c r="Y761" i="63"/>
  <c r="Z761" i="63"/>
  <c r="X761" i="63"/>
  <c r="AA761" i="63" s="1"/>
  <c r="Y665" i="63"/>
  <c r="Z665" i="63"/>
  <c r="X665" i="63"/>
  <c r="AA665" i="63" s="1"/>
  <c r="Y541" i="63"/>
  <c r="Z541" i="63"/>
  <c r="X541" i="63"/>
  <c r="AA541" i="63" s="1"/>
  <c r="Y477" i="63"/>
  <c r="Z477" i="63"/>
  <c r="X477" i="63"/>
  <c r="AA477" i="63" s="1"/>
  <c r="Y381" i="63"/>
  <c r="Z381" i="63"/>
  <c r="X381" i="63"/>
  <c r="AA381" i="63" s="1"/>
  <c r="Y317" i="63"/>
  <c r="Z317" i="63"/>
  <c r="X317" i="63"/>
  <c r="AA317" i="63" s="1"/>
  <c r="Y183" i="63"/>
  <c r="Z183" i="63"/>
  <c r="X183" i="63"/>
  <c r="AA183" i="63" s="1"/>
  <c r="Y796" i="63"/>
  <c r="Z796" i="63"/>
  <c r="X796" i="63"/>
  <c r="AA796" i="63" s="1"/>
  <c r="Y736" i="63"/>
  <c r="Z736" i="63"/>
  <c r="X736" i="63"/>
  <c r="AA736" i="63" s="1"/>
  <c r="Y688" i="63"/>
  <c r="Z688" i="63"/>
  <c r="X688" i="63"/>
  <c r="AA688" i="63" s="1"/>
  <c r="Y640" i="63"/>
  <c r="Z640" i="63"/>
  <c r="X640" i="63"/>
  <c r="AA640" i="63" s="1"/>
  <c r="Y576" i="63"/>
  <c r="X576" i="63"/>
  <c r="AA576" i="63" s="1"/>
  <c r="Z576" i="63"/>
  <c r="Y528" i="63"/>
  <c r="X528" i="63"/>
  <c r="AA528" i="63" s="1"/>
  <c r="Z528" i="63"/>
  <c r="Y480" i="63"/>
  <c r="Z480" i="63"/>
  <c r="X480" i="63"/>
  <c r="AA480" i="63" s="1"/>
  <c r="Y448" i="63"/>
  <c r="Z448" i="63"/>
  <c r="X448" i="63"/>
  <c r="AA448" i="63" s="1"/>
  <c r="Y400" i="63"/>
  <c r="Z400" i="63"/>
  <c r="X400" i="63"/>
  <c r="AA400" i="63" s="1"/>
  <c r="Y384" i="63"/>
  <c r="Z384" i="63"/>
  <c r="X384" i="63"/>
  <c r="AA384" i="63" s="1"/>
  <c r="Y368" i="63"/>
  <c r="Z368" i="63"/>
  <c r="X368" i="63"/>
  <c r="AA368" i="63" s="1"/>
  <c r="Y336" i="63"/>
  <c r="Z336" i="63"/>
  <c r="X336" i="63"/>
  <c r="AA336" i="63" s="1"/>
  <c r="Y320" i="63"/>
  <c r="Z320" i="63"/>
  <c r="X320" i="63"/>
  <c r="AA320" i="63" s="1"/>
  <c r="Y301" i="63"/>
  <c r="Z301" i="63"/>
  <c r="X301" i="63"/>
  <c r="AA301" i="63" s="1"/>
  <c r="Y280" i="63"/>
  <c r="Z280" i="63"/>
  <c r="X280" i="63"/>
  <c r="AA280" i="63" s="1"/>
  <c r="Y259" i="63"/>
  <c r="Z259" i="63"/>
  <c r="X259" i="63"/>
  <c r="AA259" i="63" s="1"/>
  <c r="Y237" i="63"/>
  <c r="Z237" i="63"/>
  <c r="X237" i="63"/>
  <c r="AA237" i="63" s="1"/>
  <c r="Y212" i="63"/>
  <c r="Z212" i="63"/>
  <c r="X212" i="63"/>
  <c r="AA212" i="63" s="1"/>
  <c r="Y180" i="63"/>
  <c r="Z180" i="63"/>
  <c r="X180" i="63"/>
  <c r="AA180" i="63" s="1"/>
  <c r="Y148" i="63"/>
  <c r="Z148" i="63"/>
  <c r="X148" i="63"/>
  <c r="AA148" i="63" s="1"/>
  <c r="Y116" i="63"/>
  <c r="Z116" i="63"/>
  <c r="X116" i="63"/>
  <c r="AA116" i="63" s="1"/>
  <c r="Y84" i="63"/>
  <c r="Z84" i="63"/>
  <c r="X84" i="63"/>
  <c r="AA84" i="63" s="1"/>
  <c r="Y829" i="63"/>
  <c r="Z829" i="63"/>
  <c r="X829" i="63"/>
  <c r="AA829" i="63" s="1"/>
  <c r="Y781" i="63"/>
  <c r="Z781" i="63"/>
  <c r="X781" i="63"/>
  <c r="AA781" i="63" s="1"/>
  <c r="Y733" i="63"/>
  <c r="Z733" i="63"/>
  <c r="X733" i="63"/>
  <c r="AA733" i="63" s="1"/>
  <c r="Y685" i="63"/>
  <c r="Z685" i="63"/>
  <c r="X685" i="63"/>
  <c r="AA685" i="63" s="1"/>
  <c r="Y637" i="63"/>
  <c r="Z637" i="63"/>
  <c r="X637" i="63"/>
  <c r="AA637" i="63" s="1"/>
  <c r="Y589" i="63"/>
  <c r="Z589" i="63"/>
  <c r="X589" i="63"/>
  <c r="AA589" i="63" s="1"/>
  <c r="Y553" i="63"/>
  <c r="Z553" i="63"/>
  <c r="X553" i="63"/>
  <c r="AA553" i="63" s="1"/>
  <c r="Y521" i="63"/>
  <c r="Z521" i="63"/>
  <c r="X521" i="63"/>
  <c r="AA521" i="63" s="1"/>
  <c r="Y489" i="63"/>
  <c r="Z489" i="63"/>
  <c r="X489" i="63"/>
  <c r="AA489" i="63" s="1"/>
  <c r="Y457" i="63"/>
  <c r="Z457" i="63"/>
  <c r="X457" i="63"/>
  <c r="AA457" i="63" s="1"/>
  <c r="Y425" i="63"/>
  <c r="Z425" i="63"/>
  <c r="X425" i="63"/>
  <c r="AA425" i="63" s="1"/>
  <c r="Y393" i="63"/>
  <c r="Z393" i="63"/>
  <c r="X393" i="63"/>
  <c r="AA393" i="63" s="1"/>
  <c r="Y361" i="63"/>
  <c r="Z361" i="63"/>
  <c r="X361" i="63"/>
  <c r="AA361" i="63" s="1"/>
  <c r="Y329" i="63"/>
  <c r="Z329" i="63"/>
  <c r="X329" i="63"/>
  <c r="AA329" i="63" s="1"/>
  <c r="Y287" i="63"/>
  <c r="Z287" i="63"/>
  <c r="X287" i="63"/>
  <c r="AA287" i="63" s="1"/>
  <c r="Y244" i="63"/>
  <c r="Z244" i="63"/>
  <c r="X244" i="63"/>
  <c r="AA244" i="63" s="1"/>
  <c r="Y191" i="63"/>
  <c r="Z191" i="63"/>
  <c r="X191" i="63"/>
  <c r="AA191" i="63" s="1"/>
  <c r="Y127" i="63"/>
  <c r="Z127" i="63"/>
  <c r="X127" i="63"/>
  <c r="AA127" i="63" s="1"/>
  <c r="Y63" i="63"/>
  <c r="Z63" i="63"/>
  <c r="X63" i="63"/>
  <c r="AA63" i="63" s="1"/>
  <c r="Y804" i="63"/>
  <c r="Z804" i="63"/>
  <c r="X804" i="63"/>
  <c r="AA804" i="63" s="1"/>
  <c r="Y776" i="63"/>
  <c r="Z776" i="63"/>
  <c r="X776" i="63"/>
  <c r="AA776" i="63" s="1"/>
  <c r="Y819" i="63"/>
  <c r="Z819" i="63"/>
  <c r="X819" i="63"/>
  <c r="AA819" i="63" s="1"/>
  <c r="Y803" i="63"/>
  <c r="Z803" i="63"/>
  <c r="X803" i="63"/>
  <c r="AA803" i="63" s="1"/>
  <c r="Y787" i="63"/>
  <c r="Z787" i="63"/>
  <c r="X787" i="63"/>
  <c r="AA787" i="63" s="1"/>
  <c r="Y771" i="63"/>
  <c r="Z771" i="63"/>
  <c r="X771" i="63"/>
  <c r="AA771" i="63" s="1"/>
  <c r="Y755" i="63"/>
  <c r="Z755" i="63"/>
  <c r="X755" i="63"/>
  <c r="AA755" i="63" s="1"/>
  <c r="Y739" i="63"/>
  <c r="Z739" i="63"/>
  <c r="X739" i="63"/>
  <c r="AA739" i="63" s="1"/>
  <c r="Y723" i="63"/>
  <c r="Z723" i="63"/>
  <c r="X723" i="63"/>
  <c r="AA723" i="63" s="1"/>
  <c r="Y707" i="63"/>
  <c r="Z707" i="63"/>
  <c r="X707" i="63"/>
  <c r="AA707" i="63" s="1"/>
  <c r="Y691" i="63"/>
  <c r="Z691" i="63"/>
  <c r="X691" i="63"/>
  <c r="AA691" i="63" s="1"/>
  <c r="Y675" i="63"/>
  <c r="Z675" i="63"/>
  <c r="X675" i="63"/>
  <c r="AA675" i="63" s="1"/>
  <c r="Y659" i="63"/>
  <c r="Z659" i="63"/>
  <c r="X659" i="63"/>
  <c r="AA659" i="63" s="1"/>
  <c r="Y643" i="63"/>
  <c r="Z643" i="63"/>
  <c r="X643" i="63"/>
  <c r="AA643" i="63" s="1"/>
  <c r="Y627" i="63"/>
  <c r="Z627" i="63"/>
  <c r="X627" i="63"/>
  <c r="AA627" i="63" s="1"/>
  <c r="Y611" i="63"/>
  <c r="Z611" i="63"/>
  <c r="X611" i="63"/>
  <c r="AA611" i="63" s="1"/>
  <c r="Y595" i="63"/>
  <c r="Z595" i="63"/>
  <c r="X595" i="63"/>
  <c r="AA595" i="63" s="1"/>
  <c r="Y579" i="63"/>
  <c r="X579" i="63"/>
  <c r="AA579" i="63" s="1"/>
  <c r="Z579" i="63"/>
  <c r="Y563" i="63"/>
  <c r="X563" i="63"/>
  <c r="AA563" i="63" s="1"/>
  <c r="Z563" i="63"/>
  <c r="Y547" i="63"/>
  <c r="X547" i="63"/>
  <c r="AA547" i="63" s="1"/>
  <c r="Z547" i="63"/>
  <c r="Y531" i="63"/>
  <c r="X531" i="63"/>
  <c r="AA531" i="63" s="1"/>
  <c r="Z531" i="63"/>
  <c r="Y515" i="63"/>
  <c r="X515" i="63"/>
  <c r="AA515" i="63" s="1"/>
  <c r="Z515" i="63"/>
  <c r="Y499" i="63"/>
  <c r="X499" i="63"/>
  <c r="AA499" i="63" s="1"/>
  <c r="Z499" i="63"/>
  <c r="Y483" i="63"/>
  <c r="Z483" i="63"/>
  <c r="X483" i="63"/>
  <c r="AA483" i="63" s="1"/>
  <c r="Y467" i="63"/>
  <c r="Z467" i="63"/>
  <c r="X467" i="63"/>
  <c r="AA467" i="63" s="1"/>
  <c r="Y451" i="63"/>
  <c r="Z451" i="63"/>
  <c r="X451" i="63"/>
  <c r="AA451" i="63" s="1"/>
  <c r="Y435" i="63"/>
  <c r="Z435" i="63"/>
  <c r="X435" i="63"/>
  <c r="AA435" i="63" s="1"/>
  <c r="Y419" i="63"/>
  <c r="Z419" i="63"/>
  <c r="X419" i="63"/>
  <c r="AA419" i="63" s="1"/>
  <c r="Y403" i="63"/>
  <c r="Z403" i="63"/>
  <c r="X403" i="63"/>
  <c r="AA403" i="63" s="1"/>
  <c r="Y387" i="63"/>
  <c r="Z387" i="63"/>
  <c r="X387" i="63"/>
  <c r="AA387" i="63" s="1"/>
  <c r="Y371" i="63"/>
  <c r="Z371" i="63"/>
  <c r="X371" i="63"/>
  <c r="AA371" i="63" s="1"/>
  <c r="Y355" i="63"/>
  <c r="Z355" i="63"/>
  <c r="X355" i="63"/>
  <c r="AA355" i="63" s="1"/>
  <c r="Y339" i="63"/>
  <c r="Z339" i="63"/>
  <c r="X339" i="63"/>
  <c r="AA339" i="63" s="1"/>
  <c r="Y323" i="63"/>
  <c r="Z323" i="63"/>
  <c r="X323" i="63"/>
  <c r="AA323" i="63" s="1"/>
  <c r="Y305" i="63"/>
  <c r="Z305" i="63"/>
  <c r="X305" i="63"/>
  <c r="AA305" i="63" s="1"/>
  <c r="Y284" i="63"/>
  <c r="Z284" i="63"/>
  <c r="X284" i="63"/>
  <c r="AA284" i="63" s="1"/>
  <c r="Y263" i="63"/>
  <c r="Z263" i="63"/>
  <c r="X263" i="63"/>
  <c r="AA263" i="63" s="1"/>
  <c r="Y241" i="63"/>
  <c r="Z241" i="63"/>
  <c r="X241" i="63"/>
  <c r="AA241" i="63" s="1"/>
  <c r="Y219" i="63"/>
  <c r="Z219" i="63"/>
  <c r="X219" i="63"/>
  <c r="AA219" i="63" s="1"/>
  <c r="Y187" i="63"/>
  <c r="Z187" i="63"/>
  <c r="X187" i="63"/>
  <c r="AA187" i="63" s="1"/>
  <c r="Y155" i="63"/>
  <c r="Z155" i="63"/>
  <c r="X155" i="63"/>
  <c r="AA155" i="63" s="1"/>
  <c r="Y123" i="63"/>
  <c r="Z123" i="63"/>
  <c r="X123" i="63"/>
  <c r="AA123" i="63" s="1"/>
  <c r="Y91" i="63"/>
  <c r="Z91" i="63"/>
  <c r="X91" i="63"/>
  <c r="AA91" i="63" s="1"/>
  <c r="Y59" i="63"/>
  <c r="Z59" i="63"/>
  <c r="X59" i="63"/>
  <c r="AA59" i="63" s="1"/>
  <c r="Y789" i="63"/>
  <c r="Z789" i="63"/>
  <c r="X789" i="63"/>
  <c r="AA789" i="63" s="1"/>
  <c r="Y741" i="63"/>
  <c r="Z741" i="63"/>
  <c r="X741" i="63"/>
  <c r="AA741" i="63" s="1"/>
  <c r="Y693" i="63"/>
  <c r="Z693" i="63"/>
  <c r="X693" i="63"/>
  <c r="AA693" i="63" s="1"/>
  <c r="Y645" i="63"/>
  <c r="Z645" i="63"/>
  <c r="X645" i="63"/>
  <c r="AA645" i="63" s="1"/>
  <c r="Y593" i="63"/>
  <c r="Z593" i="63"/>
  <c r="X593" i="63"/>
  <c r="AA593" i="63" s="1"/>
  <c r="Y822" i="63"/>
  <c r="Z822" i="63"/>
  <c r="X822" i="63"/>
  <c r="AA822" i="63" s="1"/>
  <c r="Y806" i="63"/>
  <c r="Z806" i="63"/>
  <c r="X806" i="63"/>
  <c r="AA806" i="63" s="1"/>
  <c r="Y790" i="63"/>
  <c r="Z790" i="63"/>
  <c r="X790" i="63"/>
  <c r="AA790" i="63" s="1"/>
  <c r="Y774" i="63"/>
  <c r="Z774" i="63"/>
  <c r="X774" i="63"/>
  <c r="AA774" i="63" s="1"/>
  <c r="Y758" i="63"/>
  <c r="Z758" i="63"/>
  <c r="X758" i="63"/>
  <c r="AA758" i="63" s="1"/>
  <c r="Y742" i="63"/>
  <c r="Z742" i="63"/>
  <c r="X742" i="63"/>
  <c r="AA742" i="63" s="1"/>
  <c r="Y726" i="63"/>
  <c r="Z726" i="63"/>
  <c r="X726" i="63"/>
  <c r="AA726" i="63" s="1"/>
  <c r="Y710" i="63"/>
  <c r="Z710" i="63"/>
  <c r="X710" i="63"/>
  <c r="AA710" i="63" s="1"/>
  <c r="Y694" i="63"/>
  <c r="Z694" i="63"/>
  <c r="X694" i="63"/>
  <c r="AA694" i="63" s="1"/>
  <c r="Y678" i="63"/>
  <c r="Z678" i="63"/>
  <c r="X678" i="63"/>
  <c r="AA678" i="63" s="1"/>
  <c r="Y662" i="63"/>
  <c r="Z662" i="63"/>
  <c r="X662" i="63"/>
  <c r="AA662" i="63" s="1"/>
  <c r="Y646" i="63"/>
  <c r="Z646" i="63"/>
  <c r="X646" i="63"/>
  <c r="AA646" i="63" s="1"/>
  <c r="Y630" i="63"/>
  <c r="Z630" i="63"/>
  <c r="X630" i="63"/>
  <c r="AA630" i="63" s="1"/>
  <c r="Y614" i="63"/>
  <c r="Z614" i="63"/>
  <c r="X614" i="63"/>
  <c r="AA614" i="63" s="1"/>
  <c r="Y598" i="63"/>
  <c r="Z598" i="63"/>
  <c r="X598" i="63"/>
  <c r="AA598" i="63" s="1"/>
  <c r="Y582" i="63"/>
  <c r="Z582" i="63"/>
  <c r="X582" i="63"/>
  <c r="AA582" i="63" s="1"/>
  <c r="Y566" i="63"/>
  <c r="Z566" i="63"/>
  <c r="X566" i="63"/>
  <c r="AA566" i="63" s="1"/>
  <c r="Y550" i="63"/>
  <c r="Z550" i="63"/>
  <c r="X550" i="63"/>
  <c r="AA550" i="63" s="1"/>
  <c r="Y534" i="63"/>
  <c r="Z534" i="63"/>
  <c r="X534" i="63"/>
  <c r="AA534" i="63" s="1"/>
  <c r="Y518" i="63"/>
  <c r="Z518" i="63"/>
  <c r="X518" i="63"/>
  <c r="AA518" i="63" s="1"/>
  <c r="Y502" i="63"/>
  <c r="Z502" i="63"/>
  <c r="X502" i="63"/>
  <c r="AA502" i="63" s="1"/>
  <c r="Y486" i="63"/>
  <c r="Z486" i="63"/>
  <c r="X486" i="63"/>
  <c r="AA486" i="63" s="1"/>
  <c r="Y470" i="63"/>
  <c r="Z470" i="63"/>
  <c r="X470" i="63"/>
  <c r="AA470" i="63" s="1"/>
  <c r="Y454" i="63"/>
  <c r="Z454" i="63"/>
  <c r="X454" i="63"/>
  <c r="AA454" i="63" s="1"/>
  <c r="Y438" i="63"/>
  <c r="Z438" i="63"/>
  <c r="X438" i="63"/>
  <c r="AA438" i="63" s="1"/>
  <c r="Y422" i="63"/>
  <c r="Z422" i="63"/>
  <c r="X422" i="63"/>
  <c r="AA422" i="63" s="1"/>
  <c r="Y406" i="63"/>
  <c r="Z406" i="63"/>
  <c r="X406" i="63"/>
  <c r="AA406" i="63" s="1"/>
  <c r="Y390" i="63"/>
  <c r="Z390" i="63"/>
  <c r="X390" i="63"/>
  <c r="AA390" i="63" s="1"/>
  <c r="Y374" i="63"/>
  <c r="Z374" i="63"/>
  <c r="X374" i="63"/>
  <c r="AA374" i="63" s="1"/>
  <c r="Y358" i="63"/>
  <c r="Z358" i="63"/>
  <c r="X358" i="63"/>
  <c r="AA358" i="63" s="1"/>
  <c r="Y342" i="63"/>
  <c r="Z342" i="63"/>
  <c r="X342" i="63"/>
  <c r="AA342" i="63" s="1"/>
  <c r="Y326" i="63"/>
  <c r="Z326" i="63"/>
  <c r="X326" i="63"/>
  <c r="AA326" i="63" s="1"/>
  <c r="Y309" i="63"/>
  <c r="Z309" i="63"/>
  <c r="X309" i="63"/>
  <c r="AA309" i="63" s="1"/>
  <c r="Y288" i="63"/>
  <c r="Z288" i="63"/>
  <c r="X288" i="63"/>
  <c r="AA288" i="63" s="1"/>
  <c r="Y267" i="63"/>
  <c r="Z267" i="63"/>
  <c r="X267" i="63"/>
  <c r="AA267" i="63" s="1"/>
  <c r="Y245" i="63"/>
  <c r="Z245" i="63"/>
  <c r="X245" i="63"/>
  <c r="AA245" i="63" s="1"/>
  <c r="Y224" i="63"/>
  <c r="Z224" i="63"/>
  <c r="X224" i="63"/>
  <c r="AA224" i="63" s="1"/>
  <c r="Y192" i="63"/>
  <c r="Z192" i="63"/>
  <c r="X192" i="63"/>
  <c r="AA192" i="63" s="1"/>
  <c r="Y160" i="63"/>
  <c r="Z160" i="63"/>
  <c r="X160" i="63"/>
  <c r="AA160" i="63" s="1"/>
  <c r="Y128" i="63"/>
  <c r="Z128" i="63"/>
  <c r="X128" i="63"/>
  <c r="AA128" i="63" s="1"/>
  <c r="Y96" i="63"/>
  <c r="Z96" i="63"/>
  <c r="X96" i="63"/>
  <c r="AA96" i="63" s="1"/>
  <c r="Y64" i="63"/>
  <c r="Z64" i="63"/>
  <c r="X64" i="63"/>
  <c r="AA64" i="63" s="1"/>
  <c r="Y298" i="63"/>
  <c r="Z298" i="63"/>
  <c r="X298" i="63"/>
  <c r="AA298" i="63" s="1"/>
  <c r="Y282" i="63"/>
  <c r="Z282" i="63"/>
  <c r="X282" i="63"/>
  <c r="AA282" i="63" s="1"/>
  <c r="Y266" i="63"/>
  <c r="Z266" i="63"/>
  <c r="X266" i="63"/>
  <c r="AA266" i="63" s="1"/>
  <c r="Y250" i="63"/>
  <c r="Z250" i="63"/>
  <c r="X250" i="63"/>
  <c r="AA250" i="63" s="1"/>
  <c r="Y234" i="63"/>
  <c r="Z234" i="63"/>
  <c r="X234" i="63"/>
  <c r="AA234" i="63" s="1"/>
  <c r="Y218" i="63"/>
  <c r="Z218" i="63"/>
  <c r="X218" i="63"/>
  <c r="AA218" i="63" s="1"/>
  <c r="Y202" i="63"/>
  <c r="Z202" i="63"/>
  <c r="X202" i="63"/>
  <c r="AA202" i="63" s="1"/>
  <c r="Y186" i="63"/>
  <c r="Z186" i="63"/>
  <c r="X186" i="63"/>
  <c r="AA186" i="63" s="1"/>
  <c r="Y170" i="63"/>
  <c r="Z170" i="63"/>
  <c r="X170" i="63"/>
  <c r="AA170" i="63" s="1"/>
  <c r="Y154" i="63"/>
  <c r="Z154" i="63"/>
  <c r="X154" i="63"/>
  <c r="AA154" i="63" s="1"/>
  <c r="Y138" i="63"/>
  <c r="Z138" i="63"/>
  <c r="X138" i="63"/>
  <c r="AA138" i="63" s="1"/>
  <c r="Y122" i="63"/>
  <c r="Z122" i="63"/>
  <c r="X122" i="63"/>
  <c r="AA122" i="63" s="1"/>
  <c r="Y106" i="63"/>
  <c r="Z106" i="63"/>
  <c r="X106" i="63"/>
  <c r="AA106" i="63" s="1"/>
  <c r="Y90" i="63"/>
  <c r="Z90" i="63"/>
  <c r="X90" i="63"/>
  <c r="AA90" i="63" s="1"/>
  <c r="Y74" i="63"/>
  <c r="Z74" i="63"/>
  <c r="X74" i="63"/>
  <c r="AA74" i="63" s="1"/>
  <c r="Y58" i="63"/>
  <c r="Z58" i="63"/>
  <c r="X58" i="63"/>
  <c r="AA58" i="63" s="1"/>
  <c r="Y209" i="63"/>
  <c r="Z209" i="63"/>
  <c r="X209" i="63"/>
  <c r="AA209" i="63" s="1"/>
  <c r="Y193" i="63"/>
  <c r="Z193" i="63"/>
  <c r="X193" i="63"/>
  <c r="AA193" i="63" s="1"/>
  <c r="Y177" i="63"/>
  <c r="Z177" i="63"/>
  <c r="X177" i="63"/>
  <c r="AA177" i="63" s="1"/>
  <c r="Y161" i="63"/>
  <c r="Z161" i="63"/>
  <c r="X161" i="63"/>
  <c r="AA161" i="63" s="1"/>
  <c r="Y145" i="63"/>
  <c r="Z145" i="63"/>
  <c r="X145" i="63"/>
  <c r="AA145" i="63" s="1"/>
  <c r="Y129" i="63"/>
  <c r="Z129" i="63"/>
  <c r="X129" i="63"/>
  <c r="AA129" i="63" s="1"/>
  <c r="Y113" i="63"/>
  <c r="Z113" i="63"/>
  <c r="X113" i="63"/>
  <c r="AA113" i="63" s="1"/>
  <c r="Y97" i="63"/>
  <c r="Z97" i="63"/>
  <c r="X97" i="63"/>
  <c r="AA97" i="63" s="1"/>
  <c r="Y81" i="63"/>
  <c r="Z81" i="63"/>
  <c r="X81" i="63"/>
  <c r="AA81" i="63" s="1"/>
  <c r="Y65" i="63"/>
  <c r="Z65" i="63"/>
  <c r="X65" i="63"/>
  <c r="AA65" i="63" s="1"/>
  <c r="Y838" i="63"/>
  <c r="Z838" i="63"/>
  <c r="X838" i="63"/>
  <c r="AA838" i="63" s="1"/>
  <c r="Y875" i="63"/>
  <c r="Z875" i="63"/>
  <c r="X875" i="63"/>
  <c r="AA875" i="63" s="1"/>
  <c r="Y843" i="63"/>
  <c r="Z843" i="63"/>
  <c r="X843" i="63"/>
  <c r="AA843" i="63" s="1"/>
  <c r="Y871" i="63"/>
  <c r="Z871" i="63"/>
  <c r="X871" i="63"/>
  <c r="AA871" i="63" s="1"/>
  <c r="Y839" i="63"/>
  <c r="Z839" i="63"/>
  <c r="X839" i="63"/>
  <c r="AA839" i="63" s="1"/>
  <c r="Y863" i="63"/>
  <c r="Z863" i="63"/>
  <c r="X863" i="63"/>
  <c r="AA863" i="63" s="1"/>
  <c r="Y851" i="63"/>
  <c r="Z851" i="63"/>
  <c r="X851" i="63"/>
  <c r="AA851" i="63" s="1"/>
  <c r="Y883" i="63"/>
  <c r="Z883" i="63"/>
  <c r="X883" i="63"/>
  <c r="AA883" i="63" s="1"/>
  <c r="Y868" i="63"/>
  <c r="Z868" i="63"/>
  <c r="X868" i="63"/>
  <c r="AA868" i="63" s="1"/>
  <c r="Y852" i="63"/>
  <c r="Z852" i="63"/>
  <c r="X852" i="63"/>
  <c r="AA852" i="63" s="1"/>
  <c r="Y836" i="63"/>
  <c r="Z836" i="63"/>
  <c r="X836" i="63"/>
  <c r="AA836" i="63" s="1"/>
  <c r="Y885" i="63"/>
  <c r="Z885" i="63"/>
  <c r="X885" i="63"/>
  <c r="AA885" i="63" s="1"/>
  <c r="Y872" i="63"/>
  <c r="Z872" i="63"/>
  <c r="X872" i="63"/>
  <c r="AA872" i="63" s="1"/>
  <c r="Y856" i="63"/>
  <c r="Z856" i="63"/>
  <c r="X856" i="63"/>
  <c r="AA856" i="63" s="1"/>
  <c r="Y840" i="63"/>
  <c r="Z840" i="63"/>
  <c r="X840" i="63"/>
  <c r="AA840" i="63" s="1"/>
  <c r="Y785" i="63"/>
  <c r="Z785" i="63"/>
  <c r="X785" i="63"/>
  <c r="AA785" i="63" s="1"/>
  <c r="Y641" i="63"/>
  <c r="Z641" i="63"/>
  <c r="X641" i="63"/>
  <c r="AA641" i="63" s="1"/>
  <c r="Y525" i="63"/>
  <c r="Z525" i="63"/>
  <c r="X525" i="63"/>
  <c r="AA525" i="63" s="1"/>
  <c r="Y429" i="63"/>
  <c r="Z429" i="63"/>
  <c r="X429" i="63"/>
  <c r="AA429" i="63" s="1"/>
  <c r="Y365" i="63"/>
  <c r="Z365" i="63"/>
  <c r="X365" i="63"/>
  <c r="AA365" i="63" s="1"/>
  <c r="Y260" i="63"/>
  <c r="Z260" i="63"/>
  <c r="X260" i="63"/>
  <c r="AA260" i="63" s="1"/>
  <c r="Y87" i="63"/>
  <c r="Z87" i="63"/>
  <c r="X87" i="63"/>
  <c r="AA87" i="63" s="1"/>
  <c r="Y744" i="63"/>
  <c r="Z744" i="63"/>
  <c r="X744" i="63"/>
  <c r="AA744" i="63" s="1"/>
  <c r="Y680" i="63"/>
  <c r="Z680" i="63"/>
  <c r="X680" i="63"/>
  <c r="AA680" i="63" s="1"/>
  <c r="Y632" i="63"/>
  <c r="Z632" i="63"/>
  <c r="X632" i="63"/>
  <c r="AA632" i="63" s="1"/>
  <c r="Y584" i="63"/>
  <c r="X584" i="63"/>
  <c r="AA584" i="63" s="1"/>
  <c r="Z584" i="63"/>
  <c r="Y536" i="63"/>
  <c r="X536" i="63"/>
  <c r="AA536" i="63" s="1"/>
  <c r="Z536" i="63"/>
  <c r="Y504" i="63"/>
  <c r="X504" i="63"/>
  <c r="AA504" i="63" s="1"/>
  <c r="Z504" i="63"/>
  <c r="Y456" i="63"/>
  <c r="Z456" i="63"/>
  <c r="X456" i="63"/>
  <c r="AA456" i="63" s="1"/>
  <c r="Y424" i="63"/>
  <c r="Z424" i="63"/>
  <c r="X424" i="63"/>
  <c r="AA424" i="63" s="1"/>
  <c r="Y376" i="63"/>
  <c r="Z376" i="63"/>
  <c r="X376" i="63"/>
  <c r="AA376" i="63" s="1"/>
  <c r="Y328" i="63"/>
  <c r="Z328" i="63"/>
  <c r="X328" i="63"/>
  <c r="AA328" i="63" s="1"/>
  <c r="Y248" i="63"/>
  <c r="Z248" i="63"/>
  <c r="X248" i="63"/>
  <c r="AA248" i="63" s="1"/>
  <c r="Y164" i="63"/>
  <c r="Z164" i="63"/>
  <c r="X164" i="63"/>
  <c r="AA164" i="63" s="1"/>
  <c r="Y757" i="63"/>
  <c r="Z757" i="63"/>
  <c r="X757" i="63"/>
  <c r="AA757" i="63" s="1"/>
  <c r="Y377" i="63"/>
  <c r="Z377" i="63"/>
  <c r="X377" i="63"/>
  <c r="AA377" i="63" s="1"/>
  <c r="Y555" i="63"/>
  <c r="X555" i="63"/>
  <c r="AA555" i="63" s="1"/>
  <c r="Z555" i="63"/>
  <c r="Y507" i="63"/>
  <c r="X507" i="63"/>
  <c r="AA507" i="63" s="1"/>
  <c r="Z507" i="63"/>
  <c r="Y459" i="63"/>
  <c r="Z459" i="63"/>
  <c r="X459" i="63"/>
  <c r="AA459" i="63" s="1"/>
  <c r="Y411" i="63"/>
  <c r="Z411" i="63"/>
  <c r="X411" i="63"/>
  <c r="AA411" i="63" s="1"/>
  <c r="Y363" i="63"/>
  <c r="Z363" i="63"/>
  <c r="X363" i="63"/>
  <c r="AA363" i="63" s="1"/>
  <c r="Y295" i="63"/>
  <c r="Z295" i="63"/>
  <c r="X295" i="63"/>
  <c r="AA295" i="63" s="1"/>
  <c r="Y231" i="63"/>
  <c r="Z231" i="63"/>
  <c r="X231" i="63"/>
  <c r="AA231" i="63" s="1"/>
  <c r="Y139" i="63"/>
  <c r="Z139" i="63"/>
  <c r="X139" i="63"/>
  <c r="AA139" i="63" s="1"/>
  <c r="Y765" i="63"/>
  <c r="Z765" i="63"/>
  <c r="X765" i="63"/>
  <c r="AA765" i="63" s="1"/>
  <c r="Y621" i="63"/>
  <c r="Z621" i="63"/>
  <c r="X621" i="63"/>
  <c r="AA621" i="63" s="1"/>
  <c r="Y798" i="63"/>
  <c r="Z798" i="63"/>
  <c r="X798" i="63"/>
  <c r="AA798" i="63" s="1"/>
  <c r="Y750" i="63"/>
  <c r="Z750" i="63"/>
  <c r="X750" i="63"/>
  <c r="AA750" i="63" s="1"/>
  <c r="Y702" i="63"/>
  <c r="Z702" i="63"/>
  <c r="X702" i="63"/>
  <c r="AA702" i="63" s="1"/>
  <c r="Y654" i="63"/>
  <c r="Z654" i="63"/>
  <c r="X654" i="63"/>
  <c r="AA654" i="63" s="1"/>
  <c r="Y606" i="63"/>
  <c r="Z606" i="63"/>
  <c r="X606" i="63"/>
  <c r="AA606" i="63" s="1"/>
  <c r="Y558" i="63"/>
  <c r="Z558" i="63"/>
  <c r="X558" i="63"/>
  <c r="AA558" i="63" s="1"/>
  <c r="Y494" i="63"/>
  <c r="Z494" i="63"/>
  <c r="X494" i="63"/>
  <c r="AA494" i="63" s="1"/>
  <c r="Y446" i="63"/>
  <c r="Z446" i="63"/>
  <c r="X446" i="63"/>
  <c r="AA446" i="63" s="1"/>
  <c r="Y398" i="63"/>
  <c r="Z398" i="63"/>
  <c r="X398" i="63"/>
  <c r="AA398" i="63" s="1"/>
  <c r="Y350" i="63"/>
  <c r="Z350" i="63"/>
  <c r="X350" i="63"/>
  <c r="AA350" i="63" s="1"/>
  <c r="Y299" i="63"/>
  <c r="Z299" i="63"/>
  <c r="X299" i="63"/>
  <c r="AA299" i="63" s="1"/>
  <c r="Y235" i="63"/>
  <c r="Z235" i="63"/>
  <c r="X235" i="63"/>
  <c r="AA235" i="63" s="1"/>
  <c r="Y144" i="63"/>
  <c r="Z144" i="63"/>
  <c r="X144" i="63"/>
  <c r="AA144" i="63" s="1"/>
  <c r="Y306" i="63"/>
  <c r="Z306" i="63"/>
  <c r="X306" i="63"/>
  <c r="AA306" i="63" s="1"/>
  <c r="Y258" i="63"/>
  <c r="Z258" i="63"/>
  <c r="X258" i="63"/>
  <c r="AA258" i="63" s="1"/>
  <c r="Y210" i="63"/>
  <c r="Z210" i="63"/>
  <c r="X210" i="63"/>
  <c r="AA210" i="63" s="1"/>
  <c r="Y178" i="63"/>
  <c r="Z178" i="63"/>
  <c r="X178" i="63"/>
  <c r="AA178" i="63" s="1"/>
  <c r="Y130" i="63"/>
  <c r="Z130" i="63"/>
  <c r="X130" i="63"/>
  <c r="AA130" i="63" s="1"/>
  <c r="Y82" i="63"/>
  <c r="Z82" i="63"/>
  <c r="X82" i="63"/>
  <c r="AA82" i="63" s="1"/>
  <c r="Y201" i="63"/>
  <c r="Z201" i="63"/>
  <c r="X201" i="63"/>
  <c r="AA201" i="63" s="1"/>
  <c r="Y153" i="63"/>
  <c r="Z153" i="63"/>
  <c r="X153" i="63"/>
  <c r="AA153" i="63" s="1"/>
  <c r="Y89" i="63"/>
  <c r="Z89" i="63"/>
  <c r="X89" i="63"/>
  <c r="AA89" i="63" s="1"/>
  <c r="Y870" i="63"/>
  <c r="Z870" i="63"/>
  <c r="X870" i="63"/>
  <c r="AA870" i="63" s="1"/>
  <c r="Y884" i="63"/>
  <c r="Z884" i="63"/>
  <c r="X884" i="63"/>
  <c r="AA884" i="63" s="1"/>
  <c r="Y848" i="63"/>
  <c r="Z848" i="63"/>
  <c r="X848" i="63"/>
  <c r="AA848" i="63" s="1"/>
  <c r="Y773" i="63"/>
  <c r="Z773" i="63"/>
  <c r="X773" i="63"/>
  <c r="AA773" i="63" s="1"/>
  <c r="Y629" i="63"/>
  <c r="Z629" i="63"/>
  <c r="X629" i="63"/>
  <c r="AA629" i="63" s="1"/>
  <c r="Y517" i="63"/>
  <c r="Z517" i="63"/>
  <c r="X517" i="63"/>
  <c r="AA517" i="63" s="1"/>
  <c r="Y389" i="63"/>
  <c r="Z389" i="63"/>
  <c r="X389" i="63"/>
  <c r="AA389" i="63" s="1"/>
  <c r="Y292" i="63"/>
  <c r="Z292" i="63"/>
  <c r="X292" i="63"/>
  <c r="AA292" i="63" s="1"/>
  <c r="Y249" i="63"/>
  <c r="Z249" i="63"/>
  <c r="X249" i="63"/>
  <c r="AA249" i="63" s="1"/>
  <c r="Y71" i="63"/>
  <c r="Z71" i="63"/>
  <c r="X71" i="63"/>
  <c r="AA71" i="63" s="1"/>
  <c r="Y772" i="63"/>
  <c r="Z772" i="63"/>
  <c r="X772" i="63"/>
  <c r="AA772" i="63" s="1"/>
  <c r="Y724" i="63"/>
  <c r="Z724" i="63"/>
  <c r="X724" i="63"/>
  <c r="AA724" i="63" s="1"/>
  <c r="Y676" i="63"/>
  <c r="Z676" i="63"/>
  <c r="X676" i="63"/>
  <c r="AA676" i="63" s="1"/>
  <c r="Y644" i="63"/>
  <c r="Z644" i="63"/>
  <c r="X644" i="63"/>
  <c r="AA644" i="63" s="1"/>
  <c r="Y596" i="63"/>
  <c r="Z596" i="63"/>
  <c r="X596" i="63"/>
  <c r="AA596" i="63" s="1"/>
  <c r="Y548" i="63"/>
  <c r="X548" i="63"/>
  <c r="AA548" i="63" s="1"/>
  <c r="Z548" i="63"/>
  <c r="Y484" i="63"/>
  <c r="Z484" i="63"/>
  <c r="X484" i="63"/>
  <c r="AA484" i="63" s="1"/>
  <c r="Y452" i="63"/>
  <c r="Z452" i="63"/>
  <c r="X452" i="63"/>
  <c r="AA452" i="63" s="1"/>
  <c r="Y404" i="63"/>
  <c r="Z404" i="63"/>
  <c r="X404" i="63"/>
  <c r="AA404" i="63" s="1"/>
  <c r="Y356" i="63"/>
  <c r="Z356" i="63"/>
  <c r="X356" i="63"/>
  <c r="AA356" i="63" s="1"/>
  <c r="Y188" i="63"/>
  <c r="Z188" i="63"/>
  <c r="X188" i="63"/>
  <c r="AA188" i="63" s="1"/>
  <c r="Y809" i="63"/>
  <c r="Z809" i="63"/>
  <c r="X809" i="63"/>
  <c r="AA809" i="63" s="1"/>
  <c r="Y713" i="63"/>
  <c r="Z713" i="63"/>
  <c r="X713" i="63"/>
  <c r="AA713" i="63" s="1"/>
  <c r="Y617" i="63"/>
  <c r="Z617" i="63"/>
  <c r="X617" i="63"/>
  <c r="AA617" i="63" s="1"/>
  <c r="Y577" i="63"/>
  <c r="Z577" i="63"/>
  <c r="X577" i="63"/>
  <c r="AA577" i="63" s="1"/>
  <c r="Y509" i="63"/>
  <c r="Z509" i="63"/>
  <c r="X509" i="63"/>
  <c r="AA509" i="63" s="1"/>
  <c r="Y445" i="63"/>
  <c r="Z445" i="63"/>
  <c r="X445" i="63"/>
  <c r="AA445" i="63" s="1"/>
  <c r="Y413" i="63"/>
  <c r="Z413" i="63"/>
  <c r="X413" i="63"/>
  <c r="AA413" i="63" s="1"/>
  <c r="Y349" i="63"/>
  <c r="Z349" i="63"/>
  <c r="X349" i="63"/>
  <c r="AA349" i="63" s="1"/>
  <c r="Y281" i="63"/>
  <c r="Z281" i="63"/>
  <c r="X281" i="63"/>
  <c r="AA281" i="63" s="1"/>
  <c r="Y239" i="63"/>
  <c r="Z239" i="63"/>
  <c r="X239" i="63"/>
  <c r="AA239" i="63" s="1"/>
  <c r="Y119" i="63"/>
  <c r="Z119" i="63"/>
  <c r="X119" i="63"/>
  <c r="AA119" i="63" s="1"/>
  <c r="Y832" i="63"/>
  <c r="Z832" i="63"/>
  <c r="X832" i="63"/>
  <c r="AA832" i="63" s="1"/>
  <c r="Y768" i="63"/>
  <c r="Z768" i="63"/>
  <c r="X768" i="63"/>
  <c r="AA768" i="63" s="1"/>
  <c r="Y752" i="63"/>
  <c r="Z752" i="63"/>
  <c r="X752" i="63"/>
  <c r="AA752" i="63" s="1"/>
  <c r="Y720" i="63"/>
  <c r="Z720" i="63"/>
  <c r="X720" i="63"/>
  <c r="AA720" i="63" s="1"/>
  <c r="Y704" i="63"/>
  <c r="Z704" i="63"/>
  <c r="X704" i="63"/>
  <c r="AA704" i="63" s="1"/>
  <c r="Y672" i="63"/>
  <c r="Z672" i="63"/>
  <c r="X672" i="63"/>
  <c r="AA672" i="63" s="1"/>
  <c r="Y656" i="63"/>
  <c r="Z656" i="63"/>
  <c r="X656" i="63"/>
  <c r="AA656" i="63" s="1"/>
  <c r="Y624" i="63"/>
  <c r="Z624" i="63"/>
  <c r="X624" i="63"/>
  <c r="AA624" i="63" s="1"/>
  <c r="Y608" i="63"/>
  <c r="Z608" i="63"/>
  <c r="X608" i="63"/>
  <c r="AA608" i="63" s="1"/>
  <c r="Y592" i="63"/>
  <c r="Z592" i="63"/>
  <c r="X592" i="63"/>
  <c r="AA592" i="63" s="1"/>
  <c r="Y560" i="63"/>
  <c r="X560" i="63"/>
  <c r="AA560" i="63" s="1"/>
  <c r="Z560" i="63"/>
  <c r="Y544" i="63"/>
  <c r="X544" i="63"/>
  <c r="AA544" i="63" s="1"/>
  <c r="Z544" i="63"/>
  <c r="Y512" i="63"/>
  <c r="X512" i="63"/>
  <c r="AA512" i="63" s="1"/>
  <c r="Z512" i="63"/>
  <c r="Y496" i="63"/>
  <c r="X496" i="63"/>
  <c r="AA496" i="63" s="1"/>
  <c r="Z496" i="63"/>
  <c r="Y464" i="63"/>
  <c r="Z464" i="63"/>
  <c r="X464" i="63"/>
  <c r="AA464" i="63" s="1"/>
  <c r="Y432" i="63"/>
  <c r="Z432" i="63"/>
  <c r="X432" i="63"/>
  <c r="AA432" i="63" s="1"/>
  <c r="Y416" i="63"/>
  <c r="Z416" i="63"/>
  <c r="X416" i="63"/>
  <c r="AA416" i="63" s="1"/>
  <c r="Y352" i="63"/>
  <c r="Z352" i="63"/>
  <c r="X352" i="63"/>
  <c r="AA352" i="63" s="1"/>
  <c r="Y797" i="63"/>
  <c r="Z797" i="63"/>
  <c r="X797" i="63"/>
  <c r="AA797" i="63" s="1"/>
  <c r="Y749" i="63"/>
  <c r="Z749" i="63"/>
  <c r="X749" i="63"/>
  <c r="AA749" i="63" s="1"/>
  <c r="Y701" i="63"/>
  <c r="Z701" i="63"/>
  <c r="X701" i="63"/>
  <c r="AA701" i="63" s="1"/>
  <c r="Y653" i="63"/>
  <c r="Z653" i="63"/>
  <c r="X653" i="63"/>
  <c r="AA653" i="63" s="1"/>
  <c r="Y605" i="63"/>
  <c r="Z605" i="63"/>
  <c r="X605" i="63"/>
  <c r="AA605" i="63" s="1"/>
  <c r="Y569" i="63"/>
  <c r="Z569" i="63"/>
  <c r="X569" i="63"/>
  <c r="AA569" i="63" s="1"/>
  <c r="Y533" i="63"/>
  <c r="Z533" i="63"/>
  <c r="X533" i="63"/>
  <c r="AA533" i="63" s="1"/>
  <c r="Y501" i="63"/>
  <c r="Z501" i="63"/>
  <c r="X501" i="63"/>
  <c r="AA501" i="63" s="1"/>
  <c r="Y469" i="63"/>
  <c r="Z469" i="63"/>
  <c r="X469" i="63"/>
  <c r="AA469" i="63" s="1"/>
  <c r="Y437" i="63"/>
  <c r="Z437" i="63"/>
  <c r="X437" i="63"/>
  <c r="AA437" i="63" s="1"/>
  <c r="Y405" i="63"/>
  <c r="Z405" i="63"/>
  <c r="X405" i="63"/>
  <c r="AA405" i="63" s="1"/>
  <c r="Y373" i="63"/>
  <c r="Z373" i="63"/>
  <c r="X373" i="63"/>
  <c r="AA373" i="63" s="1"/>
  <c r="Y341" i="63"/>
  <c r="Z341" i="63"/>
  <c r="X341" i="63"/>
  <c r="AA341" i="63" s="1"/>
  <c r="Y308" i="63"/>
  <c r="Z308" i="63"/>
  <c r="X308" i="63"/>
  <c r="AA308" i="63" s="1"/>
  <c r="Y271" i="63"/>
  <c r="Z271" i="63"/>
  <c r="X271" i="63"/>
  <c r="AA271" i="63" s="1"/>
  <c r="Y228" i="63"/>
  <c r="Z228" i="63"/>
  <c r="X228" i="63"/>
  <c r="AA228" i="63" s="1"/>
  <c r="Y167" i="63"/>
  <c r="Z167" i="63"/>
  <c r="X167" i="63"/>
  <c r="AA167" i="63" s="1"/>
  <c r="Y103" i="63"/>
  <c r="Z103" i="63"/>
  <c r="X103" i="63"/>
  <c r="AA103" i="63" s="1"/>
  <c r="Y824" i="63"/>
  <c r="Z824" i="63"/>
  <c r="X824" i="63"/>
  <c r="AA824" i="63" s="1"/>
  <c r="Y788" i="63"/>
  <c r="Z788" i="63"/>
  <c r="X788" i="63"/>
  <c r="AA788" i="63" s="1"/>
  <c r="Y764" i="63"/>
  <c r="Z764" i="63"/>
  <c r="X764" i="63"/>
  <c r="AA764" i="63" s="1"/>
  <c r="Y748" i="63"/>
  <c r="Z748" i="63"/>
  <c r="X748" i="63"/>
  <c r="AA748" i="63" s="1"/>
  <c r="Y732" i="63"/>
  <c r="Z732" i="63"/>
  <c r="X732" i="63"/>
  <c r="AA732" i="63" s="1"/>
  <c r="Y716" i="63"/>
  <c r="Z716" i="63"/>
  <c r="X716" i="63"/>
  <c r="AA716" i="63" s="1"/>
  <c r="Y700" i="63"/>
  <c r="Z700" i="63"/>
  <c r="X700" i="63"/>
  <c r="AA700" i="63" s="1"/>
  <c r="Y684" i="63"/>
  <c r="Z684" i="63"/>
  <c r="X684" i="63"/>
  <c r="AA684" i="63" s="1"/>
  <c r="Y668" i="63"/>
  <c r="Z668" i="63"/>
  <c r="X668" i="63"/>
  <c r="AA668" i="63" s="1"/>
  <c r="Y652" i="63"/>
  <c r="Z652" i="63"/>
  <c r="X652" i="63"/>
  <c r="AA652" i="63" s="1"/>
  <c r="Y636" i="63"/>
  <c r="Z636" i="63"/>
  <c r="X636" i="63"/>
  <c r="AA636" i="63" s="1"/>
  <c r="Y620" i="63"/>
  <c r="Z620" i="63"/>
  <c r="X620" i="63"/>
  <c r="AA620" i="63" s="1"/>
  <c r="Y604" i="63"/>
  <c r="Z604" i="63"/>
  <c r="X604" i="63"/>
  <c r="AA604" i="63" s="1"/>
  <c r="Y588" i="63"/>
  <c r="X588" i="63"/>
  <c r="AA588" i="63" s="1"/>
  <c r="Z588" i="63"/>
  <c r="Y572" i="63"/>
  <c r="X572" i="63"/>
  <c r="AA572" i="63" s="1"/>
  <c r="Z572" i="63"/>
  <c r="Y556" i="63"/>
  <c r="X556" i="63"/>
  <c r="AA556" i="63" s="1"/>
  <c r="Z556" i="63"/>
  <c r="Y540" i="63"/>
  <c r="X540" i="63"/>
  <c r="AA540" i="63" s="1"/>
  <c r="Z540" i="63"/>
  <c r="Y524" i="63"/>
  <c r="X524" i="63"/>
  <c r="AA524" i="63" s="1"/>
  <c r="Z524" i="63"/>
  <c r="Y508" i="63"/>
  <c r="X508" i="63"/>
  <c r="AA508" i="63" s="1"/>
  <c r="Z508" i="63"/>
  <c r="Y492" i="63"/>
  <c r="X492" i="63"/>
  <c r="AA492" i="63" s="1"/>
  <c r="Z492" i="63"/>
  <c r="Y476" i="63"/>
  <c r="Z476" i="63"/>
  <c r="X476" i="63"/>
  <c r="AA476" i="63" s="1"/>
  <c r="Y460" i="63"/>
  <c r="Z460" i="63"/>
  <c r="X460" i="63"/>
  <c r="AA460" i="63" s="1"/>
  <c r="Y444" i="63"/>
  <c r="Z444" i="63"/>
  <c r="X444" i="63"/>
  <c r="AA444" i="63" s="1"/>
  <c r="Y428" i="63"/>
  <c r="Z428" i="63"/>
  <c r="X428" i="63"/>
  <c r="AA428" i="63" s="1"/>
  <c r="Y412" i="63"/>
  <c r="Z412" i="63"/>
  <c r="X412" i="63"/>
  <c r="AA412" i="63" s="1"/>
  <c r="Y396" i="63"/>
  <c r="Z396" i="63"/>
  <c r="X396" i="63"/>
  <c r="AA396" i="63" s="1"/>
  <c r="Y380" i="63"/>
  <c r="Z380" i="63"/>
  <c r="X380" i="63"/>
  <c r="AA380" i="63" s="1"/>
  <c r="Y364" i="63"/>
  <c r="Z364" i="63"/>
  <c r="X364" i="63"/>
  <c r="AA364" i="63" s="1"/>
  <c r="Y348" i="63"/>
  <c r="Z348" i="63"/>
  <c r="X348" i="63"/>
  <c r="AA348" i="63" s="1"/>
  <c r="Y332" i="63"/>
  <c r="Z332" i="63"/>
  <c r="X332" i="63"/>
  <c r="AA332" i="63" s="1"/>
  <c r="Y316" i="63"/>
  <c r="Z316" i="63"/>
  <c r="X316" i="63"/>
  <c r="AA316" i="63" s="1"/>
  <c r="Y296" i="63"/>
  <c r="Z296" i="63"/>
  <c r="X296" i="63"/>
  <c r="AA296" i="63" s="1"/>
  <c r="Y275" i="63"/>
  <c r="Z275" i="63"/>
  <c r="X275" i="63"/>
  <c r="AA275" i="63" s="1"/>
  <c r="Y253" i="63"/>
  <c r="Z253" i="63"/>
  <c r="X253" i="63"/>
  <c r="AA253" i="63" s="1"/>
  <c r="Y232" i="63"/>
  <c r="Z232" i="63"/>
  <c r="X232" i="63"/>
  <c r="AA232" i="63" s="1"/>
  <c r="Y204" i="63"/>
  <c r="Z204" i="63"/>
  <c r="X204" i="63"/>
  <c r="AA204" i="63" s="1"/>
  <c r="Y172" i="63"/>
  <c r="Z172" i="63"/>
  <c r="X172" i="63"/>
  <c r="AA172" i="63" s="1"/>
  <c r="Y140" i="63"/>
  <c r="Z140" i="63"/>
  <c r="X140" i="63"/>
  <c r="AA140" i="63" s="1"/>
  <c r="Y108" i="63"/>
  <c r="Z108" i="63"/>
  <c r="X108" i="63"/>
  <c r="AA108" i="63" s="1"/>
  <c r="Y76" i="63"/>
  <c r="Z76" i="63"/>
  <c r="X76" i="63"/>
  <c r="AA76" i="63" s="1"/>
  <c r="Y817" i="63"/>
  <c r="Z817" i="63"/>
  <c r="X817" i="63"/>
  <c r="AA817" i="63" s="1"/>
  <c r="Y769" i="63"/>
  <c r="Z769" i="63"/>
  <c r="X769" i="63"/>
  <c r="AA769" i="63" s="1"/>
  <c r="Y721" i="63"/>
  <c r="Z721" i="63"/>
  <c r="X721" i="63"/>
  <c r="AA721" i="63" s="1"/>
  <c r="Y673" i="63"/>
  <c r="Z673" i="63"/>
  <c r="X673" i="63"/>
  <c r="AA673" i="63" s="1"/>
  <c r="Y625" i="63"/>
  <c r="Z625" i="63"/>
  <c r="X625" i="63"/>
  <c r="AA625" i="63" s="1"/>
  <c r="Y581" i="63"/>
  <c r="Z581" i="63"/>
  <c r="X581" i="63"/>
  <c r="AA581" i="63" s="1"/>
  <c r="Y545" i="63"/>
  <c r="Z545" i="63"/>
  <c r="X545" i="63"/>
  <c r="AA545" i="63" s="1"/>
  <c r="Y513" i="63"/>
  <c r="Z513" i="63"/>
  <c r="X513" i="63"/>
  <c r="AA513" i="63" s="1"/>
  <c r="Y481" i="63"/>
  <c r="Z481" i="63"/>
  <c r="X481" i="63"/>
  <c r="AA481" i="63" s="1"/>
  <c r="Y449" i="63"/>
  <c r="Z449" i="63"/>
  <c r="X449" i="63"/>
  <c r="AA449" i="63" s="1"/>
  <c r="Y417" i="63"/>
  <c r="Z417" i="63"/>
  <c r="X417" i="63"/>
  <c r="AA417" i="63" s="1"/>
  <c r="Y385" i="63"/>
  <c r="Z385" i="63"/>
  <c r="X385" i="63"/>
  <c r="AA385" i="63" s="1"/>
  <c r="Y353" i="63"/>
  <c r="Z353" i="63"/>
  <c r="X353" i="63"/>
  <c r="AA353" i="63" s="1"/>
  <c r="Y321" i="63"/>
  <c r="Z321" i="63"/>
  <c r="X321" i="63"/>
  <c r="AA321" i="63" s="1"/>
  <c r="Y276" i="63"/>
  <c r="Z276" i="63"/>
  <c r="X276" i="63"/>
  <c r="AA276" i="63" s="1"/>
  <c r="Y233" i="63"/>
  <c r="Z233" i="63"/>
  <c r="X233" i="63"/>
  <c r="AA233" i="63" s="1"/>
  <c r="Y175" i="63"/>
  <c r="Z175" i="63"/>
  <c r="X175" i="63"/>
  <c r="AA175" i="63" s="1"/>
  <c r="Y111" i="63"/>
  <c r="Z111" i="63"/>
  <c r="X111" i="63"/>
  <c r="AA111" i="63" s="1"/>
  <c r="Y828" i="63"/>
  <c r="Z828" i="63"/>
  <c r="X828" i="63"/>
  <c r="AA828" i="63" s="1"/>
  <c r="Y800" i="63"/>
  <c r="Z800" i="63"/>
  <c r="X800" i="63"/>
  <c r="AA800" i="63" s="1"/>
  <c r="Y831" i="63"/>
  <c r="Z831" i="63"/>
  <c r="X831" i="63"/>
  <c r="AA831" i="63" s="1"/>
  <c r="Y815" i="63"/>
  <c r="Z815" i="63"/>
  <c r="X815" i="63"/>
  <c r="AA815" i="63" s="1"/>
  <c r="Y799" i="63"/>
  <c r="Z799" i="63"/>
  <c r="X799" i="63"/>
  <c r="AA799" i="63" s="1"/>
  <c r="Y783" i="63"/>
  <c r="Z783" i="63"/>
  <c r="X783" i="63"/>
  <c r="AA783" i="63" s="1"/>
  <c r="Y767" i="63"/>
  <c r="Z767" i="63"/>
  <c r="X767" i="63"/>
  <c r="AA767" i="63" s="1"/>
  <c r="Y751" i="63"/>
  <c r="Z751" i="63"/>
  <c r="X751" i="63"/>
  <c r="AA751" i="63" s="1"/>
  <c r="Y735" i="63"/>
  <c r="Z735" i="63"/>
  <c r="X735" i="63"/>
  <c r="AA735" i="63" s="1"/>
  <c r="Y719" i="63"/>
  <c r="Z719" i="63"/>
  <c r="X719" i="63"/>
  <c r="AA719" i="63" s="1"/>
  <c r="Y703" i="63"/>
  <c r="Z703" i="63"/>
  <c r="X703" i="63"/>
  <c r="AA703" i="63" s="1"/>
  <c r="Y687" i="63"/>
  <c r="Z687" i="63"/>
  <c r="X687" i="63"/>
  <c r="AA687" i="63" s="1"/>
  <c r="Y671" i="63"/>
  <c r="Z671" i="63"/>
  <c r="X671" i="63"/>
  <c r="AA671" i="63" s="1"/>
  <c r="Y655" i="63"/>
  <c r="Z655" i="63"/>
  <c r="X655" i="63"/>
  <c r="AA655" i="63" s="1"/>
  <c r="Y639" i="63"/>
  <c r="Z639" i="63"/>
  <c r="X639" i="63"/>
  <c r="AA639" i="63" s="1"/>
  <c r="Y623" i="63"/>
  <c r="Z623" i="63"/>
  <c r="X623" i="63"/>
  <c r="AA623" i="63" s="1"/>
  <c r="Y607" i="63"/>
  <c r="Z607" i="63"/>
  <c r="X607" i="63"/>
  <c r="AA607" i="63" s="1"/>
  <c r="Y591" i="63"/>
  <c r="Z591" i="63"/>
  <c r="X591" i="63"/>
  <c r="AA591" i="63" s="1"/>
  <c r="Y575" i="63"/>
  <c r="X575" i="63"/>
  <c r="AA575" i="63" s="1"/>
  <c r="Z575" i="63"/>
  <c r="Y559" i="63"/>
  <c r="X559" i="63"/>
  <c r="AA559" i="63" s="1"/>
  <c r="Z559" i="63"/>
  <c r="Y543" i="63"/>
  <c r="X543" i="63"/>
  <c r="AA543" i="63" s="1"/>
  <c r="Z543" i="63"/>
  <c r="Y527" i="63"/>
  <c r="X527" i="63"/>
  <c r="AA527" i="63" s="1"/>
  <c r="Z527" i="63"/>
  <c r="Y511" i="63"/>
  <c r="X511" i="63"/>
  <c r="AA511" i="63" s="1"/>
  <c r="Z511" i="63"/>
  <c r="Y495" i="63"/>
  <c r="X495" i="63"/>
  <c r="AA495" i="63" s="1"/>
  <c r="Z495" i="63"/>
  <c r="Y479" i="63"/>
  <c r="Z479" i="63"/>
  <c r="X479" i="63"/>
  <c r="AA479" i="63" s="1"/>
  <c r="Y463" i="63"/>
  <c r="Z463" i="63"/>
  <c r="X463" i="63"/>
  <c r="AA463" i="63" s="1"/>
  <c r="Y447" i="63"/>
  <c r="Z447" i="63"/>
  <c r="X447" i="63"/>
  <c r="AA447" i="63" s="1"/>
  <c r="Y431" i="63"/>
  <c r="Z431" i="63"/>
  <c r="X431" i="63"/>
  <c r="AA431" i="63" s="1"/>
  <c r="Y415" i="63"/>
  <c r="Z415" i="63"/>
  <c r="X415" i="63"/>
  <c r="AA415" i="63" s="1"/>
  <c r="Y399" i="63"/>
  <c r="Z399" i="63"/>
  <c r="X399" i="63"/>
  <c r="AA399" i="63" s="1"/>
  <c r="Y383" i="63"/>
  <c r="Z383" i="63"/>
  <c r="X383" i="63"/>
  <c r="AA383" i="63" s="1"/>
  <c r="Y367" i="63"/>
  <c r="Z367" i="63"/>
  <c r="X367" i="63"/>
  <c r="AA367" i="63" s="1"/>
  <c r="Y351" i="63"/>
  <c r="Z351" i="63"/>
  <c r="X351" i="63"/>
  <c r="AA351" i="63" s="1"/>
  <c r="Y335" i="63"/>
  <c r="Z335" i="63"/>
  <c r="X335" i="63"/>
  <c r="AA335" i="63" s="1"/>
  <c r="Y319" i="63"/>
  <c r="Z319" i="63"/>
  <c r="X319" i="63"/>
  <c r="AA319" i="63" s="1"/>
  <c r="Y300" i="63"/>
  <c r="Z300" i="63"/>
  <c r="X300" i="63"/>
  <c r="AA300" i="63" s="1"/>
  <c r="Y279" i="63"/>
  <c r="Z279" i="63"/>
  <c r="X279" i="63"/>
  <c r="AA279" i="63" s="1"/>
  <c r="Y257" i="63"/>
  <c r="Z257" i="63"/>
  <c r="X257" i="63"/>
  <c r="AA257" i="63" s="1"/>
  <c r="Y236" i="63"/>
  <c r="Z236" i="63"/>
  <c r="X236" i="63"/>
  <c r="AA236" i="63" s="1"/>
  <c r="Y211" i="63"/>
  <c r="Z211" i="63"/>
  <c r="X211" i="63"/>
  <c r="AA211" i="63" s="1"/>
  <c r="Y179" i="63"/>
  <c r="Z179" i="63"/>
  <c r="X179" i="63"/>
  <c r="AA179" i="63" s="1"/>
  <c r="Y147" i="63"/>
  <c r="Z147" i="63"/>
  <c r="X147" i="63"/>
  <c r="AA147" i="63" s="1"/>
  <c r="Y115" i="63"/>
  <c r="Z115" i="63"/>
  <c r="X115" i="63"/>
  <c r="AA115" i="63" s="1"/>
  <c r="Y83" i="63"/>
  <c r="Z83" i="63"/>
  <c r="X83" i="63"/>
  <c r="AA83" i="63" s="1"/>
  <c r="Y825" i="63"/>
  <c r="Z825" i="63"/>
  <c r="X825" i="63"/>
  <c r="AA825" i="63" s="1"/>
  <c r="Y777" i="63"/>
  <c r="Z777" i="63"/>
  <c r="X777" i="63"/>
  <c r="AA777" i="63" s="1"/>
  <c r="Y729" i="63"/>
  <c r="Z729" i="63"/>
  <c r="X729" i="63"/>
  <c r="AA729" i="63" s="1"/>
  <c r="Y681" i="63"/>
  <c r="Z681" i="63"/>
  <c r="X681" i="63"/>
  <c r="AA681" i="63" s="1"/>
  <c r="Y633" i="63"/>
  <c r="Z633" i="63"/>
  <c r="X633" i="63"/>
  <c r="AA633" i="63" s="1"/>
  <c r="Y565" i="63"/>
  <c r="Z565" i="63"/>
  <c r="X565" i="63"/>
  <c r="AA565" i="63" s="1"/>
  <c r="Y818" i="63"/>
  <c r="Z818" i="63"/>
  <c r="X818" i="63"/>
  <c r="AA818" i="63" s="1"/>
  <c r="Y802" i="63"/>
  <c r="Z802" i="63"/>
  <c r="X802" i="63"/>
  <c r="AA802" i="63" s="1"/>
  <c r="Y786" i="63"/>
  <c r="Z786" i="63"/>
  <c r="X786" i="63"/>
  <c r="AA786" i="63" s="1"/>
  <c r="Y770" i="63"/>
  <c r="Z770" i="63"/>
  <c r="X770" i="63"/>
  <c r="AA770" i="63" s="1"/>
  <c r="Y754" i="63"/>
  <c r="Z754" i="63"/>
  <c r="X754" i="63"/>
  <c r="AA754" i="63" s="1"/>
  <c r="Y738" i="63"/>
  <c r="Z738" i="63"/>
  <c r="X738" i="63"/>
  <c r="AA738" i="63" s="1"/>
  <c r="Y722" i="63"/>
  <c r="Z722" i="63"/>
  <c r="X722" i="63"/>
  <c r="AA722" i="63" s="1"/>
  <c r="Y706" i="63"/>
  <c r="Z706" i="63"/>
  <c r="X706" i="63"/>
  <c r="AA706" i="63" s="1"/>
  <c r="Y690" i="63"/>
  <c r="Z690" i="63"/>
  <c r="X690" i="63"/>
  <c r="AA690" i="63" s="1"/>
  <c r="Y674" i="63"/>
  <c r="Z674" i="63"/>
  <c r="X674" i="63"/>
  <c r="AA674" i="63" s="1"/>
  <c r="Y658" i="63"/>
  <c r="Z658" i="63"/>
  <c r="X658" i="63"/>
  <c r="AA658" i="63" s="1"/>
  <c r="Y642" i="63"/>
  <c r="Z642" i="63"/>
  <c r="X642" i="63"/>
  <c r="AA642" i="63" s="1"/>
  <c r="Y626" i="63"/>
  <c r="Z626" i="63"/>
  <c r="X626" i="63"/>
  <c r="AA626" i="63" s="1"/>
  <c r="Y610" i="63"/>
  <c r="Z610" i="63"/>
  <c r="X610" i="63"/>
  <c r="AA610" i="63" s="1"/>
  <c r="Y594" i="63"/>
  <c r="Z594" i="63"/>
  <c r="X594" i="63"/>
  <c r="AA594" i="63" s="1"/>
  <c r="Y578" i="63"/>
  <c r="Z578" i="63"/>
  <c r="X578" i="63"/>
  <c r="AA578" i="63" s="1"/>
  <c r="Y562" i="63"/>
  <c r="Z562" i="63"/>
  <c r="X562" i="63"/>
  <c r="AA562" i="63" s="1"/>
  <c r="Y546" i="63"/>
  <c r="Z546" i="63"/>
  <c r="X546" i="63"/>
  <c r="AA546" i="63" s="1"/>
  <c r="Y530" i="63"/>
  <c r="Z530" i="63"/>
  <c r="X530" i="63"/>
  <c r="AA530" i="63" s="1"/>
  <c r="Y514" i="63"/>
  <c r="Z514" i="63"/>
  <c r="X514" i="63"/>
  <c r="AA514" i="63" s="1"/>
  <c r="Y498" i="63"/>
  <c r="Z498" i="63"/>
  <c r="X498" i="63"/>
  <c r="AA498" i="63" s="1"/>
  <c r="Y482" i="63"/>
  <c r="Z482" i="63"/>
  <c r="X482" i="63"/>
  <c r="AA482" i="63" s="1"/>
  <c r="Y466" i="63"/>
  <c r="Z466" i="63"/>
  <c r="X466" i="63"/>
  <c r="AA466" i="63" s="1"/>
  <c r="Y450" i="63"/>
  <c r="Z450" i="63"/>
  <c r="X450" i="63"/>
  <c r="AA450" i="63" s="1"/>
  <c r="Y434" i="63"/>
  <c r="Z434" i="63"/>
  <c r="X434" i="63"/>
  <c r="AA434" i="63" s="1"/>
  <c r="Y418" i="63"/>
  <c r="Z418" i="63"/>
  <c r="X418" i="63"/>
  <c r="AA418" i="63" s="1"/>
  <c r="Y402" i="63"/>
  <c r="Z402" i="63"/>
  <c r="X402" i="63"/>
  <c r="AA402" i="63" s="1"/>
  <c r="Y386" i="63"/>
  <c r="Z386" i="63"/>
  <c r="X386" i="63"/>
  <c r="AA386" i="63" s="1"/>
  <c r="Y370" i="63"/>
  <c r="Z370" i="63"/>
  <c r="X370" i="63"/>
  <c r="AA370" i="63" s="1"/>
  <c r="Y354" i="63"/>
  <c r="Z354" i="63"/>
  <c r="X354" i="63"/>
  <c r="AA354" i="63" s="1"/>
  <c r="Y338" i="63"/>
  <c r="Z338" i="63"/>
  <c r="X338" i="63"/>
  <c r="AA338" i="63" s="1"/>
  <c r="Y322" i="63"/>
  <c r="Z322" i="63"/>
  <c r="X322" i="63"/>
  <c r="AA322" i="63" s="1"/>
  <c r="Y304" i="63"/>
  <c r="Z304" i="63"/>
  <c r="X304" i="63"/>
  <c r="AA304" i="63" s="1"/>
  <c r="Y283" i="63"/>
  <c r="Z283" i="63"/>
  <c r="X283" i="63"/>
  <c r="AA283" i="63" s="1"/>
  <c r="Y261" i="63"/>
  <c r="Z261" i="63"/>
  <c r="X261" i="63"/>
  <c r="AA261" i="63" s="1"/>
  <c r="Y240" i="63"/>
  <c r="Z240" i="63"/>
  <c r="X240" i="63"/>
  <c r="AA240" i="63" s="1"/>
  <c r="Y216" i="63"/>
  <c r="Z216" i="63"/>
  <c r="X216" i="63"/>
  <c r="AA216" i="63" s="1"/>
  <c r="Y184" i="63"/>
  <c r="Z184" i="63"/>
  <c r="X184" i="63"/>
  <c r="AA184" i="63" s="1"/>
  <c r="Y152" i="63"/>
  <c r="Z152" i="63"/>
  <c r="X152" i="63"/>
  <c r="AA152" i="63" s="1"/>
  <c r="Y120" i="63"/>
  <c r="Z120" i="63"/>
  <c r="X120" i="63"/>
  <c r="AA120" i="63" s="1"/>
  <c r="Y88" i="63"/>
  <c r="Z88" i="63"/>
  <c r="X88" i="63"/>
  <c r="AA88" i="63" s="1"/>
  <c r="Y310" i="63"/>
  <c r="Z310" i="63"/>
  <c r="X310" i="63"/>
  <c r="AA310" i="63" s="1"/>
  <c r="Y294" i="63"/>
  <c r="Z294" i="63"/>
  <c r="X294" i="63"/>
  <c r="AA294" i="63" s="1"/>
  <c r="Y278" i="63"/>
  <c r="Z278" i="63"/>
  <c r="X278" i="63"/>
  <c r="AA278" i="63" s="1"/>
  <c r="Y262" i="63"/>
  <c r="Z262" i="63"/>
  <c r="X262" i="63"/>
  <c r="AA262" i="63" s="1"/>
  <c r="Y246" i="63"/>
  <c r="Z246" i="63"/>
  <c r="X246" i="63"/>
  <c r="AA246" i="63" s="1"/>
  <c r="Y230" i="63"/>
  <c r="Z230" i="63"/>
  <c r="X230" i="63"/>
  <c r="AA230" i="63" s="1"/>
  <c r="Y214" i="63"/>
  <c r="Z214" i="63"/>
  <c r="X214" i="63"/>
  <c r="AA214" i="63" s="1"/>
  <c r="Y198" i="63"/>
  <c r="Z198" i="63"/>
  <c r="X198" i="63"/>
  <c r="AA198" i="63" s="1"/>
  <c r="Y182" i="63"/>
  <c r="Z182" i="63"/>
  <c r="X182" i="63"/>
  <c r="AA182" i="63" s="1"/>
  <c r="Y166" i="63"/>
  <c r="Z166" i="63"/>
  <c r="X166" i="63"/>
  <c r="AA166" i="63" s="1"/>
  <c r="Y150" i="63"/>
  <c r="Z150" i="63"/>
  <c r="X150" i="63"/>
  <c r="AA150" i="63" s="1"/>
  <c r="Y134" i="63"/>
  <c r="Z134" i="63"/>
  <c r="X134" i="63"/>
  <c r="AA134" i="63" s="1"/>
  <c r="Y118" i="63"/>
  <c r="Z118" i="63"/>
  <c r="X118" i="63"/>
  <c r="AA118" i="63" s="1"/>
  <c r="Y102" i="63"/>
  <c r="Z102" i="63"/>
  <c r="X102" i="63"/>
  <c r="AA102" i="63" s="1"/>
  <c r="Y86" i="63"/>
  <c r="Z86" i="63"/>
  <c r="X86" i="63"/>
  <c r="AA86" i="63" s="1"/>
  <c r="Y70" i="63"/>
  <c r="Z70" i="63"/>
  <c r="X70" i="63"/>
  <c r="AA70" i="63" s="1"/>
  <c r="Y221" i="63"/>
  <c r="Z221" i="63"/>
  <c r="X221" i="63"/>
  <c r="AA221" i="63" s="1"/>
  <c r="Y205" i="63"/>
  <c r="Z205" i="63"/>
  <c r="X205" i="63"/>
  <c r="AA205" i="63" s="1"/>
  <c r="Y189" i="63"/>
  <c r="Z189" i="63"/>
  <c r="X189" i="63"/>
  <c r="AA189" i="63" s="1"/>
  <c r="Y173" i="63"/>
  <c r="Z173" i="63"/>
  <c r="X173" i="63"/>
  <c r="AA173" i="63" s="1"/>
  <c r="Y157" i="63"/>
  <c r="Z157" i="63"/>
  <c r="X157" i="63"/>
  <c r="AA157" i="63" s="1"/>
  <c r="Y141" i="63"/>
  <c r="Z141" i="63"/>
  <c r="X141" i="63"/>
  <c r="AA141" i="63" s="1"/>
  <c r="Y125" i="63"/>
  <c r="Z125" i="63"/>
  <c r="X125" i="63"/>
  <c r="AA125" i="63" s="1"/>
  <c r="Y109" i="63"/>
  <c r="Z109" i="63"/>
  <c r="X109" i="63"/>
  <c r="AA109" i="63" s="1"/>
  <c r="Y93" i="63"/>
  <c r="Z93" i="63"/>
  <c r="X93" i="63"/>
  <c r="AA93" i="63" s="1"/>
  <c r="Y77" i="63"/>
  <c r="Z77" i="63"/>
  <c r="X77" i="63"/>
  <c r="AA77" i="63" s="1"/>
  <c r="Y61" i="63"/>
  <c r="Z61" i="63"/>
  <c r="X61" i="63"/>
  <c r="AA61" i="63" s="1"/>
  <c r="Y866" i="63"/>
  <c r="Z866" i="63"/>
  <c r="X866" i="63"/>
  <c r="AA866" i="63" s="1"/>
  <c r="Y879" i="63"/>
  <c r="Z879" i="63"/>
  <c r="X879" i="63"/>
  <c r="AA879" i="63" s="1"/>
  <c r="Y887" i="63"/>
  <c r="Z887" i="63"/>
  <c r="X887" i="63"/>
  <c r="AA887" i="63" s="1"/>
  <c r="Y862" i="63"/>
  <c r="Z862" i="63"/>
  <c r="X862" i="63"/>
  <c r="AA862" i="63" s="1"/>
  <c r="Y874" i="63"/>
  <c r="Z874" i="63"/>
  <c r="X874" i="63"/>
  <c r="AA874" i="63" s="1"/>
  <c r="Y842" i="63"/>
  <c r="Z842" i="63"/>
  <c r="X842" i="63"/>
  <c r="AA842" i="63" s="1"/>
  <c r="Y877" i="63"/>
  <c r="Z877" i="63"/>
  <c r="X877" i="63"/>
  <c r="AA877" i="63" s="1"/>
  <c r="Y861" i="63"/>
  <c r="Z861" i="63"/>
  <c r="X861" i="63"/>
  <c r="AA861" i="63" s="1"/>
  <c r="Y845" i="63"/>
  <c r="Z845" i="63"/>
  <c r="X845" i="63"/>
  <c r="AA845" i="63" s="1"/>
  <c r="Y835" i="63"/>
  <c r="Z835" i="63"/>
  <c r="X835" i="63"/>
  <c r="AA835" i="63" s="1"/>
  <c r="Y881" i="63"/>
  <c r="Z881" i="63"/>
  <c r="X881" i="63"/>
  <c r="AA881" i="63" s="1"/>
  <c r="Y865" i="63"/>
  <c r="Z865" i="63"/>
  <c r="X865" i="63"/>
  <c r="AA865" i="63" s="1"/>
  <c r="Y849" i="63"/>
  <c r="Z849" i="63"/>
  <c r="X849" i="63"/>
  <c r="AA849" i="63" s="1"/>
  <c r="Y833" i="63"/>
  <c r="Z833" i="63"/>
  <c r="X833" i="63"/>
  <c r="AA833" i="63" s="1"/>
  <c r="U886" i="63"/>
  <c r="V886" i="63" s="1"/>
  <c r="R886" i="63"/>
  <c r="R859" i="63"/>
  <c r="U859" i="63"/>
  <c r="V859" i="63" s="1"/>
  <c r="R870" i="63"/>
  <c r="U870" i="63"/>
  <c r="V870" i="63" s="1"/>
  <c r="R884" i="63"/>
  <c r="U884" i="63"/>
  <c r="V884" i="63" s="1"/>
  <c r="R855" i="63"/>
  <c r="U855" i="63"/>
  <c r="V855" i="63" s="1"/>
  <c r="R867" i="63"/>
  <c r="U867" i="63"/>
  <c r="V867" i="63" s="1"/>
  <c r="U876" i="63"/>
  <c r="V876" i="63" s="1"/>
  <c r="R876" i="63"/>
  <c r="U860" i="63"/>
  <c r="V860" i="63" s="1"/>
  <c r="R860" i="63"/>
  <c r="U844" i="63"/>
  <c r="V844" i="63" s="1"/>
  <c r="R844" i="63"/>
  <c r="R834" i="63"/>
  <c r="U834" i="63"/>
  <c r="V834" i="63" s="1"/>
  <c r="U880" i="63"/>
  <c r="V880" i="63" s="1"/>
  <c r="R880" i="63"/>
  <c r="U864" i="63"/>
  <c r="V864" i="63" s="1"/>
  <c r="R864" i="63"/>
  <c r="U848" i="63"/>
  <c r="V848" i="63" s="1"/>
  <c r="R848" i="63"/>
  <c r="R847" i="63"/>
  <c r="U847" i="63"/>
  <c r="V847" i="63" s="1"/>
  <c r="R882" i="63"/>
  <c r="U882" i="63"/>
  <c r="V882" i="63" s="1"/>
  <c r="R850" i="63"/>
  <c r="U850" i="63"/>
  <c r="V850" i="63" s="1"/>
  <c r="R854" i="63"/>
  <c r="U854" i="63"/>
  <c r="V854" i="63" s="1"/>
  <c r="R878" i="63"/>
  <c r="U878" i="63"/>
  <c r="V878" i="63" s="1"/>
  <c r="R846" i="63"/>
  <c r="U846" i="63"/>
  <c r="V846" i="63" s="1"/>
  <c r="R889" i="63"/>
  <c r="U889" i="63"/>
  <c r="V889" i="63" s="1"/>
  <c r="R858" i="63"/>
  <c r="U858" i="63"/>
  <c r="V858" i="63" s="1"/>
  <c r="R890" i="63"/>
  <c r="U890" i="63"/>
  <c r="V890" i="63" s="1"/>
  <c r="R869" i="63"/>
  <c r="U869" i="63"/>
  <c r="V869" i="63" s="1"/>
  <c r="R853" i="63"/>
  <c r="U853" i="63"/>
  <c r="V853" i="63" s="1"/>
  <c r="R837" i="63"/>
  <c r="U837" i="63"/>
  <c r="V837" i="63" s="1"/>
  <c r="U888" i="63"/>
  <c r="V888" i="63" s="1"/>
  <c r="R888" i="63"/>
  <c r="R873" i="63"/>
  <c r="U873" i="63"/>
  <c r="V873" i="63" s="1"/>
  <c r="R857" i="63"/>
  <c r="U857" i="63"/>
  <c r="V857" i="63" s="1"/>
  <c r="R841" i="63"/>
  <c r="U841" i="63"/>
  <c r="V841" i="63" s="1"/>
  <c r="R838" i="63"/>
  <c r="U838" i="63"/>
  <c r="V838" i="63" s="1"/>
  <c r="U875" i="63"/>
  <c r="V875" i="63" s="1"/>
  <c r="R875" i="63"/>
  <c r="R843" i="63"/>
  <c r="U843" i="63"/>
  <c r="V843" i="63" s="1"/>
  <c r="U871" i="63"/>
  <c r="V871" i="63" s="1"/>
  <c r="R871" i="63"/>
  <c r="R839" i="63"/>
  <c r="U839" i="63"/>
  <c r="V839" i="63" s="1"/>
  <c r="R863" i="63"/>
  <c r="U863" i="63"/>
  <c r="V863" i="63" s="1"/>
  <c r="R851" i="63"/>
  <c r="U851" i="63"/>
  <c r="V851" i="63" s="1"/>
  <c r="U883" i="63"/>
  <c r="V883" i="63" s="1"/>
  <c r="R883" i="63"/>
  <c r="U868" i="63"/>
  <c r="V868" i="63" s="1"/>
  <c r="R868" i="63"/>
  <c r="U852" i="63"/>
  <c r="V852" i="63" s="1"/>
  <c r="R852" i="63"/>
  <c r="U836" i="63"/>
  <c r="V836" i="63" s="1"/>
  <c r="R836" i="63"/>
  <c r="U885" i="63"/>
  <c r="V885" i="63" s="1"/>
  <c r="R885" i="63"/>
  <c r="U872" i="63"/>
  <c r="V872" i="63" s="1"/>
  <c r="R872" i="63"/>
  <c r="U856" i="63"/>
  <c r="V856" i="63" s="1"/>
  <c r="R856" i="63"/>
  <c r="U840" i="63"/>
  <c r="V840" i="63" s="1"/>
  <c r="R840" i="63"/>
  <c r="R866" i="63"/>
  <c r="U866" i="63"/>
  <c r="V866" i="63" s="1"/>
  <c r="U879" i="63"/>
  <c r="V879" i="63" s="1"/>
  <c r="R879" i="63"/>
  <c r="U887" i="63"/>
  <c r="V887" i="63" s="1"/>
  <c r="R887" i="63"/>
  <c r="R862" i="63"/>
  <c r="U862" i="63"/>
  <c r="V862" i="63" s="1"/>
  <c r="R874" i="63"/>
  <c r="U874" i="63"/>
  <c r="V874" i="63" s="1"/>
  <c r="R842" i="63"/>
  <c r="U842" i="63"/>
  <c r="V842" i="63" s="1"/>
  <c r="U877" i="63"/>
  <c r="V877" i="63" s="1"/>
  <c r="R877" i="63"/>
  <c r="R861" i="63"/>
  <c r="U861" i="63"/>
  <c r="V861" i="63" s="1"/>
  <c r="R845" i="63"/>
  <c r="U845" i="63"/>
  <c r="V845" i="63" s="1"/>
  <c r="R835" i="63"/>
  <c r="U835" i="63"/>
  <c r="V835" i="63" s="1"/>
  <c r="R881" i="63"/>
  <c r="U881" i="63"/>
  <c r="V881" i="63" s="1"/>
  <c r="R865" i="63"/>
  <c r="U865" i="63"/>
  <c r="V865" i="63" s="1"/>
  <c r="R849" i="63"/>
  <c r="U849" i="63"/>
  <c r="V849" i="63" s="1"/>
  <c r="R833" i="63"/>
  <c r="U833" i="63"/>
  <c r="V833" i="63" s="1"/>
  <c r="U785" i="63"/>
  <c r="V785" i="63" s="1"/>
  <c r="R785" i="63"/>
  <c r="U597" i="63"/>
  <c r="V597" i="63" s="1"/>
  <c r="R597" i="63"/>
  <c r="U461" i="63"/>
  <c r="V461" i="63" s="1"/>
  <c r="R461" i="63"/>
  <c r="U333" i="63"/>
  <c r="V333" i="63" s="1"/>
  <c r="R333" i="63"/>
  <c r="U151" i="63"/>
  <c r="V151" i="63" s="1"/>
  <c r="R151" i="63"/>
  <c r="U760" i="63"/>
  <c r="V760" i="63" s="1"/>
  <c r="R760" i="63"/>
  <c r="U696" i="63"/>
  <c r="V696" i="63" s="1"/>
  <c r="R696" i="63"/>
  <c r="U648" i="63"/>
  <c r="V648" i="63" s="1"/>
  <c r="R648" i="63"/>
  <c r="U600" i="63"/>
  <c r="V600" i="63" s="1"/>
  <c r="R600" i="63"/>
  <c r="U568" i="63"/>
  <c r="V568" i="63" s="1"/>
  <c r="R568" i="63"/>
  <c r="U552" i="63"/>
  <c r="V552" i="63" s="1"/>
  <c r="R552" i="63"/>
  <c r="U536" i="63"/>
  <c r="V536" i="63" s="1"/>
  <c r="R536" i="63"/>
  <c r="U504" i="63"/>
  <c r="V504" i="63" s="1"/>
  <c r="R504" i="63"/>
  <c r="U472" i="63"/>
  <c r="V472" i="63" s="1"/>
  <c r="R472" i="63"/>
  <c r="U456" i="63"/>
  <c r="V456" i="63" s="1"/>
  <c r="R456" i="63"/>
  <c r="U440" i="63"/>
  <c r="V440" i="63" s="1"/>
  <c r="R440" i="63"/>
  <c r="U424" i="63"/>
  <c r="V424" i="63" s="1"/>
  <c r="R424" i="63"/>
  <c r="U408" i="63"/>
  <c r="V408" i="63" s="1"/>
  <c r="R408" i="63"/>
  <c r="U392" i="63"/>
  <c r="V392" i="63" s="1"/>
  <c r="R392" i="63"/>
  <c r="U376" i="63"/>
  <c r="V376" i="63" s="1"/>
  <c r="R376" i="63"/>
  <c r="U360" i="63"/>
  <c r="V360" i="63" s="1"/>
  <c r="R360" i="63"/>
  <c r="U344" i="63"/>
  <c r="V344" i="63" s="1"/>
  <c r="R344" i="63"/>
  <c r="U328" i="63"/>
  <c r="V328" i="63" s="1"/>
  <c r="R328" i="63"/>
  <c r="U312" i="63"/>
  <c r="V312" i="63" s="1"/>
  <c r="R312" i="63"/>
  <c r="U291" i="63"/>
  <c r="V291" i="63" s="1"/>
  <c r="R291" i="63"/>
  <c r="U269" i="63"/>
  <c r="V269" i="63" s="1"/>
  <c r="R269" i="63"/>
  <c r="U248" i="63"/>
  <c r="V248" i="63" s="1"/>
  <c r="R248" i="63"/>
  <c r="U227" i="63"/>
  <c r="V227" i="63" s="1"/>
  <c r="R227" i="63"/>
  <c r="U196" i="63"/>
  <c r="V196" i="63" s="1"/>
  <c r="R196" i="63"/>
  <c r="U164" i="63"/>
  <c r="V164" i="63" s="1"/>
  <c r="R164" i="63"/>
  <c r="U132" i="63"/>
  <c r="V132" i="63" s="1"/>
  <c r="R132" i="63"/>
  <c r="U100" i="63"/>
  <c r="V100" i="63" s="1"/>
  <c r="R100" i="63"/>
  <c r="U68" i="63"/>
  <c r="V68" i="63" s="1"/>
  <c r="R68" i="63"/>
  <c r="U805" i="63"/>
  <c r="V805" i="63" s="1"/>
  <c r="R805" i="63"/>
  <c r="U757" i="63"/>
  <c r="V757" i="63" s="1"/>
  <c r="R757" i="63"/>
  <c r="U709" i="63"/>
  <c r="V709" i="63" s="1"/>
  <c r="R709" i="63"/>
  <c r="U661" i="63"/>
  <c r="V661" i="63" s="1"/>
  <c r="R661" i="63"/>
  <c r="U613" i="63"/>
  <c r="V613" i="63" s="1"/>
  <c r="R613" i="63"/>
  <c r="U573" i="63"/>
  <c r="V573" i="63" s="1"/>
  <c r="R573" i="63"/>
  <c r="U537" i="63"/>
  <c r="V537" i="63" s="1"/>
  <c r="R537" i="63"/>
  <c r="U505" i="63"/>
  <c r="V505" i="63" s="1"/>
  <c r="R505" i="63"/>
  <c r="U473" i="63"/>
  <c r="V473" i="63" s="1"/>
  <c r="R473" i="63"/>
  <c r="U441" i="63"/>
  <c r="V441" i="63" s="1"/>
  <c r="R441" i="63"/>
  <c r="U409" i="63"/>
  <c r="V409" i="63" s="1"/>
  <c r="R409" i="63"/>
  <c r="U377" i="63"/>
  <c r="V377" i="63" s="1"/>
  <c r="R377" i="63"/>
  <c r="U345" i="63"/>
  <c r="V345" i="63" s="1"/>
  <c r="R345" i="63"/>
  <c r="U313" i="63"/>
  <c r="V313" i="63" s="1"/>
  <c r="R313" i="63"/>
  <c r="U265" i="63"/>
  <c r="V265" i="63" s="1"/>
  <c r="R265" i="63"/>
  <c r="U223" i="63"/>
  <c r="V223" i="63" s="1"/>
  <c r="R223" i="63"/>
  <c r="U159" i="63"/>
  <c r="V159" i="63" s="1"/>
  <c r="R159" i="63"/>
  <c r="U95" i="63"/>
  <c r="V95" i="63" s="1"/>
  <c r="R95" i="63"/>
  <c r="U820" i="63"/>
  <c r="V820" i="63" s="1"/>
  <c r="R820" i="63"/>
  <c r="U792" i="63"/>
  <c r="V792" i="63" s="1"/>
  <c r="R792" i="63"/>
  <c r="U827" i="63"/>
  <c r="V827" i="63" s="1"/>
  <c r="R827" i="63"/>
  <c r="R811" i="63"/>
  <c r="U811" i="63"/>
  <c r="V811" i="63" s="1"/>
  <c r="U795" i="63"/>
  <c r="V795" i="63" s="1"/>
  <c r="R795" i="63"/>
  <c r="U779" i="63"/>
  <c r="V779" i="63" s="1"/>
  <c r="R779" i="63"/>
  <c r="U763" i="63"/>
  <c r="V763" i="63" s="1"/>
  <c r="R763" i="63"/>
  <c r="U747" i="63"/>
  <c r="V747" i="63" s="1"/>
  <c r="R747" i="63"/>
  <c r="U731" i="63"/>
  <c r="V731" i="63" s="1"/>
  <c r="R731" i="63"/>
  <c r="U715" i="63"/>
  <c r="V715" i="63" s="1"/>
  <c r="R715" i="63"/>
  <c r="U699" i="63"/>
  <c r="V699" i="63" s="1"/>
  <c r="R699" i="63"/>
  <c r="U683" i="63"/>
  <c r="V683" i="63" s="1"/>
  <c r="R683" i="63"/>
  <c r="U667" i="63"/>
  <c r="V667" i="63" s="1"/>
  <c r="R667" i="63"/>
  <c r="U651" i="63"/>
  <c r="V651" i="63" s="1"/>
  <c r="R651" i="63"/>
  <c r="U635" i="63"/>
  <c r="V635" i="63" s="1"/>
  <c r="R635" i="63"/>
  <c r="U619" i="63"/>
  <c r="V619" i="63" s="1"/>
  <c r="R619" i="63"/>
  <c r="U603" i="63"/>
  <c r="V603" i="63" s="1"/>
  <c r="R603" i="63"/>
  <c r="U587" i="63"/>
  <c r="V587" i="63" s="1"/>
  <c r="R587" i="63"/>
  <c r="U571" i="63"/>
  <c r="V571" i="63" s="1"/>
  <c r="R571" i="63"/>
  <c r="U555" i="63"/>
  <c r="V555" i="63" s="1"/>
  <c r="R555" i="63"/>
  <c r="U539" i="63"/>
  <c r="V539" i="63" s="1"/>
  <c r="R539" i="63"/>
  <c r="U523" i="63"/>
  <c r="V523" i="63" s="1"/>
  <c r="R523" i="63"/>
  <c r="U507" i="63"/>
  <c r="V507" i="63" s="1"/>
  <c r="R507" i="63"/>
  <c r="U491" i="63"/>
  <c r="V491" i="63" s="1"/>
  <c r="R491" i="63"/>
  <c r="U475" i="63"/>
  <c r="V475" i="63" s="1"/>
  <c r="R475" i="63"/>
  <c r="U459" i="63"/>
  <c r="V459" i="63" s="1"/>
  <c r="R459" i="63"/>
  <c r="U443" i="63"/>
  <c r="V443" i="63" s="1"/>
  <c r="R443" i="63"/>
  <c r="U427" i="63"/>
  <c r="V427" i="63" s="1"/>
  <c r="R427" i="63"/>
  <c r="U411" i="63"/>
  <c r="V411" i="63" s="1"/>
  <c r="R411" i="63"/>
  <c r="U395" i="63"/>
  <c r="V395" i="63" s="1"/>
  <c r="R395" i="63"/>
  <c r="U379" i="63"/>
  <c r="V379" i="63" s="1"/>
  <c r="R379" i="63"/>
  <c r="U363" i="63"/>
  <c r="V363" i="63" s="1"/>
  <c r="R363" i="63"/>
  <c r="U347" i="63"/>
  <c r="V347" i="63" s="1"/>
  <c r="R347" i="63"/>
  <c r="U331" i="63"/>
  <c r="V331" i="63" s="1"/>
  <c r="R331" i="63"/>
  <c r="U315" i="63"/>
  <c r="V315" i="63" s="1"/>
  <c r="R315" i="63"/>
  <c r="U295" i="63"/>
  <c r="V295" i="63" s="1"/>
  <c r="R295" i="63"/>
  <c r="U273" i="63"/>
  <c r="V273" i="63" s="1"/>
  <c r="R273" i="63"/>
  <c r="U252" i="63"/>
  <c r="V252" i="63" s="1"/>
  <c r="R252" i="63"/>
  <c r="U231" i="63"/>
  <c r="V231" i="63" s="1"/>
  <c r="R231" i="63"/>
  <c r="U203" i="63"/>
  <c r="V203" i="63" s="1"/>
  <c r="R203" i="63"/>
  <c r="U171" i="63"/>
  <c r="V171" i="63" s="1"/>
  <c r="R171" i="63"/>
  <c r="U139" i="63"/>
  <c r="V139" i="63" s="1"/>
  <c r="R139" i="63"/>
  <c r="U107" i="63"/>
  <c r="V107" i="63" s="1"/>
  <c r="R107" i="63"/>
  <c r="U75" i="63"/>
  <c r="V75" i="63" s="1"/>
  <c r="R75" i="63"/>
  <c r="U813" i="63"/>
  <c r="V813" i="63" s="1"/>
  <c r="R813" i="63"/>
  <c r="U765" i="63"/>
  <c r="V765" i="63" s="1"/>
  <c r="R765" i="63"/>
  <c r="U717" i="63"/>
  <c r="V717" i="63" s="1"/>
  <c r="R717" i="63"/>
  <c r="U669" i="63"/>
  <c r="V669" i="63" s="1"/>
  <c r="R669" i="63"/>
  <c r="U621" i="63"/>
  <c r="V621" i="63" s="1"/>
  <c r="R621" i="63"/>
  <c r="U830" i="63"/>
  <c r="V830" i="63" s="1"/>
  <c r="R830" i="63"/>
  <c r="U814" i="63"/>
  <c r="V814" i="63" s="1"/>
  <c r="R814" i="63"/>
  <c r="U798" i="63"/>
  <c r="V798" i="63" s="1"/>
  <c r="R798" i="63"/>
  <c r="R782" i="63"/>
  <c r="U782" i="63"/>
  <c r="V782" i="63" s="1"/>
  <c r="R766" i="63"/>
  <c r="U766" i="63"/>
  <c r="V766" i="63" s="1"/>
  <c r="U750" i="63"/>
  <c r="V750" i="63" s="1"/>
  <c r="R750" i="63"/>
  <c r="U734" i="63"/>
  <c r="V734" i="63" s="1"/>
  <c r="R734" i="63"/>
  <c r="U718" i="63"/>
  <c r="V718" i="63" s="1"/>
  <c r="R718" i="63"/>
  <c r="U702" i="63"/>
  <c r="V702" i="63" s="1"/>
  <c r="R702" i="63"/>
  <c r="U686" i="63"/>
  <c r="V686" i="63" s="1"/>
  <c r="R686" i="63"/>
  <c r="U670" i="63"/>
  <c r="V670" i="63" s="1"/>
  <c r="R670" i="63"/>
  <c r="U654" i="63"/>
  <c r="V654" i="63" s="1"/>
  <c r="R654" i="63"/>
  <c r="U638" i="63"/>
  <c r="V638" i="63" s="1"/>
  <c r="R638" i="63"/>
  <c r="U622" i="63"/>
  <c r="V622" i="63" s="1"/>
  <c r="R622" i="63"/>
  <c r="U606" i="63"/>
  <c r="V606" i="63" s="1"/>
  <c r="R606" i="63"/>
  <c r="U590" i="63"/>
  <c r="V590" i="63" s="1"/>
  <c r="R590" i="63"/>
  <c r="U574" i="63"/>
  <c r="V574" i="63" s="1"/>
  <c r="R574" i="63"/>
  <c r="U558" i="63"/>
  <c r="V558" i="63" s="1"/>
  <c r="R558" i="63"/>
  <c r="U542" i="63"/>
  <c r="V542" i="63" s="1"/>
  <c r="R542" i="63"/>
  <c r="U526" i="63"/>
  <c r="V526" i="63" s="1"/>
  <c r="R526" i="63"/>
  <c r="U510" i="63"/>
  <c r="V510" i="63" s="1"/>
  <c r="R510" i="63"/>
  <c r="U494" i="63"/>
  <c r="V494" i="63" s="1"/>
  <c r="R494" i="63"/>
  <c r="U478" i="63"/>
  <c r="V478" i="63" s="1"/>
  <c r="R478" i="63"/>
  <c r="U462" i="63"/>
  <c r="V462" i="63" s="1"/>
  <c r="R462" i="63"/>
  <c r="U446" i="63"/>
  <c r="V446" i="63" s="1"/>
  <c r="R446" i="63"/>
  <c r="U430" i="63"/>
  <c r="V430" i="63" s="1"/>
  <c r="R430" i="63"/>
  <c r="U414" i="63"/>
  <c r="V414" i="63" s="1"/>
  <c r="R414" i="63"/>
  <c r="U398" i="63"/>
  <c r="V398" i="63" s="1"/>
  <c r="R398" i="63"/>
  <c r="U382" i="63"/>
  <c r="V382" i="63" s="1"/>
  <c r="R382" i="63"/>
  <c r="U366" i="63"/>
  <c r="V366" i="63" s="1"/>
  <c r="R366" i="63"/>
  <c r="U350" i="63"/>
  <c r="V350" i="63" s="1"/>
  <c r="R350" i="63"/>
  <c r="U334" i="63"/>
  <c r="V334" i="63" s="1"/>
  <c r="R334" i="63"/>
  <c r="U318" i="63"/>
  <c r="V318" i="63" s="1"/>
  <c r="R318" i="63"/>
  <c r="U299" i="63"/>
  <c r="V299" i="63" s="1"/>
  <c r="R299" i="63"/>
  <c r="U277" i="63"/>
  <c r="V277" i="63" s="1"/>
  <c r="R277" i="63"/>
  <c r="U256" i="63"/>
  <c r="V256" i="63" s="1"/>
  <c r="R256" i="63"/>
  <c r="U235" i="63"/>
  <c r="V235" i="63" s="1"/>
  <c r="R235" i="63"/>
  <c r="U208" i="63"/>
  <c r="V208" i="63" s="1"/>
  <c r="R208" i="63"/>
  <c r="U176" i="63"/>
  <c r="V176" i="63" s="1"/>
  <c r="R176" i="63"/>
  <c r="U144" i="63"/>
  <c r="V144" i="63" s="1"/>
  <c r="R144" i="63"/>
  <c r="U112" i="63"/>
  <c r="V112" i="63" s="1"/>
  <c r="R112" i="63"/>
  <c r="U80" i="63"/>
  <c r="V80" i="63" s="1"/>
  <c r="R80" i="63"/>
  <c r="U306" i="63"/>
  <c r="V306" i="63" s="1"/>
  <c r="R306" i="63"/>
  <c r="U290" i="63"/>
  <c r="V290" i="63" s="1"/>
  <c r="R290" i="63"/>
  <c r="U274" i="63"/>
  <c r="V274" i="63" s="1"/>
  <c r="R274" i="63"/>
  <c r="U258" i="63"/>
  <c r="V258" i="63" s="1"/>
  <c r="R258" i="63"/>
  <c r="U242" i="63"/>
  <c r="V242" i="63" s="1"/>
  <c r="R242" i="63"/>
  <c r="U226" i="63"/>
  <c r="V226" i="63" s="1"/>
  <c r="R226" i="63"/>
  <c r="U210" i="63"/>
  <c r="V210" i="63" s="1"/>
  <c r="R210" i="63"/>
  <c r="U194" i="63"/>
  <c r="V194" i="63" s="1"/>
  <c r="R194" i="63"/>
  <c r="U178" i="63"/>
  <c r="V178" i="63" s="1"/>
  <c r="R178" i="63"/>
  <c r="U162" i="63"/>
  <c r="V162" i="63" s="1"/>
  <c r="R162" i="63"/>
  <c r="U146" i="63"/>
  <c r="V146" i="63" s="1"/>
  <c r="R146" i="63"/>
  <c r="U130" i="63"/>
  <c r="V130" i="63" s="1"/>
  <c r="R130" i="63"/>
  <c r="U114" i="63"/>
  <c r="V114" i="63" s="1"/>
  <c r="R114" i="63"/>
  <c r="U98" i="63"/>
  <c r="V98" i="63" s="1"/>
  <c r="R98" i="63"/>
  <c r="U82" i="63"/>
  <c r="V82" i="63" s="1"/>
  <c r="R82" i="63"/>
  <c r="U66" i="63"/>
  <c r="V66" i="63" s="1"/>
  <c r="R66" i="63"/>
  <c r="U217" i="63"/>
  <c r="V217" i="63" s="1"/>
  <c r="R217" i="63"/>
  <c r="U201" i="63"/>
  <c r="V201" i="63" s="1"/>
  <c r="R201" i="63"/>
  <c r="U185" i="63"/>
  <c r="V185" i="63" s="1"/>
  <c r="R185" i="63"/>
  <c r="U169" i="63"/>
  <c r="V169" i="63" s="1"/>
  <c r="R169" i="63"/>
  <c r="U153" i="63"/>
  <c r="V153" i="63" s="1"/>
  <c r="R153" i="63"/>
  <c r="U137" i="63"/>
  <c r="V137" i="63" s="1"/>
  <c r="R137" i="63"/>
  <c r="U121" i="63"/>
  <c r="V121" i="63" s="1"/>
  <c r="R121" i="63"/>
  <c r="U105" i="63"/>
  <c r="V105" i="63" s="1"/>
  <c r="R105" i="63"/>
  <c r="U89" i="63"/>
  <c r="V89" i="63" s="1"/>
  <c r="R89" i="63"/>
  <c r="U73" i="63"/>
  <c r="V73" i="63" s="1"/>
  <c r="R73" i="63"/>
  <c r="U57" i="63"/>
  <c r="V57" i="63" s="1"/>
  <c r="U641" i="63"/>
  <c r="V641" i="63" s="1"/>
  <c r="R641" i="63"/>
  <c r="U493" i="63"/>
  <c r="V493" i="63" s="1"/>
  <c r="R493" i="63"/>
  <c r="U397" i="63"/>
  <c r="V397" i="63" s="1"/>
  <c r="R397" i="63"/>
  <c r="U260" i="63"/>
  <c r="V260" i="63" s="1"/>
  <c r="R260" i="63"/>
  <c r="U816" i="63"/>
  <c r="V816" i="63" s="1"/>
  <c r="R816" i="63"/>
  <c r="U744" i="63"/>
  <c r="V744" i="63" s="1"/>
  <c r="R744" i="63"/>
  <c r="U680" i="63"/>
  <c r="V680" i="63" s="1"/>
  <c r="R680" i="63"/>
  <c r="U632" i="63"/>
  <c r="V632" i="63" s="1"/>
  <c r="R632" i="63"/>
  <c r="U488" i="63"/>
  <c r="V488" i="63" s="1"/>
  <c r="R488" i="63"/>
  <c r="U821" i="63"/>
  <c r="V821" i="63" s="1"/>
  <c r="R821" i="63"/>
  <c r="U773" i="63"/>
  <c r="V773" i="63" s="1"/>
  <c r="R773" i="63"/>
  <c r="U725" i="63"/>
  <c r="V725" i="63" s="1"/>
  <c r="R725" i="63"/>
  <c r="U677" i="63"/>
  <c r="V677" i="63" s="1"/>
  <c r="R677" i="63"/>
  <c r="U629" i="63"/>
  <c r="V629" i="63" s="1"/>
  <c r="R629" i="63"/>
  <c r="U585" i="63"/>
  <c r="V585" i="63" s="1"/>
  <c r="R585" i="63"/>
  <c r="U549" i="63"/>
  <c r="V549" i="63" s="1"/>
  <c r="R549" i="63"/>
  <c r="U517" i="63"/>
  <c r="V517" i="63" s="1"/>
  <c r="R517" i="63"/>
  <c r="U485" i="63"/>
  <c r="V485" i="63" s="1"/>
  <c r="R485" i="63"/>
  <c r="U453" i="63"/>
  <c r="V453" i="63" s="1"/>
  <c r="R453" i="63"/>
  <c r="U421" i="63"/>
  <c r="V421" i="63" s="1"/>
  <c r="R421" i="63"/>
  <c r="U389" i="63"/>
  <c r="V389" i="63" s="1"/>
  <c r="R389" i="63"/>
  <c r="U357" i="63"/>
  <c r="V357" i="63" s="1"/>
  <c r="R357" i="63"/>
  <c r="U325" i="63"/>
  <c r="V325" i="63" s="1"/>
  <c r="R325" i="63"/>
  <c r="U292" i="63"/>
  <c r="V292" i="63" s="1"/>
  <c r="R292" i="63"/>
  <c r="U249" i="63"/>
  <c r="V249" i="63" s="1"/>
  <c r="R249" i="63"/>
  <c r="U199" i="63"/>
  <c r="V199" i="63" s="1"/>
  <c r="R199" i="63"/>
  <c r="U135" i="63"/>
  <c r="V135" i="63" s="1"/>
  <c r="R135" i="63"/>
  <c r="U71" i="63"/>
  <c r="V71" i="63" s="1"/>
  <c r="R71" i="63"/>
  <c r="U808" i="63"/>
  <c r="V808" i="63" s="1"/>
  <c r="R808" i="63"/>
  <c r="U772" i="63"/>
  <c r="V772" i="63" s="1"/>
  <c r="R772" i="63"/>
  <c r="U756" i="63"/>
  <c r="V756" i="63" s="1"/>
  <c r="R756" i="63"/>
  <c r="U740" i="63"/>
  <c r="V740" i="63" s="1"/>
  <c r="R740" i="63"/>
  <c r="U724" i="63"/>
  <c r="V724" i="63" s="1"/>
  <c r="R724" i="63"/>
  <c r="U708" i="63"/>
  <c r="V708" i="63" s="1"/>
  <c r="R708" i="63"/>
  <c r="U692" i="63"/>
  <c r="V692" i="63" s="1"/>
  <c r="R692" i="63"/>
  <c r="U676" i="63"/>
  <c r="V676" i="63" s="1"/>
  <c r="R676" i="63"/>
  <c r="U660" i="63"/>
  <c r="V660" i="63" s="1"/>
  <c r="R660" i="63"/>
  <c r="U644" i="63"/>
  <c r="V644" i="63" s="1"/>
  <c r="R644" i="63"/>
  <c r="U628" i="63"/>
  <c r="V628" i="63" s="1"/>
  <c r="R628" i="63"/>
  <c r="U612" i="63"/>
  <c r="V612" i="63" s="1"/>
  <c r="R612" i="63"/>
  <c r="U596" i="63"/>
  <c r="V596" i="63" s="1"/>
  <c r="R596" i="63"/>
  <c r="U580" i="63"/>
  <c r="V580" i="63" s="1"/>
  <c r="R580" i="63"/>
  <c r="U564" i="63"/>
  <c r="V564" i="63" s="1"/>
  <c r="R564" i="63"/>
  <c r="U548" i="63"/>
  <c r="V548" i="63" s="1"/>
  <c r="R548" i="63"/>
  <c r="U532" i="63"/>
  <c r="V532" i="63" s="1"/>
  <c r="R532" i="63"/>
  <c r="U516" i="63"/>
  <c r="V516" i="63" s="1"/>
  <c r="R516" i="63"/>
  <c r="U500" i="63"/>
  <c r="V500" i="63" s="1"/>
  <c r="R500" i="63"/>
  <c r="U484" i="63"/>
  <c r="V484" i="63" s="1"/>
  <c r="R484" i="63"/>
  <c r="U468" i="63"/>
  <c r="V468" i="63" s="1"/>
  <c r="R468" i="63"/>
  <c r="U452" i="63"/>
  <c r="V452" i="63" s="1"/>
  <c r="R452" i="63"/>
  <c r="U436" i="63"/>
  <c r="V436" i="63" s="1"/>
  <c r="R436" i="63"/>
  <c r="U420" i="63"/>
  <c r="V420" i="63" s="1"/>
  <c r="R420" i="63"/>
  <c r="U404" i="63"/>
  <c r="V404" i="63" s="1"/>
  <c r="R404" i="63"/>
  <c r="U388" i="63"/>
  <c r="V388" i="63" s="1"/>
  <c r="R388" i="63"/>
  <c r="U372" i="63"/>
  <c r="V372" i="63" s="1"/>
  <c r="R372" i="63"/>
  <c r="U356" i="63"/>
  <c r="V356" i="63" s="1"/>
  <c r="R356" i="63"/>
  <c r="U340" i="63"/>
  <c r="V340" i="63" s="1"/>
  <c r="R340" i="63"/>
  <c r="U324" i="63"/>
  <c r="V324" i="63" s="1"/>
  <c r="R324" i="63"/>
  <c r="U307" i="63"/>
  <c r="V307" i="63" s="1"/>
  <c r="R307" i="63"/>
  <c r="U285" i="63"/>
  <c r="V285" i="63" s="1"/>
  <c r="R285" i="63"/>
  <c r="U264" i="63"/>
  <c r="V264" i="63" s="1"/>
  <c r="R264" i="63"/>
  <c r="U243" i="63"/>
  <c r="V243" i="63" s="1"/>
  <c r="R243" i="63"/>
  <c r="U220" i="63"/>
  <c r="V220" i="63" s="1"/>
  <c r="R220" i="63"/>
  <c r="U188" i="63"/>
  <c r="V188" i="63" s="1"/>
  <c r="R188" i="63"/>
  <c r="U156" i="63"/>
  <c r="V156" i="63" s="1"/>
  <c r="R156" i="63"/>
  <c r="U124" i="63"/>
  <c r="V124" i="63" s="1"/>
  <c r="R124" i="63"/>
  <c r="U92" i="63"/>
  <c r="V92" i="63" s="1"/>
  <c r="R92" i="63"/>
  <c r="U60" i="63"/>
  <c r="V60" i="63" s="1"/>
  <c r="R60" i="63"/>
  <c r="U793" i="63"/>
  <c r="V793" i="63" s="1"/>
  <c r="R793" i="63"/>
  <c r="U745" i="63"/>
  <c r="V745" i="63" s="1"/>
  <c r="R745" i="63"/>
  <c r="U697" i="63"/>
  <c r="V697" i="63" s="1"/>
  <c r="R697" i="63"/>
  <c r="U649" i="63"/>
  <c r="V649" i="63" s="1"/>
  <c r="R649" i="63"/>
  <c r="U601" i="63"/>
  <c r="V601" i="63" s="1"/>
  <c r="R601" i="63"/>
  <c r="U561" i="63"/>
  <c r="V561" i="63" s="1"/>
  <c r="R561" i="63"/>
  <c r="U529" i="63"/>
  <c r="V529" i="63" s="1"/>
  <c r="R529" i="63"/>
  <c r="U497" i="63"/>
  <c r="V497" i="63" s="1"/>
  <c r="R497" i="63"/>
  <c r="U465" i="63"/>
  <c r="V465" i="63" s="1"/>
  <c r="R465" i="63"/>
  <c r="U433" i="63"/>
  <c r="V433" i="63" s="1"/>
  <c r="R433" i="63"/>
  <c r="U401" i="63"/>
  <c r="V401" i="63" s="1"/>
  <c r="R401" i="63"/>
  <c r="U369" i="63"/>
  <c r="V369" i="63" s="1"/>
  <c r="R369" i="63"/>
  <c r="U337" i="63"/>
  <c r="V337" i="63" s="1"/>
  <c r="R337" i="63"/>
  <c r="U297" i="63"/>
  <c r="V297" i="63" s="1"/>
  <c r="R297" i="63"/>
  <c r="U255" i="63"/>
  <c r="V255" i="63" s="1"/>
  <c r="R255" i="63"/>
  <c r="U207" i="63"/>
  <c r="V207" i="63" s="1"/>
  <c r="R207" i="63"/>
  <c r="U143" i="63"/>
  <c r="V143" i="63" s="1"/>
  <c r="R143" i="63"/>
  <c r="U79" i="63"/>
  <c r="V79" i="63" s="1"/>
  <c r="R79" i="63"/>
  <c r="U812" i="63"/>
  <c r="V812" i="63" s="1"/>
  <c r="R812" i="63"/>
  <c r="U784" i="63"/>
  <c r="V784" i="63" s="1"/>
  <c r="R784" i="63"/>
  <c r="U823" i="63"/>
  <c r="V823" i="63" s="1"/>
  <c r="R823" i="63"/>
  <c r="U807" i="63"/>
  <c r="V807" i="63" s="1"/>
  <c r="R807" i="63"/>
  <c r="U791" i="63"/>
  <c r="V791" i="63" s="1"/>
  <c r="R791" i="63"/>
  <c r="R775" i="63"/>
  <c r="U775" i="63"/>
  <c r="V775" i="63" s="1"/>
  <c r="R759" i="63"/>
  <c r="U759" i="63"/>
  <c r="V759" i="63" s="1"/>
  <c r="U743" i="63"/>
  <c r="V743" i="63" s="1"/>
  <c r="R743" i="63"/>
  <c r="U727" i="63"/>
  <c r="V727" i="63" s="1"/>
  <c r="R727" i="63"/>
  <c r="U711" i="63"/>
  <c r="V711" i="63" s="1"/>
  <c r="R711" i="63"/>
  <c r="U695" i="63"/>
  <c r="V695" i="63" s="1"/>
  <c r="R695" i="63"/>
  <c r="U679" i="63"/>
  <c r="V679" i="63" s="1"/>
  <c r="R679" i="63"/>
  <c r="U663" i="63"/>
  <c r="V663" i="63" s="1"/>
  <c r="R663" i="63"/>
  <c r="U647" i="63"/>
  <c r="V647" i="63" s="1"/>
  <c r="R647" i="63"/>
  <c r="U631" i="63"/>
  <c r="V631" i="63" s="1"/>
  <c r="R631" i="63"/>
  <c r="U615" i="63"/>
  <c r="V615" i="63" s="1"/>
  <c r="R615" i="63"/>
  <c r="U599" i="63"/>
  <c r="V599" i="63" s="1"/>
  <c r="R599" i="63"/>
  <c r="U583" i="63"/>
  <c r="V583" i="63" s="1"/>
  <c r="R583" i="63"/>
  <c r="U567" i="63"/>
  <c r="V567" i="63" s="1"/>
  <c r="R567" i="63"/>
  <c r="U551" i="63"/>
  <c r="V551" i="63" s="1"/>
  <c r="R551" i="63"/>
  <c r="U535" i="63"/>
  <c r="V535" i="63" s="1"/>
  <c r="R535" i="63"/>
  <c r="U519" i="63"/>
  <c r="V519" i="63" s="1"/>
  <c r="R519" i="63"/>
  <c r="U503" i="63"/>
  <c r="V503" i="63" s="1"/>
  <c r="R503" i="63"/>
  <c r="U487" i="63"/>
  <c r="V487" i="63" s="1"/>
  <c r="R487" i="63"/>
  <c r="U471" i="63"/>
  <c r="V471" i="63" s="1"/>
  <c r="R471" i="63"/>
  <c r="U455" i="63"/>
  <c r="V455" i="63" s="1"/>
  <c r="R455" i="63"/>
  <c r="U439" i="63"/>
  <c r="V439" i="63" s="1"/>
  <c r="R439" i="63"/>
  <c r="U423" i="63"/>
  <c r="V423" i="63" s="1"/>
  <c r="R423" i="63"/>
  <c r="U407" i="63"/>
  <c r="V407" i="63" s="1"/>
  <c r="R407" i="63"/>
  <c r="U391" i="63"/>
  <c r="V391" i="63" s="1"/>
  <c r="R391" i="63"/>
  <c r="U375" i="63"/>
  <c r="V375" i="63" s="1"/>
  <c r="R375" i="63"/>
  <c r="U359" i="63"/>
  <c r="V359" i="63" s="1"/>
  <c r="R359" i="63"/>
  <c r="U343" i="63"/>
  <c r="V343" i="63" s="1"/>
  <c r="R343" i="63"/>
  <c r="U327" i="63"/>
  <c r="V327" i="63" s="1"/>
  <c r="R327" i="63"/>
  <c r="U311" i="63"/>
  <c r="V311" i="63" s="1"/>
  <c r="R311" i="63"/>
  <c r="U289" i="63"/>
  <c r="V289" i="63" s="1"/>
  <c r="R289" i="63"/>
  <c r="U268" i="63"/>
  <c r="V268" i="63" s="1"/>
  <c r="R268" i="63"/>
  <c r="U247" i="63"/>
  <c r="V247" i="63" s="1"/>
  <c r="R247" i="63"/>
  <c r="U225" i="63"/>
  <c r="V225" i="63" s="1"/>
  <c r="R225" i="63"/>
  <c r="U195" i="63"/>
  <c r="V195" i="63" s="1"/>
  <c r="R195" i="63"/>
  <c r="U163" i="63"/>
  <c r="V163" i="63" s="1"/>
  <c r="R163" i="63"/>
  <c r="U131" i="63"/>
  <c r="V131" i="63" s="1"/>
  <c r="R131" i="63"/>
  <c r="U99" i="63"/>
  <c r="V99" i="63" s="1"/>
  <c r="R99" i="63"/>
  <c r="U67" i="63"/>
  <c r="V67" i="63" s="1"/>
  <c r="R67" i="63"/>
  <c r="U801" i="63"/>
  <c r="V801" i="63" s="1"/>
  <c r="R801" i="63"/>
  <c r="U753" i="63"/>
  <c r="V753" i="63" s="1"/>
  <c r="R753" i="63"/>
  <c r="U705" i="63"/>
  <c r="V705" i="63" s="1"/>
  <c r="R705" i="63"/>
  <c r="U657" i="63"/>
  <c r="V657" i="63" s="1"/>
  <c r="R657" i="63"/>
  <c r="U609" i="63"/>
  <c r="V609" i="63" s="1"/>
  <c r="R609" i="63"/>
  <c r="R826" i="63"/>
  <c r="U826" i="63"/>
  <c r="V826" i="63" s="1"/>
  <c r="R810" i="63"/>
  <c r="U810" i="63"/>
  <c r="V810" i="63" s="1"/>
  <c r="R794" i="63"/>
  <c r="U794" i="63"/>
  <c r="V794" i="63" s="1"/>
  <c r="U778" i="63"/>
  <c r="V778" i="63" s="1"/>
  <c r="R778" i="63"/>
  <c r="U762" i="63"/>
  <c r="V762" i="63" s="1"/>
  <c r="R762" i="63"/>
  <c r="R746" i="63"/>
  <c r="U746" i="63"/>
  <c r="V746" i="63" s="1"/>
  <c r="R730" i="63"/>
  <c r="U730" i="63"/>
  <c r="V730" i="63" s="1"/>
  <c r="R714" i="63"/>
  <c r="U714" i="63"/>
  <c r="V714" i="63" s="1"/>
  <c r="R698" i="63"/>
  <c r="U698" i="63"/>
  <c r="V698" i="63" s="1"/>
  <c r="R682" i="63"/>
  <c r="U682" i="63"/>
  <c r="V682" i="63" s="1"/>
  <c r="R666" i="63"/>
  <c r="U666" i="63"/>
  <c r="V666" i="63" s="1"/>
  <c r="R650" i="63"/>
  <c r="U650" i="63"/>
  <c r="V650" i="63" s="1"/>
  <c r="R634" i="63"/>
  <c r="U634" i="63"/>
  <c r="V634" i="63" s="1"/>
  <c r="R618" i="63"/>
  <c r="U618" i="63"/>
  <c r="V618" i="63" s="1"/>
  <c r="R602" i="63"/>
  <c r="U602" i="63"/>
  <c r="V602" i="63" s="1"/>
  <c r="R586" i="63"/>
  <c r="U586" i="63"/>
  <c r="V586" i="63" s="1"/>
  <c r="R570" i="63"/>
  <c r="U570" i="63"/>
  <c r="V570" i="63" s="1"/>
  <c r="R554" i="63"/>
  <c r="U554" i="63"/>
  <c r="V554" i="63" s="1"/>
  <c r="R538" i="63"/>
  <c r="U538" i="63"/>
  <c r="V538" i="63" s="1"/>
  <c r="R522" i="63"/>
  <c r="U522" i="63"/>
  <c r="V522" i="63" s="1"/>
  <c r="R506" i="63"/>
  <c r="U506" i="63"/>
  <c r="V506" i="63" s="1"/>
  <c r="R490" i="63"/>
  <c r="U490" i="63"/>
  <c r="V490" i="63" s="1"/>
  <c r="R474" i="63"/>
  <c r="U474" i="63"/>
  <c r="V474" i="63" s="1"/>
  <c r="R458" i="63"/>
  <c r="U458" i="63"/>
  <c r="V458" i="63" s="1"/>
  <c r="R442" i="63"/>
  <c r="U442" i="63"/>
  <c r="V442" i="63" s="1"/>
  <c r="R426" i="63"/>
  <c r="U426" i="63"/>
  <c r="V426" i="63" s="1"/>
  <c r="R410" i="63"/>
  <c r="U410" i="63"/>
  <c r="V410" i="63" s="1"/>
  <c r="R394" i="63"/>
  <c r="U394" i="63"/>
  <c r="V394" i="63" s="1"/>
  <c r="R378" i="63"/>
  <c r="U378" i="63"/>
  <c r="V378" i="63" s="1"/>
  <c r="R362" i="63"/>
  <c r="U362" i="63"/>
  <c r="V362" i="63" s="1"/>
  <c r="R346" i="63"/>
  <c r="U346" i="63"/>
  <c r="V346" i="63" s="1"/>
  <c r="R330" i="63"/>
  <c r="U330" i="63"/>
  <c r="V330" i="63" s="1"/>
  <c r="R314" i="63"/>
  <c r="U314" i="63"/>
  <c r="V314" i="63" s="1"/>
  <c r="U293" i="63"/>
  <c r="V293" i="63" s="1"/>
  <c r="R293" i="63"/>
  <c r="U272" i="63"/>
  <c r="V272" i="63" s="1"/>
  <c r="R272" i="63"/>
  <c r="U251" i="63"/>
  <c r="V251" i="63" s="1"/>
  <c r="R251" i="63"/>
  <c r="U229" i="63"/>
  <c r="V229" i="63" s="1"/>
  <c r="R229" i="63"/>
  <c r="U200" i="63"/>
  <c r="V200" i="63" s="1"/>
  <c r="R200" i="63"/>
  <c r="U168" i="63"/>
  <c r="V168" i="63" s="1"/>
  <c r="R168" i="63"/>
  <c r="U136" i="63"/>
  <c r="V136" i="63" s="1"/>
  <c r="R136" i="63"/>
  <c r="U104" i="63"/>
  <c r="V104" i="63" s="1"/>
  <c r="R104" i="63"/>
  <c r="U72" i="63"/>
  <c r="V72" i="63" s="1"/>
  <c r="R72" i="63"/>
  <c r="U302" i="63"/>
  <c r="V302" i="63" s="1"/>
  <c r="R302" i="63"/>
  <c r="U286" i="63"/>
  <c r="V286" i="63" s="1"/>
  <c r="R286" i="63"/>
  <c r="U270" i="63"/>
  <c r="V270" i="63" s="1"/>
  <c r="R270" i="63"/>
  <c r="U254" i="63"/>
  <c r="V254" i="63" s="1"/>
  <c r="R254" i="63"/>
  <c r="U238" i="63"/>
  <c r="V238" i="63" s="1"/>
  <c r="R238" i="63"/>
  <c r="U222" i="63"/>
  <c r="V222" i="63" s="1"/>
  <c r="R222" i="63"/>
  <c r="U206" i="63"/>
  <c r="V206" i="63" s="1"/>
  <c r="R206" i="63"/>
  <c r="U190" i="63"/>
  <c r="V190" i="63" s="1"/>
  <c r="R190" i="63"/>
  <c r="U174" i="63"/>
  <c r="V174" i="63" s="1"/>
  <c r="R174" i="63"/>
  <c r="U158" i="63"/>
  <c r="V158" i="63" s="1"/>
  <c r="R158" i="63"/>
  <c r="U142" i="63"/>
  <c r="V142" i="63" s="1"/>
  <c r="R142" i="63"/>
  <c r="U126" i="63"/>
  <c r="V126" i="63" s="1"/>
  <c r="R126" i="63"/>
  <c r="U110" i="63"/>
  <c r="V110" i="63" s="1"/>
  <c r="R110" i="63"/>
  <c r="U94" i="63"/>
  <c r="V94" i="63" s="1"/>
  <c r="R94" i="63"/>
  <c r="U78" i="63"/>
  <c r="V78" i="63" s="1"/>
  <c r="R78" i="63"/>
  <c r="U62" i="63"/>
  <c r="V62" i="63" s="1"/>
  <c r="R62" i="63"/>
  <c r="U213" i="63"/>
  <c r="V213" i="63" s="1"/>
  <c r="R213" i="63"/>
  <c r="U197" i="63"/>
  <c r="V197" i="63" s="1"/>
  <c r="R197" i="63"/>
  <c r="U181" i="63"/>
  <c r="V181" i="63" s="1"/>
  <c r="R181" i="63"/>
  <c r="U165" i="63"/>
  <c r="V165" i="63" s="1"/>
  <c r="R165" i="63"/>
  <c r="U149" i="63"/>
  <c r="V149" i="63" s="1"/>
  <c r="R149" i="63"/>
  <c r="U133" i="63"/>
  <c r="V133" i="63" s="1"/>
  <c r="R133" i="63"/>
  <c r="U117" i="63"/>
  <c r="V117" i="63" s="1"/>
  <c r="R117" i="63"/>
  <c r="U101" i="63"/>
  <c r="V101" i="63" s="1"/>
  <c r="R101" i="63"/>
  <c r="U85" i="63"/>
  <c r="V85" i="63" s="1"/>
  <c r="R85" i="63"/>
  <c r="U69" i="63"/>
  <c r="V69" i="63" s="1"/>
  <c r="R69" i="63"/>
  <c r="U689" i="63"/>
  <c r="V689" i="63" s="1"/>
  <c r="R689" i="63"/>
  <c r="U525" i="63"/>
  <c r="V525" i="63" s="1"/>
  <c r="R525" i="63"/>
  <c r="U365" i="63"/>
  <c r="V365" i="63" s="1"/>
  <c r="R365" i="63"/>
  <c r="U215" i="63"/>
  <c r="V215" i="63" s="1"/>
  <c r="R215" i="63"/>
  <c r="U780" i="63"/>
  <c r="V780" i="63" s="1"/>
  <c r="R780" i="63"/>
  <c r="U728" i="63"/>
  <c r="V728" i="63" s="1"/>
  <c r="R728" i="63"/>
  <c r="U664" i="63"/>
  <c r="V664" i="63" s="1"/>
  <c r="R664" i="63"/>
  <c r="U616" i="63"/>
  <c r="V616" i="63" s="1"/>
  <c r="R616" i="63"/>
  <c r="U520" i="63"/>
  <c r="V520" i="63" s="1"/>
  <c r="R520" i="63"/>
  <c r="U809" i="63"/>
  <c r="V809" i="63" s="1"/>
  <c r="R809" i="63"/>
  <c r="U761" i="63"/>
  <c r="V761" i="63" s="1"/>
  <c r="R761" i="63"/>
  <c r="U713" i="63"/>
  <c r="V713" i="63" s="1"/>
  <c r="R713" i="63"/>
  <c r="U665" i="63"/>
  <c r="V665" i="63" s="1"/>
  <c r="R665" i="63"/>
  <c r="U617" i="63"/>
  <c r="V617" i="63" s="1"/>
  <c r="R617" i="63"/>
  <c r="U577" i="63"/>
  <c r="V577" i="63" s="1"/>
  <c r="R577" i="63"/>
  <c r="U541" i="63"/>
  <c r="V541" i="63" s="1"/>
  <c r="R541" i="63"/>
  <c r="U509" i="63"/>
  <c r="V509" i="63" s="1"/>
  <c r="R509" i="63"/>
  <c r="U477" i="63"/>
  <c r="V477" i="63" s="1"/>
  <c r="R477" i="63"/>
  <c r="U445" i="63"/>
  <c r="V445" i="63" s="1"/>
  <c r="R445" i="63"/>
  <c r="U413" i="63"/>
  <c r="V413" i="63" s="1"/>
  <c r="R413" i="63"/>
  <c r="U381" i="63"/>
  <c r="V381" i="63" s="1"/>
  <c r="R381" i="63"/>
  <c r="U349" i="63"/>
  <c r="V349" i="63" s="1"/>
  <c r="R349" i="63"/>
  <c r="U317" i="63"/>
  <c r="V317" i="63" s="1"/>
  <c r="R317" i="63"/>
  <c r="U281" i="63"/>
  <c r="V281" i="63" s="1"/>
  <c r="R281" i="63"/>
  <c r="U239" i="63"/>
  <c r="V239" i="63" s="1"/>
  <c r="R239" i="63"/>
  <c r="U183" i="63"/>
  <c r="V183" i="63" s="1"/>
  <c r="R183" i="63"/>
  <c r="U119" i="63"/>
  <c r="V119" i="63" s="1"/>
  <c r="R119" i="63"/>
  <c r="R832" i="63"/>
  <c r="U832" i="63"/>
  <c r="V832" i="63" s="1"/>
  <c r="U796" i="63"/>
  <c r="V796" i="63" s="1"/>
  <c r="R796" i="63"/>
  <c r="U768" i="63"/>
  <c r="V768" i="63" s="1"/>
  <c r="R768" i="63"/>
  <c r="U752" i="63"/>
  <c r="V752" i="63" s="1"/>
  <c r="R752" i="63"/>
  <c r="U736" i="63"/>
  <c r="V736" i="63" s="1"/>
  <c r="R736" i="63"/>
  <c r="U720" i="63"/>
  <c r="V720" i="63" s="1"/>
  <c r="R720" i="63"/>
  <c r="U704" i="63"/>
  <c r="V704" i="63" s="1"/>
  <c r="R704" i="63"/>
  <c r="U688" i="63"/>
  <c r="V688" i="63" s="1"/>
  <c r="R688" i="63"/>
  <c r="U672" i="63"/>
  <c r="V672" i="63" s="1"/>
  <c r="R672" i="63"/>
  <c r="U656" i="63"/>
  <c r="V656" i="63" s="1"/>
  <c r="R656" i="63"/>
  <c r="U640" i="63"/>
  <c r="V640" i="63" s="1"/>
  <c r="R640" i="63"/>
  <c r="U624" i="63"/>
  <c r="V624" i="63" s="1"/>
  <c r="R624" i="63"/>
  <c r="U608" i="63"/>
  <c r="V608" i="63" s="1"/>
  <c r="R608" i="63"/>
  <c r="U592" i="63"/>
  <c r="V592" i="63" s="1"/>
  <c r="R592" i="63"/>
  <c r="U576" i="63"/>
  <c r="V576" i="63" s="1"/>
  <c r="R576" i="63"/>
  <c r="U560" i="63"/>
  <c r="V560" i="63" s="1"/>
  <c r="R560" i="63"/>
  <c r="U544" i="63"/>
  <c r="V544" i="63" s="1"/>
  <c r="R544" i="63"/>
  <c r="U528" i="63"/>
  <c r="V528" i="63" s="1"/>
  <c r="R528" i="63"/>
  <c r="U512" i="63"/>
  <c r="V512" i="63" s="1"/>
  <c r="R512" i="63"/>
  <c r="U496" i="63"/>
  <c r="V496" i="63" s="1"/>
  <c r="R496" i="63"/>
  <c r="U480" i="63"/>
  <c r="V480" i="63" s="1"/>
  <c r="R480" i="63"/>
  <c r="U464" i="63"/>
  <c r="V464" i="63" s="1"/>
  <c r="R464" i="63"/>
  <c r="U448" i="63"/>
  <c r="V448" i="63" s="1"/>
  <c r="R448" i="63"/>
  <c r="U432" i="63"/>
  <c r="V432" i="63" s="1"/>
  <c r="R432" i="63"/>
  <c r="U416" i="63"/>
  <c r="V416" i="63" s="1"/>
  <c r="R416" i="63"/>
  <c r="U400" i="63"/>
  <c r="V400" i="63" s="1"/>
  <c r="R400" i="63"/>
  <c r="U384" i="63"/>
  <c r="V384" i="63" s="1"/>
  <c r="R384" i="63"/>
  <c r="U368" i="63"/>
  <c r="V368" i="63" s="1"/>
  <c r="R368" i="63"/>
  <c r="U352" i="63"/>
  <c r="V352" i="63" s="1"/>
  <c r="R352" i="63"/>
  <c r="U336" i="63"/>
  <c r="V336" i="63" s="1"/>
  <c r="R336" i="63"/>
  <c r="U320" i="63"/>
  <c r="V320" i="63" s="1"/>
  <c r="R320" i="63"/>
  <c r="U301" i="63"/>
  <c r="V301" i="63" s="1"/>
  <c r="R301" i="63"/>
  <c r="U280" i="63"/>
  <c r="V280" i="63" s="1"/>
  <c r="R280" i="63"/>
  <c r="U259" i="63"/>
  <c r="V259" i="63" s="1"/>
  <c r="R259" i="63"/>
  <c r="U237" i="63"/>
  <c r="V237" i="63" s="1"/>
  <c r="R237" i="63"/>
  <c r="U212" i="63"/>
  <c r="V212" i="63" s="1"/>
  <c r="R212" i="63"/>
  <c r="U180" i="63"/>
  <c r="V180" i="63" s="1"/>
  <c r="R180" i="63"/>
  <c r="U148" i="63"/>
  <c r="V148" i="63" s="1"/>
  <c r="R148" i="63"/>
  <c r="U116" i="63"/>
  <c r="V116" i="63" s="1"/>
  <c r="R116" i="63"/>
  <c r="U84" i="63"/>
  <c r="V84" i="63" s="1"/>
  <c r="R84" i="63"/>
  <c r="U829" i="63"/>
  <c r="V829" i="63" s="1"/>
  <c r="R829" i="63"/>
  <c r="U781" i="63"/>
  <c r="V781" i="63" s="1"/>
  <c r="R781" i="63"/>
  <c r="U733" i="63"/>
  <c r="V733" i="63" s="1"/>
  <c r="R733" i="63"/>
  <c r="U685" i="63"/>
  <c r="V685" i="63" s="1"/>
  <c r="R685" i="63"/>
  <c r="U637" i="63"/>
  <c r="V637" i="63" s="1"/>
  <c r="R637" i="63"/>
  <c r="U589" i="63"/>
  <c r="V589" i="63" s="1"/>
  <c r="R589" i="63"/>
  <c r="U553" i="63"/>
  <c r="V553" i="63" s="1"/>
  <c r="R553" i="63"/>
  <c r="U521" i="63"/>
  <c r="V521" i="63" s="1"/>
  <c r="R521" i="63"/>
  <c r="U489" i="63"/>
  <c r="V489" i="63" s="1"/>
  <c r="R489" i="63"/>
  <c r="U457" i="63"/>
  <c r="V457" i="63" s="1"/>
  <c r="R457" i="63"/>
  <c r="U425" i="63"/>
  <c r="V425" i="63" s="1"/>
  <c r="R425" i="63"/>
  <c r="U393" i="63"/>
  <c r="V393" i="63" s="1"/>
  <c r="R393" i="63"/>
  <c r="U361" i="63"/>
  <c r="V361" i="63" s="1"/>
  <c r="R361" i="63"/>
  <c r="U329" i="63"/>
  <c r="V329" i="63" s="1"/>
  <c r="R329" i="63"/>
  <c r="U287" i="63"/>
  <c r="V287" i="63" s="1"/>
  <c r="R287" i="63"/>
  <c r="U244" i="63"/>
  <c r="V244" i="63" s="1"/>
  <c r="R244" i="63"/>
  <c r="U191" i="63"/>
  <c r="V191" i="63" s="1"/>
  <c r="R191" i="63"/>
  <c r="U127" i="63"/>
  <c r="V127" i="63" s="1"/>
  <c r="R127" i="63"/>
  <c r="U63" i="63"/>
  <c r="V63" i="63" s="1"/>
  <c r="R63" i="63"/>
  <c r="R804" i="63"/>
  <c r="U804" i="63"/>
  <c r="V804" i="63" s="1"/>
  <c r="U776" i="63"/>
  <c r="V776" i="63" s="1"/>
  <c r="R776" i="63"/>
  <c r="U819" i="63"/>
  <c r="V819" i="63" s="1"/>
  <c r="R819" i="63"/>
  <c r="U803" i="63"/>
  <c r="V803" i="63" s="1"/>
  <c r="R803" i="63"/>
  <c r="U787" i="63"/>
  <c r="V787" i="63" s="1"/>
  <c r="R787" i="63"/>
  <c r="U771" i="63"/>
  <c r="V771" i="63" s="1"/>
  <c r="R771" i="63"/>
  <c r="U755" i="63"/>
  <c r="V755" i="63" s="1"/>
  <c r="R755" i="63"/>
  <c r="U739" i="63"/>
  <c r="V739" i="63" s="1"/>
  <c r="R739" i="63"/>
  <c r="U723" i="63"/>
  <c r="V723" i="63" s="1"/>
  <c r="R723" i="63"/>
  <c r="U707" i="63"/>
  <c r="V707" i="63" s="1"/>
  <c r="R707" i="63"/>
  <c r="U691" i="63"/>
  <c r="V691" i="63" s="1"/>
  <c r="R691" i="63"/>
  <c r="U675" i="63"/>
  <c r="V675" i="63" s="1"/>
  <c r="R675" i="63"/>
  <c r="U659" i="63"/>
  <c r="V659" i="63" s="1"/>
  <c r="R659" i="63"/>
  <c r="U643" i="63"/>
  <c r="V643" i="63" s="1"/>
  <c r="R643" i="63"/>
  <c r="U627" i="63"/>
  <c r="V627" i="63" s="1"/>
  <c r="R627" i="63"/>
  <c r="U611" i="63"/>
  <c r="V611" i="63" s="1"/>
  <c r="R611" i="63"/>
  <c r="U595" i="63"/>
  <c r="V595" i="63" s="1"/>
  <c r="R595" i="63"/>
  <c r="U579" i="63"/>
  <c r="V579" i="63" s="1"/>
  <c r="R579" i="63"/>
  <c r="U563" i="63"/>
  <c r="V563" i="63" s="1"/>
  <c r="R563" i="63"/>
  <c r="U547" i="63"/>
  <c r="V547" i="63" s="1"/>
  <c r="R547" i="63"/>
  <c r="U531" i="63"/>
  <c r="V531" i="63" s="1"/>
  <c r="R531" i="63"/>
  <c r="U515" i="63"/>
  <c r="V515" i="63" s="1"/>
  <c r="R515" i="63"/>
  <c r="U499" i="63"/>
  <c r="V499" i="63" s="1"/>
  <c r="R499" i="63"/>
  <c r="U483" i="63"/>
  <c r="V483" i="63" s="1"/>
  <c r="R483" i="63"/>
  <c r="U467" i="63"/>
  <c r="V467" i="63" s="1"/>
  <c r="R467" i="63"/>
  <c r="U451" i="63"/>
  <c r="V451" i="63" s="1"/>
  <c r="R451" i="63"/>
  <c r="U435" i="63"/>
  <c r="V435" i="63" s="1"/>
  <c r="R435" i="63"/>
  <c r="U419" i="63"/>
  <c r="V419" i="63" s="1"/>
  <c r="R419" i="63"/>
  <c r="U403" i="63"/>
  <c r="V403" i="63" s="1"/>
  <c r="R403" i="63"/>
  <c r="U387" i="63"/>
  <c r="V387" i="63" s="1"/>
  <c r="R387" i="63"/>
  <c r="U371" i="63"/>
  <c r="V371" i="63" s="1"/>
  <c r="R371" i="63"/>
  <c r="U355" i="63"/>
  <c r="V355" i="63" s="1"/>
  <c r="R355" i="63"/>
  <c r="U339" i="63"/>
  <c r="V339" i="63" s="1"/>
  <c r="R339" i="63"/>
  <c r="U323" i="63"/>
  <c r="V323" i="63" s="1"/>
  <c r="R323" i="63"/>
  <c r="U305" i="63"/>
  <c r="V305" i="63" s="1"/>
  <c r="R305" i="63"/>
  <c r="U284" i="63"/>
  <c r="V284" i="63" s="1"/>
  <c r="R284" i="63"/>
  <c r="U263" i="63"/>
  <c r="V263" i="63" s="1"/>
  <c r="R263" i="63"/>
  <c r="U241" i="63"/>
  <c r="V241" i="63" s="1"/>
  <c r="R241" i="63"/>
  <c r="U219" i="63"/>
  <c r="V219" i="63" s="1"/>
  <c r="R219" i="63"/>
  <c r="U187" i="63"/>
  <c r="V187" i="63" s="1"/>
  <c r="R187" i="63"/>
  <c r="U155" i="63"/>
  <c r="V155" i="63" s="1"/>
  <c r="R155" i="63"/>
  <c r="U123" i="63"/>
  <c r="V123" i="63" s="1"/>
  <c r="R123" i="63"/>
  <c r="U91" i="63"/>
  <c r="V91" i="63" s="1"/>
  <c r="R91" i="63"/>
  <c r="U59" i="63"/>
  <c r="V59" i="63" s="1"/>
  <c r="R59" i="63"/>
  <c r="U789" i="63"/>
  <c r="V789" i="63" s="1"/>
  <c r="R789" i="63"/>
  <c r="U741" i="63"/>
  <c r="V741" i="63" s="1"/>
  <c r="R741" i="63"/>
  <c r="U693" i="63"/>
  <c r="V693" i="63" s="1"/>
  <c r="R693" i="63"/>
  <c r="U645" i="63"/>
  <c r="V645" i="63" s="1"/>
  <c r="R645" i="63"/>
  <c r="U593" i="63"/>
  <c r="V593" i="63" s="1"/>
  <c r="R593" i="63"/>
  <c r="R822" i="63"/>
  <c r="U822" i="63"/>
  <c r="V822" i="63" s="1"/>
  <c r="R806" i="63"/>
  <c r="U806" i="63"/>
  <c r="V806" i="63" s="1"/>
  <c r="R790" i="63"/>
  <c r="U790" i="63"/>
  <c r="V790" i="63" s="1"/>
  <c r="R774" i="63"/>
  <c r="U774" i="63"/>
  <c r="V774" i="63" s="1"/>
  <c r="R758" i="63"/>
  <c r="U758" i="63"/>
  <c r="V758" i="63" s="1"/>
  <c r="R742" i="63"/>
  <c r="U742" i="63"/>
  <c r="V742" i="63" s="1"/>
  <c r="R726" i="63"/>
  <c r="U726" i="63"/>
  <c r="V726" i="63" s="1"/>
  <c r="R710" i="63"/>
  <c r="U710" i="63"/>
  <c r="V710" i="63" s="1"/>
  <c r="R694" i="63"/>
  <c r="U694" i="63"/>
  <c r="V694" i="63" s="1"/>
  <c r="R678" i="63"/>
  <c r="U678" i="63"/>
  <c r="V678" i="63" s="1"/>
  <c r="R662" i="63"/>
  <c r="U662" i="63"/>
  <c r="V662" i="63" s="1"/>
  <c r="R646" i="63"/>
  <c r="U646" i="63"/>
  <c r="V646" i="63" s="1"/>
  <c r="R630" i="63"/>
  <c r="U630" i="63"/>
  <c r="V630" i="63" s="1"/>
  <c r="R614" i="63"/>
  <c r="U614" i="63"/>
  <c r="V614" i="63" s="1"/>
  <c r="R598" i="63"/>
  <c r="U598" i="63"/>
  <c r="V598" i="63" s="1"/>
  <c r="R582" i="63"/>
  <c r="U582" i="63"/>
  <c r="V582" i="63" s="1"/>
  <c r="R566" i="63"/>
  <c r="U566" i="63"/>
  <c r="V566" i="63" s="1"/>
  <c r="R550" i="63"/>
  <c r="U550" i="63"/>
  <c r="V550" i="63" s="1"/>
  <c r="R534" i="63"/>
  <c r="U534" i="63"/>
  <c r="V534" i="63" s="1"/>
  <c r="R518" i="63"/>
  <c r="U518" i="63"/>
  <c r="V518" i="63" s="1"/>
  <c r="R502" i="63"/>
  <c r="U502" i="63"/>
  <c r="V502" i="63" s="1"/>
  <c r="R486" i="63"/>
  <c r="U486" i="63"/>
  <c r="V486" i="63" s="1"/>
  <c r="R470" i="63"/>
  <c r="U470" i="63"/>
  <c r="V470" i="63" s="1"/>
  <c r="R454" i="63"/>
  <c r="U454" i="63"/>
  <c r="V454" i="63" s="1"/>
  <c r="R438" i="63"/>
  <c r="U438" i="63"/>
  <c r="V438" i="63" s="1"/>
  <c r="R422" i="63"/>
  <c r="U422" i="63"/>
  <c r="V422" i="63" s="1"/>
  <c r="R406" i="63"/>
  <c r="U406" i="63"/>
  <c r="V406" i="63" s="1"/>
  <c r="R390" i="63"/>
  <c r="U390" i="63"/>
  <c r="V390" i="63" s="1"/>
  <c r="R374" i="63"/>
  <c r="U374" i="63"/>
  <c r="V374" i="63" s="1"/>
  <c r="R358" i="63"/>
  <c r="U358" i="63"/>
  <c r="V358" i="63" s="1"/>
  <c r="R342" i="63"/>
  <c r="U342" i="63"/>
  <c r="V342" i="63" s="1"/>
  <c r="R326" i="63"/>
  <c r="U326" i="63"/>
  <c r="V326" i="63" s="1"/>
  <c r="U309" i="63"/>
  <c r="V309" i="63" s="1"/>
  <c r="R309" i="63"/>
  <c r="U288" i="63"/>
  <c r="V288" i="63" s="1"/>
  <c r="R288" i="63"/>
  <c r="U267" i="63"/>
  <c r="V267" i="63" s="1"/>
  <c r="R267" i="63"/>
  <c r="U245" i="63"/>
  <c r="V245" i="63" s="1"/>
  <c r="R245" i="63"/>
  <c r="U224" i="63"/>
  <c r="V224" i="63" s="1"/>
  <c r="R224" i="63"/>
  <c r="U192" i="63"/>
  <c r="V192" i="63" s="1"/>
  <c r="R192" i="63"/>
  <c r="U160" i="63"/>
  <c r="V160" i="63" s="1"/>
  <c r="R160" i="63"/>
  <c r="U128" i="63"/>
  <c r="V128" i="63" s="1"/>
  <c r="R128" i="63"/>
  <c r="U96" i="63"/>
  <c r="V96" i="63" s="1"/>
  <c r="R96" i="63"/>
  <c r="U64" i="63"/>
  <c r="V64" i="63" s="1"/>
  <c r="R64" i="63"/>
  <c r="R298" i="63"/>
  <c r="U298" i="63"/>
  <c r="V298" i="63" s="1"/>
  <c r="R282" i="63"/>
  <c r="U282" i="63"/>
  <c r="V282" i="63" s="1"/>
  <c r="R266" i="63"/>
  <c r="U266" i="63"/>
  <c r="V266" i="63" s="1"/>
  <c r="R250" i="63"/>
  <c r="U250" i="63"/>
  <c r="V250" i="63" s="1"/>
  <c r="R234" i="63"/>
  <c r="U234" i="63"/>
  <c r="V234" i="63" s="1"/>
  <c r="R218" i="63"/>
  <c r="U218" i="63"/>
  <c r="V218" i="63" s="1"/>
  <c r="R202" i="63"/>
  <c r="U202" i="63"/>
  <c r="V202" i="63" s="1"/>
  <c r="R186" i="63"/>
  <c r="U186" i="63"/>
  <c r="V186" i="63" s="1"/>
  <c r="R170" i="63"/>
  <c r="U170" i="63"/>
  <c r="V170" i="63" s="1"/>
  <c r="R154" i="63"/>
  <c r="U154" i="63"/>
  <c r="V154" i="63" s="1"/>
  <c r="R138" i="63"/>
  <c r="U138" i="63"/>
  <c r="V138" i="63" s="1"/>
  <c r="R122" i="63"/>
  <c r="U122" i="63"/>
  <c r="V122" i="63" s="1"/>
  <c r="R106" i="63"/>
  <c r="U106" i="63"/>
  <c r="V106" i="63" s="1"/>
  <c r="R90" i="63"/>
  <c r="U90" i="63"/>
  <c r="V90" i="63" s="1"/>
  <c r="R74" i="63"/>
  <c r="U74" i="63"/>
  <c r="V74" i="63" s="1"/>
  <c r="R58" i="63"/>
  <c r="U58" i="63"/>
  <c r="V58" i="63" s="1"/>
  <c r="U209" i="63"/>
  <c r="V209" i="63" s="1"/>
  <c r="R209" i="63"/>
  <c r="U193" i="63"/>
  <c r="V193" i="63" s="1"/>
  <c r="R193" i="63"/>
  <c r="U177" i="63"/>
  <c r="V177" i="63" s="1"/>
  <c r="R177" i="63"/>
  <c r="U161" i="63"/>
  <c r="V161" i="63" s="1"/>
  <c r="R161" i="63"/>
  <c r="U145" i="63"/>
  <c r="V145" i="63" s="1"/>
  <c r="R145" i="63"/>
  <c r="U129" i="63"/>
  <c r="V129" i="63" s="1"/>
  <c r="R129" i="63"/>
  <c r="U113" i="63"/>
  <c r="V113" i="63" s="1"/>
  <c r="R113" i="63"/>
  <c r="U97" i="63"/>
  <c r="V97" i="63" s="1"/>
  <c r="R97" i="63"/>
  <c r="U81" i="63"/>
  <c r="V81" i="63" s="1"/>
  <c r="R81" i="63"/>
  <c r="U65" i="63"/>
  <c r="V65" i="63" s="1"/>
  <c r="R65" i="63"/>
  <c r="U737" i="63"/>
  <c r="V737" i="63" s="1"/>
  <c r="R737" i="63"/>
  <c r="U557" i="63"/>
  <c r="V557" i="63" s="1"/>
  <c r="R557" i="63"/>
  <c r="U429" i="63"/>
  <c r="V429" i="63" s="1"/>
  <c r="R429" i="63"/>
  <c r="U303" i="63"/>
  <c r="V303" i="63" s="1"/>
  <c r="R303" i="63"/>
  <c r="U87" i="63"/>
  <c r="V87" i="63" s="1"/>
  <c r="R87" i="63"/>
  <c r="U712" i="63"/>
  <c r="V712" i="63" s="1"/>
  <c r="R712" i="63"/>
  <c r="U584" i="63"/>
  <c r="V584" i="63" s="1"/>
  <c r="R584" i="63"/>
  <c r="U797" i="63"/>
  <c r="V797" i="63" s="1"/>
  <c r="R797" i="63"/>
  <c r="U749" i="63"/>
  <c r="V749" i="63" s="1"/>
  <c r="R749" i="63"/>
  <c r="U701" i="63"/>
  <c r="V701" i="63" s="1"/>
  <c r="R701" i="63"/>
  <c r="U653" i="63"/>
  <c r="V653" i="63" s="1"/>
  <c r="R653" i="63"/>
  <c r="U605" i="63"/>
  <c r="V605" i="63" s="1"/>
  <c r="R605" i="63"/>
  <c r="U569" i="63"/>
  <c r="V569" i="63" s="1"/>
  <c r="R569" i="63"/>
  <c r="U533" i="63"/>
  <c r="V533" i="63" s="1"/>
  <c r="R533" i="63"/>
  <c r="U501" i="63"/>
  <c r="V501" i="63" s="1"/>
  <c r="R501" i="63"/>
  <c r="U469" i="63"/>
  <c r="V469" i="63" s="1"/>
  <c r="R469" i="63"/>
  <c r="U437" i="63"/>
  <c r="V437" i="63" s="1"/>
  <c r="R437" i="63"/>
  <c r="U405" i="63"/>
  <c r="V405" i="63" s="1"/>
  <c r="R405" i="63"/>
  <c r="U373" i="63"/>
  <c r="V373" i="63" s="1"/>
  <c r="R373" i="63"/>
  <c r="U341" i="63"/>
  <c r="V341" i="63" s="1"/>
  <c r="R341" i="63"/>
  <c r="U308" i="63"/>
  <c r="V308" i="63" s="1"/>
  <c r="R308" i="63"/>
  <c r="U271" i="63"/>
  <c r="V271" i="63" s="1"/>
  <c r="R271" i="63"/>
  <c r="U228" i="63"/>
  <c r="V228" i="63" s="1"/>
  <c r="R228" i="63"/>
  <c r="U167" i="63"/>
  <c r="V167" i="63" s="1"/>
  <c r="R167" i="63"/>
  <c r="U103" i="63"/>
  <c r="V103" i="63" s="1"/>
  <c r="R103" i="63"/>
  <c r="U824" i="63"/>
  <c r="V824" i="63" s="1"/>
  <c r="R824" i="63"/>
  <c r="U788" i="63"/>
  <c r="V788" i="63" s="1"/>
  <c r="R788" i="63"/>
  <c r="U764" i="63"/>
  <c r="V764" i="63" s="1"/>
  <c r="R764" i="63"/>
  <c r="U748" i="63"/>
  <c r="V748" i="63" s="1"/>
  <c r="R748" i="63"/>
  <c r="U732" i="63"/>
  <c r="V732" i="63" s="1"/>
  <c r="R732" i="63"/>
  <c r="U716" i="63"/>
  <c r="V716" i="63" s="1"/>
  <c r="R716" i="63"/>
  <c r="U700" i="63"/>
  <c r="V700" i="63" s="1"/>
  <c r="R700" i="63"/>
  <c r="U684" i="63"/>
  <c r="V684" i="63" s="1"/>
  <c r="R684" i="63"/>
  <c r="U668" i="63"/>
  <c r="V668" i="63" s="1"/>
  <c r="R668" i="63"/>
  <c r="U652" i="63"/>
  <c r="V652" i="63" s="1"/>
  <c r="R652" i="63"/>
  <c r="U636" i="63"/>
  <c r="V636" i="63" s="1"/>
  <c r="R636" i="63"/>
  <c r="U620" i="63"/>
  <c r="V620" i="63" s="1"/>
  <c r="R620" i="63"/>
  <c r="U604" i="63"/>
  <c r="V604" i="63" s="1"/>
  <c r="R604" i="63"/>
  <c r="U588" i="63"/>
  <c r="V588" i="63" s="1"/>
  <c r="R588" i="63"/>
  <c r="U572" i="63"/>
  <c r="V572" i="63" s="1"/>
  <c r="R572" i="63"/>
  <c r="U556" i="63"/>
  <c r="V556" i="63" s="1"/>
  <c r="R556" i="63"/>
  <c r="U540" i="63"/>
  <c r="V540" i="63" s="1"/>
  <c r="R540" i="63"/>
  <c r="U524" i="63"/>
  <c r="V524" i="63" s="1"/>
  <c r="R524" i="63"/>
  <c r="U508" i="63"/>
  <c r="V508" i="63" s="1"/>
  <c r="R508" i="63"/>
  <c r="U492" i="63"/>
  <c r="V492" i="63" s="1"/>
  <c r="R492" i="63"/>
  <c r="U476" i="63"/>
  <c r="V476" i="63" s="1"/>
  <c r="R476" i="63"/>
  <c r="U460" i="63"/>
  <c r="V460" i="63" s="1"/>
  <c r="R460" i="63"/>
  <c r="U444" i="63"/>
  <c r="V444" i="63" s="1"/>
  <c r="R444" i="63"/>
  <c r="U428" i="63"/>
  <c r="V428" i="63" s="1"/>
  <c r="R428" i="63"/>
  <c r="U412" i="63"/>
  <c r="V412" i="63" s="1"/>
  <c r="R412" i="63"/>
  <c r="U396" i="63"/>
  <c r="V396" i="63" s="1"/>
  <c r="R396" i="63"/>
  <c r="U380" i="63"/>
  <c r="V380" i="63" s="1"/>
  <c r="R380" i="63"/>
  <c r="U364" i="63"/>
  <c r="V364" i="63" s="1"/>
  <c r="R364" i="63"/>
  <c r="U348" i="63"/>
  <c r="V348" i="63" s="1"/>
  <c r="R348" i="63"/>
  <c r="U332" i="63"/>
  <c r="V332" i="63" s="1"/>
  <c r="R332" i="63"/>
  <c r="U316" i="63"/>
  <c r="V316" i="63" s="1"/>
  <c r="R316" i="63"/>
  <c r="U296" i="63"/>
  <c r="V296" i="63" s="1"/>
  <c r="R296" i="63"/>
  <c r="U275" i="63"/>
  <c r="V275" i="63" s="1"/>
  <c r="R275" i="63"/>
  <c r="U253" i="63"/>
  <c r="V253" i="63" s="1"/>
  <c r="R253" i="63"/>
  <c r="U232" i="63"/>
  <c r="V232" i="63" s="1"/>
  <c r="R232" i="63"/>
  <c r="U204" i="63"/>
  <c r="V204" i="63" s="1"/>
  <c r="R204" i="63"/>
  <c r="U172" i="63"/>
  <c r="V172" i="63" s="1"/>
  <c r="R172" i="63"/>
  <c r="U140" i="63"/>
  <c r="V140" i="63" s="1"/>
  <c r="R140" i="63"/>
  <c r="U108" i="63"/>
  <c r="V108" i="63" s="1"/>
  <c r="R108" i="63"/>
  <c r="U76" i="63"/>
  <c r="V76" i="63" s="1"/>
  <c r="R76" i="63"/>
  <c r="U817" i="63"/>
  <c r="V817" i="63" s="1"/>
  <c r="R817" i="63"/>
  <c r="U769" i="63"/>
  <c r="V769" i="63" s="1"/>
  <c r="R769" i="63"/>
  <c r="U721" i="63"/>
  <c r="V721" i="63" s="1"/>
  <c r="R721" i="63"/>
  <c r="U673" i="63"/>
  <c r="V673" i="63" s="1"/>
  <c r="R673" i="63"/>
  <c r="U625" i="63"/>
  <c r="V625" i="63" s="1"/>
  <c r="R625" i="63"/>
  <c r="U581" i="63"/>
  <c r="V581" i="63" s="1"/>
  <c r="R581" i="63"/>
  <c r="U545" i="63"/>
  <c r="V545" i="63" s="1"/>
  <c r="R545" i="63"/>
  <c r="U513" i="63"/>
  <c r="V513" i="63" s="1"/>
  <c r="R513" i="63"/>
  <c r="U481" i="63"/>
  <c r="V481" i="63" s="1"/>
  <c r="R481" i="63"/>
  <c r="U449" i="63"/>
  <c r="V449" i="63" s="1"/>
  <c r="R449" i="63"/>
  <c r="U417" i="63"/>
  <c r="V417" i="63" s="1"/>
  <c r="R417" i="63"/>
  <c r="U385" i="63"/>
  <c r="V385" i="63" s="1"/>
  <c r="R385" i="63"/>
  <c r="U353" i="63"/>
  <c r="V353" i="63" s="1"/>
  <c r="R353" i="63"/>
  <c r="U321" i="63"/>
  <c r="V321" i="63" s="1"/>
  <c r="R321" i="63"/>
  <c r="U276" i="63"/>
  <c r="V276" i="63" s="1"/>
  <c r="R276" i="63"/>
  <c r="U233" i="63"/>
  <c r="V233" i="63" s="1"/>
  <c r="R233" i="63"/>
  <c r="U175" i="63"/>
  <c r="V175" i="63" s="1"/>
  <c r="R175" i="63"/>
  <c r="U111" i="63"/>
  <c r="V111" i="63" s="1"/>
  <c r="R111" i="63"/>
  <c r="U828" i="63"/>
  <c r="V828" i="63" s="1"/>
  <c r="R828" i="63"/>
  <c r="R800" i="63"/>
  <c r="U800" i="63"/>
  <c r="V800" i="63" s="1"/>
  <c r="U831" i="63"/>
  <c r="V831" i="63" s="1"/>
  <c r="R831" i="63"/>
  <c r="U815" i="63"/>
  <c r="V815" i="63" s="1"/>
  <c r="R815" i="63"/>
  <c r="U799" i="63"/>
  <c r="V799" i="63" s="1"/>
  <c r="R799" i="63"/>
  <c r="U783" i="63"/>
  <c r="V783" i="63" s="1"/>
  <c r="R783" i="63"/>
  <c r="U767" i="63"/>
  <c r="V767" i="63" s="1"/>
  <c r="R767" i="63"/>
  <c r="U751" i="63"/>
  <c r="V751" i="63" s="1"/>
  <c r="R751" i="63"/>
  <c r="U735" i="63"/>
  <c r="V735" i="63" s="1"/>
  <c r="R735" i="63"/>
  <c r="U719" i="63"/>
  <c r="V719" i="63" s="1"/>
  <c r="R719" i="63"/>
  <c r="U703" i="63"/>
  <c r="V703" i="63" s="1"/>
  <c r="R703" i="63"/>
  <c r="U687" i="63"/>
  <c r="V687" i="63" s="1"/>
  <c r="R687" i="63"/>
  <c r="U671" i="63"/>
  <c r="V671" i="63" s="1"/>
  <c r="R671" i="63"/>
  <c r="U655" i="63"/>
  <c r="V655" i="63" s="1"/>
  <c r="R655" i="63"/>
  <c r="U639" i="63"/>
  <c r="V639" i="63" s="1"/>
  <c r="R639" i="63"/>
  <c r="U623" i="63"/>
  <c r="V623" i="63" s="1"/>
  <c r="R623" i="63"/>
  <c r="U607" i="63"/>
  <c r="V607" i="63" s="1"/>
  <c r="R607" i="63"/>
  <c r="U591" i="63"/>
  <c r="V591" i="63" s="1"/>
  <c r="R591" i="63"/>
  <c r="U575" i="63"/>
  <c r="V575" i="63" s="1"/>
  <c r="R575" i="63"/>
  <c r="U559" i="63"/>
  <c r="V559" i="63" s="1"/>
  <c r="R559" i="63"/>
  <c r="U543" i="63"/>
  <c r="V543" i="63" s="1"/>
  <c r="R543" i="63"/>
  <c r="U527" i="63"/>
  <c r="V527" i="63" s="1"/>
  <c r="R527" i="63"/>
  <c r="U511" i="63"/>
  <c r="V511" i="63" s="1"/>
  <c r="R511" i="63"/>
  <c r="U495" i="63"/>
  <c r="V495" i="63" s="1"/>
  <c r="R495" i="63"/>
  <c r="U479" i="63"/>
  <c r="V479" i="63" s="1"/>
  <c r="R479" i="63"/>
  <c r="U463" i="63"/>
  <c r="V463" i="63" s="1"/>
  <c r="R463" i="63"/>
  <c r="U447" i="63"/>
  <c r="V447" i="63" s="1"/>
  <c r="R447" i="63"/>
  <c r="U431" i="63"/>
  <c r="V431" i="63" s="1"/>
  <c r="R431" i="63"/>
  <c r="U415" i="63"/>
  <c r="V415" i="63" s="1"/>
  <c r="R415" i="63"/>
  <c r="U399" i="63"/>
  <c r="V399" i="63" s="1"/>
  <c r="R399" i="63"/>
  <c r="U383" i="63"/>
  <c r="V383" i="63" s="1"/>
  <c r="R383" i="63"/>
  <c r="U367" i="63"/>
  <c r="V367" i="63" s="1"/>
  <c r="R367" i="63"/>
  <c r="U351" i="63"/>
  <c r="V351" i="63" s="1"/>
  <c r="R351" i="63"/>
  <c r="U335" i="63"/>
  <c r="V335" i="63" s="1"/>
  <c r="R335" i="63"/>
  <c r="U319" i="63"/>
  <c r="V319" i="63" s="1"/>
  <c r="R319" i="63"/>
  <c r="U300" i="63"/>
  <c r="V300" i="63" s="1"/>
  <c r="R300" i="63"/>
  <c r="U279" i="63"/>
  <c r="V279" i="63" s="1"/>
  <c r="R279" i="63"/>
  <c r="U257" i="63"/>
  <c r="V257" i="63" s="1"/>
  <c r="R257" i="63"/>
  <c r="U236" i="63"/>
  <c r="V236" i="63" s="1"/>
  <c r="R236" i="63"/>
  <c r="U211" i="63"/>
  <c r="V211" i="63" s="1"/>
  <c r="R211" i="63"/>
  <c r="U179" i="63"/>
  <c r="V179" i="63" s="1"/>
  <c r="R179" i="63"/>
  <c r="U147" i="63"/>
  <c r="V147" i="63" s="1"/>
  <c r="R147" i="63"/>
  <c r="U115" i="63"/>
  <c r="V115" i="63" s="1"/>
  <c r="R115" i="63"/>
  <c r="U83" i="63"/>
  <c r="V83" i="63" s="1"/>
  <c r="R83" i="63"/>
  <c r="U825" i="63"/>
  <c r="V825" i="63" s="1"/>
  <c r="R825" i="63"/>
  <c r="U777" i="63"/>
  <c r="V777" i="63" s="1"/>
  <c r="R777" i="63"/>
  <c r="U729" i="63"/>
  <c r="V729" i="63" s="1"/>
  <c r="R729" i="63"/>
  <c r="U681" i="63"/>
  <c r="V681" i="63" s="1"/>
  <c r="R681" i="63"/>
  <c r="U633" i="63"/>
  <c r="V633" i="63" s="1"/>
  <c r="R633" i="63"/>
  <c r="U565" i="63"/>
  <c r="V565" i="63" s="1"/>
  <c r="R565" i="63"/>
  <c r="U818" i="63"/>
  <c r="V818" i="63" s="1"/>
  <c r="R818" i="63"/>
  <c r="U802" i="63"/>
  <c r="V802" i="63" s="1"/>
  <c r="R802" i="63"/>
  <c r="U786" i="63"/>
  <c r="V786" i="63" s="1"/>
  <c r="R786" i="63"/>
  <c r="U770" i="63"/>
  <c r="V770" i="63" s="1"/>
  <c r="R770" i="63"/>
  <c r="U754" i="63"/>
  <c r="V754" i="63" s="1"/>
  <c r="R754" i="63"/>
  <c r="U738" i="63"/>
  <c r="V738" i="63" s="1"/>
  <c r="R738" i="63"/>
  <c r="U722" i="63"/>
  <c r="V722" i="63" s="1"/>
  <c r="R722" i="63"/>
  <c r="U706" i="63"/>
  <c r="V706" i="63" s="1"/>
  <c r="R706" i="63"/>
  <c r="U690" i="63"/>
  <c r="V690" i="63" s="1"/>
  <c r="R690" i="63"/>
  <c r="U674" i="63"/>
  <c r="V674" i="63" s="1"/>
  <c r="R674" i="63"/>
  <c r="U658" i="63"/>
  <c r="V658" i="63" s="1"/>
  <c r="R658" i="63"/>
  <c r="U642" i="63"/>
  <c r="V642" i="63" s="1"/>
  <c r="R642" i="63"/>
  <c r="U626" i="63"/>
  <c r="V626" i="63" s="1"/>
  <c r="R626" i="63"/>
  <c r="U610" i="63"/>
  <c r="V610" i="63" s="1"/>
  <c r="R610" i="63"/>
  <c r="U594" i="63"/>
  <c r="V594" i="63" s="1"/>
  <c r="R594" i="63"/>
  <c r="U578" i="63"/>
  <c r="V578" i="63" s="1"/>
  <c r="R578" i="63"/>
  <c r="U562" i="63"/>
  <c r="V562" i="63" s="1"/>
  <c r="R562" i="63"/>
  <c r="U546" i="63"/>
  <c r="V546" i="63" s="1"/>
  <c r="R546" i="63"/>
  <c r="U530" i="63"/>
  <c r="V530" i="63" s="1"/>
  <c r="R530" i="63"/>
  <c r="U514" i="63"/>
  <c r="V514" i="63" s="1"/>
  <c r="R514" i="63"/>
  <c r="U498" i="63"/>
  <c r="V498" i="63" s="1"/>
  <c r="R498" i="63"/>
  <c r="U482" i="63"/>
  <c r="V482" i="63" s="1"/>
  <c r="R482" i="63"/>
  <c r="U466" i="63"/>
  <c r="V466" i="63" s="1"/>
  <c r="R466" i="63"/>
  <c r="U450" i="63"/>
  <c r="V450" i="63" s="1"/>
  <c r="R450" i="63"/>
  <c r="U434" i="63"/>
  <c r="V434" i="63" s="1"/>
  <c r="R434" i="63"/>
  <c r="U418" i="63"/>
  <c r="V418" i="63" s="1"/>
  <c r="R418" i="63"/>
  <c r="U402" i="63"/>
  <c r="V402" i="63" s="1"/>
  <c r="R402" i="63"/>
  <c r="U386" i="63"/>
  <c r="V386" i="63" s="1"/>
  <c r="R386" i="63"/>
  <c r="U370" i="63"/>
  <c r="V370" i="63" s="1"/>
  <c r="R370" i="63"/>
  <c r="U354" i="63"/>
  <c r="V354" i="63" s="1"/>
  <c r="R354" i="63"/>
  <c r="U338" i="63"/>
  <c r="V338" i="63" s="1"/>
  <c r="R338" i="63"/>
  <c r="U322" i="63"/>
  <c r="V322" i="63" s="1"/>
  <c r="R322" i="63"/>
  <c r="U304" i="63"/>
  <c r="V304" i="63" s="1"/>
  <c r="R304" i="63"/>
  <c r="U283" i="63"/>
  <c r="V283" i="63" s="1"/>
  <c r="R283" i="63"/>
  <c r="U261" i="63"/>
  <c r="V261" i="63" s="1"/>
  <c r="R261" i="63"/>
  <c r="U240" i="63"/>
  <c r="V240" i="63" s="1"/>
  <c r="R240" i="63"/>
  <c r="U216" i="63"/>
  <c r="V216" i="63" s="1"/>
  <c r="R216" i="63"/>
  <c r="U184" i="63"/>
  <c r="V184" i="63" s="1"/>
  <c r="R184" i="63"/>
  <c r="U152" i="63"/>
  <c r="V152" i="63" s="1"/>
  <c r="R152" i="63"/>
  <c r="U120" i="63"/>
  <c r="V120" i="63" s="1"/>
  <c r="R120" i="63"/>
  <c r="U88" i="63"/>
  <c r="V88" i="63" s="1"/>
  <c r="R88" i="63"/>
  <c r="R310" i="63"/>
  <c r="U310" i="63"/>
  <c r="V310" i="63" s="1"/>
  <c r="R294" i="63"/>
  <c r="U294" i="63"/>
  <c r="V294" i="63" s="1"/>
  <c r="R278" i="63"/>
  <c r="U278" i="63"/>
  <c r="V278" i="63" s="1"/>
  <c r="R262" i="63"/>
  <c r="U262" i="63"/>
  <c r="V262" i="63" s="1"/>
  <c r="R246" i="63"/>
  <c r="U246" i="63"/>
  <c r="V246" i="63" s="1"/>
  <c r="R230" i="63"/>
  <c r="U230" i="63"/>
  <c r="V230" i="63" s="1"/>
  <c r="R214" i="63"/>
  <c r="U214" i="63"/>
  <c r="V214" i="63" s="1"/>
  <c r="R198" i="63"/>
  <c r="U198" i="63"/>
  <c r="V198" i="63" s="1"/>
  <c r="R182" i="63"/>
  <c r="U182" i="63"/>
  <c r="V182" i="63" s="1"/>
  <c r="R166" i="63"/>
  <c r="U166" i="63"/>
  <c r="V166" i="63" s="1"/>
  <c r="R150" i="63"/>
  <c r="U150" i="63"/>
  <c r="V150" i="63" s="1"/>
  <c r="R134" i="63"/>
  <c r="U134" i="63"/>
  <c r="V134" i="63" s="1"/>
  <c r="R118" i="63"/>
  <c r="U118" i="63"/>
  <c r="V118" i="63" s="1"/>
  <c r="R102" i="63"/>
  <c r="U102" i="63"/>
  <c r="V102" i="63" s="1"/>
  <c r="R86" i="63"/>
  <c r="U86" i="63"/>
  <c r="V86" i="63" s="1"/>
  <c r="R70" i="63"/>
  <c r="U70" i="63"/>
  <c r="V70" i="63" s="1"/>
  <c r="U221" i="63"/>
  <c r="V221" i="63" s="1"/>
  <c r="R221" i="63"/>
  <c r="U205" i="63"/>
  <c r="V205" i="63" s="1"/>
  <c r="R205" i="63"/>
  <c r="U189" i="63"/>
  <c r="V189" i="63" s="1"/>
  <c r="R189" i="63"/>
  <c r="U173" i="63"/>
  <c r="V173" i="63" s="1"/>
  <c r="R173" i="63"/>
  <c r="U157" i="63"/>
  <c r="V157" i="63" s="1"/>
  <c r="R157" i="63"/>
  <c r="U141" i="63"/>
  <c r="V141" i="63" s="1"/>
  <c r="R141" i="63"/>
  <c r="U125" i="63"/>
  <c r="V125" i="63" s="1"/>
  <c r="R125" i="63"/>
  <c r="U109" i="63"/>
  <c r="V109" i="63" s="1"/>
  <c r="R109" i="63"/>
  <c r="U93" i="63"/>
  <c r="V93" i="63" s="1"/>
  <c r="R93" i="63"/>
  <c r="U77" i="63"/>
  <c r="V77" i="63" s="1"/>
  <c r="R77" i="63"/>
  <c r="U61" i="63"/>
  <c r="V61" i="63" s="1"/>
  <c r="R61" i="63"/>
  <c r="D22" i="66" l="1"/>
  <c r="J50" i="66"/>
  <c r="K50" i="66"/>
  <c r="O22" i="66"/>
  <c r="U6" i="63"/>
  <c r="U7" i="63"/>
  <c r="U8" i="63"/>
  <c r="U9" i="63"/>
  <c r="U10" i="63"/>
  <c r="U11" i="63"/>
  <c r="U12" i="63"/>
  <c r="U13" i="63"/>
  <c r="U14" i="63"/>
  <c r="U15" i="63"/>
  <c r="U16" i="63"/>
  <c r="U17" i="63"/>
  <c r="U18" i="63"/>
  <c r="U19" i="63"/>
  <c r="U20" i="63"/>
  <c r="U21" i="63"/>
  <c r="U22" i="63"/>
  <c r="U23" i="63"/>
  <c r="U24" i="63"/>
  <c r="U25" i="63"/>
  <c r="U26" i="63"/>
  <c r="U27" i="63"/>
  <c r="U28" i="63"/>
  <c r="U29" i="63"/>
  <c r="U30" i="63"/>
  <c r="U31" i="63"/>
  <c r="U32" i="63"/>
  <c r="U33" i="63"/>
  <c r="U34" i="63"/>
  <c r="U35" i="63"/>
  <c r="U36" i="63"/>
  <c r="U37" i="63"/>
  <c r="U38" i="63"/>
  <c r="U39" i="63"/>
  <c r="U40" i="63"/>
  <c r="U41" i="63"/>
  <c r="U42" i="63"/>
  <c r="U43" i="63"/>
  <c r="U44" i="63"/>
  <c r="U45" i="63"/>
  <c r="U46" i="63"/>
  <c r="U5" i="63"/>
  <c r="D50" i="66" l="1"/>
  <c r="E22" i="66"/>
  <c r="G23" i="66"/>
  <c r="I23" i="66" s="1"/>
  <c r="F22" i="66"/>
  <c r="L23" i="66" s="1"/>
  <c r="O50" i="66"/>
  <c r="J23" i="66"/>
  <c r="U1" i="63"/>
  <c r="V43" i="63" s="1"/>
  <c r="B13" i="63"/>
  <c r="C16" i="63" s="1"/>
  <c r="H23" i="66" l="1"/>
  <c r="K23" i="66"/>
  <c r="F50" i="66"/>
  <c r="M50" i="66"/>
  <c r="N50" i="66" s="1"/>
  <c r="E50" i="66"/>
  <c r="G51" i="66"/>
  <c r="I51" i="66" s="1"/>
  <c r="D23" i="66"/>
  <c r="J51" i="66"/>
  <c r="V46" i="63"/>
  <c r="V11" i="63"/>
  <c r="V6" i="63"/>
  <c r="V37" i="63"/>
  <c r="V32" i="63"/>
  <c r="V34" i="63"/>
  <c r="V10" i="63"/>
  <c r="V36" i="63"/>
  <c r="V13" i="63"/>
  <c r="V15" i="63"/>
  <c r="V41" i="63"/>
  <c r="V42" i="63"/>
  <c r="V20" i="63"/>
  <c r="V16" i="63"/>
  <c r="V31" i="63"/>
  <c r="V12" i="63"/>
  <c r="V23" i="63"/>
  <c r="V24" i="63"/>
  <c r="V22" i="63"/>
  <c r="V39" i="63"/>
  <c r="V27" i="63"/>
  <c r="V29" i="63"/>
  <c r="V14" i="63"/>
  <c r="V26" i="63"/>
  <c r="V40" i="63"/>
  <c r="V19" i="63"/>
  <c r="V5" i="63"/>
  <c r="V45" i="63"/>
  <c r="V9" i="63"/>
  <c r="V35" i="63"/>
  <c r="V18" i="63"/>
  <c r="V30" i="63"/>
  <c r="V44" i="63"/>
  <c r="V38" i="63"/>
  <c r="V25" i="63"/>
  <c r="V7" i="63"/>
  <c r="V21" i="63"/>
  <c r="V33" i="63"/>
  <c r="V8" i="63"/>
  <c r="V28" i="63"/>
  <c r="V17" i="63"/>
  <c r="C20" i="63"/>
  <c r="C17" i="63"/>
  <c r="C21" i="63"/>
  <c r="C18" i="63"/>
  <c r="C22" i="63"/>
  <c r="C19" i="63"/>
  <c r="O23" i="66" l="1"/>
  <c r="H51" i="66"/>
  <c r="K51" i="66" s="1"/>
  <c r="E23" i="66"/>
  <c r="H24" i="66" s="1"/>
  <c r="D51" i="66"/>
  <c r="G24" i="66"/>
  <c r="I24" i="66" s="1"/>
  <c r="F23" i="66"/>
  <c r="L51" i="66"/>
  <c r="W771" i="63"/>
  <c r="W763" i="63"/>
  <c r="W768" i="63"/>
  <c r="W756" i="63"/>
  <c r="W753" i="63"/>
  <c r="W757" i="63"/>
  <c r="W764" i="63"/>
  <c r="W887" i="63"/>
  <c r="W882" i="63"/>
  <c r="W888" i="63"/>
  <c r="W886" i="63"/>
  <c r="W890" i="63"/>
  <c r="W885" i="63"/>
  <c r="W883" i="63"/>
  <c r="W872" i="63"/>
  <c r="W870" i="63"/>
  <c r="W889" i="63"/>
  <c r="W876" i="63"/>
  <c r="W884" i="63"/>
  <c r="W873" i="63"/>
  <c r="W878" i="63"/>
  <c r="W880" i="63"/>
  <c r="W874" i="63"/>
  <c r="W871" i="63"/>
  <c r="W881" i="63"/>
  <c r="W877" i="63"/>
  <c r="W879" i="63"/>
  <c r="W875" i="63"/>
  <c r="W754" i="63"/>
  <c r="W758" i="63"/>
  <c r="W761" i="63"/>
  <c r="W772" i="63"/>
  <c r="W760" i="63"/>
  <c r="W867" i="63"/>
  <c r="W849" i="63"/>
  <c r="W857" i="63"/>
  <c r="W863" i="63"/>
  <c r="W855" i="63"/>
  <c r="W866" i="63"/>
  <c r="W856" i="63"/>
  <c r="W864" i="63"/>
  <c r="W865" i="63"/>
  <c r="W868" i="63"/>
  <c r="W860" i="63"/>
  <c r="W862" i="63"/>
  <c r="W851" i="63"/>
  <c r="W853" i="63"/>
  <c r="W861" i="63"/>
  <c r="W858" i="63"/>
  <c r="W852" i="63"/>
  <c r="W854" i="63"/>
  <c r="W850" i="63"/>
  <c r="W859" i="63"/>
  <c r="W869" i="63"/>
  <c r="W770" i="63"/>
  <c r="W755" i="63"/>
  <c r="W762" i="63"/>
  <c r="W766" i="63"/>
  <c r="W765" i="63"/>
  <c r="W841" i="63"/>
  <c r="W834" i="63"/>
  <c r="W840" i="63"/>
  <c r="W836" i="63"/>
  <c r="W848" i="63"/>
  <c r="W837" i="63"/>
  <c r="W835" i="63"/>
  <c r="W838" i="63"/>
  <c r="W833" i="63"/>
  <c r="W843" i="63"/>
  <c r="W846" i="63"/>
  <c r="W845" i="63"/>
  <c r="W847" i="63"/>
  <c r="W844" i="63"/>
  <c r="W842" i="63"/>
  <c r="W839" i="63"/>
  <c r="W769" i="63"/>
  <c r="W767" i="63"/>
  <c r="W759" i="63"/>
  <c r="W568" i="63"/>
  <c r="W571" i="63"/>
  <c r="W555" i="63"/>
  <c r="W558" i="63"/>
  <c r="W564" i="63"/>
  <c r="W561" i="63"/>
  <c r="W570" i="63"/>
  <c r="W554" i="63"/>
  <c r="W560" i="63"/>
  <c r="W553" i="63"/>
  <c r="W563" i="63"/>
  <c r="W566" i="63"/>
  <c r="W557" i="63"/>
  <c r="W569" i="63"/>
  <c r="W572" i="63"/>
  <c r="W556" i="63"/>
  <c r="W559" i="63"/>
  <c r="W565" i="63"/>
  <c r="W562" i="63"/>
  <c r="W567" i="63"/>
  <c r="W669" i="63"/>
  <c r="W657" i="63"/>
  <c r="W665" i="63"/>
  <c r="W661" i="63"/>
  <c r="W667" i="63"/>
  <c r="W670" i="63"/>
  <c r="W654" i="63"/>
  <c r="W660" i="63"/>
  <c r="W663" i="63"/>
  <c r="W666" i="63"/>
  <c r="W664" i="63"/>
  <c r="W672" i="63"/>
  <c r="W656" i="63"/>
  <c r="W659" i="63"/>
  <c r="W662" i="63"/>
  <c r="W668" i="63"/>
  <c r="W671" i="63"/>
  <c r="W655" i="63"/>
  <c r="W658" i="63"/>
  <c r="W653" i="63"/>
  <c r="W602" i="63"/>
  <c r="W597" i="63"/>
  <c r="W600" i="63"/>
  <c r="W603" i="63"/>
  <c r="W606" i="63"/>
  <c r="W612" i="63"/>
  <c r="W596" i="63"/>
  <c r="W601" i="63"/>
  <c r="W609" i="63"/>
  <c r="W608" i="63"/>
  <c r="W611" i="63"/>
  <c r="W595" i="63"/>
  <c r="W593" i="63"/>
  <c r="W598" i="63"/>
  <c r="W605" i="63"/>
  <c r="W604" i="63"/>
  <c r="W607" i="63"/>
  <c r="W610" i="63"/>
  <c r="W594" i="63"/>
  <c r="W599" i="63"/>
  <c r="W491" i="63"/>
  <c r="W494" i="63"/>
  <c r="W493" i="63"/>
  <c r="W485" i="63"/>
  <c r="W484" i="63"/>
  <c r="W497" i="63"/>
  <c r="W487" i="63"/>
  <c r="W490" i="63"/>
  <c r="W496" i="63"/>
  <c r="W489" i="63"/>
  <c r="W483" i="63"/>
  <c r="W486" i="63"/>
  <c r="W492" i="63"/>
  <c r="W495" i="63"/>
  <c r="W488" i="63"/>
  <c r="W510" i="63"/>
  <c r="W505" i="63"/>
  <c r="W507" i="63"/>
  <c r="W500" i="63"/>
  <c r="W503" i="63"/>
  <c r="W506" i="63"/>
  <c r="W509" i="63"/>
  <c r="W512" i="63"/>
  <c r="W499" i="63"/>
  <c r="W502" i="63"/>
  <c r="W501" i="63"/>
  <c r="W508" i="63"/>
  <c r="W511" i="63"/>
  <c r="W504" i="63"/>
  <c r="W498" i="63"/>
  <c r="W462" i="63"/>
  <c r="W461" i="63"/>
  <c r="W456" i="63"/>
  <c r="W459" i="63"/>
  <c r="W453" i="63"/>
  <c r="W465" i="63"/>
  <c r="W455" i="63"/>
  <c r="W458" i="63"/>
  <c r="W464" i="63"/>
  <c r="W457" i="63"/>
  <c r="W467" i="63"/>
  <c r="W454" i="63"/>
  <c r="W460" i="63"/>
  <c r="W463" i="63"/>
  <c r="W466" i="63"/>
  <c r="W328" i="63"/>
  <c r="W331" i="63"/>
  <c r="W318" i="63"/>
  <c r="W325" i="63"/>
  <c r="W324" i="63"/>
  <c r="W327" i="63"/>
  <c r="W330" i="63"/>
  <c r="W320" i="63"/>
  <c r="W329" i="63"/>
  <c r="W323" i="63"/>
  <c r="W326" i="63"/>
  <c r="W332" i="63"/>
  <c r="W321" i="63"/>
  <c r="W319" i="63"/>
  <c r="W322" i="63"/>
  <c r="W377" i="63"/>
  <c r="W363" i="63"/>
  <c r="W366" i="63"/>
  <c r="W372" i="63"/>
  <c r="W369" i="63"/>
  <c r="W375" i="63"/>
  <c r="W365" i="63"/>
  <c r="W368" i="63"/>
  <c r="W371" i="63"/>
  <c r="W374" i="63"/>
  <c r="W373" i="63"/>
  <c r="W364" i="63"/>
  <c r="W367" i="63"/>
  <c r="W376" i="63"/>
  <c r="W370" i="63"/>
  <c r="W747" i="63"/>
  <c r="W750" i="63"/>
  <c r="W734" i="63"/>
  <c r="W744" i="63"/>
  <c r="W740" i="63"/>
  <c r="W745" i="63"/>
  <c r="W743" i="63"/>
  <c r="W746" i="63"/>
  <c r="W752" i="63"/>
  <c r="W736" i="63"/>
  <c r="W733" i="63"/>
  <c r="W739" i="63"/>
  <c r="W741" i="63"/>
  <c r="W742" i="63"/>
  <c r="W737" i="63"/>
  <c r="W749" i="63"/>
  <c r="W748" i="63"/>
  <c r="W751" i="63"/>
  <c r="W735" i="63"/>
  <c r="W738" i="63"/>
  <c r="W621" i="63"/>
  <c r="W617" i="63"/>
  <c r="W613" i="63"/>
  <c r="W619" i="63"/>
  <c r="W622" i="63"/>
  <c r="W632" i="63"/>
  <c r="W629" i="63"/>
  <c r="W628" i="63"/>
  <c r="W615" i="63"/>
  <c r="W618" i="63"/>
  <c r="W616" i="63"/>
  <c r="W624" i="63"/>
  <c r="W627" i="63"/>
  <c r="W630" i="63"/>
  <c r="W614" i="63"/>
  <c r="W620" i="63"/>
  <c r="W623" i="63"/>
  <c r="W626" i="63"/>
  <c r="W631" i="63"/>
  <c r="W625" i="63"/>
  <c r="W641" i="63"/>
  <c r="W649" i="63"/>
  <c r="W637" i="63"/>
  <c r="W648" i="63"/>
  <c r="W651" i="63"/>
  <c r="W635" i="63"/>
  <c r="W638" i="63"/>
  <c r="W644" i="63"/>
  <c r="W647" i="63"/>
  <c r="W650" i="63"/>
  <c r="W634" i="63"/>
  <c r="W640" i="63"/>
  <c r="W643" i="63"/>
  <c r="W645" i="63"/>
  <c r="W646" i="63"/>
  <c r="W636" i="63"/>
  <c r="W639" i="63"/>
  <c r="W642" i="63"/>
  <c r="W652" i="63"/>
  <c r="W633" i="63"/>
  <c r="W227" i="63"/>
  <c r="W223" i="63"/>
  <c r="W226" i="63"/>
  <c r="W217" i="63"/>
  <c r="W220" i="63"/>
  <c r="W225" i="63"/>
  <c r="W222" i="63"/>
  <c r="W213" i="63"/>
  <c r="W215" i="63"/>
  <c r="W219" i="63"/>
  <c r="W224" i="63"/>
  <c r="W218" i="63"/>
  <c r="W216" i="63"/>
  <c r="W214" i="63"/>
  <c r="W221" i="63"/>
  <c r="W313" i="63"/>
  <c r="W315" i="63"/>
  <c r="W306" i="63"/>
  <c r="W307" i="63"/>
  <c r="W311" i="63"/>
  <c r="W314" i="63"/>
  <c r="W317" i="63"/>
  <c r="W305" i="63"/>
  <c r="W309" i="63"/>
  <c r="W303" i="63"/>
  <c r="W308" i="63"/>
  <c r="W316" i="63"/>
  <c r="W312" i="63"/>
  <c r="W304" i="63"/>
  <c r="W310" i="63"/>
  <c r="W792" i="63"/>
  <c r="W779" i="63"/>
  <c r="W782" i="63"/>
  <c r="W773" i="63"/>
  <c r="W784" i="63"/>
  <c r="W791" i="63"/>
  <c r="W775" i="63"/>
  <c r="W778" i="63"/>
  <c r="W780" i="63"/>
  <c r="W781" i="63"/>
  <c r="W776" i="63"/>
  <c r="W787" i="63"/>
  <c r="W789" i="63"/>
  <c r="W790" i="63"/>
  <c r="W774" i="63"/>
  <c r="W788" i="63"/>
  <c r="W783" i="63"/>
  <c r="W777" i="63"/>
  <c r="W786" i="63"/>
  <c r="W785" i="63"/>
  <c r="W107" i="63"/>
  <c r="W112" i="63"/>
  <c r="W114" i="63"/>
  <c r="W105" i="63"/>
  <c r="W110" i="63"/>
  <c r="W116" i="63"/>
  <c r="W106" i="63"/>
  <c r="W113" i="63"/>
  <c r="W108" i="63"/>
  <c r="W111" i="63"/>
  <c r="W115" i="63"/>
  <c r="W109" i="63"/>
  <c r="W252" i="63"/>
  <c r="W256" i="63"/>
  <c r="W249" i="63"/>
  <c r="W243" i="63"/>
  <c r="W255" i="63"/>
  <c r="W247" i="63"/>
  <c r="W251" i="63"/>
  <c r="W254" i="63"/>
  <c r="W244" i="63"/>
  <c r="W245" i="63"/>
  <c r="W250" i="63"/>
  <c r="W253" i="63"/>
  <c r="W257" i="63"/>
  <c r="W248" i="63"/>
  <c r="W246" i="63"/>
  <c r="W705" i="63"/>
  <c r="W696" i="63"/>
  <c r="W709" i="63"/>
  <c r="W699" i="63"/>
  <c r="W702" i="63"/>
  <c r="W708" i="63"/>
  <c r="W697" i="63"/>
  <c r="W711" i="63"/>
  <c r="W695" i="63"/>
  <c r="W698" i="63"/>
  <c r="W704" i="63"/>
  <c r="W707" i="63"/>
  <c r="W693" i="63"/>
  <c r="W710" i="63"/>
  <c r="W694" i="63"/>
  <c r="W712" i="63"/>
  <c r="W700" i="63"/>
  <c r="W703" i="63"/>
  <c r="W706" i="63"/>
  <c r="W701" i="63"/>
  <c r="W269" i="63"/>
  <c r="W265" i="63"/>
  <c r="W258" i="63"/>
  <c r="W260" i="63"/>
  <c r="W264" i="63"/>
  <c r="W268" i="63"/>
  <c r="W272" i="63"/>
  <c r="W270" i="63"/>
  <c r="W259" i="63"/>
  <c r="W263" i="63"/>
  <c r="W267" i="63"/>
  <c r="W266" i="63"/>
  <c r="W271" i="63"/>
  <c r="W261" i="63"/>
  <c r="W262" i="63"/>
  <c r="W350" i="63"/>
  <c r="W357" i="63"/>
  <c r="W356" i="63"/>
  <c r="W359" i="63"/>
  <c r="W362" i="63"/>
  <c r="W349" i="63"/>
  <c r="W352" i="63"/>
  <c r="W361" i="63"/>
  <c r="W355" i="63"/>
  <c r="W358" i="63"/>
  <c r="W348" i="63"/>
  <c r="W353" i="63"/>
  <c r="W351" i="63"/>
  <c r="W360" i="63"/>
  <c r="W354" i="63"/>
  <c r="W526" i="63"/>
  <c r="W523" i="63"/>
  <c r="W517" i="63"/>
  <c r="W532" i="63"/>
  <c r="W516" i="63"/>
  <c r="W529" i="63"/>
  <c r="W519" i="63"/>
  <c r="W522" i="63"/>
  <c r="W525" i="63"/>
  <c r="W520" i="63"/>
  <c r="W528" i="63"/>
  <c r="W521" i="63"/>
  <c r="W531" i="63"/>
  <c r="W515" i="63"/>
  <c r="W518" i="63"/>
  <c r="W524" i="63"/>
  <c r="W513" i="63"/>
  <c r="W527" i="63"/>
  <c r="W530" i="63"/>
  <c r="W514" i="63"/>
  <c r="W731" i="63"/>
  <c r="W715" i="63"/>
  <c r="W717" i="63"/>
  <c r="W718" i="63"/>
  <c r="W725" i="63"/>
  <c r="W724" i="63"/>
  <c r="W727" i="63"/>
  <c r="W730" i="63"/>
  <c r="W714" i="63"/>
  <c r="W728" i="63"/>
  <c r="W713" i="63"/>
  <c r="W720" i="63"/>
  <c r="W723" i="63"/>
  <c r="W726" i="63"/>
  <c r="W732" i="63"/>
  <c r="W716" i="63"/>
  <c r="W719" i="63"/>
  <c r="W729" i="63"/>
  <c r="W722" i="63"/>
  <c r="W721" i="63"/>
  <c r="W121" i="63"/>
  <c r="W124" i="63"/>
  <c r="W126" i="63"/>
  <c r="W117" i="63"/>
  <c r="W119" i="63"/>
  <c r="W127" i="63"/>
  <c r="W123" i="63"/>
  <c r="W128" i="63"/>
  <c r="W122" i="63"/>
  <c r="W120" i="63"/>
  <c r="W118" i="63"/>
  <c r="W125" i="63"/>
  <c r="W75" i="63"/>
  <c r="W80" i="63"/>
  <c r="W73" i="63"/>
  <c r="W71" i="63"/>
  <c r="W79" i="63"/>
  <c r="W72" i="63"/>
  <c r="W78" i="63"/>
  <c r="W69" i="63"/>
  <c r="W74" i="63"/>
  <c r="W76" i="63"/>
  <c r="W70" i="63"/>
  <c r="W77" i="63"/>
  <c r="W446" i="63"/>
  <c r="W441" i="63"/>
  <c r="W443" i="63"/>
  <c r="W452" i="63"/>
  <c r="W439" i="63"/>
  <c r="W442" i="63"/>
  <c r="W445" i="63"/>
  <c r="W448" i="63"/>
  <c r="W451" i="63"/>
  <c r="W438" i="63"/>
  <c r="W444" i="63"/>
  <c r="W449" i="63"/>
  <c r="W447" i="63"/>
  <c r="W440" i="63"/>
  <c r="W450" i="63"/>
  <c r="W82" i="63"/>
  <c r="W89" i="63"/>
  <c r="W92" i="63"/>
  <c r="W85" i="63"/>
  <c r="W84" i="63"/>
  <c r="W91" i="63"/>
  <c r="W90" i="63"/>
  <c r="W81" i="63"/>
  <c r="W87" i="63"/>
  <c r="W83" i="63"/>
  <c r="W88" i="63"/>
  <c r="W86" i="63"/>
  <c r="W472" i="63"/>
  <c r="W473" i="63"/>
  <c r="W475" i="63"/>
  <c r="W478" i="63"/>
  <c r="W468" i="63"/>
  <c r="W471" i="63"/>
  <c r="W474" i="63"/>
  <c r="W477" i="63"/>
  <c r="W480" i="63"/>
  <c r="W470" i="63"/>
  <c r="W469" i="63"/>
  <c r="W476" i="63"/>
  <c r="W481" i="63"/>
  <c r="W479" i="63"/>
  <c r="W482" i="63"/>
  <c r="W392" i="63"/>
  <c r="W379" i="63"/>
  <c r="W382" i="63"/>
  <c r="W389" i="63"/>
  <c r="W388" i="63"/>
  <c r="W391" i="63"/>
  <c r="W378" i="63"/>
  <c r="W381" i="63"/>
  <c r="W384" i="63"/>
  <c r="W387" i="63"/>
  <c r="W390" i="63"/>
  <c r="W380" i="63"/>
  <c r="W385" i="63"/>
  <c r="W383" i="63"/>
  <c r="W386" i="63"/>
  <c r="W68" i="63"/>
  <c r="W66" i="63"/>
  <c r="W57" i="63"/>
  <c r="W60" i="63"/>
  <c r="W67" i="63"/>
  <c r="W62" i="63"/>
  <c r="W63" i="63"/>
  <c r="W59" i="63"/>
  <c r="W64" i="63"/>
  <c r="W58" i="63"/>
  <c r="W65" i="63"/>
  <c r="W61" i="63"/>
  <c r="W408" i="63"/>
  <c r="W409" i="63"/>
  <c r="W411" i="63"/>
  <c r="W414" i="63"/>
  <c r="W421" i="63"/>
  <c r="W420" i="63"/>
  <c r="W410" i="63"/>
  <c r="W413" i="63"/>
  <c r="W416" i="63"/>
  <c r="W419" i="63"/>
  <c r="W422" i="63"/>
  <c r="W412" i="63"/>
  <c r="W417" i="63"/>
  <c r="W415" i="63"/>
  <c r="W418" i="63"/>
  <c r="W427" i="63"/>
  <c r="W430" i="63"/>
  <c r="W436" i="63"/>
  <c r="W433" i="63"/>
  <c r="W423" i="63"/>
  <c r="W426" i="63"/>
  <c r="W432" i="63"/>
  <c r="W425" i="63"/>
  <c r="W435" i="63"/>
  <c r="W429" i="63"/>
  <c r="W437" i="63"/>
  <c r="W428" i="63"/>
  <c r="W431" i="63"/>
  <c r="W424" i="63"/>
  <c r="W434" i="63"/>
  <c r="W333" i="63"/>
  <c r="W344" i="63"/>
  <c r="W345" i="63"/>
  <c r="W347" i="63"/>
  <c r="W334" i="63"/>
  <c r="W340" i="63"/>
  <c r="W337" i="63"/>
  <c r="W343" i="63"/>
  <c r="W346" i="63"/>
  <c r="W336" i="63"/>
  <c r="W339" i="63"/>
  <c r="W342" i="63"/>
  <c r="W341" i="63"/>
  <c r="W335" i="63"/>
  <c r="W338" i="63"/>
  <c r="W203" i="63"/>
  <c r="W208" i="63"/>
  <c r="W210" i="63"/>
  <c r="W201" i="63"/>
  <c r="W199" i="63"/>
  <c r="W207" i="63"/>
  <c r="W200" i="63"/>
  <c r="W206" i="63"/>
  <c r="W212" i="63"/>
  <c r="W202" i="63"/>
  <c r="W209" i="63"/>
  <c r="W204" i="63"/>
  <c r="W211" i="63"/>
  <c r="W198" i="63"/>
  <c r="W205" i="63"/>
  <c r="W196" i="63"/>
  <c r="W194" i="63"/>
  <c r="W185" i="63"/>
  <c r="W188" i="63"/>
  <c r="W195" i="63"/>
  <c r="W190" i="63"/>
  <c r="W197" i="63"/>
  <c r="W183" i="63"/>
  <c r="W191" i="63"/>
  <c r="W187" i="63"/>
  <c r="W192" i="63"/>
  <c r="W186" i="63"/>
  <c r="W193" i="63"/>
  <c r="W184" i="63"/>
  <c r="W189" i="63"/>
  <c r="W573" i="63"/>
  <c r="W587" i="63"/>
  <c r="W590" i="63"/>
  <c r="W574" i="63"/>
  <c r="W585" i="63"/>
  <c r="W580" i="63"/>
  <c r="W583" i="63"/>
  <c r="W586" i="63"/>
  <c r="W577" i="63"/>
  <c r="W592" i="63"/>
  <c r="W576" i="63"/>
  <c r="W589" i="63"/>
  <c r="W579" i="63"/>
  <c r="W582" i="63"/>
  <c r="W584" i="63"/>
  <c r="W588" i="63"/>
  <c r="W581" i="63"/>
  <c r="W591" i="63"/>
  <c r="W575" i="63"/>
  <c r="W578" i="63"/>
  <c r="W132" i="63"/>
  <c r="W139" i="63"/>
  <c r="W130" i="63"/>
  <c r="W137" i="63"/>
  <c r="W135" i="63"/>
  <c r="W131" i="63"/>
  <c r="W136" i="63"/>
  <c r="W133" i="63"/>
  <c r="W138" i="63"/>
  <c r="W129" i="63"/>
  <c r="W140" i="63"/>
  <c r="W134" i="63"/>
  <c r="W100" i="63"/>
  <c r="W95" i="63"/>
  <c r="W98" i="63"/>
  <c r="W99" i="63"/>
  <c r="W94" i="63"/>
  <c r="W101" i="63"/>
  <c r="W96" i="63"/>
  <c r="W97" i="63"/>
  <c r="W103" i="63"/>
  <c r="W104" i="63"/>
  <c r="W102" i="63"/>
  <c r="W93" i="63"/>
  <c r="W398" i="63"/>
  <c r="W395" i="63"/>
  <c r="W397" i="63"/>
  <c r="W404" i="63"/>
  <c r="W401" i="63"/>
  <c r="W407" i="63"/>
  <c r="W394" i="63"/>
  <c r="W400" i="63"/>
  <c r="W393" i="63"/>
  <c r="W403" i="63"/>
  <c r="W406" i="63"/>
  <c r="W405" i="63"/>
  <c r="W396" i="63"/>
  <c r="W399" i="63"/>
  <c r="W402" i="63"/>
  <c r="W231" i="63"/>
  <c r="W235" i="63"/>
  <c r="W242" i="63"/>
  <c r="W229" i="63"/>
  <c r="W238" i="63"/>
  <c r="W239" i="63"/>
  <c r="W237" i="63"/>
  <c r="W241" i="63"/>
  <c r="W234" i="63"/>
  <c r="W228" i="63"/>
  <c r="W233" i="63"/>
  <c r="W236" i="63"/>
  <c r="W232" i="63"/>
  <c r="W240" i="63"/>
  <c r="W230" i="63"/>
  <c r="W805" i="63"/>
  <c r="W811" i="63"/>
  <c r="W795" i="63"/>
  <c r="W798" i="63"/>
  <c r="W808" i="63"/>
  <c r="W793" i="63"/>
  <c r="W812" i="63"/>
  <c r="W807" i="63"/>
  <c r="W801" i="63"/>
  <c r="W810" i="63"/>
  <c r="W794" i="63"/>
  <c r="W809" i="63"/>
  <c r="W796" i="63"/>
  <c r="W804" i="63"/>
  <c r="W803" i="63"/>
  <c r="W806" i="63"/>
  <c r="W797" i="63"/>
  <c r="W800" i="63"/>
  <c r="W799" i="63"/>
  <c r="W802" i="63"/>
  <c r="W273" i="63"/>
  <c r="W277" i="63"/>
  <c r="W274" i="63"/>
  <c r="W285" i="63"/>
  <c r="W286" i="63"/>
  <c r="W281" i="63"/>
  <c r="W280" i="63"/>
  <c r="W287" i="63"/>
  <c r="W284" i="63"/>
  <c r="W282" i="63"/>
  <c r="W275" i="63"/>
  <c r="W276" i="63"/>
  <c r="W279" i="63"/>
  <c r="W283" i="63"/>
  <c r="W278" i="63"/>
  <c r="W171" i="63"/>
  <c r="W176" i="63"/>
  <c r="W178" i="63"/>
  <c r="W169" i="63"/>
  <c r="W174" i="63"/>
  <c r="W181" i="63"/>
  <c r="W180" i="63"/>
  <c r="W170" i="63"/>
  <c r="W177" i="63"/>
  <c r="W172" i="63"/>
  <c r="W175" i="63"/>
  <c r="W179" i="63"/>
  <c r="W168" i="63"/>
  <c r="W173" i="63"/>
  <c r="W182" i="63"/>
  <c r="W683" i="63"/>
  <c r="W686" i="63"/>
  <c r="W680" i="63"/>
  <c r="W677" i="63"/>
  <c r="W692" i="63"/>
  <c r="W676" i="63"/>
  <c r="W679" i="63"/>
  <c r="W682" i="63"/>
  <c r="W688" i="63"/>
  <c r="W685" i="63"/>
  <c r="W691" i="63"/>
  <c r="W675" i="63"/>
  <c r="W678" i="63"/>
  <c r="W684" i="63"/>
  <c r="W673" i="63"/>
  <c r="W687" i="63"/>
  <c r="W681" i="63"/>
  <c r="W690" i="63"/>
  <c r="W674" i="63"/>
  <c r="W689" i="63"/>
  <c r="W151" i="63"/>
  <c r="W144" i="63"/>
  <c r="W146" i="63"/>
  <c r="W143" i="63"/>
  <c r="W142" i="63"/>
  <c r="W149" i="63"/>
  <c r="W148" i="63"/>
  <c r="W145" i="63"/>
  <c r="W147" i="63"/>
  <c r="W152" i="63"/>
  <c r="W150" i="63"/>
  <c r="W141" i="63"/>
  <c r="W291" i="63"/>
  <c r="W295" i="63"/>
  <c r="W299" i="63"/>
  <c r="W290" i="63"/>
  <c r="W292" i="63"/>
  <c r="W297" i="63"/>
  <c r="W289" i="63"/>
  <c r="W293" i="63"/>
  <c r="W302" i="63"/>
  <c r="W301" i="63"/>
  <c r="W288" i="63"/>
  <c r="W298" i="63"/>
  <c r="W300" i="63"/>
  <c r="W296" i="63"/>
  <c r="W294" i="63"/>
  <c r="W164" i="63"/>
  <c r="W159" i="63"/>
  <c r="W162" i="63"/>
  <c r="W153" i="63"/>
  <c r="W156" i="63"/>
  <c r="W163" i="63"/>
  <c r="W158" i="63"/>
  <c r="W165" i="63"/>
  <c r="W155" i="63"/>
  <c r="W160" i="63"/>
  <c r="W154" i="63"/>
  <c r="W161" i="63"/>
  <c r="W167" i="63"/>
  <c r="W166" i="63"/>
  <c r="W157" i="63"/>
  <c r="W536" i="63"/>
  <c r="W537" i="63"/>
  <c r="W539" i="63"/>
  <c r="W542" i="63"/>
  <c r="W549" i="63"/>
  <c r="W548" i="63"/>
  <c r="W551" i="63"/>
  <c r="W535" i="63"/>
  <c r="W538" i="63"/>
  <c r="W541" i="63"/>
  <c r="W544" i="63"/>
  <c r="W547" i="63"/>
  <c r="W550" i="63"/>
  <c r="W534" i="63"/>
  <c r="W533" i="63"/>
  <c r="W540" i="63"/>
  <c r="W545" i="63"/>
  <c r="W543" i="63"/>
  <c r="W546" i="63"/>
  <c r="W552" i="63"/>
  <c r="W829" i="63"/>
  <c r="W820" i="63"/>
  <c r="W827" i="63"/>
  <c r="W813" i="63"/>
  <c r="W830" i="63"/>
  <c r="W814" i="63"/>
  <c r="W816" i="63"/>
  <c r="W821" i="63"/>
  <c r="W823" i="63"/>
  <c r="W826" i="63"/>
  <c r="W832" i="63"/>
  <c r="W819" i="63"/>
  <c r="W822" i="63"/>
  <c r="W824" i="63"/>
  <c r="W828" i="63"/>
  <c r="W831" i="63"/>
  <c r="W815" i="63"/>
  <c r="W825" i="63"/>
  <c r="W818" i="63"/>
  <c r="W817" i="63"/>
  <c r="O51" i="66" l="1"/>
  <c r="F51" i="66"/>
  <c r="M51" i="66"/>
  <c r="N51" i="66" s="1"/>
  <c r="E51" i="66"/>
  <c r="H52" i="66" s="1"/>
  <c r="G52" i="66"/>
  <c r="K24" i="66"/>
  <c r="J24" i="66"/>
  <c r="L24" i="66"/>
  <c r="F8" i="53"/>
  <c r="F7" i="53"/>
  <c r="L52" i="66" l="1"/>
  <c r="O24" i="66"/>
  <c r="I52" i="66"/>
  <c r="J52" i="66"/>
  <c r="D24" i="66"/>
  <c r="K52" i="66"/>
  <c r="E42" i="53"/>
  <c r="E14" i="53"/>
  <c r="H15" i="53" s="1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0" i="54"/>
  <c r="E41" i="54"/>
  <c r="E5" i="54"/>
  <c r="O52" i="66" l="1"/>
  <c r="D52" i="66"/>
  <c r="G25" i="66"/>
  <c r="F24" i="66"/>
  <c r="E24" i="66"/>
  <c r="H8" i="64"/>
  <c r="K8" i="64" s="1"/>
  <c r="H13" i="64"/>
  <c r="K13" i="64" s="1"/>
  <c r="H9" i="64"/>
  <c r="K9" i="64" s="1"/>
  <c r="H18" i="64"/>
  <c r="K18" i="64" s="1"/>
  <c r="H16" i="64"/>
  <c r="K16" i="64" s="1"/>
  <c r="H10" i="64"/>
  <c r="K10" i="64" s="1"/>
  <c r="H19" i="64"/>
  <c r="K19" i="64" s="1"/>
  <c r="H15" i="64"/>
  <c r="K15" i="64" s="1"/>
  <c r="H5" i="64"/>
  <c r="K5" i="64" s="1"/>
  <c r="H6" i="64"/>
  <c r="K6" i="64" s="1"/>
  <c r="H12" i="64"/>
  <c r="K12" i="64" s="1"/>
  <c r="H11" i="64"/>
  <c r="K11" i="64" s="1"/>
  <c r="H14" i="64"/>
  <c r="K14" i="64" s="1"/>
  <c r="H7" i="64"/>
  <c r="K7" i="64" s="1"/>
  <c r="H17" i="64"/>
  <c r="K17" i="64" s="1"/>
  <c r="F21" i="54"/>
  <c r="F25" i="54"/>
  <c r="F29" i="54"/>
  <c r="F33" i="54"/>
  <c r="F37" i="54"/>
  <c r="F41" i="54"/>
  <c r="F32" i="54"/>
  <c r="F40" i="54"/>
  <c r="F42" i="54"/>
  <c r="F22" i="54"/>
  <c r="F26" i="54"/>
  <c r="F30" i="54"/>
  <c r="F34" i="54"/>
  <c r="F38" i="54"/>
  <c r="F20" i="54"/>
  <c r="F23" i="54"/>
  <c r="F27" i="54"/>
  <c r="F31" i="54"/>
  <c r="F39" i="54"/>
  <c r="F28" i="54"/>
  <c r="F35" i="54"/>
  <c r="F24" i="54"/>
  <c r="F36" i="54"/>
  <c r="F6" i="54"/>
  <c r="F17" i="54"/>
  <c r="F9" i="54"/>
  <c r="F16" i="54"/>
  <c r="F8" i="54"/>
  <c r="F19" i="54"/>
  <c r="F15" i="54"/>
  <c r="F11" i="54"/>
  <c r="F7" i="54"/>
  <c r="F5" i="54"/>
  <c r="F13" i="54"/>
  <c r="F12" i="54"/>
  <c r="F18" i="54"/>
  <c r="F14" i="54"/>
  <c r="F10" i="54"/>
  <c r="H25" i="66" l="1"/>
  <c r="K25" i="66"/>
  <c r="I25" i="66"/>
  <c r="L25" i="66" s="1"/>
  <c r="J25" i="66"/>
  <c r="F52" i="66"/>
  <c r="M52" i="66"/>
  <c r="N52" i="66" s="1"/>
  <c r="E52" i="66"/>
  <c r="G53" i="66"/>
  <c r="L782" i="54"/>
  <c r="M782" i="54" s="1"/>
  <c r="L785" i="54"/>
  <c r="M785" i="54" s="1"/>
  <c r="L788" i="54"/>
  <c r="M788" i="54" s="1"/>
  <c r="L790" i="54"/>
  <c r="M790" i="54" s="1"/>
  <c r="L791" i="54"/>
  <c r="M791" i="54" s="1"/>
  <c r="L793" i="54"/>
  <c r="M793" i="54" s="1"/>
  <c r="L796" i="54"/>
  <c r="M796" i="54" s="1"/>
  <c r="L798" i="54"/>
  <c r="M798" i="54" s="1"/>
  <c r="L799" i="54"/>
  <c r="M799" i="54" s="1"/>
  <c r="L801" i="54"/>
  <c r="M801" i="54" s="1"/>
  <c r="L765" i="54"/>
  <c r="M765" i="54" s="1"/>
  <c r="L775" i="54"/>
  <c r="M775" i="54" s="1"/>
  <c r="L784" i="54"/>
  <c r="M784" i="54" s="1"/>
  <c r="L768" i="54"/>
  <c r="M768" i="54" s="1"/>
  <c r="L770" i="54"/>
  <c r="M770" i="54" s="1"/>
  <c r="L771" i="54"/>
  <c r="M771" i="54" s="1"/>
  <c r="L773" i="54"/>
  <c r="M773" i="54" s="1"/>
  <c r="L778" i="54"/>
  <c r="M778" i="54" s="1"/>
  <c r="L786" i="54"/>
  <c r="M786" i="54" s="1"/>
  <c r="L787" i="54"/>
  <c r="M787" i="54" s="1"/>
  <c r="L789" i="54"/>
  <c r="M789" i="54" s="1"/>
  <c r="L792" i="54"/>
  <c r="M792" i="54" s="1"/>
  <c r="L794" i="54"/>
  <c r="M794" i="54" s="1"/>
  <c r="L795" i="54"/>
  <c r="M795" i="54" s="1"/>
  <c r="L797" i="54"/>
  <c r="M797" i="54" s="1"/>
  <c r="L800" i="54"/>
  <c r="M800" i="54" s="1"/>
  <c r="L764" i="54"/>
  <c r="M764" i="54" s="1"/>
  <c r="L769" i="54"/>
  <c r="M769" i="54" s="1"/>
  <c r="L777" i="54"/>
  <c r="M777" i="54" s="1"/>
  <c r="L783" i="54"/>
  <c r="M783" i="54" s="1"/>
  <c r="L766" i="54"/>
  <c r="M766" i="54" s="1"/>
  <c r="L767" i="54"/>
  <c r="M767" i="54" s="1"/>
  <c r="L772" i="54"/>
  <c r="M772" i="54" s="1"/>
  <c r="L774" i="54"/>
  <c r="M774" i="54" s="1"/>
  <c r="L776" i="54"/>
  <c r="M776" i="54" s="1"/>
  <c r="L780" i="54"/>
  <c r="M780" i="54" s="1"/>
  <c r="L781" i="54"/>
  <c r="M781" i="54" s="1"/>
  <c r="L779" i="54"/>
  <c r="M779" i="54" s="1"/>
  <c r="L4" i="54"/>
  <c r="M4" i="54" s="1"/>
  <c r="L760" i="54"/>
  <c r="M760" i="54" s="1"/>
  <c r="L761" i="54"/>
  <c r="M761" i="54" s="1"/>
  <c r="L762" i="54"/>
  <c r="M762" i="54" s="1"/>
  <c r="L763" i="54"/>
  <c r="M763" i="54" s="1"/>
  <c r="L745" i="54"/>
  <c r="M745" i="54" s="1"/>
  <c r="L750" i="54"/>
  <c r="M750" i="54" s="1"/>
  <c r="L751" i="54"/>
  <c r="M751" i="54" s="1"/>
  <c r="L754" i="54"/>
  <c r="M754" i="54" s="1"/>
  <c r="L755" i="54"/>
  <c r="M755" i="54" s="1"/>
  <c r="L758" i="54"/>
  <c r="M758" i="54" s="1"/>
  <c r="L759" i="54"/>
  <c r="M759" i="54" s="1"/>
  <c r="L748" i="54"/>
  <c r="M748" i="54" s="1"/>
  <c r="L749" i="54"/>
  <c r="M749" i="54" s="1"/>
  <c r="L752" i="54"/>
  <c r="M752" i="54" s="1"/>
  <c r="L753" i="54"/>
  <c r="M753" i="54" s="1"/>
  <c r="L756" i="54"/>
  <c r="M756" i="54" s="1"/>
  <c r="L757" i="54"/>
  <c r="M757" i="54" s="1"/>
  <c r="L746" i="54"/>
  <c r="M746" i="54" s="1"/>
  <c r="L747" i="54"/>
  <c r="M747" i="54" s="1"/>
  <c r="L5" i="54"/>
  <c r="M5" i="54" s="1"/>
  <c r="L9" i="54"/>
  <c r="M9" i="54" s="1"/>
  <c r="L13" i="54"/>
  <c r="M13" i="54" s="1"/>
  <c r="L17" i="54"/>
  <c r="M17" i="54" s="1"/>
  <c r="L21" i="54"/>
  <c r="M21" i="54" s="1"/>
  <c r="L25" i="54"/>
  <c r="M25" i="54" s="1"/>
  <c r="L29" i="54"/>
  <c r="M29" i="54" s="1"/>
  <c r="L33" i="54"/>
  <c r="M33" i="54" s="1"/>
  <c r="L37" i="54"/>
  <c r="M37" i="54" s="1"/>
  <c r="L41" i="54"/>
  <c r="M41" i="54" s="1"/>
  <c r="L45" i="54"/>
  <c r="M45" i="54" s="1"/>
  <c r="L49" i="54"/>
  <c r="M49" i="54" s="1"/>
  <c r="L53" i="54"/>
  <c r="M53" i="54" s="1"/>
  <c r="L57" i="54"/>
  <c r="M57" i="54" s="1"/>
  <c r="L61" i="54"/>
  <c r="M61" i="54" s="1"/>
  <c r="L65" i="54"/>
  <c r="M65" i="54" s="1"/>
  <c r="L69" i="54"/>
  <c r="M69" i="54" s="1"/>
  <c r="L73" i="54"/>
  <c r="M73" i="54" s="1"/>
  <c r="L77" i="54"/>
  <c r="M77" i="54" s="1"/>
  <c r="L81" i="54"/>
  <c r="M81" i="54" s="1"/>
  <c r="L85" i="54"/>
  <c r="M85" i="54" s="1"/>
  <c r="L89" i="54"/>
  <c r="M89" i="54" s="1"/>
  <c r="L93" i="54"/>
  <c r="M93" i="54" s="1"/>
  <c r="L97" i="54"/>
  <c r="M97" i="54" s="1"/>
  <c r="L101" i="54"/>
  <c r="M101" i="54" s="1"/>
  <c r="L105" i="54"/>
  <c r="M105" i="54" s="1"/>
  <c r="L109" i="54"/>
  <c r="M109" i="54" s="1"/>
  <c r="L113" i="54"/>
  <c r="M113" i="54" s="1"/>
  <c r="L117" i="54"/>
  <c r="M117" i="54" s="1"/>
  <c r="L121" i="54"/>
  <c r="M121" i="54" s="1"/>
  <c r="L125" i="54"/>
  <c r="M125" i="54" s="1"/>
  <c r="L129" i="54"/>
  <c r="M129" i="54" s="1"/>
  <c r="L133" i="54"/>
  <c r="M133" i="54" s="1"/>
  <c r="L137" i="54"/>
  <c r="M137" i="54" s="1"/>
  <c r="L141" i="54"/>
  <c r="M141" i="54" s="1"/>
  <c r="L145" i="54"/>
  <c r="M145" i="54" s="1"/>
  <c r="L149" i="54"/>
  <c r="M149" i="54" s="1"/>
  <c r="L153" i="54"/>
  <c r="M153" i="54" s="1"/>
  <c r="L157" i="54"/>
  <c r="M157" i="54" s="1"/>
  <c r="L161" i="54"/>
  <c r="M161" i="54" s="1"/>
  <c r="L165" i="54"/>
  <c r="M165" i="54" s="1"/>
  <c r="L169" i="54"/>
  <c r="M169" i="54" s="1"/>
  <c r="L173" i="54"/>
  <c r="M173" i="54" s="1"/>
  <c r="L177" i="54"/>
  <c r="M177" i="54" s="1"/>
  <c r="L181" i="54"/>
  <c r="M181" i="54" s="1"/>
  <c r="L185" i="54"/>
  <c r="M185" i="54" s="1"/>
  <c r="L189" i="54"/>
  <c r="M189" i="54" s="1"/>
  <c r="L193" i="54"/>
  <c r="M193" i="54" s="1"/>
  <c r="L197" i="54"/>
  <c r="M197" i="54" s="1"/>
  <c r="L201" i="54"/>
  <c r="M201" i="54" s="1"/>
  <c r="L205" i="54"/>
  <c r="M205" i="54" s="1"/>
  <c r="L209" i="54"/>
  <c r="M209" i="54" s="1"/>
  <c r="L213" i="54"/>
  <c r="M213" i="54" s="1"/>
  <c r="L217" i="54"/>
  <c r="M217" i="54" s="1"/>
  <c r="L221" i="54"/>
  <c r="M221" i="54" s="1"/>
  <c r="L225" i="54"/>
  <c r="M225" i="54" s="1"/>
  <c r="L229" i="54"/>
  <c r="M229" i="54" s="1"/>
  <c r="L233" i="54"/>
  <c r="M233" i="54" s="1"/>
  <c r="L237" i="54"/>
  <c r="M237" i="54" s="1"/>
  <c r="L241" i="54"/>
  <c r="M241" i="54" s="1"/>
  <c r="L6" i="54"/>
  <c r="M6" i="54" s="1"/>
  <c r="L10" i="54"/>
  <c r="M10" i="54" s="1"/>
  <c r="L14" i="54"/>
  <c r="M14" i="54" s="1"/>
  <c r="L18" i="54"/>
  <c r="M18" i="54" s="1"/>
  <c r="L22" i="54"/>
  <c r="M22" i="54" s="1"/>
  <c r="L26" i="54"/>
  <c r="M26" i="54" s="1"/>
  <c r="L30" i="54"/>
  <c r="M30" i="54" s="1"/>
  <c r="L34" i="54"/>
  <c r="M34" i="54" s="1"/>
  <c r="L38" i="54"/>
  <c r="M38" i="54" s="1"/>
  <c r="L42" i="54"/>
  <c r="M42" i="54" s="1"/>
  <c r="L46" i="54"/>
  <c r="M46" i="54" s="1"/>
  <c r="L50" i="54"/>
  <c r="M50" i="54" s="1"/>
  <c r="L54" i="54"/>
  <c r="M54" i="54" s="1"/>
  <c r="L58" i="54"/>
  <c r="M58" i="54" s="1"/>
  <c r="L62" i="54"/>
  <c r="M62" i="54" s="1"/>
  <c r="L66" i="54"/>
  <c r="M66" i="54" s="1"/>
  <c r="L70" i="54"/>
  <c r="M70" i="54" s="1"/>
  <c r="L74" i="54"/>
  <c r="M74" i="54" s="1"/>
  <c r="L78" i="54"/>
  <c r="M78" i="54" s="1"/>
  <c r="L82" i="54"/>
  <c r="M82" i="54" s="1"/>
  <c r="L86" i="54"/>
  <c r="M86" i="54" s="1"/>
  <c r="L90" i="54"/>
  <c r="M90" i="54" s="1"/>
  <c r="L94" i="54"/>
  <c r="M94" i="54" s="1"/>
  <c r="L98" i="54"/>
  <c r="M98" i="54" s="1"/>
  <c r="L102" i="54"/>
  <c r="M102" i="54" s="1"/>
  <c r="L106" i="54"/>
  <c r="M106" i="54" s="1"/>
  <c r="L110" i="54"/>
  <c r="M110" i="54" s="1"/>
  <c r="L114" i="54"/>
  <c r="M114" i="54" s="1"/>
  <c r="L118" i="54"/>
  <c r="M118" i="54" s="1"/>
  <c r="L122" i="54"/>
  <c r="M122" i="54" s="1"/>
  <c r="L126" i="54"/>
  <c r="M126" i="54" s="1"/>
  <c r="L130" i="54"/>
  <c r="M130" i="54" s="1"/>
  <c r="L134" i="54"/>
  <c r="M134" i="54" s="1"/>
  <c r="L138" i="54"/>
  <c r="M138" i="54" s="1"/>
  <c r="L142" i="54"/>
  <c r="M142" i="54" s="1"/>
  <c r="L146" i="54"/>
  <c r="M146" i="54" s="1"/>
  <c r="L150" i="54"/>
  <c r="M150" i="54" s="1"/>
  <c r="L154" i="54"/>
  <c r="M154" i="54" s="1"/>
  <c r="L158" i="54"/>
  <c r="M158" i="54" s="1"/>
  <c r="L162" i="54"/>
  <c r="M162" i="54" s="1"/>
  <c r="L166" i="54"/>
  <c r="M166" i="54" s="1"/>
  <c r="L170" i="54"/>
  <c r="M170" i="54" s="1"/>
  <c r="L174" i="54"/>
  <c r="M174" i="54" s="1"/>
  <c r="L178" i="54"/>
  <c r="M178" i="54" s="1"/>
  <c r="L182" i="54"/>
  <c r="M182" i="54" s="1"/>
  <c r="L186" i="54"/>
  <c r="M186" i="54" s="1"/>
  <c r="L190" i="54"/>
  <c r="M190" i="54" s="1"/>
  <c r="L194" i="54"/>
  <c r="M194" i="54" s="1"/>
  <c r="L198" i="54"/>
  <c r="M198" i="54" s="1"/>
  <c r="L202" i="54"/>
  <c r="M202" i="54" s="1"/>
  <c r="L206" i="54"/>
  <c r="M206" i="54" s="1"/>
  <c r="L210" i="54"/>
  <c r="M210" i="54" s="1"/>
  <c r="L214" i="54"/>
  <c r="M214" i="54" s="1"/>
  <c r="L218" i="54"/>
  <c r="M218" i="54" s="1"/>
  <c r="L12" i="54"/>
  <c r="M12" i="54" s="1"/>
  <c r="L20" i="54"/>
  <c r="M20" i="54" s="1"/>
  <c r="L28" i="54"/>
  <c r="M28" i="54" s="1"/>
  <c r="L36" i="54"/>
  <c r="M36" i="54" s="1"/>
  <c r="L44" i="54"/>
  <c r="M44" i="54" s="1"/>
  <c r="L52" i="54"/>
  <c r="M52" i="54" s="1"/>
  <c r="L60" i="54"/>
  <c r="M60" i="54" s="1"/>
  <c r="L68" i="54"/>
  <c r="M68" i="54" s="1"/>
  <c r="L76" i="54"/>
  <c r="M76" i="54" s="1"/>
  <c r="L84" i="54"/>
  <c r="M84" i="54" s="1"/>
  <c r="L92" i="54"/>
  <c r="M92" i="54" s="1"/>
  <c r="L100" i="54"/>
  <c r="M100" i="54" s="1"/>
  <c r="L108" i="54"/>
  <c r="M108" i="54" s="1"/>
  <c r="L116" i="54"/>
  <c r="M116" i="54" s="1"/>
  <c r="L124" i="54"/>
  <c r="M124" i="54" s="1"/>
  <c r="L132" i="54"/>
  <c r="M132" i="54" s="1"/>
  <c r="L140" i="54"/>
  <c r="M140" i="54" s="1"/>
  <c r="L148" i="54"/>
  <c r="M148" i="54" s="1"/>
  <c r="L156" i="54"/>
  <c r="M156" i="54" s="1"/>
  <c r="L164" i="54"/>
  <c r="M164" i="54" s="1"/>
  <c r="L172" i="54"/>
  <c r="M172" i="54" s="1"/>
  <c r="L180" i="54"/>
  <c r="M180" i="54" s="1"/>
  <c r="L188" i="54"/>
  <c r="M188" i="54" s="1"/>
  <c r="L196" i="54"/>
  <c r="M196" i="54" s="1"/>
  <c r="L204" i="54"/>
  <c r="M204" i="54" s="1"/>
  <c r="L212" i="54"/>
  <c r="M212" i="54" s="1"/>
  <c r="L220" i="54"/>
  <c r="M220" i="54" s="1"/>
  <c r="L226" i="54"/>
  <c r="M226" i="54" s="1"/>
  <c r="L231" i="54"/>
  <c r="M231" i="54" s="1"/>
  <c r="L236" i="54"/>
  <c r="M236" i="54" s="1"/>
  <c r="L242" i="54"/>
  <c r="M242" i="54" s="1"/>
  <c r="L246" i="54"/>
  <c r="M246" i="54" s="1"/>
  <c r="L250" i="54"/>
  <c r="M250" i="54" s="1"/>
  <c r="L254" i="54"/>
  <c r="M254" i="54" s="1"/>
  <c r="L258" i="54"/>
  <c r="M258" i="54" s="1"/>
  <c r="L262" i="54"/>
  <c r="M262" i="54" s="1"/>
  <c r="L266" i="54"/>
  <c r="M266" i="54" s="1"/>
  <c r="L270" i="54"/>
  <c r="M270" i="54" s="1"/>
  <c r="L274" i="54"/>
  <c r="M274" i="54" s="1"/>
  <c r="L278" i="54"/>
  <c r="M278" i="54" s="1"/>
  <c r="L282" i="54"/>
  <c r="M282" i="54" s="1"/>
  <c r="L286" i="54"/>
  <c r="M286" i="54" s="1"/>
  <c r="L290" i="54"/>
  <c r="M290" i="54" s="1"/>
  <c r="L294" i="54"/>
  <c r="M294" i="54" s="1"/>
  <c r="L298" i="54"/>
  <c r="M298" i="54" s="1"/>
  <c r="L302" i="54"/>
  <c r="M302" i="54" s="1"/>
  <c r="L306" i="54"/>
  <c r="M306" i="54" s="1"/>
  <c r="L310" i="54"/>
  <c r="M310" i="54" s="1"/>
  <c r="L314" i="54"/>
  <c r="M314" i="54" s="1"/>
  <c r="L318" i="54"/>
  <c r="M318" i="54" s="1"/>
  <c r="L322" i="54"/>
  <c r="M322" i="54" s="1"/>
  <c r="L326" i="54"/>
  <c r="M326" i="54" s="1"/>
  <c r="L330" i="54"/>
  <c r="M330" i="54" s="1"/>
  <c r="L334" i="54"/>
  <c r="M334" i="54" s="1"/>
  <c r="L338" i="54"/>
  <c r="M338" i="54" s="1"/>
  <c r="L342" i="54"/>
  <c r="M342" i="54" s="1"/>
  <c r="L346" i="54"/>
  <c r="M346" i="54" s="1"/>
  <c r="L350" i="54"/>
  <c r="M350" i="54" s="1"/>
  <c r="L354" i="54"/>
  <c r="M354" i="54" s="1"/>
  <c r="L358" i="54"/>
  <c r="M358" i="54" s="1"/>
  <c r="L362" i="54"/>
  <c r="M362" i="54" s="1"/>
  <c r="L366" i="54"/>
  <c r="M366" i="54" s="1"/>
  <c r="L370" i="54"/>
  <c r="M370" i="54" s="1"/>
  <c r="L374" i="54"/>
  <c r="M374" i="54" s="1"/>
  <c r="L378" i="54"/>
  <c r="M378" i="54" s="1"/>
  <c r="L382" i="54"/>
  <c r="M382" i="54" s="1"/>
  <c r="L386" i="54"/>
  <c r="M386" i="54" s="1"/>
  <c r="L390" i="54"/>
  <c r="M390" i="54" s="1"/>
  <c r="L394" i="54"/>
  <c r="M394" i="54" s="1"/>
  <c r="L398" i="54"/>
  <c r="M398" i="54" s="1"/>
  <c r="L402" i="54"/>
  <c r="M402" i="54" s="1"/>
  <c r="L406" i="54"/>
  <c r="M406" i="54" s="1"/>
  <c r="L410" i="54"/>
  <c r="M410" i="54" s="1"/>
  <c r="L414" i="54"/>
  <c r="M414" i="54" s="1"/>
  <c r="L418" i="54"/>
  <c r="M418" i="54" s="1"/>
  <c r="L422" i="54"/>
  <c r="M422" i="54" s="1"/>
  <c r="L426" i="54"/>
  <c r="M426" i="54" s="1"/>
  <c r="L430" i="54"/>
  <c r="M430" i="54" s="1"/>
  <c r="L434" i="54"/>
  <c r="M434" i="54" s="1"/>
  <c r="L438" i="54"/>
  <c r="M438" i="54" s="1"/>
  <c r="L442" i="54"/>
  <c r="M442" i="54" s="1"/>
  <c r="L446" i="54"/>
  <c r="M446" i="54" s="1"/>
  <c r="L450" i="54"/>
  <c r="M450" i="54" s="1"/>
  <c r="L454" i="54"/>
  <c r="M454" i="54" s="1"/>
  <c r="L458" i="54"/>
  <c r="M458" i="54" s="1"/>
  <c r="L462" i="54"/>
  <c r="M462" i="54" s="1"/>
  <c r="L466" i="54"/>
  <c r="M466" i="54" s="1"/>
  <c r="L470" i="54"/>
  <c r="M470" i="54" s="1"/>
  <c r="L474" i="54"/>
  <c r="M474" i="54" s="1"/>
  <c r="L478" i="54"/>
  <c r="M478" i="54" s="1"/>
  <c r="L482" i="54"/>
  <c r="M482" i="54" s="1"/>
  <c r="L486" i="54"/>
  <c r="M486" i="54" s="1"/>
  <c r="L490" i="54"/>
  <c r="M490" i="54" s="1"/>
  <c r="L494" i="54"/>
  <c r="M494" i="54" s="1"/>
  <c r="L498" i="54"/>
  <c r="M498" i="54" s="1"/>
  <c r="L502" i="54"/>
  <c r="M502" i="54" s="1"/>
  <c r="L506" i="54"/>
  <c r="M506" i="54" s="1"/>
  <c r="L510" i="54"/>
  <c r="M510" i="54" s="1"/>
  <c r="L514" i="54"/>
  <c r="M514" i="54" s="1"/>
  <c r="L518" i="54"/>
  <c r="M518" i="54" s="1"/>
  <c r="L522" i="54"/>
  <c r="M522" i="54" s="1"/>
  <c r="L526" i="54"/>
  <c r="M526" i="54" s="1"/>
  <c r="L530" i="54"/>
  <c r="M530" i="54" s="1"/>
  <c r="L534" i="54"/>
  <c r="M534" i="54" s="1"/>
  <c r="L538" i="54"/>
  <c r="M538" i="54" s="1"/>
  <c r="L542" i="54"/>
  <c r="M542" i="54" s="1"/>
  <c r="L546" i="54"/>
  <c r="M546" i="54" s="1"/>
  <c r="L550" i="54"/>
  <c r="M550" i="54" s="1"/>
  <c r="L554" i="54"/>
  <c r="M554" i="54" s="1"/>
  <c r="L558" i="54"/>
  <c r="M558" i="54" s="1"/>
  <c r="L562" i="54"/>
  <c r="M562" i="54" s="1"/>
  <c r="L566" i="54"/>
  <c r="M566" i="54" s="1"/>
  <c r="L570" i="54"/>
  <c r="M570" i="54" s="1"/>
  <c r="L574" i="54"/>
  <c r="M574" i="54" s="1"/>
  <c r="L578" i="54"/>
  <c r="M578" i="54" s="1"/>
  <c r="L582" i="54"/>
  <c r="M582" i="54" s="1"/>
  <c r="L586" i="54"/>
  <c r="M586" i="54" s="1"/>
  <c r="L590" i="54"/>
  <c r="M590" i="54" s="1"/>
  <c r="L594" i="54"/>
  <c r="M594" i="54" s="1"/>
  <c r="L598" i="54"/>
  <c r="M598" i="54" s="1"/>
  <c r="L602" i="54"/>
  <c r="M602" i="54" s="1"/>
  <c r="L606" i="54"/>
  <c r="M606" i="54" s="1"/>
  <c r="L610" i="54"/>
  <c r="M610" i="54" s="1"/>
  <c r="L614" i="54"/>
  <c r="M614" i="54" s="1"/>
  <c r="L618" i="54"/>
  <c r="M618" i="54" s="1"/>
  <c r="L622" i="54"/>
  <c r="M622" i="54" s="1"/>
  <c r="L626" i="54"/>
  <c r="M626" i="54" s="1"/>
  <c r="L630" i="54"/>
  <c r="M630" i="54" s="1"/>
  <c r="L634" i="54"/>
  <c r="M634" i="54" s="1"/>
  <c r="L638" i="54"/>
  <c r="M638" i="54" s="1"/>
  <c r="L642" i="54"/>
  <c r="M642" i="54" s="1"/>
  <c r="L646" i="54"/>
  <c r="M646" i="54" s="1"/>
  <c r="L650" i="54"/>
  <c r="M650" i="54" s="1"/>
  <c r="L654" i="54"/>
  <c r="M654" i="54" s="1"/>
  <c r="L658" i="54"/>
  <c r="M658" i="54" s="1"/>
  <c r="L662" i="54"/>
  <c r="M662" i="54" s="1"/>
  <c r="L666" i="54"/>
  <c r="M666" i="54" s="1"/>
  <c r="L670" i="54"/>
  <c r="M670" i="54" s="1"/>
  <c r="L674" i="54"/>
  <c r="M674" i="54" s="1"/>
  <c r="L678" i="54"/>
  <c r="M678" i="54" s="1"/>
  <c r="L682" i="54"/>
  <c r="M682" i="54" s="1"/>
  <c r="L686" i="54"/>
  <c r="M686" i="54" s="1"/>
  <c r="L690" i="54"/>
  <c r="M690" i="54" s="1"/>
  <c r="L694" i="54"/>
  <c r="M694" i="54" s="1"/>
  <c r="L698" i="54"/>
  <c r="M698" i="54" s="1"/>
  <c r="L702" i="54"/>
  <c r="M702" i="54" s="1"/>
  <c r="L706" i="54"/>
  <c r="M706" i="54" s="1"/>
  <c r="L710" i="54"/>
  <c r="M710" i="54" s="1"/>
  <c r="L714" i="54"/>
  <c r="M714" i="54" s="1"/>
  <c r="L718" i="54"/>
  <c r="M718" i="54" s="1"/>
  <c r="L722" i="54"/>
  <c r="M722" i="54" s="1"/>
  <c r="L726" i="54"/>
  <c r="M726" i="54" s="1"/>
  <c r="L730" i="54"/>
  <c r="M730" i="54" s="1"/>
  <c r="L734" i="54"/>
  <c r="M734" i="54" s="1"/>
  <c r="L738" i="54"/>
  <c r="M738" i="54" s="1"/>
  <c r="L742" i="54"/>
  <c r="M742" i="54" s="1"/>
  <c r="L7" i="54"/>
  <c r="M7" i="54" s="1"/>
  <c r="L15" i="54"/>
  <c r="M15" i="54" s="1"/>
  <c r="L23" i="54"/>
  <c r="M23" i="54" s="1"/>
  <c r="L31" i="54"/>
  <c r="M31" i="54" s="1"/>
  <c r="L39" i="54"/>
  <c r="M39" i="54" s="1"/>
  <c r="L47" i="54"/>
  <c r="M47" i="54" s="1"/>
  <c r="L55" i="54"/>
  <c r="M55" i="54" s="1"/>
  <c r="L63" i="54"/>
  <c r="M63" i="54" s="1"/>
  <c r="L71" i="54"/>
  <c r="M71" i="54" s="1"/>
  <c r="L79" i="54"/>
  <c r="M79" i="54" s="1"/>
  <c r="L87" i="54"/>
  <c r="M87" i="54" s="1"/>
  <c r="L95" i="54"/>
  <c r="M95" i="54" s="1"/>
  <c r="L103" i="54"/>
  <c r="M103" i="54" s="1"/>
  <c r="L111" i="54"/>
  <c r="M111" i="54" s="1"/>
  <c r="L119" i="54"/>
  <c r="M119" i="54" s="1"/>
  <c r="L127" i="54"/>
  <c r="M127" i="54" s="1"/>
  <c r="L135" i="54"/>
  <c r="M135" i="54" s="1"/>
  <c r="L143" i="54"/>
  <c r="M143" i="54" s="1"/>
  <c r="L151" i="54"/>
  <c r="M151" i="54" s="1"/>
  <c r="L159" i="54"/>
  <c r="M159" i="54" s="1"/>
  <c r="L167" i="54"/>
  <c r="M167" i="54" s="1"/>
  <c r="L175" i="54"/>
  <c r="M175" i="54" s="1"/>
  <c r="L183" i="54"/>
  <c r="M183" i="54" s="1"/>
  <c r="L191" i="54"/>
  <c r="M191" i="54" s="1"/>
  <c r="L199" i="54"/>
  <c r="M199" i="54" s="1"/>
  <c r="L207" i="54"/>
  <c r="M207" i="54" s="1"/>
  <c r="L215" i="54"/>
  <c r="M215" i="54" s="1"/>
  <c r="L222" i="54"/>
  <c r="M222" i="54" s="1"/>
  <c r="L227" i="54"/>
  <c r="M227" i="54" s="1"/>
  <c r="L232" i="54"/>
  <c r="M232" i="54" s="1"/>
  <c r="L238" i="54"/>
  <c r="M238" i="54" s="1"/>
  <c r="L243" i="54"/>
  <c r="M243" i="54" s="1"/>
  <c r="L247" i="54"/>
  <c r="M247" i="54" s="1"/>
  <c r="L251" i="54"/>
  <c r="M251" i="54" s="1"/>
  <c r="L255" i="54"/>
  <c r="M255" i="54" s="1"/>
  <c r="L259" i="54"/>
  <c r="M259" i="54" s="1"/>
  <c r="L263" i="54"/>
  <c r="M263" i="54" s="1"/>
  <c r="L267" i="54"/>
  <c r="M267" i="54" s="1"/>
  <c r="L271" i="54"/>
  <c r="M271" i="54" s="1"/>
  <c r="L275" i="54"/>
  <c r="M275" i="54" s="1"/>
  <c r="L279" i="54"/>
  <c r="M279" i="54" s="1"/>
  <c r="L283" i="54"/>
  <c r="M283" i="54" s="1"/>
  <c r="L287" i="54"/>
  <c r="M287" i="54" s="1"/>
  <c r="L291" i="54"/>
  <c r="M291" i="54" s="1"/>
  <c r="L295" i="54"/>
  <c r="M295" i="54" s="1"/>
  <c r="L299" i="54"/>
  <c r="M299" i="54" s="1"/>
  <c r="L303" i="54"/>
  <c r="M303" i="54" s="1"/>
  <c r="L307" i="54"/>
  <c r="M307" i="54" s="1"/>
  <c r="L311" i="54"/>
  <c r="M311" i="54" s="1"/>
  <c r="L315" i="54"/>
  <c r="M315" i="54" s="1"/>
  <c r="L319" i="54"/>
  <c r="M319" i="54" s="1"/>
  <c r="L323" i="54"/>
  <c r="M323" i="54" s="1"/>
  <c r="L327" i="54"/>
  <c r="M327" i="54" s="1"/>
  <c r="L331" i="54"/>
  <c r="M331" i="54" s="1"/>
  <c r="L335" i="54"/>
  <c r="M335" i="54" s="1"/>
  <c r="L339" i="54"/>
  <c r="M339" i="54" s="1"/>
  <c r="L343" i="54"/>
  <c r="M343" i="54" s="1"/>
  <c r="L347" i="54"/>
  <c r="M347" i="54" s="1"/>
  <c r="L351" i="54"/>
  <c r="M351" i="54" s="1"/>
  <c r="L355" i="54"/>
  <c r="M355" i="54" s="1"/>
  <c r="L359" i="54"/>
  <c r="M359" i="54" s="1"/>
  <c r="L363" i="54"/>
  <c r="M363" i="54" s="1"/>
  <c r="L367" i="54"/>
  <c r="M367" i="54" s="1"/>
  <c r="L371" i="54"/>
  <c r="M371" i="54" s="1"/>
  <c r="L375" i="54"/>
  <c r="M375" i="54" s="1"/>
  <c r="L379" i="54"/>
  <c r="M379" i="54" s="1"/>
  <c r="L383" i="54"/>
  <c r="M383" i="54" s="1"/>
  <c r="L387" i="54"/>
  <c r="M387" i="54" s="1"/>
  <c r="L391" i="54"/>
  <c r="M391" i="54" s="1"/>
  <c r="L395" i="54"/>
  <c r="M395" i="54" s="1"/>
  <c r="L399" i="54"/>
  <c r="M399" i="54" s="1"/>
  <c r="L403" i="54"/>
  <c r="M403" i="54" s="1"/>
  <c r="L407" i="54"/>
  <c r="M407" i="54" s="1"/>
  <c r="L411" i="54"/>
  <c r="M411" i="54" s="1"/>
  <c r="L415" i="54"/>
  <c r="M415" i="54" s="1"/>
  <c r="L419" i="54"/>
  <c r="M419" i="54" s="1"/>
  <c r="L423" i="54"/>
  <c r="M423" i="54" s="1"/>
  <c r="L427" i="54"/>
  <c r="M427" i="54" s="1"/>
  <c r="L431" i="54"/>
  <c r="M431" i="54" s="1"/>
  <c r="L435" i="54"/>
  <c r="M435" i="54" s="1"/>
  <c r="L439" i="54"/>
  <c r="M439" i="54" s="1"/>
  <c r="L443" i="54"/>
  <c r="M443" i="54" s="1"/>
  <c r="L447" i="54"/>
  <c r="M447" i="54" s="1"/>
  <c r="L451" i="54"/>
  <c r="M451" i="54" s="1"/>
  <c r="L455" i="54"/>
  <c r="M455" i="54" s="1"/>
  <c r="L459" i="54"/>
  <c r="M459" i="54" s="1"/>
  <c r="L463" i="54"/>
  <c r="M463" i="54" s="1"/>
  <c r="L467" i="54"/>
  <c r="M467" i="54" s="1"/>
  <c r="L471" i="54"/>
  <c r="M471" i="54" s="1"/>
  <c r="L475" i="54"/>
  <c r="M475" i="54" s="1"/>
  <c r="L479" i="54"/>
  <c r="M479" i="54" s="1"/>
  <c r="L483" i="54"/>
  <c r="M483" i="54" s="1"/>
  <c r="L487" i="54"/>
  <c r="M487" i="54" s="1"/>
  <c r="L491" i="54"/>
  <c r="M491" i="54" s="1"/>
  <c r="L495" i="54"/>
  <c r="M495" i="54" s="1"/>
  <c r="L499" i="54"/>
  <c r="M499" i="54" s="1"/>
  <c r="L503" i="54"/>
  <c r="M503" i="54" s="1"/>
  <c r="L507" i="54"/>
  <c r="M507" i="54" s="1"/>
  <c r="L511" i="54"/>
  <c r="M511" i="54" s="1"/>
  <c r="L515" i="54"/>
  <c r="M515" i="54" s="1"/>
  <c r="L519" i="54"/>
  <c r="M519" i="54" s="1"/>
  <c r="L523" i="54"/>
  <c r="M523" i="54" s="1"/>
  <c r="L527" i="54"/>
  <c r="M527" i="54" s="1"/>
  <c r="L531" i="54"/>
  <c r="M531" i="54" s="1"/>
  <c r="L535" i="54"/>
  <c r="M535" i="54" s="1"/>
  <c r="L539" i="54"/>
  <c r="M539" i="54" s="1"/>
  <c r="L543" i="54"/>
  <c r="M543" i="54" s="1"/>
  <c r="L547" i="54"/>
  <c r="M547" i="54" s="1"/>
  <c r="L551" i="54"/>
  <c r="M551" i="54" s="1"/>
  <c r="L555" i="54"/>
  <c r="M555" i="54" s="1"/>
  <c r="L559" i="54"/>
  <c r="M559" i="54" s="1"/>
  <c r="L563" i="54"/>
  <c r="M563" i="54" s="1"/>
  <c r="L567" i="54"/>
  <c r="M567" i="54" s="1"/>
  <c r="L571" i="54"/>
  <c r="M571" i="54" s="1"/>
  <c r="L575" i="54"/>
  <c r="M575" i="54" s="1"/>
  <c r="L579" i="54"/>
  <c r="M579" i="54" s="1"/>
  <c r="L583" i="54"/>
  <c r="M583" i="54" s="1"/>
  <c r="L587" i="54"/>
  <c r="M587" i="54" s="1"/>
  <c r="L591" i="54"/>
  <c r="M591" i="54" s="1"/>
  <c r="L595" i="54"/>
  <c r="M595" i="54" s="1"/>
  <c r="L599" i="54"/>
  <c r="M599" i="54" s="1"/>
  <c r="L603" i="54"/>
  <c r="M603" i="54" s="1"/>
  <c r="L607" i="54"/>
  <c r="M607" i="54" s="1"/>
  <c r="L611" i="54"/>
  <c r="M611" i="54" s="1"/>
  <c r="L615" i="54"/>
  <c r="M615" i="54" s="1"/>
  <c r="L619" i="54"/>
  <c r="M619" i="54" s="1"/>
  <c r="L623" i="54"/>
  <c r="M623" i="54" s="1"/>
  <c r="L627" i="54"/>
  <c r="M627" i="54" s="1"/>
  <c r="L631" i="54"/>
  <c r="M631" i="54" s="1"/>
  <c r="L635" i="54"/>
  <c r="M635" i="54" s="1"/>
  <c r="L639" i="54"/>
  <c r="M639" i="54" s="1"/>
  <c r="L643" i="54"/>
  <c r="M643" i="54" s="1"/>
  <c r="L647" i="54"/>
  <c r="M647" i="54" s="1"/>
  <c r="L651" i="54"/>
  <c r="M651" i="54" s="1"/>
  <c r="L655" i="54"/>
  <c r="M655" i="54" s="1"/>
  <c r="L659" i="54"/>
  <c r="M659" i="54" s="1"/>
  <c r="L663" i="54"/>
  <c r="M663" i="54" s="1"/>
  <c r="L667" i="54"/>
  <c r="M667" i="54" s="1"/>
  <c r="L671" i="54"/>
  <c r="M671" i="54" s="1"/>
  <c r="L675" i="54"/>
  <c r="M675" i="54" s="1"/>
  <c r="L679" i="54"/>
  <c r="M679" i="54" s="1"/>
  <c r="L683" i="54"/>
  <c r="M683" i="54" s="1"/>
  <c r="L687" i="54"/>
  <c r="M687" i="54" s="1"/>
  <c r="L691" i="54"/>
  <c r="M691" i="54" s="1"/>
  <c r="L695" i="54"/>
  <c r="M695" i="54" s="1"/>
  <c r="L699" i="54"/>
  <c r="M699" i="54" s="1"/>
  <c r="L703" i="54"/>
  <c r="M703" i="54" s="1"/>
  <c r="L707" i="54"/>
  <c r="M707" i="54" s="1"/>
  <c r="L711" i="54"/>
  <c r="M711" i="54" s="1"/>
  <c r="L715" i="54"/>
  <c r="M715" i="54" s="1"/>
  <c r="L719" i="54"/>
  <c r="M719" i="54" s="1"/>
  <c r="L723" i="54"/>
  <c r="M723" i="54" s="1"/>
  <c r="L727" i="54"/>
  <c r="M727" i="54" s="1"/>
  <c r="L731" i="54"/>
  <c r="M731" i="54" s="1"/>
  <c r="L735" i="54"/>
  <c r="M735" i="54" s="1"/>
  <c r="L739" i="54"/>
  <c r="M739" i="54" s="1"/>
  <c r="L743" i="54"/>
  <c r="M743" i="54" s="1"/>
  <c r="L19" i="54"/>
  <c r="M19" i="54" s="1"/>
  <c r="L35" i="54"/>
  <c r="M35" i="54" s="1"/>
  <c r="L51" i="54"/>
  <c r="M51" i="54" s="1"/>
  <c r="L67" i="54"/>
  <c r="M67" i="54" s="1"/>
  <c r="L83" i="54"/>
  <c r="M83" i="54" s="1"/>
  <c r="L99" i="54"/>
  <c r="M99" i="54" s="1"/>
  <c r="L115" i="54"/>
  <c r="M115" i="54" s="1"/>
  <c r="L131" i="54"/>
  <c r="M131" i="54" s="1"/>
  <c r="L147" i="54"/>
  <c r="M147" i="54" s="1"/>
  <c r="L163" i="54"/>
  <c r="M163" i="54" s="1"/>
  <c r="L179" i="54"/>
  <c r="M179" i="54" s="1"/>
  <c r="L195" i="54"/>
  <c r="M195" i="54" s="1"/>
  <c r="L211" i="54"/>
  <c r="M211" i="54" s="1"/>
  <c r="L224" i="54"/>
  <c r="M224" i="54" s="1"/>
  <c r="L235" i="54"/>
  <c r="M235" i="54" s="1"/>
  <c r="L245" i="54"/>
  <c r="M245" i="54" s="1"/>
  <c r="L253" i="54"/>
  <c r="M253" i="54" s="1"/>
  <c r="L261" i="54"/>
  <c r="M261" i="54" s="1"/>
  <c r="L269" i="54"/>
  <c r="M269" i="54" s="1"/>
  <c r="L277" i="54"/>
  <c r="M277" i="54" s="1"/>
  <c r="L285" i="54"/>
  <c r="M285" i="54" s="1"/>
  <c r="L293" i="54"/>
  <c r="M293" i="54" s="1"/>
  <c r="L301" i="54"/>
  <c r="M301" i="54" s="1"/>
  <c r="L309" i="54"/>
  <c r="M309" i="54" s="1"/>
  <c r="L317" i="54"/>
  <c r="M317" i="54" s="1"/>
  <c r="L325" i="54"/>
  <c r="M325" i="54" s="1"/>
  <c r="L333" i="54"/>
  <c r="M333" i="54" s="1"/>
  <c r="L341" i="54"/>
  <c r="M341" i="54" s="1"/>
  <c r="L349" i="54"/>
  <c r="M349" i="54" s="1"/>
  <c r="L357" i="54"/>
  <c r="M357" i="54" s="1"/>
  <c r="L365" i="54"/>
  <c r="M365" i="54" s="1"/>
  <c r="L373" i="54"/>
  <c r="M373" i="54" s="1"/>
  <c r="L381" i="54"/>
  <c r="M381" i="54" s="1"/>
  <c r="L389" i="54"/>
  <c r="M389" i="54" s="1"/>
  <c r="L397" i="54"/>
  <c r="M397" i="54" s="1"/>
  <c r="L405" i="54"/>
  <c r="M405" i="54" s="1"/>
  <c r="L413" i="54"/>
  <c r="M413" i="54" s="1"/>
  <c r="L421" i="54"/>
  <c r="M421" i="54" s="1"/>
  <c r="L429" i="54"/>
  <c r="M429" i="54" s="1"/>
  <c r="L437" i="54"/>
  <c r="M437" i="54" s="1"/>
  <c r="L445" i="54"/>
  <c r="M445" i="54" s="1"/>
  <c r="L453" i="54"/>
  <c r="M453" i="54" s="1"/>
  <c r="L461" i="54"/>
  <c r="M461" i="54" s="1"/>
  <c r="L469" i="54"/>
  <c r="M469" i="54" s="1"/>
  <c r="L477" i="54"/>
  <c r="M477" i="54" s="1"/>
  <c r="L485" i="54"/>
  <c r="M485" i="54" s="1"/>
  <c r="L493" i="54"/>
  <c r="M493" i="54" s="1"/>
  <c r="L501" i="54"/>
  <c r="M501" i="54" s="1"/>
  <c r="L509" i="54"/>
  <c r="M509" i="54" s="1"/>
  <c r="L517" i="54"/>
  <c r="M517" i="54" s="1"/>
  <c r="L525" i="54"/>
  <c r="M525" i="54" s="1"/>
  <c r="L533" i="54"/>
  <c r="M533" i="54" s="1"/>
  <c r="L541" i="54"/>
  <c r="M541" i="54" s="1"/>
  <c r="L549" i="54"/>
  <c r="M549" i="54" s="1"/>
  <c r="L557" i="54"/>
  <c r="M557" i="54" s="1"/>
  <c r="L565" i="54"/>
  <c r="M565" i="54" s="1"/>
  <c r="L573" i="54"/>
  <c r="M573" i="54" s="1"/>
  <c r="L581" i="54"/>
  <c r="M581" i="54" s="1"/>
  <c r="L589" i="54"/>
  <c r="M589" i="54" s="1"/>
  <c r="L597" i="54"/>
  <c r="M597" i="54" s="1"/>
  <c r="L605" i="54"/>
  <c r="M605" i="54" s="1"/>
  <c r="L613" i="54"/>
  <c r="M613" i="54" s="1"/>
  <c r="L621" i="54"/>
  <c r="M621" i="54" s="1"/>
  <c r="L629" i="54"/>
  <c r="M629" i="54" s="1"/>
  <c r="L637" i="54"/>
  <c r="M637" i="54" s="1"/>
  <c r="L645" i="54"/>
  <c r="M645" i="54" s="1"/>
  <c r="L653" i="54"/>
  <c r="M653" i="54" s="1"/>
  <c r="L661" i="54"/>
  <c r="M661" i="54" s="1"/>
  <c r="L669" i="54"/>
  <c r="M669" i="54" s="1"/>
  <c r="L677" i="54"/>
  <c r="M677" i="54" s="1"/>
  <c r="L685" i="54"/>
  <c r="M685" i="54" s="1"/>
  <c r="L693" i="54"/>
  <c r="M693" i="54" s="1"/>
  <c r="L701" i="54"/>
  <c r="M701" i="54" s="1"/>
  <c r="L709" i="54"/>
  <c r="M709" i="54" s="1"/>
  <c r="L717" i="54"/>
  <c r="M717" i="54" s="1"/>
  <c r="L725" i="54"/>
  <c r="M725" i="54" s="1"/>
  <c r="L733" i="54"/>
  <c r="M733" i="54" s="1"/>
  <c r="L741" i="54"/>
  <c r="M741" i="54" s="1"/>
  <c r="L155" i="54"/>
  <c r="M155" i="54" s="1"/>
  <c r="L203" i="54"/>
  <c r="M203" i="54" s="1"/>
  <c r="L230" i="54"/>
  <c r="M230" i="54" s="1"/>
  <c r="L249" i="54"/>
  <c r="M249" i="54" s="1"/>
  <c r="L265" i="54"/>
  <c r="M265" i="54" s="1"/>
  <c r="L281" i="54"/>
  <c r="M281" i="54" s="1"/>
  <c r="L297" i="54"/>
  <c r="M297" i="54" s="1"/>
  <c r="L313" i="54"/>
  <c r="M313" i="54" s="1"/>
  <c r="L329" i="54"/>
  <c r="M329" i="54" s="1"/>
  <c r="L345" i="54"/>
  <c r="M345" i="54" s="1"/>
  <c r="L361" i="54"/>
  <c r="M361" i="54" s="1"/>
  <c r="L377" i="54"/>
  <c r="M377" i="54" s="1"/>
  <c r="L393" i="54"/>
  <c r="M393" i="54" s="1"/>
  <c r="L409" i="54"/>
  <c r="M409" i="54" s="1"/>
  <c r="L425" i="54"/>
  <c r="M425" i="54" s="1"/>
  <c r="L441" i="54"/>
  <c r="M441" i="54" s="1"/>
  <c r="L457" i="54"/>
  <c r="M457" i="54" s="1"/>
  <c r="L473" i="54"/>
  <c r="M473" i="54" s="1"/>
  <c r="L489" i="54"/>
  <c r="M489" i="54" s="1"/>
  <c r="L505" i="54"/>
  <c r="M505" i="54" s="1"/>
  <c r="L521" i="54"/>
  <c r="M521" i="54" s="1"/>
  <c r="L537" i="54"/>
  <c r="M537" i="54" s="1"/>
  <c r="L553" i="54"/>
  <c r="M553" i="54" s="1"/>
  <c r="L569" i="54"/>
  <c r="M569" i="54" s="1"/>
  <c r="L585" i="54"/>
  <c r="M585" i="54" s="1"/>
  <c r="L601" i="54"/>
  <c r="M601" i="54" s="1"/>
  <c r="L617" i="54"/>
  <c r="M617" i="54" s="1"/>
  <c r="L633" i="54"/>
  <c r="M633" i="54" s="1"/>
  <c r="L649" i="54"/>
  <c r="M649" i="54" s="1"/>
  <c r="L665" i="54"/>
  <c r="M665" i="54" s="1"/>
  <c r="L681" i="54"/>
  <c r="M681" i="54" s="1"/>
  <c r="L697" i="54"/>
  <c r="M697" i="54" s="1"/>
  <c r="L713" i="54"/>
  <c r="M713" i="54" s="1"/>
  <c r="L729" i="54"/>
  <c r="M729" i="54" s="1"/>
  <c r="L16" i="54"/>
  <c r="M16" i="54" s="1"/>
  <c r="L48" i="54"/>
  <c r="M48" i="54" s="1"/>
  <c r="L64" i="54"/>
  <c r="M64" i="54" s="1"/>
  <c r="L96" i="54"/>
  <c r="M96" i="54" s="1"/>
  <c r="L128" i="54"/>
  <c r="M128" i="54" s="1"/>
  <c r="L160" i="54"/>
  <c r="M160" i="54" s="1"/>
  <c r="L192" i="54"/>
  <c r="M192" i="54" s="1"/>
  <c r="L223" i="54"/>
  <c r="M223" i="54" s="1"/>
  <c r="L244" i="54"/>
  <c r="M244" i="54" s="1"/>
  <c r="L260" i="54"/>
  <c r="M260" i="54" s="1"/>
  <c r="L276" i="54"/>
  <c r="M276" i="54" s="1"/>
  <c r="L292" i="54"/>
  <c r="M292" i="54" s="1"/>
  <c r="L308" i="54"/>
  <c r="M308" i="54" s="1"/>
  <c r="L324" i="54"/>
  <c r="M324" i="54" s="1"/>
  <c r="L348" i="54"/>
  <c r="M348" i="54" s="1"/>
  <c r="L364" i="54"/>
  <c r="M364" i="54" s="1"/>
  <c r="L380" i="54"/>
  <c r="M380" i="54" s="1"/>
  <c r="L396" i="54"/>
  <c r="M396" i="54" s="1"/>
  <c r="L412" i="54"/>
  <c r="M412" i="54" s="1"/>
  <c r="L428" i="54"/>
  <c r="M428" i="54" s="1"/>
  <c r="L444" i="54"/>
  <c r="M444" i="54" s="1"/>
  <c r="L460" i="54"/>
  <c r="M460" i="54" s="1"/>
  <c r="L476" i="54"/>
  <c r="M476" i="54" s="1"/>
  <c r="L492" i="54"/>
  <c r="M492" i="54" s="1"/>
  <c r="L508" i="54"/>
  <c r="M508" i="54" s="1"/>
  <c r="L524" i="54"/>
  <c r="M524" i="54" s="1"/>
  <c r="L540" i="54"/>
  <c r="M540" i="54" s="1"/>
  <c r="L556" i="54"/>
  <c r="M556" i="54" s="1"/>
  <c r="L572" i="54"/>
  <c r="M572" i="54" s="1"/>
  <c r="L588" i="54"/>
  <c r="M588" i="54" s="1"/>
  <c r="L604" i="54"/>
  <c r="M604" i="54" s="1"/>
  <c r="L620" i="54"/>
  <c r="M620" i="54" s="1"/>
  <c r="L636" i="54"/>
  <c r="M636" i="54" s="1"/>
  <c r="L652" i="54"/>
  <c r="M652" i="54" s="1"/>
  <c r="L668" i="54"/>
  <c r="M668" i="54" s="1"/>
  <c r="L684" i="54"/>
  <c r="M684" i="54" s="1"/>
  <c r="L700" i="54"/>
  <c r="M700" i="54" s="1"/>
  <c r="L716" i="54"/>
  <c r="M716" i="54" s="1"/>
  <c r="L732" i="54"/>
  <c r="M732" i="54" s="1"/>
  <c r="L8" i="54"/>
  <c r="M8" i="54" s="1"/>
  <c r="L24" i="54"/>
  <c r="M24" i="54" s="1"/>
  <c r="L40" i="54"/>
  <c r="M40" i="54" s="1"/>
  <c r="L56" i="54"/>
  <c r="M56" i="54" s="1"/>
  <c r="L72" i="54"/>
  <c r="M72" i="54" s="1"/>
  <c r="L88" i="54"/>
  <c r="M88" i="54" s="1"/>
  <c r="L104" i="54"/>
  <c r="M104" i="54" s="1"/>
  <c r="L120" i="54"/>
  <c r="M120" i="54" s="1"/>
  <c r="L136" i="54"/>
  <c r="M136" i="54" s="1"/>
  <c r="L152" i="54"/>
  <c r="M152" i="54" s="1"/>
  <c r="L168" i="54"/>
  <c r="M168" i="54" s="1"/>
  <c r="L184" i="54"/>
  <c r="M184" i="54" s="1"/>
  <c r="L200" i="54"/>
  <c r="M200" i="54" s="1"/>
  <c r="L216" i="54"/>
  <c r="M216" i="54" s="1"/>
  <c r="L228" i="54"/>
  <c r="M228" i="54" s="1"/>
  <c r="L239" i="54"/>
  <c r="M239" i="54" s="1"/>
  <c r="L248" i="54"/>
  <c r="M248" i="54" s="1"/>
  <c r="L256" i="54"/>
  <c r="M256" i="54" s="1"/>
  <c r="L264" i="54"/>
  <c r="M264" i="54" s="1"/>
  <c r="L272" i="54"/>
  <c r="M272" i="54" s="1"/>
  <c r="L280" i="54"/>
  <c r="M280" i="54" s="1"/>
  <c r="L288" i="54"/>
  <c r="M288" i="54" s="1"/>
  <c r="L296" i="54"/>
  <c r="M296" i="54" s="1"/>
  <c r="L304" i="54"/>
  <c r="M304" i="54" s="1"/>
  <c r="L312" i="54"/>
  <c r="M312" i="54" s="1"/>
  <c r="L320" i="54"/>
  <c r="M320" i="54" s="1"/>
  <c r="L328" i="54"/>
  <c r="M328" i="54" s="1"/>
  <c r="L336" i="54"/>
  <c r="M336" i="54" s="1"/>
  <c r="L344" i="54"/>
  <c r="M344" i="54" s="1"/>
  <c r="L352" i="54"/>
  <c r="M352" i="54" s="1"/>
  <c r="L360" i="54"/>
  <c r="M360" i="54" s="1"/>
  <c r="L368" i="54"/>
  <c r="M368" i="54" s="1"/>
  <c r="L376" i="54"/>
  <c r="M376" i="54" s="1"/>
  <c r="L384" i="54"/>
  <c r="M384" i="54" s="1"/>
  <c r="L392" i="54"/>
  <c r="M392" i="54" s="1"/>
  <c r="L400" i="54"/>
  <c r="M400" i="54" s="1"/>
  <c r="L408" i="54"/>
  <c r="M408" i="54" s="1"/>
  <c r="L416" i="54"/>
  <c r="M416" i="54" s="1"/>
  <c r="L424" i="54"/>
  <c r="M424" i="54" s="1"/>
  <c r="L432" i="54"/>
  <c r="M432" i="54" s="1"/>
  <c r="L440" i="54"/>
  <c r="M440" i="54" s="1"/>
  <c r="L448" i="54"/>
  <c r="M448" i="54" s="1"/>
  <c r="L456" i="54"/>
  <c r="M456" i="54" s="1"/>
  <c r="L464" i="54"/>
  <c r="M464" i="54" s="1"/>
  <c r="L472" i="54"/>
  <c r="M472" i="54" s="1"/>
  <c r="L480" i="54"/>
  <c r="M480" i="54" s="1"/>
  <c r="L488" i="54"/>
  <c r="M488" i="54" s="1"/>
  <c r="L496" i="54"/>
  <c r="M496" i="54" s="1"/>
  <c r="L504" i="54"/>
  <c r="M504" i="54" s="1"/>
  <c r="L512" i="54"/>
  <c r="M512" i="54" s="1"/>
  <c r="L520" i="54"/>
  <c r="M520" i="54" s="1"/>
  <c r="L528" i="54"/>
  <c r="M528" i="54" s="1"/>
  <c r="L536" i="54"/>
  <c r="M536" i="54" s="1"/>
  <c r="L544" i="54"/>
  <c r="M544" i="54" s="1"/>
  <c r="L552" i="54"/>
  <c r="M552" i="54" s="1"/>
  <c r="L560" i="54"/>
  <c r="M560" i="54" s="1"/>
  <c r="L568" i="54"/>
  <c r="M568" i="54" s="1"/>
  <c r="L576" i="54"/>
  <c r="M576" i="54" s="1"/>
  <c r="L584" i="54"/>
  <c r="M584" i="54" s="1"/>
  <c r="L592" i="54"/>
  <c r="M592" i="54" s="1"/>
  <c r="L600" i="54"/>
  <c r="M600" i="54" s="1"/>
  <c r="L608" i="54"/>
  <c r="M608" i="54" s="1"/>
  <c r="L616" i="54"/>
  <c r="M616" i="54" s="1"/>
  <c r="L624" i="54"/>
  <c r="M624" i="54" s="1"/>
  <c r="L632" i="54"/>
  <c r="M632" i="54" s="1"/>
  <c r="L640" i="54"/>
  <c r="M640" i="54" s="1"/>
  <c r="L648" i="54"/>
  <c r="M648" i="54" s="1"/>
  <c r="L656" i="54"/>
  <c r="M656" i="54" s="1"/>
  <c r="L664" i="54"/>
  <c r="M664" i="54" s="1"/>
  <c r="L672" i="54"/>
  <c r="M672" i="54" s="1"/>
  <c r="L680" i="54"/>
  <c r="M680" i="54" s="1"/>
  <c r="L688" i="54"/>
  <c r="M688" i="54" s="1"/>
  <c r="L696" i="54"/>
  <c r="M696" i="54" s="1"/>
  <c r="L704" i="54"/>
  <c r="M704" i="54" s="1"/>
  <c r="L712" i="54"/>
  <c r="M712" i="54" s="1"/>
  <c r="L720" i="54"/>
  <c r="M720" i="54" s="1"/>
  <c r="L728" i="54"/>
  <c r="M728" i="54" s="1"/>
  <c r="L736" i="54"/>
  <c r="M736" i="54" s="1"/>
  <c r="L744" i="54"/>
  <c r="M744" i="54" s="1"/>
  <c r="L11" i="54"/>
  <c r="M11" i="54" s="1"/>
  <c r="L27" i="54"/>
  <c r="M27" i="54" s="1"/>
  <c r="L43" i="54"/>
  <c r="M43" i="54" s="1"/>
  <c r="L59" i="54"/>
  <c r="M59" i="54" s="1"/>
  <c r="L75" i="54"/>
  <c r="M75" i="54" s="1"/>
  <c r="L91" i="54"/>
  <c r="M91" i="54" s="1"/>
  <c r="L107" i="54"/>
  <c r="M107" i="54" s="1"/>
  <c r="L123" i="54"/>
  <c r="M123" i="54" s="1"/>
  <c r="L139" i="54"/>
  <c r="M139" i="54" s="1"/>
  <c r="L171" i="54"/>
  <c r="M171" i="54" s="1"/>
  <c r="L187" i="54"/>
  <c r="M187" i="54" s="1"/>
  <c r="L219" i="54"/>
  <c r="M219" i="54" s="1"/>
  <c r="L240" i="54"/>
  <c r="M240" i="54" s="1"/>
  <c r="L257" i="54"/>
  <c r="M257" i="54" s="1"/>
  <c r="L273" i="54"/>
  <c r="M273" i="54" s="1"/>
  <c r="L289" i="54"/>
  <c r="M289" i="54" s="1"/>
  <c r="L305" i="54"/>
  <c r="M305" i="54" s="1"/>
  <c r="L321" i="54"/>
  <c r="M321" i="54" s="1"/>
  <c r="L337" i="54"/>
  <c r="M337" i="54" s="1"/>
  <c r="L353" i="54"/>
  <c r="M353" i="54" s="1"/>
  <c r="L369" i="54"/>
  <c r="M369" i="54" s="1"/>
  <c r="L385" i="54"/>
  <c r="M385" i="54" s="1"/>
  <c r="L401" i="54"/>
  <c r="M401" i="54" s="1"/>
  <c r="L417" i="54"/>
  <c r="M417" i="54" s="1"/>
  <c r="L433" i="54"/>
  <c r="M433" i="54" s="1"/>
  <c r="L449" i="54"/>
  <c r="M449" i="54" s="1"/>
  <c r="L465" i="54"/>
  <c r="M465" i="54" s="1"/>
  <c r="L481" i="54"/>
  <c r="M481" i="54" s="1"/>
  <c r="L497" i="54"/>
  <c r="M497" i="54" s="1"/>
  <c r="L513" i="54"/>
  <c r="M513" i="54" s="1"/>
  <c r="L529" i="54"/>
  <c r="M529" i="54" s="1"/>
  <c r="L545" i="54"/>
  <c r="M545" i="54" s="1"/>
  <c r="L561" i="54"/>
  <c r="M561" i="54" s="1"/>
  <c r="L577" i="54"/>
  <c r="M577" i="54" s="1"/>
  <c r="L593" i="54"/>
  <c r="M593" i="54" s="1"/>
  <c r="L609" i="54"/>
  <c r="M609" i="54" s="1"/>
  <c r="L625" i="54"/>
  <c r="M625" i="54" s="1"/>
  <c r="L641" i="54"/>
  <c r="M641" i="54" s="1"/>
  <c r="L657" i="54"/>
  <c r="M657" i="54" s="1"/>
  <c r="L673" i="54"/>
  <c r="M673" i="54" s="1"/>
  <c r="L689" i="54"/>
  <c r="M689" i="54" s="1"/>
  <c r="L705" i="54"/>
  <c r="M705" i="54" s="1"/>
  <c r="L721" i="54"/>
  <c r="M721" i="54" s="1"/>
  <c r="L737" i="54"/>
  <c r="M737" i="54" s="1"/>
  <c r="L32" i="54"/>
  <c r="M32" i="54" s="1"/>
  <c r="L80" i="54"/>
  <c r="M80" i="54" s="1"/>
  <c r="L112" i="54"/>
  <c r="M112" i="54" s="1"/>
  <c r="L144" i="54"/>
  <c r="M144" i="54" s="1"/>
  <c r="L176" i="54"/>
  <c r="M176" i="54" s="1"/>
  <c r="L208" i="54"/>
  <c r="M208" i="54" s="1"/>
  <c r="L234" i="54"/>
  <c r="M234" i="54" s="1"/>
  <c r="L252" i="54"/>
  <c r="M252" i="54" s="1"/>
  <c r="L268" i="54"/>
  <c r="M268" i="54" s="1"/>
  <c r="L284" i="54"/>
  <c r="M284" i="54" s="1"/>
  <c r="L300" i="54"/>
  <c r="M300" i="54" s="1"/>
  <c r="L316" i="54"/>
  <c r="M316" i="54" s="1"/>
  <c r="L332" i="54"/>
  <c r="M332" i="54" s="1"/>
  <c r="L340" i="54"/>
  <c r="M340" i="54" s="1"/>
  <c r="L356" i="54"/>
  <c r="M356" i="54" s="1"/>
  <c r="L372" i="54"/>
  <c r="M372" i="54" s="1"/>
  <c r="L388" i="54"/>
  <c r="M388" i="54" s="1"/>
  <c r="L404" i="54"/>
  <c r="M404" i="54" s="1"/>
  <c r="L420" i="54"/>
  <c r="M420" i="54" s="1"/>
  <c r="L436" i="54"/>
  <c r="M436" i="54" s="1"/>
  <c r="L452" i="54"/>
  <c r="M452" i="54" s="1"/>
  <c r="L468" i="54"/>
  <c r="M468" i="54" s="1"/>
  <c r="L484" i="54"/>
  <c r="M484" i="54" s="1"/>
  <c r="L500" i="54"/>
  <c r="M500" i="54" s="1"/>
  <c r="L516" i="54"/>
  <c r="M516" i="54" s="1"/>
  <c r="L532" i="54"/>
  <c r="M532" i="54" s="1"/>
  <c r="L548" i="54"/>
  <c r="M548" i="54" s="1"/>
  <c r="L564" i="54"/>
  <c r="M564" i="54" s="1"/>
  <c r="L580" i="54"/>
  <c r="M580" i="54" s="1"/>
  <c r="L596" i="54"/>
  <c r="M596" i="54" s="1"/>
  <c r="L612" i="54"/>
  <c r="M612" i="54" s="1"/>
  <c r="L628" i="54"/>
  <c r="M628" i="54" s="1"/>
  <c r="L644" i="54"/>
  <c r="M644" i="54" s="1"/>
  <c r="L660" i="54"/>
  <c r="M660" i="54" s="1"/>
  <c r="L676" i="54"/>
  <c r="M676" i="54" s="1"/>
  <c r="L692" i="54"/>
  <c r="M692" i="54" s="1"/>
  <c r="L708" i="54"/>
  <c r="M708" i="54" s="1"/>
  <c r="L724" i="54"/>
  <c r="M724" i="54" s="1"/>
  <c r="L740" i="54"/>
  <c r="M740" i="54" s="1"/>
  <c r="H53" i="66" l="1"/>
  <c r="K53" i="66"/>
  <c r="L53" i="66"/>
  <c r="O25" i="66"/>
  <c r="I53" i="66"/>
  <c r="J53" i="66"/>
  <c r="D25" i="66"/>
  <c r="R780" i="54"/>
  <c r="N780" i="54"/>
  <c r="Q780" i="54"/>
  <c r="N767" i="54"/>
  <c r="O767" i="54" s="1"/>
  <c r="Q767" i="54"/>
  <c r="R767" i="54"/>
  <c r="Q769" i="54"/>
  <c r="R769" i="54"/>
  <c r="N769" i="54"/>
  <c r="N795" i="54"/>
  <c r="R795" i="54"/>
  <c r="Q795" i="54"/>
  <c r="N787" i="54"/>
  <c r="R787" i="54"/>
  <c r="Q787" i="54"/>
  <c r="R771" i="54"/>
  <c r="N771" i="54"/>
  <c r="Q771" i="54"/>
  <c r="N775" i="54"/>
  <c r="Q775" i="54"/>
  <c r="R775" i="54"/>
  <c r="N798" i="54"/>
  <c r="Q798" i="54"/>
  <c r="R798" i="54"/>
  <c r="N790" i="54"/>
  <c r="Q790" i="54"/>
  <c r="R790" i="54"/>
  <c r="N776" i="54"/>
  <c r="O776" i="54" s="1"/>
  <c r="R776" i="54"/>
  <c r="Q776" i="54"/>
  <c r="Q766" i="54"/>
  <c r="R766" i="54"/>
  <c r="N766" i="54"/>
  <c r="N764" i="54"/>
  <c r="R764" i="54"/>
  <c r="Q764" i="54"/>
  <c r="N794" i="54"/>
  <c r="R794" i="54"/>
  <c r="Q794" i="54"/>
  <c r="N786" i="54"/>
  <c r="O786" i="54" s="1"/>
  <c r="R786" i="54"/>
  <c r="Q786" i="54"/>
  <c r="Q770" i="54"/>
  <c r="N770" i="54"/>
  <c r="O770" i="54" s="1"/>
  <c r="R770" i="54"/>
  <c r="Q765" i="54"/>
  <c r="N765" i="54"/>
  <c r="R765" i="54"/>
  <c r="R796" i="54"/>
  <c r="N796" i="54"/>
  <c r="Q796" i="54"/>
  <c r="R788" i="54"/>
  <c r="N788" i="54"/>
  <c r="Q788" i="54"/>
  <c r="N779" i="54"/>
  <c r="R779" i="54"/>
  <c r="Q779" i="54"/>
  <c r="Q774" i="54"/>
  <c r="N774" i="54"/>
  <c r="R774" i="54"/>
  <c r="N783" i="54"/>
  <c r="O783" i="54" s="1"/>
  <c r="R783" i="54"/>
  <c r="Q783" i="54"/>
  <c r="R800" i="54"/>
  <c r="N800" i="54"/>
  <c r="Q800" i="54"/>
  <c r="Q792" i="54"/>
  <c r="N792" i="54"/>
  <c r="R792" i="54"/>
  <c r="N778" i="54"/>
  <c r="R778" i="54"/>
  <c r="Q778" i="54"/>
  <c r="N768" i="54"/>
  <c r="R768" i="54"/>
  <c r="Q768" i="54"/>
  <c r="N801" i="54"/>
  <c r="O801" i="54" s="1"/>
  <c r="Q801" i="54"/>
  <c r="R801" i="54"/>
  <c r="R793" i="54"/>
  <c r="N793" i="54"/>
  <c r="O793" i="54" s="1"/>
  <c r="Q793" i="54"/>
  <c r="R785" i="54"/>
  <c r="N785" i="54"/>
  <c r="O785" i="54" s="1"/>
  <c r="Q785" i="54"/>
  <c r="R781" i="54"/>
  <c r="N781" i="54"/>
  <c r="Q781" i="54"/>
  <c r="N772" i="54"/>
  <c r="O772" i="54" s="1"/>
  <c r="R772" i="54"/>
  <c r="Q772" i="54"/>
  <c r="Q777" i="54"/>
  <c r="N777" i="54"/>
  <c r="O777" i="54" s="1"/>
  <c r="R777" i="54"/>
  <c r="Q797" i="54"/>
  <c r="R797" i="54"/>
  <c r="N797" i="54"/>
  <c r="O797" i="54" s="1"/>
  <c r="Q789" i="54"/>
  <c r="R789" i="54"/>
  <c r="N789" i="54"/>
  <c r="O789" i="54" s="1"/>
  <c r="Q773" i="54"/>
  <c r="N773" i="54"/>
  <c r="O773" i="54" s="1"/>
  <c r="R773" i="54"/>
  <c r="Q784" i="54"/>
  <c r="N784" i="54"/>
  <c r="O784" i="54" s="1"/>
  <c r="R784" i="54"/>
  <c r="N799" i="54"/>
  <c r="R799" i="54"/>
  <c r="Q799" i="54"/>
  <c r="N791" i="54"/>
  <c r="O791" i="54" s="1"/>
  <c r="R791" i="54"/>
  <c r="Q791" i="54"/>
  <c r="N782" i="54"/>
  <c r="O782" i="54" s="1"/>
  <c r="Q782" i="54"/>
  <c r="R782" i="54"/>
  <c r="N580" i="54"/>
  <c r="Q580" i="54"/>
  <c r="R580" i="54"/>
  <c r="N388" i="54"/>
  <c r="Q388" i="54"/>
  <c r="R388" i="54"/>
  <c r="R32" i="54"/>
  <c r="N32" i="54"/>
  <c r="Q32" i="54"/>
  <c r="N497" i="54"/>
  <c r="Q497" i="54"/>
  <c r="R497" i="54"/>
  <c r="N305" i="54"/>
  <c r="Q305" i="54"/>
  <c r="R305" i="54"/>
  <c r="Q75" i="54"/>
  <c r="R75" i="54"/>
  <c r="N75" i="54"/>
  <c r="O75" i="54" s="1"/>
  <c r="N656" i="54"/>
  <c r="O656" i="54" s="1"/>
  <c r="Q656" i="54"/>
  <c r="R656" i="54"/>
  <c r="N528" i="54"/>
  <c r="Q528" i="54"/>
  <c r="R528" i="54"/>
  <c r="N432" i="54"/>
  <c r="Q432" i="54"/>
  <c r="R432" i="54"/>
  <c r="N336" i="54"/>
  <c r="R336" i="54"/>
  <c r="Q336" i="54"/>
  <c r="Q239" i="54"/>
  <c r="R239" i="54"/>
  <c r="N239" i="54"/>
  <c r="R56" i="54"/>
  <c r="N56" i="54"/>
  <c r="Q56" i="54"/>
  <c r="N604" i="54"/>
  <c r="Q604" i="54"/>
  <c r="R604" i="54"/>
  <c r="N412" i="54"/>
  <c r="Q412" i="54"/>
  <c r="R412" i="54"/>
  <c r="R192" i="54"/>
  <c r="N192" i="54"/>
  <c r="Q192" i="54"/>
  <c r="N649" i="54"/>
  <c r="Q649" i="54"/>
  <c r="R649" i="54"/>
  <c r="N457" i="54"/>
  <c r="Q457" i="54"/>
  <c r="R457" i="54"/>
  <c r="Q155" i="54"/>
  <c r="R155" i="54"/>
  <c r="N155" i="54"/>
  <c r="O155" i="54" s="1"/>
  <c r="N653" i="54"/>
  <c r="O653" i="54" s="1"/>
  <c r="Q653" i="54"/>
  <c r="R653" i="54"/>
  <c r="N557" i="54"/>
  <c r="Q557" i="54"/>
  <c r="R557" i="54"/>
  <c r="N461" i="54"/>
  <c r="Q461" i="54"/>
  <c r="R461" i="54"/>
  <c r="N365" i="54"/>
  <c r="Q365" i="54"/>
  <c r="R365" i="54"/>
  <c r="N269" i="54"/>
  <c r="O269" i="54" s="1"/>
  <c r="Q269" i="54"/>
  <c r="R269" i="54"/>
  <c r="Q115" i="54"/>
  <c r="R115" i="54"/>
  <c r="N115" i="54"/>
  <c r="R723" i="54"/>
  <c r="N723" i="54"/>
  <c r="O723" i="54" s="1"/>
  <c r="Q723" i="54"/>
  <c r="R675" i="54"/>
  <c r="N675" i="54"/>
  <c r="Q675" i="54"/>
  <c r="R611" i="54"/>
  <c r="Q611" i="54"/>
  <c r="N611" i="54"/>
  <c r="R563" i="54"/>
  <c r="Q563" i="54"/>
  <c r="N563" i="54"/>
  <c r="R515" i="54"/>
  <c r="N515" i="54"/>
  <c r="O515" i="54" s="1"/>
  <c r="Q515" i="54"/>
  <c r="R483" i="54"/>
  <c r="N483" i="54"/>
  <c r="Q483" i="54"/>
  <c r="R435" i="54"/>
  <c r="N435" i="54"/>
  <c r="Q435" i="54"/>
  <c r="R387" i="54"/>
  <c r="Q387" i="54"/>
  <c r="N387" i="54"/>
  <c r="R339" i="54"/>
  <c r="Q339" i="54"/>
  <c r="N339" i="54"/>
  <c r="O339" i="54" s="1"/>
  <c r="Q291" i="54"/>
  <c r="R291" i="54"/>
  <c r="N291" i="54"/>
  <c r="O291" i="54" s="1"/>
  <c r="Q243" i="54"/>
  <c r="R243" i="54"/>
  <c r="N243" i="54"/>
  <c r="Q159" i="54"/>
  <c r="R159" i="54"/>
  <c r="N159" i="54"/>
  <c r="Q63" i="54"/>
  <c r="R63" i="54"/>
  <c r="N63" i="54"/>
  <c r="Q710" i="54"/>
  <c r="R710" i="54"/>
  <c r="N710" i="54"/>
  <c r="O710" i="54" s="1"/>
  <c r="Q662" i="54"/>
  <c r="R662" i="54"/>
  <c r="N662" i="54"/>
  <c r="Q630" i="54"/>
  <c r="R630" i="54"/>
  <c r="N630" i="54"/>
  <c r="Q582" i="54"/>
  <c r="R582" i="54"/>
  <c r="N582" i="54"/>
  <c r="Q534" i="54"/>
  <c r="R534" i="54"/>
  <c r="N534" i="54"/>
  <c r="O534" i="54" s="1"/>
  <c r="Q486" i="54"/>
  <c r="R486" i="54"/>
  <c r="N486" i="54"/>
  <c r="Q438" i="54"/>
  <c r="R438" i="54"/>
  <c r="N438" i="54"/>
  <c r="Q390" i="54"/>
  <c r="R390" i="54"/>
  <c r="N390" i="54"/>
  <c r="Q342" i="54"/>
  <c r="R342" i="54"/>
  <c r="N342" i="54"/>
  <c r="O342" i="54" s="1"/>
  <c r="Q294" i="54"/>
  <c r="R294" i="54"/>
  <c r="N294" i="54"/>
  <c r="N246" i="54"/>
  <c r="Q246" i="54"/>
  <c r="R246" i="54"/>
  <c r="R164" i="54"/>
  <c r="N164" i="54"/>
  <c r="O164" i="54" s="1"/>
  <c r="Q164" i="54"/>
  <c r="R68" i="54"/>
  <c r="N68" i="54"/>
  <c r="Q68" i="54"/>
  <c r="N202" i="54"/>
  <c r="O202" i="54" s="1"/>
  <c r="Q202" i="54"/>
  <c r="R202" i="54"/>
  <c r="N154" i="54"/>
  <c r="Q154" i="54"/>
  <c r="R154" i="54"/>
  <c r="N106" i="54"/>
  <c r="Q106" i="54"/>
  <c r="R106" i="54"/>
  <c r="N58" i="54"/>
  <c r="Q58" i="54"/>
  <c r="R58" i="54"/>
  <c r="N233" i="54"/>
  <c r="O233" i="54" s="1"/>
  <c r="Q233" i="54"/>
  <c r="R233" i="54"/>
  <c r="N185" i="54"/>
  <c r="Q185" i="54"/>
  <c r="R185" i="54"/>
  <c r="N137" i="54"/>
  <c r="Q137" i="54"/>
  <c r="R137" i="54"/>
  <c r="N89" i="54"/>
  <c r="Q89" i="54"/>
  <c r="R89" i="54"/>
  <c r="N57" i="54"/>
  <c r="O57" i="54" s="1"/>
  <c r="Q57" i="54"/>
  <c r="R57" i="54"/>
  <c r="N9" i="54"/>
  <c r="Q9" i="54"/>
  <c r="R9" i="54"/>
  <c r="Q758" i="54"/>
  <c r="R758" i="54"/>
  <c r="N758" i="54"/>
  <c r="R692" i="54"/>
  <c r="N692" i="54"/>
  <c r="Q692" i="54"/>
  <c r="N628" i="54"/>
  <c r="O628" i="54" s="1"/>
  <c r="Q628" i="54"/>
  <c r="R628" i="54"/>
  <c r="N564" i="54"/>
  <c r="Q564" i="54"/>
  <c r="R564" i="54"/>
  <c r="N500" i="54"/>
  <c r="Q500" i="54"/>
  <c r="R500" i="54"/>
  <c r="N436" i="54"/>
  <c r="Q436" i="54"/>
  <c r="R436" i="54"/>
  <c r="N372" i="54"/>
  <c r="O372" i="54" s="1"/>
  <c r="Q372" i="54"/>
  <c r="R372" i="54"/>
  <c r="N316" i="54"/>
  <c r="Q316" i="54"/>
  <c r="R316" i="54"/>
  <c r="R252" i="54"/>
  <c r="N252" i="54"/>
  <c r="O252" i="54" s="1"/>
  <c r="Q252" i="54"/>
  <c r="R144" i="54"/>
  <c r="N144" i="54"/>
  <c r="Q144" i="54"/>
  <c r="N737" i="54"/>
  <c r="O737" i="54" s="1"/>
  <c r="Q737" i="54"/>
  <c r="R737" i="54"/>
  <c r="N673" i="54"/>
  <c r="Q673" i="54"/>
  <c r="R673" i="54"/>
  <c r="N609" i="54"/>
  <c r="Q609" i="54"/>
  <c r="R609" i="54"/>
  <c r="N545" i="54"/>
  <c r="Q545" i="54"/>
  <c r="R545" i="54"/>
  <c r="N481" i="54"/>
  <c r="O481" i="54" s="1"/>
  <c r="Q481" i="54"/>
  <c r="R481" i="54"/>
  <c r="N417" i="54"/>
  <c r="Q417" i="54"/>
  <c r="R417" i="54"/>
  <c r="N353" i="54"/>
  <c r="Q353" i="54"/>
  <c r="R353" i="54"/>
  <c r="N289" i="54"/>
  <c r="Q289" i="54"/>
  <c r="R289" i="54"/>
  <c r="Q219" i="54"/>
  <c r="R219" i="54"/>
  <c r="N219" i="54"/>
  <c r="Q123" i="54"/>
  <c r="R123" i="54"/>
  <c r="N123" i="54"/>
  <c r="Q59" i="54"/>
  <c r="R59" i="54"/>
  <c r="N59" i="54"/>
  <c r="R744" i="54"/>
  <c r="N744" i="54"/>
  <c r="Q744" i="54"/>
  <c r="R712" i="54"/>
  <c r="N712" i="54"/>
  <c r="Q712" i="54"/>
  <c r="R680" i="54"/>
  <c r="N680" i="54"/>
  <c r="Q680" i="54"/>
  <c r="N648" i="54"/>
  <c r="Q648" i="54"/>
  <c r="R648" i="54"/>
  <c r="N616" i="54"/>
  <c r="R616" i="54"/>
  <c r="Q616" i="54"/>
  <c r="N584" i="54"/>
  <c r="R584" i="54"/>
  <c r="Q584" i="54"/>
  <c r="N552" i="54"/>
  <c r="Q552" i="54"/>
  <c r="R552" i="54"/>
  <c r="N520" i="54"/>
  <c r="Q520" i="54"/>
  <c r="R520" i="54"/>
  <c r="N488" i="54"/>
  <c r="Q488" i="54"/>
  <c r="R488" i="54"/>
  <c r="N456" i="54"/>
  <c r="O456" i="54" s="1"/>
  <c r="Q456" i="54"/>
  <c r="R456" i="54"/>
  <c r="N424" i="54"/>
  <c r="R424" i="54"/>
  <c r="Q424" i="54"/>
  <c r="N392" i="54"/>
  <c r="R392" i="54"/>
  <c r="Q392" i="54"/>
  <c r="N360" i="54"/>
  <c r="R360" i="54"/>
  <c r="Q360" i="54"/>
  <c r="N328" i="54"/>
  <c r="R328" i="54"/>
  <c r="Q328" i="54"/>
  <c r="N296" i="54"/>
  <c r="R296" i="54"/>
  <c r="Q296" i="54"/>
  <c r="R264" i="54"/>
  <c r="N264" i="54"/>
  <c r="O264" i="54" s="1"/>
  <c r="Q264" i="54"/>
  <c r="R228" i="54"/>
  <c r="N228" i="54"/>
  <c r="Q228" i="54"/>
  <c r="R168" i="54"/>
  <c r="N168" i="54"/>
  <c r="Q168" i="54"/>
  <c r="R104" i="54"/>
  <c r="N104" i="54"/>
  <c r="Q104" i="54"/>
  <c r="R40" i="54"/>
  <c r="N40" i="54"/>
  <c r="O40" i="54" s="1"/>
  <c r="Q40" i="54"/>
  <c r="R716" i="54"/>
  <c r="N716" i="54"/>
  <c r="Q716" i="54"/>
  <c r="N652" i="54"/>
  <c r="R652" i="54"/>
  <c r="Q652" i="54"/>
  <c r="N588" i="54"/>
  <c r="Q588" i="54"/>
  <c r="R588" i="54"/>
  <c r="N524" i="54"/>
  <c r="Q524" i="54"/>
  <c r="R524" i="54"/>
  <c r="N460" i="54"/>
  <c r="Q460" i="54"/>
  <c r="R460" i="54"/>
  <c r="N396" i="54"/>
  <c r="O396" i="54" s="1"/>
  <c r="Q396" i="54"/>
  <c r="R396" i="54"/>
  <c r="N324" i="54"/>
  <c r="Q324" i="54"/>
  <c r="R324" i="54"/>
  <c r="R260" i="54"/>
  <c r="N260" i="54"/>
  <c r="O260" i="54" s="1"/>
  <c r="Q260" i="54"/>
  <c r="R160" i="54"/>
  <c r="N160" i="54"/>
  <c r="Q160" i="54"/>
  <c r="R48" i="54"/>
  <c r="N48" i="54"/>
  <c r="Q48" i="54"/>
  <c r="N697" i="54"/>
  <c r="Q697" i="54"/>
  <c r="R697" i="54"/>
  <c r="N633" i="54"/>
  <c r="Q633" i="54"/>
  <c r="R633" i="54"/>
  <c r="N569" i="54"/>
  <c r="Q569" i="54"/>
  <c r="R569" i="54"/>
  <c r="N505" i="54"/>
  <c r="O505" i="54" s="1"/>
  <c r="Q505" i="54"/>
  <c r="R505" i="54"/>
  <c r="N441" i="54"/>
  <c r="Q441" i="54"/>
  <c r="R441" i="54"/>
  <c r="N377" i="54"/>
  <c r="Q377" i="54"/>
  <c r="R377" i="54"/>
  <c r="N313" i="54"/>
  <c r="Q313" i="54"/>
  <c r="R313" i="54"/>
  <c r="N249" i="54"/>
  <c r="O249" i="54" s="1"/>
  <c r="Q249" i="54"/>
  <c r="R249" i="54"/>
  <c r="N741" i="54"/>
  <c r="Q741" i="54"/>
  <c r="R741" i="54"/>
  <c r="N709" i="54"/>
  <c r="Q709" i="54"/>
  <c r="R709" i="54"/>
  <c r="N677" i="54"/>
  <c r="Q677" i="54"/>
  <c r="R677" i="54"/>
  <c r="N645" i="54"/>
  <c r="O645" i="54" s="1"/>
  <c r="Q645" i="54"/>
  <c r="R645" i="54"/>
  <c r="N613" i="54"/>
  <c r="Q613" i="54"/>
  <c r="R613" i="54"/>
  <c r="N581" i="54"/>
  <c r="Q581" i="54"/>
  <c r="R581" i="54"/>
  <c r="N549" i="54"/>
  <c r="Q549" i="54"/>
  <c r="R549" i="54"/>
  <c r="N517" i="54"/>
  <c r="O517" i="54" s="1"/>
  <c r="Q517" i="54"/>
  <c r="R517" i="54"/>
  <c r="N485" i="54"/>
  <c r="Q485" i="54"/>
  <c r="R485" i="54"/>
  <c r="N453" i="54"/>
  <c r="Q453" i="54"/>
  <c r="R453" i="54"/>
  <c r="N421" i="54"/>
  <c r="Q421" i="54"/>
  <c r="R421" i="54"/>
  <c r="N389" i="54"/>
  <c r="O389" i="54" s="1"/>
  <c r="Q389" i="54"/>
  <c r="R389" i="54"/>
  <c r="N357" i="54"/>
  <c r="Q357" i="54"/>
  <c r="R357" i="54"/>
  <c r="N325" i="54"/>
  <c r="Q325" i="54"/>
  <c r="R325" i="54"/>
  <c r="N293" i="54"/>
  <c r="Q293" i="54"/>
  <c r="R293" i="54"/>
  <c r="N261" i="54"/>
  <c r="O261" i="54" s="1"/>
  <c r="Q261" i="54"/>
  <c r="R261" i="54"/>
  <c r="R224" i="54"/>
  <c r="N224" i="54"/>
  <c r="Q224" i="54"/>
  <c r="Q163" i="54"/>
  <c r="R163" i="54"/>
  <c r="N163" i="54"/>
  <c r="Q99" i="54"/>
  <c r="R99" i="54"/>
  <c r="N99" i="54"/>
  <c r="O99" i="54" s="1"/>
  <c r="Q35" i="54"/>
  <c r="R35" i="54"/>
  <c r="N35" i="54"/>
  <c r="R735" i="54"/>
  <c r="N735" i="54"/>
  <c r="Q735" i="54"/>
  <c r="R719" i="54"/>
  <c r="N719" i="54"/>
  <c r="O719" i="54" s="1"/>
  <c r="Q719" i="54"/>
  <c r="R703" i="54"/>
  <c r="N703" i="54"/>
  <c r="Q703" i="54"/>
  <c r="R687" i="54"/>
  <c r="N687" i="54"/>
  <c r="Q687" i="54"/>
  <c r="R671" i="54"/>
  <c r="Q671" i="54"/>
  <c r="N671" i="54"/>
  <c r="R655" i="54"/>
  <c r="Q655" i="54"/>
  <c r="N655" i="54"/>
  <c r="O655" i="54" s="1"/>
  <c r="R639" i="54"/>
  <c r="N639" i="54"/>
  <c r="Q639" i="54"/>
  <c r="R623" i="54"/>
  <c r="N623" i="54"/>
  <c r="Q623" i="54"/>
  <c r="R607" i="54"/>
  <c r="N607" i="54"/>
  <c r="Q607" i="54"/>
  <c r="R591" i="54"/>
  <c r="N591" i="54"/>
  <c r="O591" i="54" s="1"/>
  <c r="Q591" i="54"/>
  <c r="R575" i="54"/>
  <c r="N575" i="54"/>
  <c r="Q575" i="54"/>
  <c r="R559" i="54"/>
  <c r="N559" i="54"/>
  <c r="Q559" i="54"/>
  <c r="R543" i="54"/>
  <c r="N543" i="54"/>
  <c r="Q543" i="54"/>
  <c r="R527" i="54"/>
  <c r="N527" i="54"/>
  <c r="O527" i="54" s="1"/>
  <c r="Q527" i="54"/>
  <c r="R511" i="54"/>
  <c r="N511" i="54"/>
  <c r="Q511" i="54"/>
  <c r="R495" i="54"/>
  <c r="N495" i="54"/>
  <c r="Q495" i="54"/>
  <c r="R479" i="54"/>
  <c r="N479" i="54"/>
  <c r="Q479" i="54"/>
  <c r="R463" i="54"/>
  <c r="N463" i="54"/>
  <c r="O463" i="54" s="1"/>
  <c r="Q463" i="54"/>
  <c r="R447" i="54"/>
  <c r="N447" i="54"/>
  <c r="Q447" i="54"/>
  <c r="R431" i="54"/>
  <c r="N431" i="54"/>
  <c r="Q431" i="54"/>
  <c r="R415" i="54"/>
  <c r="N415" i="54"/>
  <c r="Q415" i="54"/>
  <c r="R399" i="54"/>
  <c r="N399" i="54"/>
  <c r="O399" i="54" s="1"/>
  <c r="Q399" i="54"/>
  <c r="R383" i="54"/>
  <c r="N383" i="54"/>
  <c r="Q383" i="54"/>
  <c r="R367" i="54"/>
  <c r="N367" i="54"/>
  <c r="Q367" i="54"/>
  <c r="R351" i="54"/>
  <c r="N351" i="54"/>
  <c r="Q351" i="54"/>
  <c r="R335" i="54"/>
  <c r="N335" i="54"/>
  <c r="O335" i="54" s="1"/>
  <c r="Q335" i="54"/>
  <c r="R319" i="54"/>
  <c r="N319" i="54"/>
  <c r="Q319" i="54"/>
  <c r="R303" i="54"/>
  <c r="N303" i="54"/>
  <c r="Q303" i="54"/>
  <c r="Q287" i="54"/>
  <c r="R287" i="54"/>
  <c r="N287" i="54"/>
  <c r="Q271" i="54"/>
  <c r="R271" i="54"/>
  <c r="N271" i="54"/>
  <c r="Q255" i="54"/>
  <c r="R255" i="54"/>
  <c r="N255" i="54"/>
  <c r="O255" i="54" s="1"/>
  <c r="N238" i="54"/>
  <c r="O238" i="54" s="1"/>
  <c r="Q238" i="54"/>
  <c r="R238" i="54"/>
  <c r="Q215" i="54"/>
  <c r="R215" i="54"/>
  <c r="N215" i="54"/>
  <c r="Q183" i="54"/>
  <c r="R183" i="54"/>
  <c r="N183" i="54"/>
  <c r="Q151" i="54"/>
  <c r="R151" i="54"/>
  <c r="N151" i="54"/>
  <c r="O151" i="54" s="1"/>
  <c r="Q119" i="54"/>
  <c r="R119" i="54"/>
  <c r="N119" i="54"/>
  <c r="Q87" i="54"/>
  <c r="R87" i="54"/>
  <c r="N87" i="54"/>
  <c r="Q55" i="54"/>
  <c r="R55" i="54"/>
  <c r="N55" i="54"/>
  <c r="Q23" i="54"/>
  <c r="R23" i="54"/>
  <c r="N23" i="54"/>
  <c r="O23" i="54" s="1"/>
  <c r="Q738" i="54"/>
  <c r="R738" i="54"/>
  <c r="N738" i="54"/>
  <c r="Q722" i="54"/>
  <c r="R722" i="54"/>
  <c r="N722" i="54"/>
  <c r="Q706" i="54"/>
  <c r="R706" i="54"/>
  <c r="N706" i="54"/>
  <c r="Q690" i="54"/>
  <c r="R690" i="54"/>
  <c r="N690" i="54"/>
  <c r="O690" i="54" s="1"/>
  <c r="Q674" i="54"/>
  <c r="R674" i="54"/>
  <c r="N674" i="54"/>
  <c r="Q658" i="54"/>
  <c r="R658" i="54"/>
  <c r="N658" i="54"/>
  <c r="Q642" i="54"/>
  <c r="R642" i="54"/>
  <c r="N642" i="54"/>
  <c r="Q626" i="54"/>
  <c r="R626" i="54"/>
  <c r="N626" i="54"/>
  <c r="O626" i="54" s="1"/>
  <c r="Q610" i="54"/>
  <c r="R610" i="54"/>
  <c r="N610" i="54"/>
  <c r="Q594" i="54"/>
  <c r="R594" i="54"/>
  <c r="N594" i="54"/>
  <c r="Q578" i="54"/>
  <c r="R578" i="54"/>
  <c r="N578" i="54"/>
  <c r="Q562" i="54"/>
  <c r="R562" i="54"/>
  <c r="N562" i="54"/>
  <c r="O562" i="54" s="1"/>
  <c r="Q546" i="54"/>
  <c r="R546" i="54"/>
  <c r="N546" i="54"/>
  <c r="Q530" i="54"/>
  <c r="R530" i="54"/>
  <c r="N530" i="54"/>
  <c r="Q514" i="54"/>
  <c r="R514" i="54"/>
  <c r="N514" i="54"/>
  <c r="Q498" i="54"/>
  <c r="R498" i="54"/>
  <c r="N498" i="54"/>
  <c r="O498" i="54" s="1"/>
  <c r="Q482" i="54"/>
  <c r="R482" i="54"/>
  <c r="N482" i="54"/>
  <c r="Q466" i="54"/>
  <c r="R466" i="54"/>
  <c r="N466" i="54"/>
  <c r="Q450" i="54"/>
  <c r="R450" i="54"/>
  <c r="N450" i="54"/>
  <c r="Q434" i="54"/>
  <c r="R434" i="54"/>
  <c r="N434" i="54"/>
  <c r="O434" i="54" s="1"/>
  <c r="Q418" i="54"/>
  <c r="R418" i="54"/>
  <c r="N418" i="54"/>
  <c r="Q402" i="54"/>
  <c r="R402" i="54"/>
  <c r="N402" i="54"/>
  <c r="Q386" i="54"/>
  <c r="R386" i="54"/>
  <c r="N386" i="54"/>
  <c r="Q370" i="54"/>
  <c r="R370" i="54"/>
  <c r="N370" i="54"/>
  <c r="O370" i="54" s="1"/>
  <c r="Q354" i="54"/>
  <c r="R354" i="54"/>
  <c r="N354" i="54"/>
  <c r="Q338" i="54"/>
  <c r="R338" i="54"/>
  <c r="N338" i="54"/>
  <c r="Q322" i="54"/>
  <c r="R322" i="54"/>
  <c r="N322" i="54"/>
  <c r="Q306" i="54"/>
  <c r="R306" i="54"/>
  <c r="N306" i="54"/>
  <c r="O306" i="54" s="1"/>
  <c r="N290" i="54"/>
  <c r="O290" i="54" s="1"/>
  <c r="Q290" i="54"/>
  <c r="R290" i="54"/>
  <c r="N274" i="54"/>
  <c r="Q274" i="54"/>
  <c r="R274" i="54"/>
  <c r="N258" i="54"/>
  <c r="Q258" i="54"/>
  <c r="R258" i="54"/>
  <c r="N242" i="54"/>
  <c r="Q242" i="54"/>
  <c r="R242" i="54"/>
  <c r="R220" i="54"/>
  <c r="N220" i="54"/>
  <c r="Q220" i="54"/>
  <c r="R188" i="54"/>
  <c r="N188" i="54"/>
  <c r="Q188" i="54"/>
  <c r="R156" i="54"/>
  <c r="N156" i="54"/>
  <c r="O156" i="54" s="1"/>
  <c r="Q156" i="54"/>
  <c r="R124" i="54"/>
  <c r="N124" i="54"/>
  <c r="Q124" i="54"/>
  <c r="R92" i="54"/>
  <c r="N92" i="54"/>
  <c r="Q92" i="54"/>
  <c r="R60" i="54"/>
  <c r="N60" i="54"/>
  <c r="Q60" i="54"/>
  <c r="R28" i="54"/>
  <c r="N28" i="54"/>
  <c r="O28" i="54" s="1"/>
  <c r="Q28" i="54"/>
  <c r="N214" i="54"/>
  <c r="Q214" i="54"/>
  <c r="R214" i="54"/>
  <c r="N198" i="54"/>
  <c r="O198" i="54" s="1"/>
  <c r="Q198" i="54"/>
  <c r="R198" i="54"/>
  <c r="N182" i="54"/>
  <c r="Q182" i="54"/>
  <c r="R182" i="54"/>
  <c r="N166" i="54"/>
  <c r="Q166" i="54"/>
  <c r="R166" i="54"/>
  <c r="N150" i="54"/>
  <c r="Q150" i="54"/>
  <c r="R150" i="54"/>
  <c r="N134" i="54"/>
  <c r="O134" i="54" s="1"/>
  <c r="Q134" i="54"/>
  <c r="R134" i="54"/>
  <c r="N118" i="54"/>
  <c r="Q118" i="54"/>
  <c r="R118" i="54"/>
  <c r="N102" i="54"/>
  <c r="Q102" i="54"/>
  <c r="R102" i="54"/>
  <c r="N86" i="54"/>
  <c r="Q86" i="54"/>
  <c r="R86" i="54"/>
  <c r="N70" i="54"/>
  <c r="O70" i="54" s="1"/>
  <c r="Q70" i="54"/>
  <c r="R70" i="54"/>
  <c r="N54" i="54"/>
  <c r="Q54" i="54"/>
  <c r="R54" i="54"/>
  <c r="N38" i="54"/>
  <c r="Q38" i="54"/>
  <c r="R38" i="54"/>
  <c r="N22" i="54"/>
  <c r="Q22" i="54"/>
  <c r="R22" i="54"/>
  <c r="R6" i="54"/>
  <c r="N6" i="54"/>
  <c r="Q6" i="54"/>
  <c r="N229" i="54"/>
  <c r="Q229" i="54"/>
  <c r="R229" i="54"/>
  <c r="N213" i="54"/>
  <c r="Q213" i="54"/>
  <c r="R213" i="54"/>
  <c r="N197" i="54"/>
  <c r="Q197" i="54"/>
  <c r="R197" i="54"/>
  <c r="N181" i="54"/>
  <c r="O181" i="54" s="1"/>
  <c r="Q181" i="54"/>
  <c r="R181" i="54"/>
  <c r="N165" i="54"/>
  <c r="Q165" i="54"/>
  <c r="R165" i="54"/>
  <c r="N149" i="54"/>
  <c r="Q149" i="54"/>
  <c r="R149" i="54"/>
  <c r="N133" i="54"/>
  <c r="Q133" i="54"/>
  <c r="R133" i="54"/>
  <c r="N117" i="54"/>
  <c r="O117" i="54" s="1"/>
  <c r="Q117" i="54"/>
  <c r="R117" i="54"/>
  <c r="N101" i="54"/>
  <c r="Q101" i="54"/>
  <c r="R101" i="54"/>
  <c r="N85" i="54"/>
  <c r="Q85" i="54"/>
  <c r="R85" i="54"/>
  <c r="N69" i="54"/>
  <c r="Q69" i="54"/>
  <c r="R69" i="54"/>
  <c r="N53" i="54"/>
  <c r="O53" i="54" s="1"/>
  <c r="Q53" i="54"/>
  <c r="R53" i="54"/>
  <c r="N37" i="54"/>
  <c r="Q37" i="54"/>
  <c r="R37" i="54"/>
  <c r="N21" i="54"/>
  <c r="Q21" i="54"/>
  <c r="R21" i="54"/>
  <c r="Q5" i="54"/>
  <c r="R5" i="54"/>
  <c r="N5" i="54"/>
  <c r="O5" i="54" s="1"/>
  <c r="N757" i="54"/>
  <c r="O757" i="54" s="1"/>
  <c r="Q757" i="54"/>
  <c r="R757" i="54"/>
  <c r="N749" i="54"/>
  <c r="Q749" i="54"/>
  <c r="R749" i="54"/>
  <c r="R755" i="54"/>
  <c r="N755" i="54"/>
  <c r="O755" i="54" s="1"/>
  <c r="Q755" i="54"/>
  <c r="N745" i="54"/>
  <c r="Q745" i="54"/>
  <c r="R745" i="54"/>
  <c r="R708" i="54"/>
  <c r="N708" i="54"/>
  <c r="Q708" i="54"/>
  <c r="N516" i="54"/>
  <c r="Q516" i="54"/>
  <c r="R516" i="54"/>
  <c r="R268" i="54"/>
  <c r="N268" i="54"/>
  <c r="O268" i="54" s="1"/>
  <c r="Q268" i="54"/>
  <c r="N689" i="54"/>
  <c r="Q689" i="54"/>
  <c r="R689" i="54"/>
  <c r="N561" i="54"/>
  <c r="O561" i="54" s="1"/>
  <c r="Q561" i="54"/>
  <c r="R561" i="54"/>
  <c r="N369" i="54"/>
  <c r="Q369" i="54"/>
  <c r="R369" i="54"/>
  <c r="Q139" i="54"/>
  <c r="R139" i="54"/>
  <c r="N139" i="54"/>
  <c r="R720" i="54"/>
  <c r="N720" i="54"/>
  <c r="Q720" i="54"/>
  <c r="N624" i="54"/>
  <c r="R624" i="54"/>
  <c r="Q624" i="54"/>
  <c r="N560" i="54"/>
  <c r="R560" i="54"/>
  <c r="Q560" i="54"/>
  <c r="N464" i="54"/>
  <c r="Q464" i="54"/>
  <c r="R464" i="54"/>
  <c r="N368" i="54"/>
  <c r="R368" i="54"/>
  <c r="Q368" i="54"/>
  <c r="R272" i="54"/>
  <c r="N272" i="54"/>
  <c r="Q272" i="54"/>
  <c r="R184" i="54"/>
  <c r="N184" i="54"/>
  <c r="Q184" i="54"/>
  <c r="R732" i="54"/>
  <c r="N732" i="54"/>
  <c r="O732" i="54" s="1"/>
  <c r="Q732" i="54"/>
  <c r="N476" i="54"/>
  <c r="Q476" i="54"/>
  <c r="R476" i="54"/>
  <c r="R276" i="54"/>
  <c r="N276" i="54"/>
  <c r="Q276" i="54"/>
  <c r="N713" i="54"/>
  <c r="Q713" i="54"/>
  <c r="R713" i="54"/>
  <c r="N521" i="54"/>
  <c r="Q521" i="54"/>
  <c r="R521" i="54"/>
  <c r="N329" i="54"/>
  <c r="Q329" i="54"/>
  <c r="R329" i="54"/>
  <c r="N717" i="54"/>
  <c r="O717" i="54" s="1"/>
  <c r="Q717" i="54"/>
  <c r="R717" i="54"/>
  <c r="N621" i="54"/>
  <c r="Q621" i="54"/>
  <c r="R621" i="54"/>
  <c r="N525" i="54"/>
  <c r="Q525" i="54"/>
  <c r="R525" i="54"/>
  <c r="N429" i="54"/>
  <c r="Q429" i="54"/>
  <c r="R429" i="54"/>
  <c r="N333" i="54"/>
  <c r="O333" i="54" s="1"/>
  <c r="Q333" i="54"/>
  <c r="R333" i="54"/>
  <c r="Q235" i="54"/>
  <c r="R235" i="54"/>
  <c r="N235" i="54"/>
  <c r="Q51" i="54"/>
  <c r="R51" i="54"/>
  <c r="N51" i="54"/>
  <c r="R707" i="54"/>
  <c r="N707" i="54"/>
  <c r="Q707" i="54"/>
  <c r="R643" i="54"/>
  <c r="Q643" i="54"/>
  <c r="N643" i="54"/>
  <c r="R595" i="54"/>
  <c r="Q595" i="54"/>
  <c r="N595" i="54"/>
  <c r="R579" i="54"/>
  <c r="Q579" i="54"/>
  <c r="N579" i="54"/>
  <c r="O579" i="54" s="1"/>
  <c r="R531" i="54"/>
  <c r="N531" i="54"/>
  <c r="Q531" i="54"/>
  <c r="R467" i="54"/>
  <c r="N467" i="54"/>
  <c r="Q467" i="54"/>
  <c r="R419" i="54"/>
  <c r="Q419" i="54"/>
  <c r="N419" i="54"/>
  <c r="R371" i="54"/>
  <c r="Q371" i="54"/>
  <c r="N371" i="54"/>
  <c r="O371" i="54" s="1"/>
  <c r="R323" i="54"/>
  <c r="Q323" i="54"/>
  <c r="N323" i="54"/>
  <c r="Q259" i="54"/>
  <c r="R259" i="54"/>
  <c r="N259" i="54"/>
  <c r="Q191" i="54"/>
  <c r="R191" i="54"/>
  <c r="N191" i="54"/>
  <c r="Q95" i="54"/>
  <c r="R95" i="54"/>
  <c r="N95" i="54"/>
  <c r="Q742" i="54"/>
  <c r="R742" i="54"/>
  <c r="N742" i="54"/>
  <c r="O742" i="54" s="1"/>
  <c r="Q678" i="54"/>
  <c r="R678" i="54"/>
  <c r="N678" i="54"/>
  <c r="Q614" i="54"/>
  <c r="R614" i="54"/>
  <c r="N614" i="54"/>
  <c r="Q566" i="54"/>
  <c r="R566" i="54"/>
  <c r="N566" i="54"/>
  <c r="Q518" i="54"/>
  <c r="R518" i="54"/>
  <c r="N518" i="54"/>
  <c r="O518" i="54" s="1"/>
  <c r="Q470" i="54"/>
  <c r="R470" i="54"/>
  <c r="N470" i="54"/>
  <c r="Q422" i="54"/>
  <c r="R422" i="54"/>
  <c r="N422" i="54"/>
  <c r="Q374" i="54"/>
  <c r="R374" i="54"/>
  <c r="N374" i="54"/>
  <c r="Q326" i="54"/>
  <c r="R326" i="54"/>
  <c r="N326" i="54"/>
  <c r="O326" i="54" s="1"/>
  <c r="N278" i="54"/>
  <c r="O278" i="54" s="1"/>
  <c r="Q278" i="54"/>
  <c r="R278" i="54"/>
  <c r="N226" i="54"/>
  <c r="Q226" i="54"/>
  <c r="R226" i="54"/>
  <c r="R132" i="54"/>
  <c r="N132" i="54"/>
  <c r="O132" i="54" s="1"/>
  <c r="Q132" i="54"/>
  <c r="R36" i="54"/>
  <c r="N36" i="54"/>
  <c r="Q36" i="54"/>
  <c r="N186" i="54"/>
  <c r="O186" i="54" s="1"/>
  <c r="Q186" i="54"/>
  <c r="R186" i="54"/>
  <c r="N122" i="54"/>
  <c r="Q122" i="54"/>
  <c r="R122" i="54"/>
  <c r="N74" i="54"/>
  <c r="Q74" i="54"/>
  <c r="R74" i="54"/>
  <c r="N42" i="54"/>
  <c r="Q42" i="54"/>
  <c r="R42" i="54"/>
  <c r="N10" i="54"/>
  <c r="O10" i="54" s="1"/>
  <c r="Q10" i="54"/>
  <c r="R10" i="54"/>
  <c r="N201" i="54"/>
  <c r="Q201" i="54"/>
  <c r="R201" i="54"/>
  <c r="N153" i="54"/>
  <c r="Q153" i="54"/>
  <c r="R153" i="54"/>
  <c r="N105" i="54"/>
  <c r="Q105" i="54"/>
  <c r="R105" i="54"/>
  <c r="N41" i="54"/>
  <c r="O41" i="54" s="1"/>
  <c r="Q41" i="54"/>
  <c r="R41" i="54"/>
  <c r="Q746" i="54"/>
  <c r="R746" i="54"/>
  <c r="N746" i="54"/>
  <c r="Q750" i="54"/>
  <c r="R750" i="54"/>
  <c r="N750" i="54"/>
  <c r="R740" i="54"/>
  <c r="N740" i="54"/>
  <c r="Q740" i="54"/>
  <c r="N676" i="54"/>
  <c r="R676" i="54"/>
  <c r="Q676" i="54"/>
  <c r="N612" i="54"/>
  <c r="Q612" i="54"/>
  <c r="R612" i="54"/>
  <c r="N548" i="54"/>
  <c r="Q548" i="54"/>
  <c r="R548" i="54"/>
  <c r="N484" i="54"/>
  <c r="Q484" i="54"/>
  <c r="R484" i="54"/>
  <c r="N420" i="54"/>
  <c r="O420" i="54" s="1"/>
  <c r="Q420" i="54"/>
  <c r="R420" i="54"/>
  <c r="N356" i="54"/>
  <c r="Q356" i="54"/>
  <c r="R356" i="54"/>
  <c r="N300" i="54"/>
  <c r="Q300" i="54"/>
  <c r="R300" i="54"/>
  <c r="N234" i="54"/>
  <c r="Q234" i="54"/>
  <c r="R234" i="54"/>
  <c r="R112" i="54"/>
  <c r="N112" i="54"/>
  <c r="Q112" i="54"/>
  <c r="N721" i="54"/>
  <c r="Q721" i="54"/>
  <c r="R721" i="54"/>
  <c r="N657" i="54"/>
  <c r="Q657" i="54"/>
  <c r="R657" i="54"/>
  <c r="N593" i="54"/>
  <c r="Q593" i="54"/>
  <c r="R593" i="54"/>
  <c r="N529" i="54"/>
  <c r="O529" i="54" s="1"/>
  <c r="Q529" i="54"/>
  <c r="R529" i="54"/>
  <c r="N465" i="54"/>
  <c r="Q465" i="54"/>
  <c r="R465" i="54"/>
  <c r="N401" i="54"/>
  <c r="Q401" i="54"/>
  <c r="R401" i="54"/>
  <c r="N337" i="54"/>
  <c r="Q337" i="54"/>
  <c r="R337" i="54"/>
  <c r="N273" i="54"/>
  <c r="O273" i="54" s="1"/>
  <c r="Q273" i="54"/>
  <c r="R273" i="54"/>
  <c r="Q187" i="54"/>
  <c r="R187" i="54"/>
  <c r="N187" i="54"/>
  <c r="Q107" i="54"/>
  <c r="R107" i="54"/>
  <c r="N107" i="54"/>
  <c r="Q43" i="54"/>
  <c r="R43" i="54"/>
  <c r="N43" i="54"/>
  <c r="O43" i="54" s="1"/>
  <c r="R736" i="54"/>
  <c r="N736" i="54"/>
  <c r="Q736" i="54"/>
  <c r="R704" i="54"/>
  <c r="N704" i="54"/>
  <c r="Q704" i="54"/>
  <c r="N672" i="54"/>
  <c r="Q672" i="54"/>
  <c r="R672" i="54"/>
  <c r="N640" i="54"/>
  <c r="R640" i="54"/>
  <c r="Q640" i="54"/>
  <c r="N608" i="54"/>
  <c r="R608" i="54"/>
  <c r="Q608" i="54"/>
  <c r="N576" i="54"/>
  <c r="R576" i="54"/>
  <c r="Q576" i="54"/>
  <c r="N544" i="54"/>
  <c r="Q544" i="54"/>
  <c r="R544" i="54"/>
  <c r="N512" i="54"/>
  <c r="Q512" i="54"/>
  <c r="R512" i="54"/>
  <c r="N480" i="54"/>
  <c r="O480" i="54" s="1"/>
  <c r="Q480" i="54"/>
  <c r="R480" i="54"/>
  <c r="N448" i="54"/>
  <c r="Q448" i="54"/>
  <c r="R448" i="54"/>
  <c r="N416" i="54"/>
  <c r="R416" i="54"/>
  <c r="Q416" i="54"/>
  <c r="N384" i="54"/>
  <c r="R384" i="54"/>
  <c r="Q384" i="54"/>
  <c r="N352" i="54"/>
  <c r="R352" i="54"/>
  <c r="Q352" i="54"/>
  <c r="N320" i="54"/>
  <c r="R320" i="54"/>
  <c r="Q320" i="54"/>
  <c r="R288" i="54"/>
  <c r="N288" i="54"/>
  <c r="O288" i="54" s="1"/>
  <c r="Q288" i="54"/>
  <c r="R256" i="54"/>
  <c r="N256" i="54"/>
  <c r="Q256" i="54"/>
  <c r="R216" i="54"/>
  <c r="N216" i="54"/>
  <c r="Q216" i="54"/>
  <c r="R152" i="54"/>
  <c r="N152" i="54"/>
  <c r="Q152" i="54"/>
  <c r="R88" i="54"/>
  <c r="N88" i="54"/>
  <c r="O88" i="54" s="1"/>
  <c r="Q88" i="54"/>
  <c r="R24" i="54"/>
  <c r="N24" i="54"/>
  <c r="Q24" i="54"/>
  <c r="R700" i="54"/>
  <c r="N700" i="54"/>
  <c r="Q700" i="54"/>
  <c r="N636" i="54"/>
  <c r="Q636" i="54"/>
  <c r="R636" i="54"/>
  <c r="N572" i="54"/>
  <c r="Q572" i="54"/>
  <c r="R572" i="54"/>
  <c r="N508" i="54"/>
  <c r="Q508" i="54"/>
  <c r="R508" i="54"/>
  <c r="N444" i="54"/>
  <c r="O444" i="54" s="1"/>
  <c r="Q444" i="54"/>
  <c r="R444" i="54"/>
  <c r="N380" i="54"/>
  <c r="Q380" i="54"/>
  <c r="R380" i="54"/>
  <c r="N308" i="54"/>
  <c r="Q308" i="54"/>
  <c r="R308" i="54"/>
  <c r="R244" i="54"/>
  <c r="N244" i="54"/>
  <c r="Q244" i="54"/>
  <c r="R128" i="54"/>
  <c r="N128" i="54"/>
  <c r="Q128" i="54"/>
  <c r="R16" i="54"/>
  <c r="N16" i="54"/>
  <c r="Q16" i="54"/>
  <c r="N681" i="54"/>
  <c r="Q681" i="54"/>
  <c r="R681" i="54"/>
  <c r="N617" i="54"/>
  <c r="Q617" i="54"/>
  <c r="R617" i="54"/>
  <c r="N553" i="54"/>
  <c r="O553" i="54" s="1"/>
  <c r="Q553" i="54"/>
  <c r="R553" i="54"/>
  <c r="N489" i="54"/>
  <c r="Q489" i="54"/>
  <c r="R489" i="54"/>
  <c r="N425" i="54"/>
  <c r="Q425" i="54"/>
  <c r="R425" i="54"/>
  <c r="N361" i="54"/>
  <c r="Q361" i="54"/>
  <c r="R361" i="54"/>
  <c r="N297" i="54"/>
  <c r="O297" i="54" s="1"/>
  <c r="Q297" i="54"/>
  <c r="R297" i="54"/>
  <c r="N230" i="54"/>
  <c r="Q230" i="54"/>
  <c r="R230" i="54"/>
  <c r="N733" i="54"/>
  <c r="Q733" i="54"/>
  <c r="R733" i="54"/>
  <c r="N701" i="54"/>
  <c r="Q701" i="54"/>
  <c r="R701" i="54"/>
  <c r="N669" i="54"/>
  <c r="O669" i="54" s="1"/>
  <c r="Q669" i="54"/>
  <c r="R669" i="54"/>
  <c r="N637" i="54"/>
  <c r="Q637" i="54"/>
  <c r="R637" i="54"/>
  <c r="N605" i="54"/>
  <c r="Q605" i="54"/>
  <c r="R605" i="54"/>
  <c r="N573" i="54"/>
  <c r="Q573" i="54"/>
  <c r="R573" i="54"/>
  <c r="N541" i="54"/>
  <c r="O541" i="54" s="1"/>
  <c r="Q541" i="54"/>
  <c r="R541" i="54"/>
  <c r="N509" i="54"/>
  <c r="Q509" i="54"/>
  <c r="R509" i="54"/>
  <c r="N477" i="54"/>
  <c r="Q477" i="54"/>
  <c r="R477" i="54"/>
  <c r="N445" i="54"/>
  <c r="Q445" i="54"/>
  <c r="R445" i="54"/>
  <c r="N413" i="54"/>
  <c r="O413" i="54" s="1"/>
  <c r="Q413" i="54"/>
  <c r="R413" i="54"/>
  <c r="N381" i="54"/>
  <c r="Q381" i="54"/>
  <c r="R381" i="54"/>
  <c r="N349" i="54"/>
  <c r="Q349" i="54"/>
  <c r="R349" i="54"/>
  <c r="N317" i="54"/>
  <c r="Q317" i="54"/>
  <c r="R317" i="54"/>
  <c r="N285" i="54"/>
  <c r="O285" i="54" s="1"/>
  <c r="Q285" i="54"/>
  <c r="R285" i="54"/>
  <c r="N253" i="54"/>
  <c r="Q253" i="54"/>
  <c r="R253" i="54"/>
  <c r="Q211" i="54"/>
  <c r="R211" i="54"/>
  <c r="N211" i="54"/>
  <c r="Q147" i="54"/>
  <c r="R147" i="54"/>
  <c r="N147" i="54"/>
  <c r="O147" i="54" s="1"/>
  <c r="Q83" i="54"/>
  <c r="R83" i="54"/>
  <c r="N83" i="54"/>
  <c r="Q19" i="54"/>
  <c r="R19" i="54"/>
  <c r="N19" i="54"/>
  <c r="R731" i="54"/>
  <c r="N731" i="54"/>
  <c r="O731" i="54" s="1"/>
  <c r="Q731" i="54"/>
  <c r="R715" i="54"/>
  <c r="N715" i="54"/>
  <c r="Q715" i="54"/>
  <c r="R699" i="54"/>
  <c r="N699" i="54"/>
  <c r="Q699" i="54"/>
  <c r="R683" i="54"/>
  <c r="Q683" i="54"/>
  <c r="N683" i="54"/>
  <c r="R667" i="54"/>
  <c r="N667" i="54"/>
  <c r="O667" i="54" s="1"/>
  <c r="Q667" i="54"/>
  <c r="R651" i="54"/>
  <c r="N651" i="54"/>
  <c r="Q651" i="54"/>
  <c r="R635" i="54"/>
  <c r="Q635" i="54"/>
  <c r="N635" i="54"/>
  <c r="R619" i="54"/>
  <c r="Q619" i="54"/>
  <c r="N619" i="54"/>
  <c r="R603" i="54"/>
  <c r="Q603" i="54"/>
  <c r="N603" i="54"/>
  <c r="R587" i="54"/>
  <c r="Q587" i="54"/>
  <c r="N587" i="54"/>
  <c r="R571" i="54"/>
  <c r="Q571" i="54"/>
  <c r="N571" i="54"/>
  <c r="R555" i="54"/>
  <c r="N555" i="54"/>
  <c r="Q555" i="54"/>
  <c r="R539" i="54"/>
  <c r="N539" i="54"/>
  <c r="O539" i="54" s="1"/>
  <c r="Q539" i="54"/>
  <c r="R523" i="54"/>
  <c r="N523" i="54"/>
  <c r="Q523" i="54"/>
  <c r="R507" i="54"/>
  <c r="N507" i="54"/>
  <c r="Q507" i="54"/>
  <c r="R491" i="54"/>
  <c r="N491" i="54"/>
  <c r="Q491" i="54"/>
  <c r="R475" i="54"/>
  <c r="N475" i="54"/>
  <c r="O475" i="54" s="1"/>
  <c r="Q475" i="54"/>
  <c r="R459" i="54"/>
  <c r="N459" i="54"/>
  <c r="Q459" i="54"/>
  <c r="R443" i="54"/>
  <c r="N443" i="54"/>
  <c r="Q443" i="54"/>
  <c r="R427" i="54"/>
  <c r="Q427" i="54"/>
  <c r="N427" i="54"/>
  <c r="R411" i="54"/>
  <c r="Q411" i="54"/>
  <c r="N411" i="54"/>
  <c r="R395" i="54"/>
  <c r="Q395" i="54"/>
  <c r="N395" i="54"/>
  <c r="R379" i="54"/>
  <c r="Q379" i="54"/>
  <c r="N379" i="54"/>
  <c r="R363" i="54"/>
  <c r="Q363" i="54"/>
  <c r="N363" i="54"/>
  <c r="R347" i="54"/>
  <c r="Q347" i="54"/>
  <c r="N347" i="54"/>
  <c r="R331" i="54"/>
  <c r="Q331" i="54"/>
  <c r="N331" i="54"/>
  <c r="R315" i="54"/>
  <c r="Q315" i="54"/>
  <c r="N315" i="54"/>
  <c r="R299" i="54"/>
  <c r="Q299" i="54"/>
  <c r="N299" i="54"/>
  <c r="Q283" i="54"/>
  <c r="R283" i="54"/>
  <c r="N283" i="54"/>
  <c r="Q267" i="54"/>
  <c r="R267" i="54"/>
  <c r="N267" i="54"/>
  <c r="O267" i="54" s="1"/>
  <c r="Q251" i="54"/>
  <c r="R251" i="54"/>
  <c r="N251" i="54"/>
  <c r="R232" i="54"/>
  <c r="N232" i="54"/>
  <c r="Q232" i="54"/>
  <c r="Q207" i="54"/>
  <c r="R207" i="54"/>
  <c r="N207" i="54"/>
  <c r="Q175" i="54"/>
  <c r="R175" i="54"/>
  <c r="N175" i="54"/>
  <c r="O175" i="54" s="1"/>
  <c r="Q143" i="54"/>
  <c r="R143" i="54"/>
  <c r="N143" i="54"/>
  <c r="Q111" i="54"/>
  <c r="R111" i="54"/>
  <c r="N111" i="54"/>
  <c r="Q79" i="54"/>
  <c r="R79" i="54"/>
  <c r="N79" i="54"/>
  <c r="Q47" i="54"/>
  <c r="R47" i="54"/>
  <c r="N47" i="54"/>
  <c r="O47" i="54" s="1"/>
  <c r="Q15" i="54"/>
  <c r="R15" i="54"/>
  <c r="N15" i="54"/>
  <c r="Q734" i="54"/>
  <c r="R734" i="54"/>
  <c r="N734" i="54"/>
  <c r="Q718" i="54"/>
  <c r="R718" i="54"/>
  <c r="N718" i="54"/>
  <c r="Q702" i="54"/>
  <c r="R702" i="54"/>
  <c r="N702" i="54"/>
  <c r="O702" i="54" s="1"/>
  <c r="Q686" i="54"/>
  <c r="R686" i="54"/>
  <c r="N686" i="54"/>
  <c r="Q670" i="54"/>
  <c r="R670" i="54"/>
  <c r="N670" i="54"/>
  <c r="Q654" i="54"/>
  <c r="R654" i="54"/>
  <c r="N654" i="54"/>
  <c r="Q638" i="54"/>
  <c r="R638" i="54"/>
  <c r="N638" i="54"/>
  <c r="O638" i="54" s="1"/>
  <c r="Q622" i="54"/>
  <c r="R622" i="54"/>
  <c r="N622" i="54"/>
  <c r="Q606" i="54"/>
  <c r="R606" i="54"/>
  <c r="N606" i="54"/>
  <c r="Q590" i="54"/>
  <c r="R590" i="54"/>
  <c r="N590" i="54"/>
  <c r="Q574" i="54"/>
  <c r="R574" i="54"/>
  <c r="N574" i="54"/>
  <c r="O574" i="54" s="1"/>
  <c r="Q558" i="54"/>
  <c r="R558" i="54"/>
  <c r="N558" i="54"/>
  <c r="Q542" i="54"/>
  <c r="R542" i="54"/>
  <c r="N542" i="54"/>
  <c r="Q526" i="54"/>
  <c r="R526" i="54"/>
  <c r="N526" i="54"/>
  <c r="Q510" i="54"/>
  <c r="R510" i="54"/>
  <c r="N510" i="54"/>
  <c r="O510" i="54" s="1"/>
  <c r="Q494" i="54"/>
  <c r="R494" i="54"/>
  <c r="N494" i="54"/>
  <c r="Q478" i="54"/>
  <c r="R478" i="54"/>
  <c r="N478" i="54"/>
  <c r="Q462" i="54"/>
  <c r="R462" i="54"/>
  <c r="N462" i="54"/>
  <c r="Q446" i="54"/>
  <c r="R446" i="54"/>
  <c r="N446" i="54"/>
  <c r="O446" i="54" s="1"/>
  <c r="Q430" i="54"/>
  <c r="R430" i="54"/>
  <c r="N430" i="54"/>
  <c r="Q414" i="54"/>
  <c r="R414" i="54"/>
  <c r="N414" i="54"/>
  <c r="Q398" i="54"/>
  <c r="R398" i="54"/>
  <c r="N398" i="54"/>
  <c r="Q382" i="54"/>
  <c r="R382" i="54"/>
  <c r="N382" i="54"/>
  <c r="O382" i="54" s="1"/>
  <c r="Q366" i="54"/>
  <c r="R366" i="54"/>
  <c r="N366" i="54"/>
  <c r="Q350" i="54"/>
  <c r="R350" i="54"/>
  <c r="N350" i="54"/>
  <c r="Q334" i="54"/>
  <c r="R334" i="54"/>
  <c r="N334" i="54"/>
  <c r="Q318" i="54"/>
  <c r="R318" i="54"/>
  <c r="N318" i="54"/>
  <c r="O318" i="54" s="1"/>
  <c r="Q302" i="54"/>
  <c r="R302" i="54"/>
  <c r="N302" i="54"/>
  <c r="N286" i="54"/>
  <c r="Q286" i="54"/>
  <c r="R286" i="54"/>
  <c r="N270" i="54"/>
  <c r="Q270" i="54"/>
  <c r="R270" i="54"/>
  <c r="N254" i="54"/>
  <c r="Q254" i="54"/>
  <c r="R254" i="54"/>
  <c r="R236" i="54"/>
  <c r="N236" i="54"/>
  <c r="Q236" i="54"/>
  <c r="R212" i="54"/>
  <c r="N212" i="54"/>
  <c r="Q212" i="54"/>
  <c r="R180" i="54"/>
  <c r="N180" i="54"/>
  <c r="O180" i="54" s="1"/>
  <c r="Q180" i="54"/>
  <c r="R148" i="54"/>
  <c r="N148" i="54"/>
  <c r="Q148" i="54"/>
  <c r="R116" i="54"/>
  <c r="N116" i="54"/>
  <c r="Q116" i="54"/>
  <c r="R84" i="54"/>
  <c r="N84" i="54"/>
  <c r="Q84" i="54"/>
  <c r="R52" i="54"/>
  <c r="N52" i="54"/>
  <c r="O52" i="54" s="1"/>
  <c r="Q52" i="54"/>
  <c r="R20" i="54"/>
  <c r="N20" i="54"/>
  <c r="Q20" i="54"/>
  <c r="N210" i="54"/>
  <c r="Q210" i="54"/>
  <c r="R210" i="54"/>
  <c r="N194" i="54"/>
  <c r="Q194" i="54"/>
  <c r="R194" i="54"/>
  <c r="N178" i="54"/>
  <c r="Q178" i="54"/>
  <c r="R178" i="54"/>
  <c r="N162" i="54"/>
  <c r="Q162" i="54"/>
  <c r="R162" i="54"/>
  <c r="N146" i="54"/>
  <c r="Q146" i="54"/>
  <c r="R146" i="54"/>
  <c r="N130" i="54"/>
  <c r="Q130" i="54"/>
  <c r="R130" i="54"/>
  <c r="N114" i="54"/>
  <c r="Q114" i="54"/>
  <c r="R114" i="54"/>
  <c r="N98" i="54"/>
  <c r="Q98" i="54"/>
  <c r="R98" i="54"/>
  <c r="N82" i="54"/>
  <c r="Q82" i="54"/>
  <c r="R82" i="54"/>
  <c r="N66" i="54"/>
  <c r="Q66" i="54"/>
  <c r="R66" i="54"/>
  <c r="N50" i="54"/>
  <c r="Q50" i="54"/>
  <c r="R50" i="54"/>
  <c r="N34" i="54"/>
  <c r="Q34" i="54"/>
  <c r="R34" i="54"/>
  <c r="N18" i="54"/>
  <c r="Q18" i="54"/>
  <c r="R18" i="54"/>
  <c r="N241" i="54"/>
  <c r="Q241" i="54"/>
  <c r="R241" i="54"/>
  <c r="N225" i="54"/>
  <c r="Q225" i="54"/>
  <c r="R225" i="54"/>
  <c r="N209" i="54"/>
  <c r="Q209" i="54"/>
  <c r="R209" i="54"/>
  <c r="N193" i="54"/>
  <c r="Q193" i="54"/>
  <c r="R193" i="54"/>
  <c r="N177" i="54"/>
  <c r="Q177" i="54"/>
  <c r="R177" i="54"/>
  <c r="N161" i="54"/>
  <c r="Q161" i="54"/>
  <c r="R161" i="54"/>
  <c r="N145" i="54"/>
  <c r="Q145" i="54"/>
  <c r="R145" i="54"/>
  <c r="N129" i="54"/>
  <c r="Q129" i="54"/>
  <c r="R129" i="54"/>
  <c r="N113" i="54"/>
  <c r="Q113" i="54"/>
  <c r="R113" i="54"/>
  <c r="N97" i="54"/>
  <c r="Q97" i="54"/>
  <c r="R97" i="54"/>
  <c r="N81" i="54"/>
  <c r="Q81" i="54"/>
  <c r="R81" i="54"/>
  <c r="N65" i="54"/>
  <c r="Q65" i="54"/>
  <c r="R65" i="54"/>
  <c r="N49" i="54"/>
  <c r="Q49" i="54"/>
  <c r="R49" i="54"/>
  <c r="N33" i="54"/>
  <c r="Q33" i="54"/>
  <c r="R33" i="54"/>
  <c r="N17" i="54"/>
  <c r="Q17" i="54"/>
  <c r="R17" i="54"/>
  <c r="R756" i="54"/>
  <c r="N756" i="54"/>
  <c r="Q756" i="54"/>
  <c r="R748" i="54"/>
  <c r="N748" i="54"/>
  <c r="Q748" i="54"/>
  <c r="Q754" i="54"/>
  <c r="R754" i="54"/>
  <c r="N754" i="54"/>
  <c r="N763" i="54"/>
  <c r="R763" i="54"/>
  <c r="Q763" i="54"/>
  <c r="R760" i="54"/>
  <c r="N760" i="54"/>
  <c r="Q760" i="54"/>
  <c r="N644" i="54"/>
  <c r="R644" i="54"/>
  <c r="Q644" i="54"/>
  <c r="N452" i="54"/>
  <c r="Q452" i="54"/>
  <c r="R452" i="54"/>
  <c r="N332" i="54"/>
  <c r="Q332" i="54"/>
  <c r="R332" i="54"/>
  <c r="R176" i="54"/>
  <c r="N176" i="54"/>
  <c r="Q176" i="54"/>
  <c r="N625" i="54"/>
  <c r="Q625" i="54"/>
  <c r="R625" i="54"/>
  <c r="N433" i="54"/>
  <c r="Q433" i="54"/>
  <c r="R433" i="54"/>
  <c r="R240" i="54"/>
  <c r="N240" i="54"/>
  <c r="Q240" i="54"/>
  <c r="Q11" i="54"/>
  <c r="R11" i="54"/>
  <c r="N11" i="54"/>
  <c r="R688" i="54"/>
  <c r="N688" i="54"/>
  <c r="Q688" i="54"/>
  <c r="N592" i="54"/>
  <c r="R592" i="54"/>
  <c r="Q592" i="54"/>
  <c r="N496" i="54"/>
  <c r="Q496" i="54"/>
  <c r="R496" i="54"/>
  <c r="N400" i="54"/>
  <c r="R400" i="54"/>
  <c r="Q400" i="54"/>
  <c r="N304" i="54"/>
  <c r="R304" i="54"/>
  <c r="Q304" i="54"/>
  <c r="R120" i="54"/>
  <c r="N120" i="54"/>
  <c r="O120" i="54" s="1"/>
  <c r="Q120" i="54"/>
  <c r="N668" i="54"/>
  <c r="R668" i="54"/>
  <c r="Q668" i="54"/>
  <c r="N540" i="54"/>
  <c r="Q540" i="54"/>
  <c r="R540" i="54"/>
  <c r="N348" i="54"/>
  <c r="Q348" i="54"/>
  <c r="R348" i="54"/>
  <c r="R64" i="54"/>
  <c r="N64" i="54"/>
  <c r="O64" i="54" s="1"/>
  <c r="Q64" i="54"/>
  <c r="N585" i="54"/>
  <c r="Q585" i="54"/>
  <c r="R585" i="54"/>
  <c r="N393" i="54"/>
  <c r="Q393" i="54"/>
  <c r="R393" i="54"/>
  <c r="N265" i="54"/>
  <c r="Q265" i="54"/>
  <c r="R265" i="54"/>
  <c r="N685" i="54"/>
  <c r="Q685" i="54"/>
  <c r="R685" i="54"/>
  <c r="N589" i="54"/>
  <c r="Q589" i="54"/>
  <c r="R589" i="54"/>
  <c r="N493" i="54"/>
  <c r="Q493" i="54"/>
  <c r="R493" i="54"/>
  <c r="N397" i="54"/>
  <c r="Q397" i="54"/>
  <c r="R397" i="54"/>
  <c r="N301" i="54"/>
  <c r="Q301" i="54"/>
  <c r="R301" i="54"/>
  <c r="Q179" i="54"/>
  <c r="R179" i="54"/>
  <c r="N179" i="54"/>
  <c r="O179" i="54" s="1"/>
  <c r="R739" i="54"/>
  <c r="N739" i="54"/>
  <c r="Q739" i="54"/>
  <c r="R691" i="54"/>
  <c r="N691" i="54"/>
  <c r="Q691" i="54"/>
  <c r="R659" i="54"/>
  <c r="N659" i="54"/>
  <c r="O659" i="54" s="1"/>
  <c r="Q659" i="54"/>
  <c r="R627" i="54"/>
  <c r="Q627" i="54"/>
  <c r="N627" i="54"/>
  <c r="R547" i="54"/>
  <c r="N547" i="54"/>
  <c r="Q547" i="54"/>
  <c r="R499" i="54"/>
  <c r="N499" i="54"/>
  <c r="Q499" i="54"/>
  <c r="R451" i="54"/>
  <c r="N451" i="54"/>
  <c r="O451" i="54" s="1"/>
  <c r="Q451" i="54"/>
  <c r="R403" i="54"/>
  <c r="Q403" i="54"/>
  <c r="N403" i="54"/>
  <c r="R355" i="54"/>
  <c r="Q355" i="54"/>
  <c r="N355" i="54"/>
  <c r="R307" i="54"/>
  <c r="Q307" i="54"/>
  <c r="N307" i="54"/>
  <c r="Q275" i="54"/>
  <c r="R275" i="54"/>
  <c r="N275" i="54"/>
  <c r="N222" i="54"/>
  <c r="Q222" i="54"/>
  <c r="R222" i="54"/>
  <c r="Q127" i="54"/>
  <c r="R127" i="54"/>
  <c r="N127" i="54"/>
  <c r="Q31" i="54"/>
  <c r="R31" i="54"/>
  <c r="N31" i="54"/>
  <c r="Q726" i="54"/>
  <c r="R726" i="54"/>
  <c r="N726" i="54"/>
  <c r="Q694" i="54"/>
  <c r="R694" i="54"/>
  <c r="N694" i="54"/>
  <c r="O694" i="54" s="1"/>
  <c r="Q646" i="54"/>
  <c r="R646" i="54"/>
  <c r="N646" i="54"/>
  <c r="Q598" i="54"/>
  <c r="R598" i="54"/>
  <c r="N598" i="54"/>
  <c r="Q550" i="54"/>
  <c r="R550" i="54"/>
  <c r="N550" i="54"/>
  <c r="Q502" i="54"/>
  <c r="R502" i="54"/>
  <c r="N502" i="54"/>
  <c r="O502" i="54" s="1"/>
  <c r="Q454" i="54"/>
  <c r="R454" i="54"/>
  <c r="N454" i="54"/>
  <c r="Q406" i="54"/>
  <c r="R406" i="54"/>
  <c r="N406" i="54"/>
  <c r="Q358" i="54"/>
  <c r="R358" i="54"/>
  <c r="N358" i="54"/>
  <c r="Q310" i="54"/>
  <c r="R310" i="54"/>
  <c r="N310" i="54"/>
  <c r="O310" i="54" s="1"/>
  <c r="N262" i="54"/>
  <c r="Q262" i="54"/>
  <c r="R262" i="54"/>
  <c r="R196" i="54"/>
  <c r="N196" i="54"/>
  <c r="Q196" i="54"/>
  <c r="R100" i="54"/>
  <c r="N100" i="54"/>
  <c r="O100" i="54" s="1"/>
  <c r="Q100" i="54"/>
  <c r="N218" i="54"/>
  <c r="Q218" i="54"/>
  <c r="R218" i="54"/>
  <c r="N170" i="54"/>
  <c r="Q170" i="54"/>
  <c r="R170" i="54"/>
  <c r="N138" i="54"/>
  <c r="Q138" i="54"/>
  <c r="R138" i="54"/>
  <c r="N90" i="54"/>
  <c r="Q90" i="54"/>
  <c r="R90" i="54"/>
  <c r="N26" i="54"/>
  <c r="Q26" i="54"/>
  <c r="R26" i="54"/>
  <c r="N217" i="54"/>
  <c r="Q217" i="54"/>
  <c r="R217" i="54"/>
  <c r="N169" i="54"/>
  <c r="Q169" i="54"/>
  <c r="R169" i="54"/>
  <c r="N121" i="54"/>
  <c r="Q121" i="54"/>
  <c r="R121" i="54"/>
  <c r="N73" i="54"/>
  <c r="Q73" i="54"/>
  <c r="R73" i="54"/>
  <c r="N25" i="54"/>
  <c r="Q25" i="54"/>
  <c r="R25" i="54"/>
  <c r="R752" i="54"/>
  <c r="N752" i="54"/>
  <c r="Q752" i="54"/>
  <c r="R724" i="54"/>
  <c r="N724" i="54"/>
  <c r="O724" i="54" s="1"/>
  <c r="Q724" i="54"/>
  <c r="N660" i="54"/>
  <c r="R660" i="54"/>
  <c r="Q660" i="54"/>
  <c r="N596" i="54"/>
  <c r="Q596" i="54"/>
  <c r="R596" i="54"/>
  <c r="N532" i="54"/>
  <c r="Q532" i="54"/>
  <c r="R532" i="54"/>
  <c r="N468" i="54"/>
  <c r="Q468" i="54"/>
  <c r="R468" i="54"/>
  <c r="N404" i="54"/>
  <c r="Q404" i="54"/>
  <c r="R404" i="54"/>
  <c r="N340" i="54"/>
  <c r="Q340" i="54"/>
  <c r="R340" i="54"/>
  <c r="R284" i="54"/>
  <c r="N284" i="54"/>
  <c r="Q284" i="54"/>
  <c r="R208" i="54"/>
  <c r="N208" i="54"/>
  <c r="O208" i="54" s="1"/>
  <c r="Q208" i="54"/>
  <c r="R80" i="54"/>
  <c r="N80" i="54"/>
  <c r="Q80" i="54"/>
  <c r="N705" i="54"/>
  <c r="Q705" i="54"/>
  <c r="R705" i="54"/>
  <c r="N641" i="54"/>
  <c r="Q641" i="54"/>
  <c r="R641" i="54"/>
  <c r="N577" i="54"/>
  <c r="Q577" i="54"/>
  <c r="R577" i="54"/>
  <c r="N513" i="54"/>
  <c r="Q513" i="54"/>
  <c r="R513" i="54"/>
  <c r="N449" i="54"/>
  <c r="Q449" i="54"/>
  <c r="R449" i="54"/>
  <c r="N385" i="54"/>
  <c r="Q385" i="54"/>
  <c r="R385" i="54"/>
  <c r="N321" i="54"/>
  <c r="Q321" i="54"/>
  <c r="R321" i="54"/>
  <c r="N257" i="54"/>
  <c r="Q257" i="54"/>
  <c r="R257" i="54"/>
  <c r="Q171" i="54"/>
  <c r="R171" i="54"/>
  <c r="N171" i="54"/>
  <c r="Q91" i="54"/>
  <c r="R91" i="54"/>
  <c r="N91" i="54"/>
  <c r="Q27" i="54"/>
  <c r="R27" i="54"/>
  <c r="N27" i="54"/>
  <c r="R728" i="54"/>
  <c r="N728" i="54"/>
  <c r="Q728" i="54"/>
  <c r="R696" i="54"/>
  <c r="N696" i="54"/>
  <c r="Q696" i="54"/>
  <c r="N664" i="54"/>
  <c r="Q664" i="54"/>
  <c r="R664" i="54"/>
  <c r="N632" i="54"/>
  <c r="R632" i="54"/>
  <c r="Q632" i="54"/>
  <c r="N600" i="54"/>
  <c r="R600" i="54"/>
  <c r="Q600" i="54"/>
  <c r="N568" i="54"/>
  <c r="R568" i="54"/>
  <c r="Q568" i="54"/>
  <c r="N536" i="54"/>
  <c r="Q536" i="54"/>
  <c r="R536" i="54"/>
  <c r="N504" i="54"/>
  <c r="Q504" i="54"/>
  <c r="R504" i="54"/>
  <c r="N472" i="54"/>
  <c r="Q472" i="54"/>
  <c r="R472" i="54"/>
  <c r="N440" i="54"/>
  <c r="Q440" i="54"/>
  <c r="R440" i="54"/>
  <c r="N408" i="54"/>
  <c r="R408" i="54"/>
  <c r="Q408" i="54"/>
  <c r="N376" i="54"/>
  <c r="R376" i="54"/>
  <c r="Q376" i="54"/>
  <c r="N344" i="54"/>
  <c r="R344" i="54"/>
  <c r="Q344" i="54"/>
  <c r="N312" i="54"/>
  <c r="R312" i="54"/>
  <c r="Q312" i="54"/>
  <c r="R280" i="54"/>
  <c r="N280" i="54"/>
  <c r="Q280" i="54"/>
  <c r="R248" i="54"/>
  <c r="N248" i="54"/>
  <c r="O248" i="54" s="1"/>
  <c r="Q248" i="54"/>
  <c r="R200" i="54"/>
  <c r="N200" i="54"/>
  <c r="Q200" i="54"/>
  <c r="R136" i="54"/>
  <c r="N136" i="54"/>
  <c r="Q136" i="54"/>
  <c r="R72" i="54"/>
  <c r="N72" i="54"/>
  <c r="Q72" i="54"/>
  <c r="R8" i="54"/>
  <c r="N8" i="54"/>
  <c r="O8" i="54" s="1"/>
  <c r="Q8" i="54"/>
  <c r="N684" i="54"/>
  <c r="Q684" i="54"/>
  <c r="R684" i="54"/>
  <c r="N620" i="54"/>
  <c r="Q620" i="54"/>
  <c r="R620" i="54"/>
  <c r="N556" i="54"/>
  <c r="Q556" i="54"/>
  <c r="R556" i="54"/>
  <c r="N492" i="54"/>
  <c r="Q492" i="54"/>
  <c r="R492" i="54"/>
  <c r="N428" i="54"/>
  <c r="Q428" i="54"/>
  <c r="R428" i="54"/>
  <c r="N364" i="54"/>
  <c r="Q364" i="54"/>
  <c r="R364" i="54"/>
  <c r="N292" i="54"/>
  <c r="Q292" i="54"/>
  <c r="R292" i="54"/>
  <c r="Q223" i="54"/>
  <c r="R223" i="54"/>
  <c r="N223" i="54"/>
  <c r="R96" i="54"/>
  <c r="N96" i="54"/>
  <c r="Q96" i="54"/>
  <c r="N729" i="54"/>
  <c r="Q729" i="54"/>
  <c r="R729" i="54"/>
  <c r="N665" i="54"/>
  <c r="Q665" i="54"/>
  <c r="R665" i="54"/>
  <c r="N601" i="54"/>
  <c r="Q601" i="54"/>
  <c r="R601" i="54"/>
  <c r="N537" i="54"/>
  <c r="Q537" i="54"/>
  <c r="R537" i="54"/>
  <c r="N473" i="54"/>
  <c r="Q473" i="54"/>
  <c r="R473" i="54"/>
  <c r="N409" i="54"/>
  <c r="Q409" i="54"/>
  <c r="R409" i="54"/>
  <c r="N345" i="54"/>
  <c r="Q345" i="54"/>
  <c r="R345" i="54"/>
  <c r="N281" i="54"/>
  <c r="Q281" i="54"/>
  <c r="R281" i="54"/>
  <c r="Q203" i="54"/>
  <c r="R203" i="54"/>
  <c r="N203" i="54"/>
  <c r="N725" i="54"/>
  <c r="Q725" i="54"/>
  <c r="R725" i="54"/>
  <c r="N693" i="54"/>
  <c r="Q693" i="54"/>
  <c r="R693" i="54"/>
  <c r="N661" i="54"/>
  <c r="Q661" i="54"/>
  <c r="R661" i="54"/>
  <c r="N629" i="54"/>
  <c r="Q629" i="54"/>
  <c r="R629" i="54"/>
  <c r="N597" i="54"/>
  <c r="Q597" i="54"/>
  <c r="R597" i="54"/>
  <c r="N565" i="54"/>
  <c r="Q565" i="54"/>
  <c r="R565" i="54"/>
  <c r="N533" i="54"/>
  <c r="Q533" i="54"/>
  <c r="R533" i="54"/>
  <c r="N501" i="54"/>
  <c r="Q501" i="54"/>
  <c r="R501" i="54"/>
  <c r="N469" i="54"/>
  <c r="Q469" i="54"/>
  <c r="R469" i="54"/>
  <c r="N437" i="54"/>
  <c r="Q437" i="54"/>
  <c r="R437" i="54"/>
  <c r="N405" i="54"/>
  <c r="Q405" i="54"/>
  <c r="R405" i="54"/>
  <c r="N373" i="54"/>
  <c r="Q373" i="54"/>
  <c r="R373" i="54"/>
  <c r="N341" i="54"/>
  <c r="Q341" i="54"/>
  <c r="R341" i="54"/>
  <c r="N309" i="54"/>
  <c r="Q309" i="54"/>
  <c r="R309" i="54"/>
  <c r="N277" i="54"/>
  <c r="Q277" i="54"/>
  <c r="R277" i="54"/>
  <c r="N245" i="54"/>
  <c r="Q245" i="54"/>
  <c r="R245" i="54"/>
  <c r="Q195" i="54"/>
  <c r="R195" i="54"/>
  <c r="N195" i="54"/>
  <c r="Q131" i="54"/>
  <c r="R131" i="54"/>
  <c r="N131" i="54"/>
  <c r="Q67" i="54"/>
  <c r="R67" i="54"/>
  <c r="N67" i="54"/>
  <c r="O67" i="54" s="1"/>
  <c r="R743" i="54"/>
  <c r="N743" i="54"/>
  <c r="Q743" i="54"/>
  <c r="R727" i="54"/>
  <c r="N727" i="54"/>
  <c r="Q727" i="54"/>
  <c r="R711" i="54"/>
  <c r="N711" i="54"/>
  <c r="O711" i="54" s="1"/>
  <c r="Q711" i="54"/>
  <c r="R695" i="54"/>
  <c r="N695" i="54"/>
  <c r="Q695" i="54"/>
  <c r="R679" i="54"/>
  <c r="Q679" i="54"/>
  <c r="N679" i="54"/>
  <c r="R663" i="54"/>
  <c r="Q663" i="54"/>
  <c r="N663" i="54"/>
  <c r="R647" i="54"/>
  <c r="Q647" i="54"/>
  <c r="N647" i="54"/>
  <c r="R631" i="54"/>
  <c r="N631" i="54"/>
  <c r="Q631" i="54"/>
  <c r="R615" i="54"/>
  <c r="N615" i="54"/>
  <c r="Q615" i="54"/>
  <c r="R599" i="54"/>
  <c r="N599" i="54"/>
  <c r="Q599" i="54"/>
  <c r="R583" i="54"/>
  <c r="N583" i="54"/>
  <c r="O583" i="54" s="1"/>
  <c r="Q583" i="54"/>
  <c r="R567" i="54"/>
  <c r="N567" i="54"/>
  <c r="Q567" i="54"/>
  <c r="R551" i="54"/>
  <c r="N551" i="54"/>
  <c r="Q551" i="54"/>
  <c r="R535" i="54"/>
  <c r="N535" i="54"/>
  <c r="Q535" i="54"/>
  <c r="R519" i="54"/>
  <c r="N519" i="54"/>
  <c r="O519" i="54" s="1"/>
  <c r="Q519" i="54"/>
  <c r="R503" i="54"/>
  <c r="N503" i="54"/>
  <c r="Q503" i="54"/>
  <c r="R487" i="54"/>
  <c r="N487" i="54"/>
  <c r="Q487" i="54"/>
  <c r="R471" i="54"/>
  <c r="N471" i="54"/>
  <c r="Q471" i="54"/>
  <c r="R455" i="54"/>
  <c r="N455" i="54"/>
  <c r="O455" i="54" s="1"/>
  <c r="Q455" i="54"/>
  <c r="R439" i="54"/>
  <c r="N439" i="54"/>
  <c r="Q439" i="54"/>
  <c r="R423" i="54"/>
  <c r="N423" i="54"/>
  <c r="Q423" i="54"/>
  <c r="R407" i="54"/>
  <c r="N407" i="54"/>
  <c r="Q407" i="54"/>
  <c r="R391" i="54"/>
  <c r="N391" i="54"/>
  <c r="O391" i="54" s="1"/>
  <c r="Q391" i="54"/>
  <c r="R375" i="54"/>
  <c r="N375" i="54"/>
  <c r="Q375" i="54"/>
  <c r="R359" i="54"/>
  <c r="N359" i="54"/>
  <c r="Q359" i="54"/>
  <c r="R343" i="54"/>
  <c r="N343" i="54"/>
  <c r="Q343" i="54"/>
  <c r="R327" i="54"/>
  <c r="N327" i="54"/>
  <c r="O327" i="54" s="1"/>
  <c r="Q327" i="54"/>
  <c r="R311" i="54"/>
  <c r="N311" i="54"/>
  <c r="Q311" i="54"/>
  <c r="R295" i="54"/>
  <c r="N295" i="54"/>
  <c r="Q295" i="54"/>
  <c r="Q279" i="54"/>
  <c r="R279" i="54"/>
  <c r="N279" i="54"/>
  <c r="Q263" i="54"/>
  <c r="R263" i="54"/>
  <c r="N263" i="54"/>
  <c r="Q247" i="54"/>
  <c r="R247" i="54"/>
  <c r="N247" i="54"/>
  <c r="O247" i="54" s="1"/>
  <c r="Q227" i="54"/>
  <c r="R227" i="54"/>
  <c r="N227" i="54"/>
  <c r="Q199" i="54"/>
  <c r="R199" i="54"/>
  <c r="N199" i="54"/>
  <c r="Q167" i="54"/>
  <c r="R167" i="54"/>
  <c r="N167" i="54"/>
  <c r="Q135" i="54"/>
  <c r="R135" i="54"/>
  <c r="N135" i="54"/>
  <c r="O135" i="54" s="1"/>
  <c r="Q103" i="54"/>
  <c r="R103" i="54"/>
  <c r="N103" i="54"/>
  <c r="Q71" i="54"/>
  <c r="R71" i="54"/>
  <c r="N71" i="54"/>
  <c r="Q39" i="54"/>
  <c r="R39" i="54"/>
  <c r="N39" i="54"/>
  <c r="N7" i="54"/>
  <c r="Q7" i="54"/>
  <c r="R7" i="54"/>
  <c r="Q730" i="54"/>
  <c r="R730" i="54"/>
  <c r="N730" i="54"/>
  <c r="Q714" i="54"/>
  <c r="R714" i="54"/>
  <c r="N714" i="54"/>
  <c r="Q698" i="54"/>
  <c r="R698" i="54"/>
  <c r="N698" i="54"/>
  <c r="Q682" i="54"/>
  <c r="R682" i="54"/>
  <c r="N682" i="54"/>
  <c r="O682" i="54" s="1"/>
  <c r="Q666" i="54"/>
  <c r="R666" i="54"/>
  <c r="N666" i="54"/>
  <c r="Q650" i="54"/>
  <c r="R650" i="54"/>
  <c r="N650" i="54"/>
  <c r="Q634" i="54"/>
  <c r="R634" i="54"/>
  <c r="N634" i="54"/>
  <c r="Q618" i="54"/>
  <c r="R618" i="54"/>
  <c r="N618" i="54"/>
  <c r="O618" i="54" s="1"/>
  <c r="Q602" i="54"/>
  <c r="R602" i="54"/>
  <c r="N602" i="54"/>
  <c r="Q586" i="54"/>
  <c r="R586" i="54"/>
  <c r="N586" i="54"/>
  <c r="Q570" i="54"/>
  <c r="R570" i="54"/>
  <c r="N570" i="54"/>
  <c r="Q554" i="54"/>
  <c r="R554" i="54"/>
  <c r="N554" i="54"/>
  <c r="O554" i="54" s="1"/>
  <c r="Q538" i="54"/>
  <c r="R538" i="54"/>
  <c r="N538" i="54"/>
  <c r="Q522" i="54"/>
  <c r="R522" i="54"/>
  <c r="N522" i="54"/>
  <c r="Q506" i="54"/>
  <c r="R506" i="54"/>
  <c r="N506" i="54"/>
  <c r="Q490" i="54"/>
  <c r="R490" i="54"/>
  <c r="N490" i="54"/>
  <c r="O490" i="54" s="1"/>
  <c r="Q474" i="54"/>
  <c r="R474" i="54"/>
  <c r="N474" i="54"/>
  <c r="Q458" i="54"/>
  <c r="R458" i="54"/>
  <c r="N458" i="54"/>
  <c r="Q442" i="54"/>
  <c r="R442" i="54"/>
  <c r="N442" i="54"/>
  <c r="Q426" i="54"/>
  <c r="R426" i="54"/>
  <c r="N426" i="54"/>
  <c r="O426" i="54" s="1"/>
  <c r="Q410" i="54"/>
  <c r="R410" i="54"/>
  <c r="N410" i="54"/>
  <c r="Q394" i="54"/>
  <c r="R394" i="54"/>
  <c r="N394" i="54"/>
  <c r="Q378" i="54"/>
  <c r="R378" i="54"/>
  <c r="N378" i="54"/>
  <c r="Q362" i="54"/>
  <c r="R362" i="54"/>
  <c r="N362" i="54"/>
  <c r="O362" i="54" s="1"/>
  <c r="Q346" i="54"/>
  <c r="R346" i="54"/>
  <c r="N346" i="54"/>
  <c r="Q330" i="54"/>
  <c r="R330" i="54"/>
  <c r="N330" i="54"/>
  <c r="Q314" i="54"/>
  <c r="R314" i="54"/>
  <c r="N314" i="54"/>
  <c r="Q298" i="54"/>
  <c r="R298" i="54"/>
  <c r="N298" i="54"/>
  <c r="O298" i="54" s="1"/>
  <c r="N282" i="54"/>
  <c r="Q282" i="54"/>
  <c r="R282" i="54"/>
  <c r="N266" i="54"/>
  <c r="Q266" i="54"/>
  <c r="R266" i="54"/>
  <c r="N250" i="54"/>
  <c r="Q250" i="54"/>
  <c r="R250" i="54"/>
  <c r="Q231" i="54"/>
  <c r="R231" i="54"/>
  <c r="N231" i="54"/>
  <c r="O231" i="54" s="1"/>
  <c r="R204" i="54"/>
  <c r="N204" i="54"/>
  <c r="Q204" i="54"/>
  <c r="R172" i="54"/>
  <c r="N172" i="54"/>
  <c r="Q172" i="54"/>
  <c r="R140" i="54"/>
  <c r="N140" i="54"/>
  <c r="O140" i="54" s="1"/>
  <c r="Q140" i="54"/>
  <c r="R108" i="54"/>
  <c r="N108" i="54"/>
  <c r="Q108" i="54"/>
  <c r="R76" i="54"/>
  <c r="N76" i="54"/>
  <c r="Q76" i="54"/>
  <c r="R44" i="54"/>
  <c r="N44" i="54"/>
  <c r="Q44" i="54"/>
  <c r="R12" i="54"/>
  <c r="N12" i="54"/>
  <c r="O12" i="54" s="1"/>
  <c r="Q12" i="54"/>
  <c r="N206" i="54"/>
  <c r="Q206" i="54"/>
  <c r="R206" i="54"/>
  <c r="N190" i="54"/>
  <c r="Q190" i="54"/>
  <c r="R190" i="54"/>
  <c r="N174" i="54"/>
  <c r="Q174" i="54"/>
  <c r="R174" i="54"/>
  <c r="N158" i="54"/>
  <c r="Q158" i="54"/>
  <c r="R158" i="54"/>
  <c r="N142" i="54"/>
  <c r="Q142" i="54"/>
  <c r="R142" i="54"/>
  <c r="N126" i="54"/>
  <c r="Q126" i="54"/>
  <c r="R126" i="54"/>
  <c r="N110" i="54"/>
  <c r="Q110" i="54"/>
  <c r="R110" i="54"/>
  <c r="N94" i="54"/>
  <c r="Q94" i="54"/>
  <c r="R94" i="54"/>
  <c r="N78" i="54"/>
  <c r="Q78" i="54"/>
  <c r="R78" i="54"/>
  <c r="N62" i="54"/>
  <c r="Q62" i="54"/>
  <c r="R62" i="54"/>
  <c r="N46" i="54"/>
  <c r="Q46" i="54"/>
  <c r="R46" i="54"/>
  <c r="N30" i="54"/>
  <c r="Q30" i="54"/>
  <c r="R30" i="54"/>
  <c r="N14" i="54"/>
  <c r="Q14" i="54"/>
  <c r="R14" i="54"/>
  <c r="N237" i="54"/>
  <c r="Q237" i="54"/>
  <c r="R237" i="54"/>
  <c r="N221" i="54"/>
  <c r="Q221" i="54"/>
  <c r="R221" i="54"/>
  <c r="N205" i="54"/>
  <c r="Q205" i="54"/>
  <c r="R205" i="54"/>
  <c r="N189" i="54"/>
  <c r="Q189" i="54"/>
  <c r="R189" i="54"/>
  <c r="N173" i="54"/>
  <c r="Q173" i="54"/>
  <c r="R173" i="54"/>
  <c r="N157" i="54"/>
  <c r="Q157" i="54"/>
  <c r="R157" i="54"/>
  <c r="N141" i="54"/>
  <c r="Q141" i="54"/>
  <c r="R141" i="54"/>
  <c r="N125" i="54"/>
  <c r="Q125" i="54"/>
  <c r="R125" i="54"/>
  <c r="N109" i="54"/>
  <c r="Q109" i="54"/>
  <c r="R109" i="54"/>
  <c r="N93" i="54"/>
  <c r="Q93" i="54"/>
  <c r="R93" i="54"/>
  <c r="N77" i="54"/>
  <c r="Q77" i="54"/>
  <c r="R77" i="54"/>
  <c r="N61" i="54"/>
  <c r="Q61" i="54"/>
  <c r="R61" i="54"/>
  <c r="N45" i="54"/>
  <c r="Q45" i="54"/>
  <c r="R45" i="54"/>
  <c r="N29" i="54"/>
  <c r="Q29" i="54"/>
  <c r="R29" i="54"/>
  <c r="N13" i="54"/>
  <c r="Q13" i="54"/>
  <c r="R13" i="54"/>
  <c r="R747" i="54"/>
  <c r="N747" i="54"/>
  <c r="Q747" i="54"/>
  <c r="N753" i="54"/>
  <c r="Q753" i="54"/>
  <c r="R753" i="54"/>
  <c r="R759" i="54"/>
  <c r="N759" i="54"/>
  <c r="Q759" i="54"/>
  <c r="R751" i="54"/>
  <c r="N751" i="54"/>
  <c r="O751" i="54" s="1"/>
  <c r="Q751" i="54"/>
  <c r="Q762" i="54"/>
  <c r="R762" i="54"/>
  <c r="N762" i="54"/>
  <c r="O762" i="54" s="1"/>
  <c r="N761" i="54"/>
  <c r="Q761" i="54"/>
  <c r="R761" i="54"/>
  <c r="R4" i="54"/>
  <c r="N4" i="54"/>
  <c r="Q4" i="54"/>
  <c r="L42" i="53"/>
  <c r="K42" i="53"/>
  <c r="J42" i="53"/>
  <c r="O53" i="66" l="1"/>
  <c r="G26" i="66"/>
  <c r="I26" i="66" s="1"/>
  <c r="E25" i="66"/>
  <c r="F25" i="66"/>
  <c r="L26" i="66" s="1"/>
  <c r="D53" i="66"/>
  <c r="J26" i="66"/>
  <c r="V16" i="64"/>
  <c r="AB16" i="64" s="1"/>
  <c r="V11" i="64"/>
  <c r="AB11" i="64" s="1"/>
  <c r="V17" i="64"/>
  <c r="AB17" i="64" s="1"/>
  <c r="V12" i="64"/>
  <c r="AB12" i="64" s="1"/>
  <c r="V18" i="64"/>
  <c r="AB18" i="64" s="1"/>
  <c r="V14" i="64"/>
  <c r="AB14" i="64" s="1"/>
  <c r="V6" i="64"/>
  <c r="AB6" i="64" s="1"/>
  <c r="V9" i="64"/>
  <c r="AB9" i="64" s="1"/>
  <c r="V8" i="64"/>
  <c r="AB8" i="64" s="1"/>
  <c r="V13" i="64"/>
  <c r="AB13" i="64" s="1"/>
  <c r="V7" i="64"/>
  <c r="AB7" i="64" s="1"/>
  <c r="V5" i="64"/>
  <c r="AB5" i="64" s="1"/>
  <c r="V19" i="64"/>
  <c r="AB19" i="64" s="1"/>
  <c r="V10" i="64"/>
  <c r="AB10" i="64" s="1"/>
  <c r="V15" i="64"/>
  <c r="AB15" i="64" s="1"/>
  <c r="K43" i="53"/>
  <c r="W9" i="64"/>
  <c r="AC9" i="64" s="1"/>
  <c r="W7" i="64"/>
  <c r="AC7" i="64" s="1"/>
  <c r="W5" i="64"/>
  <c r="AC5" i="64" s="1"/>
  <c r="W10" i="64"/>
  <c r="AC10" i="64" s="1"/>
  <c r="W6" i="64"/>
  <c r="AC6" i="64" s="1"/>
  <c r="W8" i="64"/>
  <c r="AC8" i="64" s="1"/>
  <c r="W13" i="64"/>
  <c r="AC13" i="64" s="1"/>
  <c r="W17" i="64"/>
  <c r="AC17" i="64" s="1"/>
  <c r="W11" i="64"/>
  <c r="AC11" i="64" s="1"/>
  <c r="W16" i="64"/>
  <c r="AC16" i="64" s="1"/>
  <c r="W18" i="64"/>
  <c r="AC18" i="64" s="1"/>
  <c r="W15" i="64"/>
  <c r="AC15" i="64" s="1"/>
  <c r="W19" i="64"/>
  <c r="AC19" i="64" s="1"/>
  <c r="W12" i="64"/>
  <c r="AC12" i="64" s="1"/>
  <c r="W14" i="64"/>
  <c r="AC14" i="64" s="1"/>
  <c r="J43" i="53"/>
  <c r="T572" i="54" s="1"/>
  <c r="U17" i="64"/>
  <c r="AA17" i="64" s="1"/>
  <c r="U9" i="64"/>
  <c r="AA9" i="64" s="1"/>
  <c r="U5" i="64"/>
  <c r="AA5" i="64" s="1"/>
  <c r="U18" i="64"/>
  <c r="AA18" i="64" s="1"/>
  <c r="U12" i="64"/>
  <c r="AA12" i="64" s="1"/>
  <c r="U11" i="64"/>
  <c r="AA11" i="64" s="1"/>
  <c r="U19" i="64"/>
  <c r="AA19" i="64" s="1"/>
  <c r="U14" i="64"/>
  <c r="AA14" i="64" s="1"/>
  <c r="U6" i="64"/>
  <c r="AA6" i="64" s="1"/>
  <c r="U16" i="64"/>
  <c r="AA16" i="64" s="1"/>
  <c r="U13" i="64"/>
  <c r="AA13" i="64" s="1"/>
  <c r="U15" i="64"/>
  <c r="AA15" i="64" s="1"/>
  <c r="U7" i="64"/>
  <c r="AA7" i="64" s="1"/>
  <c r="U10" i="64"/>
  <c r="AA10" i="64" s="1"/>
  <c r="U8" i="64"/>
  <c r="AA8" i="64" s="1"/>
  <c r="V425" i="54"/>
  <c r="V256" i="54"/>
  <c r="V235" i="54"/>
  <c r="X466" i="54"/>
  <c r="V466" i="54"/>
  <c r="T466" i="54"/>
  <c r="V319" i="54"/>
  <c r="X655" i="54"/>
  <c r="V655" i="54"/>
  <c r="T655" i="54"/>
  <c r="X634" i="54"/>
  <c r="V634" i="54"/>
  <c r="T634" i="54"/>
  <c r="X487" i="54"/>
  <c r="V487" i="54"/>
  <c r="T487" i="54"/>
  <c r="V277" i="54"/>
  <c r="X550" i="54"/>
  <c r="V550" i="54"/>
  <c r="T550" i="54"/>
  <c r="X403" i="54"/>
  <c r="V403" i="54"/>
  <c r="T403" i="54"/>
  <c r="X739" i="54"/>
  <c r="V739" i="54"/>
  <c r="T739" i="54"/>
  <c r="V760" i="54"/>
  <c r="X760" i="54"/>
  <c r="T760" i="54"/>
  <c r="X718" i="54"/>
  <c r="V718" i="54"/>
  <c r="T718" i="54"/>
  <c r="T445" i="54"/>
  <c r="X445" i="54"/>
  <c r="V445" i="54"/>
  <c r="T361" i="54"/>
  <c r="X361" i="54"/>
  <c r="V361" i="54"/>
  <c r="V508" i="54"/>
  <c r="X508" i="54"/>
  <c r="T508" i="54"/>
  <c r="V676" i="54"/>
  <c r="X676" i="54"/>
  <c r="T676" i="54"/>
  <c r="V214" i="54"/>
  <c r="X781" i="54"/>
  <c r="V781" i="54"/>
  <c r="T781" i="54"/>
  <c r="V4" i="54"/>
  <c r="T2" i="54"/>
  <c r="V109" i="54"/>
  <c r="V172" i="54"/>
  <c r="V298" i="54"/>
  <c r="V67" i="54"/>
  <c r="V340" i="54"/>
  <c r="T340" i="54"/>
  <c r="X340" i="54"/>
  <c r="V25" i="54"/>
  <c r="V193" i="54"/>
  <c r="X382" i="54"/>
  <c r="V382" i="54"/>
  <c r="T382" i="54"/>
  <c r="X571" i="54"/>
  <c r="V571" i="54"/>
  <c r="T571" i="54"/>
  <c r="X529" i="54"/>
  <c r="V529" i="54"/>
  <c r="T529" i="54"/>
  <c r="V151" i="54"/>
  <c r="V424" i="54"/>
  <c r="T424" i="54"/>
  <c r="X424" i="54"/>
  <c r="V46" i="54"/>
  <c r="V592" i="54"/>
  <c r="X592" i="54"/>
  <c r="T592" i="54"/>
  <c r="V130" i="54"/>
  <c r="V88" i="54"/>
  <c r="X613" i="54"/>
  <c r="V613" i="54"/>
  <c r="T613" i="54"/>
  <c r="X697" i="54"/>
  <c r="V697" i="54"/>
  <c r="T697" i="54"/>
  <c r="O794" i="54"/>
  <c r="O790" i="54"/>
  <c r="O787" i="54"/>
  <c r="O344" i="54"/>
  <c r="O600" i="54"/>
  <c r="O660" i="54"/>
  <c r="O668" i="54"/>
  <c r="O763" i="54"/>
  <c r="O4" i="54"/>
  <c r="O761" i="54"/>
  <c r="O759" i="54"/>
  <c r="O753" i="54"/>
  <c r="O45" i="54"/>
  <c r="O109" i="54"/>
  <c r="O173" i="54"/>
  <c r="O237" i="54"/>
  <c r="O62" i="54"/>
  <c r="O126" i="54"/>
  <c r="O190" i="54"/>
  <c r="O44" i="54"/>
  <c r="O172" i="54"/>
  <c r="O282" i="54"/>
  <c r="O314" i="54"/>
  <c r="O378" i="54"/>
  <c r="O442" i="54"/>
  <c r="O506" i="54"/>
  <c r="O570" i="54"/>
  <c r="O634" i="54"/>
  <c r="O698" i="54"/>
  <c r="O39" i="54"/>
  <c r="O263" i="54"/>
  <c r="O343" i="54"/>
  <c r="O647" i="54"/>
  <c r="O245" i="54"/>
  <c r="O373" i="54"/>
  <c r="O501" i="54"/>
  <c r="O629" i="54"/>
  <c r="O473" i="54"/>
  <c r="O729" i="54"/>
  <c r="O364" i="54"/>
  <c r="O620" i="54"/>
  <c r="O440" i="54"/>
  <c r="O449" i="54"/>
  <c r="O705" i="54"/>
  <c r="O340" i="54"/>
  <c r="O596" i="54"/>
  <c r="O25" i="54"/>
  <c r="O217" i="54"/>
  <c r="O170" i="54"/>
  <c r="O262" i="54"/>
  <c r="O493" i="54"/>
  <c r="O393" i="54"/>
  <c r="O540" i="54"/>
  <c r="O65" i="54"/>
  <c r="O129" i="54"/>
  <c r="O193" i="54"/>
  <c r="O18" i="54"/>
  <c r="O82" i="54"/>
  <c r="O146" i="54"/>
  <c r="O210" i="54"/>
  <c r="O347" i="54"/>
  <c r="O411" i="54"/>
  <c r="O603" i="54"/>
  <c r="Z781" i="54"/>
  <c r="AF781" i="54" s="1"/>
  <c r="AJ781" i="54" s="1"/>
  <c r="AB781" i="54"/>
  <c r="AG781" i="54" s="1"/>
  <c r="AK781" i="54" s="1"/>
  <c r="O774" i="54"/>
  <c r="O779" i="54"/>
  <c r="O765" i="54"/>
  <c r="O775" i="54"/>
  <c r="O384" i="54"/>
  <c r="O640" i="54"/>
  <c r="O368" i="54"/>
  <c r="O671" i="54"/>
  <c r="O293" i="54"/>
  <c r="O421" i="54"/>
  <c r="O549" i="54"/>
  <c r="O677" i="54"/>
  <c r="O313" i="54"/>
  <c r="O569" i="54"/>
  <c r="O460" i="54"/>
  <c r="O360" i="54"/>
  <c r="O488" i="54"/>
  <c r="O616" i="54"/>
  <c r="O289" i="54"/>
  <c r="O545" i="54"/>
  <c r="O436" i="54"/>
  <c r="O89" i="54"/>
  <c r="O58" i="54"/>
  <c r="O438" i="54"/>
  <c r="O630" i="54"/>
  <c r="O159" i="54"/>
  <c r="O387" i="54"/>
  <c r="O435" i="54"/>
  <c r="O563" i="54"/>
  <c r="O115" i="54"/>
  <c r="O365" i="54"/>
  <c r="O192" i="54"/>
  <c r="O412" i="54"/>
  <c r="O336" i="54"/>
  <c r="O32" i="54"/>
  <c r="O799" i="54"/>
  <c r="O781" i="54"/>
  <c r="O768" i="54"/>
  <c r="O778" i="54"/>
  <c r="O796" i="54"/>
  <c r="O764" i="54"/>
  <c r="O798" i="54"/>
  <c r="O795" i="54"/>
  <c r="O780" i="54"/>
  <c r="O60" i="54"/>
  <c r="O188" i="54"/>
  <c r="O322" i="54"/>
  <c r="O386" i="54"/>
  <c r="O450" i="54"/>
  <c r="O514" i="54"/>
  <c r="O578" i="54"/>
  <c r="O642" i="54"/>
  <c r="O706" i="54"/>
  <c r="O55" i="54"/>
  <c r="O183" i="54"/>
  <c r="O271" i="54"/>
  <c r="O351" i="54"/>
  <c r="O415" i="54"/>
  <c r="O479" i="54"/>
  <c r="O543" i="54"/>
  <c r="O607" i="54"/>
  <c r="O735" i="54"/>
  <c r="O163" i="54"/>
  <c r="O224" i="54"/>
  <c r="O104" i="54"/>
  <c r="O680" i="54"/>
  <c r="O59" i="54"/>
  <c r="O792" i="54"/>
  <c r="O800" i="54"/>
  <c r="O788" i="54"/>
  <c r="O766" i="54"/>
  <c r="O771" i="54"/>
  <c r="O769" i="54"/>
  <c r="O167" i="54"/>
  <c r="O312" i="54"/>
  <c r="O568" i="54"/>
  <c r="O400" i="54"/>
  <c r="O352" i="54"/>
  <c r="O608" i="54"/>
  <c r="O676" i="54"/>
  <c r="O624" i="54"/>
  <c r="O221" i="54"/>
  <c r="O110" i="54"/>
  <c r="O341" i="54"/>
  <c r="O725" i="54"/>
  <c r="O292" i="54"/>
  <c r="O536" i="54"/>
  <c r="O532" i="54"/>
  <c r="O169" i="54"/>
  <c r="O627" i="54"/>
  <c r="O348" i="54"/>
  <c r="O113" i="54"/>
  <c r="O66" i="54"/>
  <c r="O130" i="54"/>
  <c r="O194" i="54"/>
  <c r="O286" i="54"/>
  <c r="O331" i="54"/>
  <c r="O395" i="54"/>
  <c r="O587" i="54"/>
  <c r="O253" i="54"/>
  <c r="O381" i="54"/>
  <c r="O509" i="54"/>
  <c r="O637" i="54"/>
  <c r="O230" i="54"/>
  <c r="O489" i="54"/>
  <c r="O380" i="54"/>
  <c r="O636" i="54"/>
  <c r="O448" i="54"/>
  <c r="O465" i="54"/>
  <c r="O721" i="54"/>
  <c r="O356" i="54"/>
  <c r="O612" i="54"/>
  <c r="O201" i="54"/>
  <c r="O122" i="54"/>
  <c r="O226" i="54"/>
  <c r="O323" i="54"/>
  <c r="O621" i="54"/>
  <c r="O713" i="54"/>
  <c r="O369" i="54"/>
  <c r="O516" i="54"/>
  <c r="O749" i="54"/>
  <c r="O37" i="54"/>
  <c r="O101" i="54"/>
  <c r="O165" i="54"/>
  <c r="O229" i="54"/>
  <c r="O54" i="54"/>
  <c r="O118" i="54"/>
  <c r="O182" i="54"/>
  <c r="O29" i="54"/>
  <c r="O93" i="54"/>
  <c r="O157" i="54"/>
  <c r="O46" i="54"/>
  <c r="O174" i="54"/>
  <c r="O266" i="54"/>
  <c r="O469" i="54"/>
  <c r="O597" i="54"/>
  <c r="O409" i="54"/>
  <c r="O665" i="54"/>
  <c r="O556" i="54"/>
  <c r="O664" i="54"/>
  <c r="O385" i="54"/>
  <c r="O641" i="54"/>
  <c r="O138" i="54"/>
  <c r="O403" i="54"/>
  <c r="O397" i="54"/>
  <c r="O265" i="54"/>
  <c r="O625" i="54"/>
  <c r="O49" i="54"/>
  <c r="O177" i="54"/>
  <c r="O241" i="54"/>
  <c r="O388" i="54"/>
  <c r="O407" i="54"/>
  <c r="O471" i="54"/>
  <c r="O535" i="54"/>
  <c r="O599" i="54"/>
  <c r="O727" i="54"/>
  <c r="O131" i="54"/>
  <c r="O223" i="54"/>
  <c r="O72" i="54"/>
  <c r="O280" i="54"/>
  <c r="O27" i="54"/>
  <c r="O284" i="54"/>
  <c r="O752" i="54"/>
  <c r="O196" i="54"/>
  <c r="O358" i="54"/>
  <c r="O550" i="54"/>
  <c r="O726" i="54"/>
  <c r="O275" i="54"/>
  <c r="O499" i="54"/>
  <c r="O691" i="54"/>
  <c r="O688" i="54"/>
  <c r="O754" i="54"/>
  <c r="O748" i="54"/>
  <c r="O84" i="54"/>
  <c r="O212" i="54"/>
  <c r="O334" i="54"/>
  <c r="O398" i="54"/>
  <c r="O462" i="54"/>
  <c r="O526" i="54"/>
  <c r="O590" i="54"/>
  <c r="O654" i="54"/>
  <c r="O718" i="54"/>
  <c r="O79" i="54"/>
  <c r="O207" i="54"/>
  <c r="O232" i="54"/>
  <c r="O283" i="54"/>
  <c r="O491" i="54"/>
  <c r="O555" i="54"/>
  <c r="O211" i="54"/>
  <c r="O16" i="54"/>
  <c r="O152" i="54"/>
  <c r="O704" i="54"/>
  <c r="O107" i="54"/>
  <c r="O750" i="54"/>
  <c r="O374" i="54"/>
  <c r="O566" i="54"/>
  <c r="O95" i="54"/>
  <c r="O51" i="54"/>
  <c r="O184" i="54"/>
  <c r="O139" i="54"/>
  <c r="O652" i="54"/>
  <c r="O328" i="54"/>
  <c r="O584" i="54"/>
  <c r="O758" i="54"/>
  <c r="O61" i="54"/>
  <c r="O125" i="54"/>
  <c r="O189" i="54"/>
  <c r="O14" i="54"/>
  <c r="O78" i="54"/>
  <c r="O142" i="54"/>
  <c r="O206" i="54"/>
  <c r="O76" i="54"/>
  <c r="O204" i="54"/>
  <c r="O330" i="54"/>
  <c r="O394" i="54"/>
  <c r="O458" i="54"/>
  <c r="O522" i="54"/>
  <c r="O586" i="54"/>
  <c r="O650" i="54"/>
  <c r="O714" i="54"/>
  <c r="O7" i="54"/>
  <c r="O71" i="54"/>
  <c r="O199" i="54"/>
  <c r="O279" i="54"/>
  <c r="O295" i="54"/>
  <c r="O359" i="54"/>
  <c r="O423" i="54"/>
  <c r="O487" i="54"/>
  <c r="O551" i="54"/>
  <c r="O615" i="54"/>
  <c r="O663" i="54"/>
  <c r="O743" i="54"/>
  <c r="O195" i="54"/>
  <c r="O277" i="54"/>
  <c r="O405" i="54"/>
  <c r="O533" i="54"/>
  <c r="O661" i="54"/>
  <c r="O281" i="54"/>
  <c r="O537" i="54"/>
  <c r="O428" i="54"/>
  <c r="O684" i="54"/>
  <c r="O136" i="54"/>
  <c r="O472" i="54"/>
  <c r="O696" i="54"/>
  <c r="O91" i="54"/>
  <c r="O257" i="54"/>
  <c r="O513" i="54"/>
  <c r="O404" i="54"/>
  <c r="O73" i="54"/>
  <c r="O26" i="54"/>
  <c r="O218" i="54"/>
  <c r="O406" i="54"/>
  <c r="O598" i="54"/>
  <c r="O31" i="54"/>
  <c r="O222" i="54"/>
  <c r="O307" i="54"/>
  <c r="O547" i="54"/>
  <c r="O739" i="54"/>
  <c r="O589" i="54"/>
  <c r="O585" i="54"/>
  <c r="O496" i="54"/>
  <c r="O176" i="54"/>
  <c r="O332" i="54"/>
  <c r="O760" i="54"/>
  <c r="O756" i="54"/>
  <c r="O17" i="54"/>
  <c r="O81" i="54"/>
  <c r="O145" i="54"/>
  <c r="O209" i="54"/>
  <c r="O34" i="54"/>
  <c r="O98" i="54"/>
  <c r="O162" i="54"/>
  <c r="O116" i="54"/>
  <c r="O236" i="54"/>
  <c r="O254" i="54"/>
  <c r="O350" i="54"/>
  <c r="O414" i="54"/>
  <c r="O478" i="54"/>
  <c r="O304" i="54"/>
  <c r="O644" i="54"/>
  <c r="O408" i="54"/>
  <c r="O747" i="54"/>
  <c r="O13" i="54"/>
  <c r="O77" i="54"/>
  <c r="O141" i="54"/>
  <c r="O205" i="54"/>
  <c r="O30" i="54"/>
  <c r="O94" i="54"/>
  <c r="O158" i="54"/>
  <c r="O108" i="54"/>
  <c r="O250" i="54"/>
  <c r="O346" i="54"/>
  <c r="O410" i="54"/>
  <c r="O474" i="54"/>
  <c r="O538" i="54"/>
  <c r="O602" i="54"/>
  <c r="O666" i="54"/>
  <c r="O730" i="54"/>
  <c r="O103" i="54"/>
  <c r="O227" i="54"/>
  <c r="O311" i="54"/>
  <c r="O375" i="54"/>
  <c r="O439" i="54"/>
  <c r="O503" i="54"/>
  <c r="O567" i="54"/>
  <c r="O631" i="54"/>
  <c r="O679" i="54"/>
  <c r="O695" i="54"/>
  <c r="O309" i="54"/>
  <c r="O437" i="54"/>
  <c r="O565" i="54"/>
  <c r="O693" i="54"/>
  <c r="O203" i="54"/>
  <c r="O345" i="54"/>
  <c r="O601" i="54"/>
  <c r="O96" i="54"/>
  <c r="O492" i="54"/>
  <c r="O200" i="54"/>
  <c r="O376" i="54"/>
  <c r="O504" i="54"/>
  <c r="O632" i="54"/>
  <c r="O728" i="54"/>
  <c r="O171" i="54"/>
  <c r="O321" i="54"/>
  <c r="O577" i="54"/>
  <c r="O80" i="54"/>
  <c r="O468" i="54"/>
  <c r="O121" i="54"/>
  <c r="O90" i="54"/>
  <c r="O454" i="54"/>
  <c r="O646" i="54"/>
  <c r="O127" i="54"/>
  <c r="O542" i="54"/>
  <c r="O606" i="54"/>
  <c r="O670" i="54"/>
  <c r="O734" i="54"/>
  <c r="O111" i="54"/>
  <c r="O299" i="54"/>
  <c r="O363" i="54"/>
  <c r="O427" i="54"/>
  <c r="O443" i="54"/>
  <c r="O507" i="54"/>
  <c r="O619" i="54"/>
  <c r="O683" i="54"/>
  <c r="O699" i="54"/>
  <c r="O19" i="54"/>
  <c r="O317" i="54"/>
  <c r="O445" i="54"/>
  <c r="O573" i="54"/>
  <c r="O701" i="54"/>
  <c r="O361" i="54"/>
  <c r="O617" i="54"/>
  <c r="O128" i="54"/>
  <c r="O508" i="54"/>
  <c r="O700" i="54"/>
  <c r="O216" i="54"/>
  <c r="O512" i="54"/>
  <c r="O736" i="54"/>
  <c r="O187" i="54"/>
  <c r="O337" i="54"/>
  <c r="O593" i="54"/>
  <c r="O112" i="54"/>
  <c r="O234" i="54"/>
  <c r="O484" i="54"/>
  <c r="O746" i="54"/>
  <c r="O105" i="54"/>
  <c r="O42" i="54"/>
  <c r="O422" i="54"/>
  <c r="O614" i="54"/>
  <c r="O191" i="54"/>
  <c r="O419" i="54"/>
  <c r="O467" i="54"/>
  <c r="O595" i="54"/>
  <c r="O235" i="54"/>
  <c r="O429" i="54"/>
  <c r="O329" i="54"/>
  <c r="O276" i="54"/>
  <c r="O476" i="54"/>
  <c r="O272" i="54"/>
  <c r="O689" i="54"/>
  <c r="O708" i="54"/>
  <c r="O745" i="54"/>
  <c r="O69" i="54"/>
  <c r="O133" i="54"/>
  <c r="O197" i="54"/>
  <c r="O6" i="54"/>
  <c r="O22" i="54"/>
  <c r="O86" i="54"/>
  <c r="O150" i="54"/>
  <c r="O214" i="54"/>
  <c r="O92" i="54"/>
  <c r="O220" i="54"/>
  <c r="O242" i="54"/>
  <c r="O338" i="54"/>
  <c r="O402" i="54"/>
  <c r="O466" i="54"/>
  <c r="O530" i="54"/>
  <c r="O594" i="54"/>
  <c r="O658" i="54"/>
  <c r="O722" i="54"/>
  <c r="O87" i="54"/>
  <c r="O215" i="54"/>
  <c r="O287" i="54"/>
  <c r="O303" i="54"/>
  <c r="O367" i="54"/>
  <c r="O431" i="54"/>
  <c r="O495" i="54"/>
  <c r="O559" i="54"/>
  <c r="O623" i="54"/>
  <c r="O687" i="54"/>
  <c r="O48" i="54"/>
  <c r="O168" i="54"/>
  <c r="O712" i="54"/>
  <c r="O123" i="54"/>
  <c r="O390" i="54"/>
  <c r="O582" i="54"/>
  <c r="O63" i="54"/>
  <c r="O56" i="54"/>
  <c r="O320" i="54"/>
  <c r="O576" i="54"/>
  <c r="O560" i="54"/>
  <c r="O274" i="54"/>
  <c r="O357" i="54"/>
  <c r="O485" i="54"/>
  <c r="O613" i="54"/>
  <c r="O741" i="54"/>
  <c r="O441" i="54"/>
  <c r="O697" i="54"/>
  <c r="O324" i="54"/>
  <c r="O588" i="54"/>
  <c r="O296" i="54"/>
  <c r="O424" i="54"/>
  <c r="O552" i="54"/>
  <c r="O417" i="54"/>
  <c r="O673" i="54"/>
  <c r="O316" i="54"/>
  <c r="O564" i="54"/>
  <c r="O9" i="54"/>
  <c r="O185" i="54"/>
  <c r="O154" i="54"/>
  <c r="O246" i="54"/>
  <c r="O557" i="54"/>
  <c r="O649" i="54"/>
  <c r="O528" i="54"/>
  <c r="O497" i="54"/>
  <c r="O355" i="54"/>
  <c r="O301" i="54"/>
  <c r="O685" i="54"/>
  <c r="O592" i="54"/>
  <c r="O11" i="54"/>
  <c r="O240" i="54"/>
  <c r="O433" i="54"/>
  <c r="O452" i="54"/>
  <c r="O33" i="54"/>
  <c r="O97" i="54"/>
  <c r="O161" i="54"/>
  <c r="O225" i="54"/>
  <c r="O50" i="54"/>
  <c r="O114" i="54"/>
  <c r="O178" i="54"/>
  <c r="O20" i="54"/>
  <c r="O148" i="54"/>
  <c r="O270" i="54"/>
  <c r="O302" i="54"/>
  <c r="O366" i="54"/>
  <c r="O430" i="54"/>
  <c r="O494" i="54"/>
  <c r="O558" i="54"/>
  <c r="O622" i="54"/>
  <c r="O686" i="54"/>
  <c r="O15" i="54"/>
  <c r="O143" i="54"/>
  <c r="O251" i="54"/>
  <c r="O315" i="54"/>
  <c r="O379" i="54"/>
  <c r="O459" i="54"/>
  <c r="O523" i="54"/>
  <c r="O571" i="54"/>
  <c r="O635" i="54"/>
  <c r="O651" i="54"/>
  <c r="O715" i="54"/>
  <c r="O83" i="54"/>
  <c r="O349" i="54"/>
  <c r="O477" i="54"/>
  <c r="O605" i="54"/>
  <c r="O733" i="54"/>
  <c r="O425" i="54"/>
  <c r="O681" i="54"/>
  <c r="O244" i="54"/>
  <c r="O308" i="54"/>
  <c r="O572" i="54"/>
  <c r="O24" i="54"/>
  <c r="O256" i="54"/>
  <c r="O416" i="54"/>
  <c r="O544" i="54"/>
  <c r="O672" i="54"/>
  <c r="O401" i="54"/>
  <c r="O657" i="54"/>
  <c r="O300" i="54"/>
  <c r="O548" i="54"/>
  <c r="O740" i="54"/>
  <c r="O153" i="54"/>
  <c r="O74" i="54"/>
  <c r="O36" i="54"/>
  <c r="O470" i="54"/>
  <c r="O678" i="54"/>
  <c r="O259" i="54"/>
  <c r="O531" i="54"/>
  <c r="O643" i="54"/>
  <c r="O707" i="54"/>
  <c r="O525" i="54"/>
  <c r="O521" i="54"/>
  <c r="O464" i="54"/>
  <c r="O720" i="54"/>
  <c r="O21" i="54"/>
  <c r="O85" i="54"/>
  <c r="O149" i="54"/>
  <c r="O213" i="54"/>
  <c r="O38" i="54"/>
  <c r="O102" i="54"/>
  <c r="O166" i="54"/>
  <c r="O124" i="54"/>
  <c r="O258" i="54"/>
  <c r="O354" i="54"/>
  <c r="O418" i="54"/>
  <c r="O482" i="54"/>
  <c r="O546" i="54"/>
  <c r="O610" i="54"/>
  <c r="O674" i="54"/>
  <c r="O738" i="54"/>
  <c r="O119" i="54"/>
  <c r="O319" i="54"/>
  <c r="O383" i="54"/>
  <c r="O447" i="54"/>
  <c r="O511" i="54"/>
  <c r="O575" i="54"/>
  <c r="O639" i="54"/>
  <c r="O703" i="54"/>
  <c r="O35" i="54"/>
  <c r="O325" i="54"/>
  <c r="O453" i="54"/>
  <c r="O581" i="54"/>
  <c r="O709" i="54"/>
  <c r="O377" i="54"/>
  <c r="O633" i="54"/>
  <c r="O160" i="54"/>
  <c r="O524" i="54"/>
  <c r="O716" i="54"/>
  <c r="O228" i="54"/>
  <c r="O392" i="54"/>
  <c r="O520" i="54"/>
  <c r="O648" i="54"/>
  <c r="O744" i="54"/>
  <c r="O219" i="54"/>
  <c r="O353" i="54"/>
  <c r="O609" i="54"/>
  <c r="O144" i="54"/>
  <c r="O500" i="54"/>
  <c r="O692" i="54"/>
  <c r="O137" i="54"/>
  <c r="O106" i="54"/>
  <c r="O68" i="54"/>
  <c r="O294" i="54"/>
  <c r="O486" i="54"/>
  <c r="O662" i="54"/>
  <c r="O243" i="54"/>
  <c r="O483" i="54"/>
  <c r="O611" i="54"/>
  <c r="O675" i="54"/>
  <c r="O461" i="54"/>
  <c r="O457" i="54"/>
  <c r="O604" i="54"/>
  <c r="O239" i="54"/>
  <c r="O432" i="54"/>
  <c r="O305" i="54"/>
  <c r="O580" i="54"/>
  <c r="AB424" i="54"/>
  <c r="Z424" i="54"/>
  <c r="Z4" i="54"/>
  <c r="AB4" i="54"/>
  <c r="F42" i="53"/>
  <c r="L43" i="53" s="1"/>
  <c r="X425" i="54" s="1"/>
  <c r="M42" i="53"/>
  <c r="N42" i="53" s="1"/>
  <c r="E80" i="53"/>
  <c r="F80" i="53"/>
  <c r="G80" i="53"/>
  <c r="V614" i="54" l="1"/>
  <c r="O43" i="53"/>
  <c r="F53" i="66"/>
  <c r="M53" i="66"/>
  <c r="N53" i="66" s="1"/>
  <c r="E53" i="66"/>
  <c r="G54" i="66"/>
  <c r="I54" i="66" s="1"/>
  <c r="H26" i="66"/>
  <c r="K26" i="66"/>
  <c r="D26" i="66"/>
  <c r="V635" i="54"/>
  <c r="T341" i="54"/>
  <c r="T446" i="54"/>
  <c r="T614" i="54"/>
  <c r="T719" i="54"/>
  <c r="T488" i="54"/>
  <c r="T593" i="54"/>
  <c r="T551" i="54"/>
  <c r="T383" i="54"/>
  <c r="T740" i="54"/>
  <c r="T782" i="54"/>
  <c r="T362" i="54"/>
  <c r="V488" i="54"/>
  <c r="T404" i="54"/>
  <c r="V698" i="54"/>
  <c r="V341" i="54"/>
  <c r="T467" i="54"/>
  <c r="T698" i="54"/>
  <c r="T509" i="54"/>
  <c r="T656" i="54"/>
  <c r="T635" i="54"/>
  <c r="V362" i="54"/>
  <c r="T761" i="54"/>
  <c r="T677" i="54"/>
  <c r="V404" i="54"/>
  <c r="T530" i="54"/>
  <c r="T425" i="54"/>
  <c r="V446" i="54"/>
  <c r="V761" i="54"/>
  <c r="V467" i="54"/>
  <c r="V34" i="64"/>
  <c r="V33" i="64"/>
  <c r="V32" i="64"/>
  <c r="V23" i="64"/>
  <c r="V22" i="64"/>
  <c r="V21" i="64"/>
  <c r="V20" i="64"/>
  <c r="V35" i="64"/>
  <c r="V26" i="64"/>
  <c r="V25" i="64"/>
  <c r="V24" i="64"/>
  <c r="V31" i="64"/>
  <c r="V30" i="64"/>
  <c r="V29" i="64"/>
  <c r="V28" i="64"/>
  <c r="V27" i="64"/>
  <c r="V509" i="54"/>
  <c r="V677" i="54"/>
  <c r="V593" i="54"/>
  <c r="V572" i="54"/>
  <c r="V782" i="54"/>
  <c r="V719" i="54"/>
  <c r="V656" i="54"/>
  <c r="V551" i="54"/>
  <c r="V383" i="54"/>
  <c r="V530" i="54"/>
  <c r="V740" i="54"/>
  <c r="U29" i="64"/>
  <c r="U28" i="64"/>
  <c r="U31" i="64"/>
  <c r="U22" i="64"/>
  <c r="U35" i="64"/>
  <c r="U27" i="64"/>
  <c r="U33" i="64"/>
  <c r="U32" i="64"/>
  <c r="U34" i="64"/>
  <c r="U25" i="64"/>
  <c r="U26" i="64"/>
  <c r="U21" i="64"/>
  <c r="U20" i="64"/>
  <c r="U23" i="64"/>
  <c r="U30" i="64"/>
  <c r="U24" i="64"/>
  <c r="X593" i="54"/>
  <c r="X698" i="54"/>
  <c r="X614" i="54"/>
  <c r="X341" i="54"/>
  <c r="X656" i="54"/>
  <c r="X383" i="54"/>
  <c r="X530" i="54"/>
  <c r="X782" i="54"/>
  <c r="X446" i="54"/>
  <c r="X572" i="54"/>
  <c r="AD781" i="54"/>
  <c r="AH781" i="54" s="1"/>
  <c r="AL781" i="54" s="1"/>
  <c r="X719" i="54"/>
  <c r="X509" i="54"/>
  <c r="X677" i="54"/>
  <c r="X467" i="54"/>
  <c r="X740" i="54"/>
  <c r="X635" i="54"/>
  <c r="X362" i="54"/>
  <c r="X761" i="54"/>
  <c r="X488" i="54"/>
  <c r="X404" i="54"/>
  <c r="X551" i="54"/>
  <c r="AD424" i="54"/>
  <c r="D54" i="66" l="1"/>
  <c r="G27" i="66"/>
  <c r="I27" i="66" s="1"/>
  <c r="F26" i="66"/>
  <c r="L27" i="66" s="1"/>
  <c r="E26" i="66"/>
  <c r="H27" i="66" s="1"/>
  <c r="O26" i="66"/>
  <c r="H54" i="66"/>
  <c r="K54" i="66"/>
  <c r="J54" i="66"/>
  <c r="J27" i="66"/>
  <c r="L54" i="66"/>
  <c r="W23" i="64"/>
  <c r="W27" i="64"/>
  <c r="W31" i="64"/>
  <c r="W35" i="64"/>
  <c r="W22" i="64"/>
  <c r="W26" i="64"/>
  <c r="W30" i="64"/>
  <c r="W34" i="64"/>
  <c r="W21" i="64"/>
  <c r="W25" i="64"/>
  <c r="W29" i="64"/>
  <c r="W33" i="64"/>
  <c r="W24" i="64"/>
  <c r="W20" i="64"/>
  <c r="W32" i="64"/>
  <c r="W28" i="64"/>
  <c r="AE38" i="57"/>
  <c r="AE53" i="57"/>
  <c r="AE68" i="57"/>
  <c r="AE83" i="57"/>
  <c r="AE98" i="57"/>
  <c r="AE113" i="57"/>
  <c r="AE128" i="57"/>
  <c r="AE143" i="57"/>
  <c r="AE158" i="57"/>
  <c r="AE173" i="57"/>
  <c r="AE188" i="57"/>
  <c r="AE203" i="57"/>
  <c r="AE218" i="57"/>
  <c r="AE233" i="57"/>
  <c r="AE248" i="57"/>
  <c r="AE263" i="57"/>
  <c r="AE278" i="57"/>
  <c r="AE293" i="57"/>
  <c r="AE308" i="57"/>
  <c r="AE323" i="57"/>
  <c r="AE338" i="57"/>
  <c r="AD45" i="57"/>
  <c r="AE45" i="57" s="1"/>
  <c r="AD46" i="57"/>
  <c r="AE46" i="57" s="1"/>
  <c r="AD47" i="57"/>
  <c r="AE47" i="57" s="1"/>
  <c r="AD48" i="57"/>
  <c r="AE48" i="57" s="1"/>
  <c r="AD49" i="57"/>
  <c r="AE49" i="57" s="1"/>
  <c r="AD50" i="57"/>
  <c r="AE50" i="57" s="1"/>
  <c r="AD51" i="57"/>
  <c r="AE51" i="57" s="1"/>
  <c r="AD52" i="57"/>
  <c r="AE52" i="57" s="1"/>
  <c r="AD53" i="57"/>
  <c r="AD54" i="57"/>
  <c r="AE54" i="57" s="1"/>
  <c r="AD55" i="57"/>
  <c r="AE55" i="57" s="1"/>
  <c r="AD56" i="57"/>
  <c r="AE56" i="57" s="1"/>
  <c r="AD57" i="57"/>
  <c r="AE57" i="57" s="1"/>
  <c r="AD58" i="57"/>
  <c r="AE58" i="57" s="1"/>
  <c r="AD59" i="57"/>
  <c r="AE59" i="57" s="1"/>
  <c r="AD60" i="57"/>
  <c r="AE60" i="57" s="1"/>
  <c r="AD61" i="57"/>
  <c r="AE61" i="57" s="1"/>
  <c r="AD62" i="57"/>
  <c r="AE62" i="57" s="1"/>
  <c r="AD63" i="57"/>
  <c r="AE63" i="57" s="1"/>
  <c r="AD64" i="57"/>
  <c r="AE64" i="57" s="1"/>
  <c r="AD65" i="57"/>
  <c r="AE65" i="57" s="1"/>
  <c r="AD66" i="57"/>
  <c r="AE66" i="57" s="1"/>
  <c r="AD67" i="57"/>
  <c r="AE67" i="57" s="1"/>
  <c r="AD68" i="57"/>
  <c r="AD69" i="57"/>
  <c r="AE69" i="57" s="1"/>
  <c r="AD70" i="57"/>
  <c r="AE70" i="57" s="1"/>
  <c r="AD71" i="57"/>
  <c r="AE71" i="57" s="1"/>
  <c r="AD72" i="57"/>
  <c r="AE72" i="57" s="1"/>
  <c r="AD73" i="57"/>
  <c r="AE73" i="57" s="1"/>
  <c r="AD74" i="57"/>
  <c r="AE74" i="57" s="1"/>
  <c r="AD75" i="57"/>
  <c r="AE75" i="57" s="1"/>
  <c r="AD76" i="57"/>
  <c r="AE76" i="57" s="1"/>
  <c r="AD77" i="57"/>
  <c r="AE77" i="57" s="1"/>
  <c r="AD78" i="57"/>
  <c r="AE78" i="57" s="1"/>
  <c r="AD79" i="57"/>
  <c r="AE79" i="57" s="1"/>
  <c r="AD80" i="57"/>
  <c r="AE80" i="57" s="1"/>
  <c r="AD81" i="57"/>
  <c r="AE81" i="57" s="1"/>
  <c r="AD82" i="57"/>
  <c r="AE82" i="57" s="1"/>
  <c r="AD83" i="57"/>
  <c r="AD84" i="57"/>
  <c r="AE84" i="57" s="1"/>
  <c r="AD85" i="57"/>
  <c r="AE85" i="57" s="1"/>
  <c r="AD86" i="57"/>
  <c r="AE86" i="57" s="1"/>
  <c r="AD87" i="57"/>
  <c r="AE87" i="57" s="1"/>
  <c r="AD88" i="57"/>
  <c r="AE88" i="57" s="1"/>
  <c r="AD89" i="57"/>
  <c r="AE89" i="57" s="1"/>
  <c r="AD90" i="57"/>
  <c r="AE90" i="57" s="1"/>
  <c r="AD91" i="57"/>
  <c r="AE91" i="57" s="1"/>
  <c r="AD92" i="57"/>
  <c r="AE92" i="57" s="1"/>
  <c r="AD93" i="57"/>
  <c r="AE93" i="57" s="1"/>
  <c r="AD94" i="57"/>
  <c r="AE94" i="57" s="1"/>
  <c r="AD95" i="57"/>
  <c r="AE95" i="57" s="1"/>
  <c r="AD96" i="57"/>
  <c r="AE96" i="57" s="1"/>
  <c r="AD97" i="57"/>
  <c r="AE97" i="57" s="1"/>
  <c r="AD98" i="57"/>
  <c r="AD99" i="57"/>
  <c r="AE99" i="57" s="1"/>
  <c r="AD100" i="57"/>
  <c r="AE100" i="57" s="1"/>
  <c r="AD101" i="57"/>
  <c r="AE101" i="57" s="1"/>
  <c r="AD102" i="57"/>
  <c r="AE102" i="57" s="1"/>
  <c r="AD103" i="57"/>
  <c r="AE103" i="57" s="1"/>
  <c r="AD104" i="57"/>
  <c r="AE104" i="57" s="1"/>
  <c r="AD105" i="57"/>
  <c r="AE105" i="57" s="1"/>
  <c r="AD106" i="57"/>
  <c r="AE106" i="57" s="1"/>
  <c r="AD107" i="57"/>
  <c r="AE107" i="57" s="1"/>
  <c r="AD108" i="57"/>
  <c r="AE108" i="57" s="1"/>
  <c r="AD109" i="57"/>
  <c r="AE109" i="57" s="1"/>
  <c r="AD110" i="57"/>
  <c r="AE110" i="57" s="1"/>
  <c r="AD111" i="57"/>
  <c r="AE111" i="57" s="1"/>
  <c r="AD112" i="57"/>
  <c r="AE112" i="57" s="1"/>
  <c r="AD113" i="57"/>
  <c r="AD114" i="57"/>
  <c r="AE114" i="57" s="1"/>
  <c r="AD115" i="57"/>
  <c r="AE115" i="57" s="1"/>
  <c r="AD116" i="57"/>
  <c r="AE116" i="57" s="1"/>
  <c r="AD117" i="57"/>
  <c r="AE117" i="57" s="1"/>
  <c r="AD118" i="57"/>
  <c r="AE118" i="57" s="1"/>
  <c r="AD119" i="57"/>
  <c r="AE119" i="57" s="1"/>
  <c r="AD120" i="57"/>
  <c r="AE120" i="57" s="1"/>
  <c r="AD121" i="57"/>
  <c r="AE121" i="57" s="1"/>
  <c r="AD122" i="57"/>
  <c r="AE122" i="57" s="1"/>
  <c r="AD123" i="57"/>
  <c r="AE123" i="57" s="1"/>
  <c r="AD124" i="57"/>
  <c r="AE124" i="57" s="1"/>
  <c r="AD125" i="57"/>
  <c r="AE125" i="57" s="1"/>
  <c r="AD126" i="57"/>
  <c r="AE126" i="57" s="1"/>
  <c r="AD127" i="57"/>
  <c r="AE127" i="57" s="1"/>
  <c r="AD128" i="57"/>
  <c r="AD129" i="57"/>
  <c r="AE129" i="57" s="1"/>
  <c r="AD130" i="57"/>
  <c r="AE130" i="57" s="1"/>
  <c r="AD131" i="57"/>
  <c r="AE131" i="57" s="1"/>
  <c r="AD132" i="57"/>
  <c r="AE132" i="57" s="1"/>
  <c r="AD133" i="57"/>
  <c r="AE133" i="57" s="1"/>
  <c r="AD134" i="57"/>
  <c r="AE134" i="57" s="1"/>
  <c r="AD135" i="57"/>
  <c r="AE135" i="57" s="1"/>
  <c r="AD136" i="57"/>
  <c r="AE136" i="57" s="1"/>
  <c r="AD137" i="57"/>
  <c r="AE137" i="57" s="1"/>
  <c r="AD138" i="57"/>
  <c r="AE138" i="57" s="1"/>
  <c r="AD139" i="57"/>
  <c r="AE139" i="57" s="1"/>
  <c r="AD140" i="57"/>
  <c r="AE140" i="57" s="1"/>
  <c r="AD141" i="57"/>
  <c r="AE141" i="57" s="1"/>
  <c r="AD142" i="57"/>
  <c r="AE142" i="57" s="1"/>
  <c r="AD143" i="57"/>
  <c r="AD144" i="57"/>
  <c r="AE144" i="57" s="1"/>
  <c r="AD145" i="57"/>
  <c r="AE145" i="57" s="1"/>
  <c r="AD146" i="57"/>
  <c r="AE146" i="57" s="1"/>
  <c r="AD147" i="57"/>
  <c r="AE147" i="57" s="1"/>
  <c r="AD148" i="57"/>
  <c r="AE148" i="57" s="1"/>
  <c r="AD149" i="57"/>
  <c r="AE149" i="57" s="1"/>
  <c r="AD150" i="57"/>
  <c r="AE150" i="57" s="1"/>
  <c r="AD151" i="57"/>
  <c r="AE151" i="57" s="1"/>
  <c r="AD152" i="57"/>
  <c r="AE152" i="57" s="1"/>
  <c r="AD153" i="57"/>
  <c r="AE153" i="57" s="1"/>
  <c r="AD154" i="57"/>
  <c r="AE154" i="57" s="1"/>
  <c r="AD155" i="57"/>
  <c r="AE155" i="57" s="1"/>
  <c r="AD156" i="57"/>
  <c r="AE156" i="57" s="1"/>
  <c r="AD157" i="57"/>
  <c r="AE157" i="57" s="1"/>
  <c r="AD158" i="57"/>
  <c r="AD159" i="57"/>
  <c r="AE159" i="57" s="1"/>
  <c r="AD160" i="57"/>
  <c r="AE160" i="57" s="1"/>
  <c r="AD161" i="57"/>
  <c r="AE161" i="57" s="1"/>
  <c r="AD162" i="57"/>
  <c r="AE162" i="57" s="1"/>
  <c r="AD163" i="57"/>
  <c r="AE163" i="57" s="1"/>
  <c r="AD164" i="57"/>
  <c r="AE164" i="57" s="1"/>
  <c r="AD165" i="57"/>
  <c r="AE165" i="57" s="1"/>
  <c r="AD166" i="57"/>
  <c r="AE166" i="57" s="1"/>
  <c r="AD167" i="57"/>
  <c r="AE167" i="57" s="1"/>
  <c r="AD168" i="57"/>
  <c r="AE168" i="57" s="1"/>
  <c r="AD169" i="57"/>
  <c r="AE169" i="57" s="1"/>
  <c r="AD170" i="57"/>
  <c r="AE170" i="57" s="1"/>
  <c r="AD171" i="57"/>
  <c r="AE171" i="57" s="1"/>
  <c r="AD172" i="57"/>
  <c r="AE172" i="57" s="1"/>
  <c r="AD173" i="57"/>
  <c r="AD174" i="57"/>
  <c r="AE174" i="57" s="1"/>
  <c r="AD175" i="57"/>
  <c r="AE175" i="57" s="1"/>
  <c r="AD176" i="57"/>
  <c r="AE176" i="57" s="1"/>
  <c r="AD177" i="57"/>
  <c r="AE177" i="57" s="1"/>
  <c r="AD178" i="57"/>
  <c r="AE178" i="57" s="1"/>
  <c r="AD179" i="57"/>
  <c r="AE179" i="57" s="1"/>
  <c r="AD180" i="57"/>
  <c r="AE180" i="57" s="1"/>
  <c r="AD181" i="57"/>
  <c r="AE181" i="57" s="1"/>
  <c r="AD182" i="57"/>
  <c r="AE182" i="57" s="1"/>
  <c r="AD183" i="57"/>
  <c r="AE183" i="57" s="1"/>
  <c r="AD184" i="57"/>
  <c r="AE184" i="57" s="1"/>
  <c r="AD185" i="57"/>
  <c r="AE185" i="57" s="1"/>
  <c r="AD186" i="57"/>
  <c r="AE186" i="57" s="1"/>
  <c r="AD187" i="57"/>
  <c r="AE187" i="57" s="1"/>
  <c r="AD188" i="57"/>
  <c r="AD189" i="57"/>
  <c r="AE189" i="57" s="1"/>
  <c r="AD190" i="57"/>
  <c r="AE190" i="57" s="1"/>
  <c r="AD191" i="57"/>
  <c r="AE191" i="57" s="1"/>
  <c r="AD192" i="57"/>
  <c r="AE192" i="57" s="1"/>
  <c r="AD193" i="57"/>
  <c r="AE193" i="57" s="1"/>
  <c r="AD194" i="57"/>
  <c r="AE194" i="57" s="1"/>
  <c r="AD195" i="57"/>
  <c r="AE195" i="57" s="1"/>
  <c r="AD196" i="57"/>
  <c r="AE196" i="57" s="1"/>
  <c r="AD197" i="57"/>
  <c r="AE197" i="57" s="1"/>
  <c r="AD198" i="57"/>
  <c r="AE198" i="57" s="1"/>
  <c r="AD199" i="57"/>
  <c r="AE199" i="57" s="1"/>
  <c r="AD200" i="57"/>
  <c r="AE200" i="57" s="1"/>
  <c r="AD201" i="57"/>
  <c r="AE201" i="57" s="1"/>
  <c r="AD202" i="57"/>
  <c r="AE202" i="57" s="1"/>
  <c r="AD203" i="57"/>
  <c r="AD204" i="57"/>
  <c r="AE204" i="57" s="1"/>
  <c r="AD205" i="57"/>
  <c r="AE205" i="57" s="1"/>
  <c r="AD206" i="57"/>
  <c r="AE206" i="57" s="1"/>
  <c r="AD207" i="57"/>
  <c r="AE207" i="57" s="1"/>
  <c r="AD208" i="57"/>
  <c r="AE208" i="57" s="1"/>
  <c r="AD209" i="57"/>
  <c r="AE209" i="57" s="1"/>
  <c r="AD210" i="57"/>
  <c r="AE210" i="57" s="1"/>
  <c r="AD211" i="57"/>
  <c r="AE211" i="57" s="1"/>
  <c r="AD212" i="57"/>
  <c r="AE212" i="57" s="1"/>
  <c r="AD213" i="57"/>
  <c r="AE213" i="57" s="1"/>
  <c r="AD214" i="57"/>
  <c r="AE214" i="57" s="1"/>
  <c r="AD215" i="57"/>
  <c r="AE215" i="57" s="1"/>
  <c r="AD216" i="57"/>
  <c r="AE216" i="57" s="1"/>
  <c r="AD217" i="57"/>
  <c r="AE217" i="57" s="1"/>
  <c r="AD218" i="57"/>
  <c r="AD219" i="57"/>
  <c r="AE219" i="57" s="1"/>
  <c r="AD220" i="57"/>
  <c r="AE220" i="57" s="1"/>
  <c r="AD221" i="57"/>
  <c r="AE221" i="57" s="1"/>
  <c r="AD222" i="57"/>
  <c r="AE222" i="57" s="1"/>
  <c r="AD223" i="57"/>
  <c r="AE223" i="57" s="1"/>
  <c r="AD224" i="57"/>
  <c r="AE224" i="57" s="1"/>
  <c r="AD225" i="57"/>
  <c r="AE225" i="57" s="1"/>
  <c r="AD226" i="57"/>
  <c r="AE226" i="57" s="1"/>
  <c r="AD227" i="57"/>
  <c r="AE227" i="57" s="1"/>
  <c r="AD228" i="57"/>
  <c r="AE228" i="57" s="1"/>
  <c r="AD229" i="57"/>
  <c r="AE229" i="57" s="1"/>
  <c r="AD230" i="57"/>
  <c r="AE230" i="57" s="1"/>
  <c r="AD231" i="57"/>
  <c r="AE231" i="57" s="1"/>
  <c r="AD232" i="57"/>
  <c r="AE232" i="57" s="1"/>
  <c r="AD233" i="57"/>
  <c r="AD234" i="57"/>
  <c r="AE234" i="57" s="1"/>
  <c r="AD235" i="57"/>
  <c r="AE235" i="57" s="1"/>
  <c r="AD236" i="57"/>
  <c r="AE236" i="57" s="1"/>
  <c r="AD237" i="57"/>
  <c r="AE237" i="57" s="1"/>
  <c r="AD238" i="57"/>
  <c r="AE238" i="57" s="1"/>
  <c r="AD239" i="57"/>
  <c r="AE239" i="57" s="1"/>
  <c r="AD240" i="57"/>
  <c r="AE240" i="57" s="1"/>
  <c r="AD241" i="57"/>
  <c r="AE241" i="57" s="1"/>
  <c r="AD242" i="57"/>
  <c r="AE242" i="57" s="1"/>
  <c r="AD243" i="57"/>
  <c r="AE243" i="57" s="1"/>
  <c r="AD244" i="57"/>
  <c r="AE244" i="57" s="1"/>
  <c r="AD245" i="57"/>
  <c r="AE245" i="57" s="1"/>
  <c r="AD246" i="57"/>
  <c r="AE246" i="57" s="1"/>
  <c r="AD247" i="57"/>
  <c r="AE247" i="57" s="1"/>
  <c r="AD248" i="57"/>
  <c r="AD249" i="57"/>
  <c r="AE249" i="57" s="1"/>
  <c r="AD250" i="57"/>
  <c r="AE250" i="57" s="1"/>
  <c r="AD251" i="57"/>
  <c r="AE251" i="57" s="1"/>
  <c r="AD252" i="57"/>
  <c r="AE252" i="57" s="1"/>
  <c r="AD253" i="57"/>
  <c r="AE253" i="57" s="1"/>
  <c r="AD254" i="57"/>
  <c r="AE254" i="57" s="1"/>
  <c r="AD255" i="57"/>
  <c r="AE255" i="57" s="1"/>
  <c r="AD256" i="57"/>
  <c r="AE256" i="57" s="1"/>
  <c r="AD257" i="57"/>
  <c r="AE257" i="57" s="1"/>
  <c r="AD258" i="57"/>
  <c r="AE258" i="57" s="1"/>
  <c r="AD259" i="57"/>
  <c r="AE259" i="57" s="1"/>
  <c r="AD260" i="57"/>
  <c r="AE260" i="57" s="1"/>
  <c r="AD261" i="57"/>
  <c r="AE261" i="57" s="1"/>
  <c r="AD262" i="57"/>
  <c r="AE262" i="57" s="1"/>
  <c r="AD263" i="57"/>
  <c r="AD264" i="57"/>
  <c r="AE264" i="57" s="1"/>
  <c r="AD265" i="57"/>
  <c r="AE265" i="57" s="1"/>
  <c r="AD266" i="57"/>
  <c r="AE266" i="57" s="1"/>
  <c r="AD267" i="57"/>
  <c r="AE267" i="57" s="1"/>
  <c r="AD268" i="57"/>
  <c r="AE268" i="57" s="1"/>
  <c r="AD269" i="57"/>
  <c r="AE269" i="57" s="1"/>
  <c r="AD270" i="57"/>
  <c r="AE270" i="57" s="1"/>
  <c r="AD271" i="57"/>
  <c r="AE271" i="57" s="1"/>
  <c r="AD272" i="57"/>
  <c r="AE272" i="57" s="1"/>
  <c r="AD273" i="57"/>
  <c r="AE273" i="57" s="1"/>
  <c r="AD274" i="57"/>
  <c r="AE274" i="57" s="1"/>
  <c r="AD275" i="57"/>
  <c r="AE275" i="57" s="1"/>
  <c r="AD276" i="57"/>
  <c r="AE276" i="57" s="1"/>
  <c r="AD277" i="57"/>
  <c r="AE277" i="57" s="1"/>
  <c r="AD278" i="57"/>
  <c r="AD279" i="57"/>
  <c r="AE279" i="57" s="1"/>
  <c r="AD280" i="57"/>
  <c r="AE280" i="57" s="1"/>
  <c r="AD281" i="57"/>
  <c r="AE281" i="57" s="1"/>
  <c r="AD282" i="57"/>
  <c r="AE282" i="57" s="1"/>
  <c r="AD283" i="57"/>
  <c r="AE283" i="57" s="1"/>
  <c r="AD284" i="57"/>
  <c r="AE284" i="57" s="1"/>
  <c r="AD285" i="57"/>
  <c r="AE285" i="57" s="1"/>
  <c r="AD286" i="57"/>
  <c r="AE286" i="57" s="1"/>
  <c r="AD287" i="57"/>
  <c r="AE287" i="57" s="1"/>
  <c r="AD288" i="57"/>
  <c r="AE288" i="57" s="1"/>
  <c r="AD289" i="57"/>
  <c r="AE289" i="57" s="1"/>
  <c r="AD290" i="57"/>
  <c r="AE290" i="57" s="1"/>
  <c r="AD291" i="57"/>
  <c r="AE291" i="57" s="1"/>
  <c r="AD292" i="57"/>
  <c r="AE292" i="57" s="1"/>
  <c r="AD293" i="57"/>
  <c r="AD294" i="57"/>
  <c r="AE294" i="57" s="1"/>
  <c r="AD295" i="57"/>
  <c r="AE295" i="57" s="1"/>
  <c r="AD296" i="57"/>
  <c r="AE296" i="57" s="1"/>
  <c r="AD297" i="57"/>
  <c r="AE297" i="57" s="1"/>
  <c r="AD298" i="57"/>
  <c r="AE298" i="57" s="1"/>
  <c r="AD299" i="57"/>
  <c r="AE299" i="57" s="1"/>
  <c r="AD300" i="57"/>
  <c r="AE300" i="57" s="1"/>
  <c r="AD301" i="57"/>
  <c r="AE301" i="57" s="1"/>
  <c r="AD302" i="57"/>
  <c r="AE302" i="57" s="1"/>
  <c r="AD303" i="57"/>
  <c r="AE303" i="57" s="1"/>
  <c r="AD304" i="57"/>
  <c r="AE304" i="57" s="1"/>
  <c r="AD305" i="57"/>
  <c r="AE305" i="57" s="1"/>
  <c r="AD306" i="57"/>
  <c r="AE306" i="57" s="1"/>
  <c r="AD307" i="57"/>
  <c r="AE307" i="57" s="1"/>
  <c r="AD308" i="57"/>
  <c r="AD309" i="57"/>
  <c r="AE309" i="57" s="1"/>
  <c r="AD310" i="57"/>
  <c r="AE310" i="57" s="1"/>
  <c r="AD311" i="57"/>
  <c r="AE311" i="57" s="1"/>
  <c r="AD312" i="57"/>
  <c r="AE312" i="57" s="1"/>
  <c r="AD313" i="57"/>
  <c r="AE313" i="57" s="1"/>
  <c r="AD314" i="57"/>
  <c r="AE314" i="57" s="1"/>
  <c r="AD315" i="57"/>
  <c r="AE315" i="57" s="1"/>
  <c r="AD316" i="57"/>
  <c r="AE316" i="57" s="1"/>
  <c r="AD317" i="57"/>
  <c r="AE317" i="57" s="1"/>
  <c r="AD318" i="57"/>
  <c r="AE318" i="57" s="1"/>
  <c r="AD319" i="57"/>
  <c r="AE319" i="57" s="1"/>
  <c r="AD320" i="57"/>
  <c r="AE320" i="57" s="1"/>
  <c r="AD321" i="57"/>
  <c r="AE321" i="57" s="1"/>
  <c r="AD322" i="57"/>
  <c r="AE322" i="57" s="1"/>
  <c r="AD323" i="57"/>
  <c r="AD324" i="57"/>
  <c r="AE324" i="57" s="1"/>
  <c r="AD325" i="57"/>
  <c r="AE325" i="57" s="1"/>
  <c r="AD326" i="57"/>
  <c r="AE326" i="57" s="1"/>
  <c r="AD327" i="57"/>
  <c r="AE327" i="57" s="1"/>
  <c r="AD328" i="57"/>
  <c r="AE328" i="57" s="1"/>
  <c r="AD329" i="57"/>
  <c r="AE329" i="57" s="1"/>
  <c r="AD330" i="57"/>
  <c r="AE330" i="57" s="1"/>
  <c r="AD331" i="57"/>
  <c r="AE331" i="57" s="1"/>
  <c r="AD332" i="57"/>
  <c r="AE332" i="57" s="1"/>
  <c r="AD333" i="57"/>
  <c r="AE333" i="57" s="1"/>
  <c r="AD334" i="57"/>
  <c r="AE334" i="57" s="1"/>
  <c r="AD335" i="57"/>
  <c r="AE335" i="57" s="1"/>
  <c r="AD336" i="57"/>
  <c r="AE336" i="57" s="1"/>
  <c r="AD337" i="57"/>
  <c r="AE337" i="57" s="1"/>
  <c r="AD338" i="57"/>
  <c r="AD339" i="57"/>
  <c r="AE339" i="57" s="1"/>
  <c r="AD340" i="57"/>
  <c r="AE340" i="57" s="1"/>
  <c r="AD341" i="57"/>
  <c r="AE341" i="57" s="1"/>
  <c r="AD342" i="57"/>
  <c r="AE342" i="57" s="1"/>
  <c r="AD343" i="57"/>
  <c r="AE343" i="57" s="1"/>
  <c r="AD344" i="57"/>
  <c r="AE344" i="57" s="1"/>
  <c r="AD345" i="57"/>
  <c r="AE345" i="57" s="1"/>
  <c r="AD346" i="57"/>
  <c r="AE346" i="57" s="1"/>
  <c r="AD347" i="57"/>
  <c r="AE347" i="57" s="1"/>
  <c r="AD348" i="57"/>
  <c r="AE348" i="57" s="1"/>
  <c r="AD349" i="57"/>
  <c r="AE349" i="57" s="1"/>
  <c r="AD350" i="57"/>
  <c r="AE350" i="57" s="1"/>
  <c r="AD37" i="57"/>
  <c r="AE37" i="57" s="1"/>
  <c r="AD38" i="57"/>
  <c r="AD39" i="57"/>
  <c r="AE39" i="57" s="1"/>
  <c r="AD40" i="57"/>
  <c r="AE40" i="57" s="1"/>
  <c r="AD41" i="57"/>
  <c r="AE41" i="57" s="1"/>
  <c r="AD42" i="57"/>
  <c r="AE42" i="57" s="1"/>
  <c r="AD43" i="57"/>
  <c r="AE43" i="57" s="1"/>
  <c r="AD44" i="57"/>
  <c r="AE44" i="57" s="1"/>
  <c r="AD36" i="57"/>
  <c r="AE36" i="57" s="1"/>
  <c r="O54" i="66" l="1"/>
  <c r="D27" i="66"/>
  <c r="K27" i="66"/>
  <c r="F54" i="66"/>
  <c r="M54" i="66"/>
  <c r="N54" i="66" s="1"/>
  <c r="E54" i="66"/>
  <c r="H55" i="66" s="1"/>
  <c r="G55" i="66"/>
  <c r="I55" i="66" s="1"/>
  <c r="L55" i="66" s="1"/>
  <c r="AM23" i="57"/>
  <c r="AM22" i="57"/>
  <c r="AM21" i="57"/>
  <c r="AM20" i="57"/>
  <c r="AM19" i="57"/>
  <c r="AM18" i="57"/>
  <c r="AM17" i="57"/>
  <c r="AM16" i="57"/>
  <c r="AM15" i="57"/>
  <c r="AM14" i="57"/>
  <c r="AM13" i="57"/>
  <c r="AM12" i="57"/>
  <c r="AM11" i="57"/>
  <c r="AM10" i="57"/>
  <c r="AM9" i="57"/>
  <c r="AK37" i="57"/>
  <c r="AK38" i="57"/>
  <c r="AK39" i="57"/>
  <c r="AK40" i="57"/>
  <c r="AK41" i="57"/>
  <c r="AK42" i="57"/>
  <c r="AK43" i="57"/>
  <c r="AK44" i="57"/>
  <c r="AK45" i="57"/>
  <c r="AK46" i="57"/>
  <c r="AK47" i="57"/>
  <c r="AK48" i="57"/>
  <c r="AK49" i="57"/>
  <c r="AK50" i="57"/>
  <c r="AK51" i="57"/>
  <c r="AK52" i="57"/>
  <c r="AK53" i="57"/>
  <c r="AK54" i="57"/>
  <c r="AK55" i="57"/>
  <c r="AK56" i="57"/>
  <c r="AK57" i="57"/>
  <c r="AK58" i="57"/>
  <c r="AK59" i="57"/>
  <c r="AK60" i="57"/>
  <c r="AK61" i="57"/>
  <c r="AK62" i="57"/>
  <c r="AK63" i="57"/>
  <c r="AK64" i="57"/>
  <c r="AK65" i="57"/>
  <c r="AK66" i="57"/>
  <c r="AK67" i="57"/>
  <c r="AK68" i="57"/>
  <c r="AK69" i="57"/>
  <c r="AK70" i="57"/>
  <c r="AK71" i="57"/>
  <c r="AK72" i="57"/>
  <c r="AK73" i="57"/>
  <c r="AK74" i="57"/>
  <c r="AK75" i="57"/>
  <c r="AK76" i="57"/>
  <c r="AK77" i="57"/>
  <c r="AK78" i="57"/>
  <c r="AK79" i="57"/>
  <c r="AK80" i="57"/>
  <c r="AK81" i="57"/>
  <c r="AK82" i="57"/>
  <c r="AK83" i="57"/>
  <c r="AK84" i="57"/>
  <c r="AK85" i="57"/>
  <c r="AK86" i="57"/>
  <c r="AK87" i="57"/>
  <c r="AK88" i="57"/>
  <c r="AK89" i="57"/>
  <c r="AK90" i="57"/>
  <c r="AK91" i="57"/>
  <c r="AK92" i="57"/>
  <c r="AK93" i="57"/>
  <c r="AK94" i="57"/>
  <c r="AK95" i="57"/>
  <c r="AK96" i="57"/>
  <c r="AK97" i="57"/>
  <c r="AK98" i="57"/>
  <c r="AK99" i="57"/>
  <c r="AK100" i="57"/>
  <c r="AK101" i="57"/>
  <c r="AK102" i="57"/>
  <c r="AK103" i="57"/>
  <c r="AK104" i="57"/>
  <c r="AK105" i="57"/>
  <c r="AK106" i="57"/>
  <c r="AK107" i="57"/>
  <c r="AK108" i="57"/>
  <c r="AK109" i="57"/>
  <c r="AK110" i="57"/>
  <c r="AK111" i="57"/>
  <c r="AK112" i="57"/>
  <c r="AK113" i="57"/>
  <c r="AK114" i="57"/>
  <c r="AK115" i="57"/>
  <c r="AK116" i="57"/>
  <c r="AK117" i="57"/>
  <c r="AK118" i="57"/>
  <c r="AK119" i="57"/>
  <c r="AK120" i="57"/>
  <c r="AK121" i="57"/>
  <c r="AK122" i="57"/>
  <c r="AK123" i="57"/>
  <c r="AK124" i="57"/>
  <c r="AK125" i="57"/>
  <c r="AK126" i="57"/>
  <c r="AK127" i="57"/>
  <c r="AK128" i="57"/>
  <c r="AK129" i="57"/>
  <c r="AK130" i="57"/>
  <c r="AK131" i="57"/>
  <c r="AK132" i="57"/>
  <c r="AK133" i="57"/>
  <c r="AK134" i="57"/>
  <c r="AK135" i="57"/>
  <c r="AK136" i="57"/>
  <c r="AK137" i="57"/>
  <c r="AK138" i="57"/>
  <c r="AK139" i="57"/>
  <c r="AK140" i="57"/>
  <c r="AK141" i="57"/>
  <c r="AK142" i="57"/>
  <c r="AK143" i="57"/>
  <c r="AK144" i="57"/>
  <c r="AK145" i="57"/>
  <c r="AK146" i="57"/>
  <c r="AK147" i="57"/>
  <c r="AK148" i="57"/>
  <c r="AK149" i="57"/>
  <c r="AK150" i="57"/>
  <c r="AK151" i="57"/>
  <c r="AK152" i="57"/>
  <c r="AK153" i="57"/>
  <c r="AK154" i="57"/>
  <c r="AK155" i="57"/>
  <c r="AK156" i="57"/>
  <c r="AK157" i="57"/>
  <c r="AK158" i="57"/>
  <c r="AK159" i="57"/>
  <c r="AK160" i="57"/>
  <c r="AK161" i="57"/>
  <c r="AK162" i="57"/>
  <c r="AK163" i="57"/>
  <c r="AK164" i="57"/>
  <c r="AK165" i="57"/>
  <c r="AK166" i="57"/>
  <c r="AK167" i="57"/>
  <c r="AK168" i="57"/>
  <c r="AK169" i="57"/>
  <c r="AK170" i="57"/>
  <c r="AK171" i="57"/>
  <c r="AK172" i="57"/>
  <c r="AK173" i="57"/>
  <c r="AK174" i="57"/>
  <c r="AK175" i="57"/>
  <c r="AK176" i="57"/>
  <c r="AK177" i="57"/>
  <c r="AK178" i="57"/>
  <c r="AK179" i="57"/>
  <c r="AK180" i="57"/>
  <c r="AK181" i="57"/>
  <c r="AK182" i="57"/>
  <c r="AK183" i="57"/>
  <c r="AK184" i="57"/>
  <c r="AK185" i="57"/>
  <c r="AK186" i="57"/>
  <c r="AK187" i="57"/>
  <c r="AK188" i="57"/>
  <c r="AK189" i="57"/>
  <c r="AK190" i="57"/>
  <c r="AK191" i="57"/>
  <c r="AK192" i="57"/>
  <c r="AK193" i="57"/>
  <c r="AK194" i="57"/>
  <c r="AK195" i="57"/>
  <c r="AK196" i="57"/>
  <c r="AK197" i="57"/>
  <c r="AK198" i="57"/>
  <c r="AK199" i="57"/>
  <c r="AK200" i="57"/>
  <c r="AK201" i="57"/>
  <c r="AK202" i="57"/>
  <c r="AK203" i="57"/>
  <c r="AK204" i="57"/>
  <c r="AK205" i="57"/>
  <c r="AK206" i="57"/>
  <c r="AK207" i="57"/>
  <c r="AK208" i="57"/>
  <c r="AK209" i="57"/>
  <c r="AK210" i="57"/>
  <c r="AK211" i="57"/>
  <c r="AK212" i="57"/>
  <c r="AK213" i="57"/>
  <c r="AK214" i="57"/>
  <c r="AK215" i="57"/>
  <c r="AK216" i="57"/>
  <c r="AK217" i="57"/>
  <c r="AK218" i="57"/>
  <c r="AK219" i="57"/>
  <c r="AK220" i="57"/>
  <c r="AK221" i="57"/>
  <c r="AK222" i="57"/>
  <c r="AK223" i="57"/>
  <c r="AK224" i="57"/>
  <c r="AK225" i="57"/>
  <c r="AK226" i="57"/>
  <c r="AK227" i="57"/>
  <c r="AK228" i="57"/>
  <c r="AK229" i="57"/>
  <c r="AK230" i="57"/>
  <c r="AK231" i="57"/>
  <c r="AK232" i="57"/>
  <c r="AK233" i="57"/>
  <c r="AK234" i="57"/>
  <c r="AK235" i="57"/>
  <c r="AK236" i="57"/>
  <c r="AK237" i="57"/>
  <c r="AK238" i="57"/>
  <c r="AK239" i="57"/>
  <c r="AK240" i="57"/>
  <c r="AK241" i="57"/>
  <c r="AK242" i="57"/>
  <c r="AK243" i="57"/>
  <c r="AK244" i="57"/>
  <c r="AK245" i="57"/>
  <c r="AK246" i="57"/>
  <c r="AK247" i="57"/>
  <c r="AK248" i="57"/>
  <c r="AK249" i="57"/>
  <c r="AK250" i="57"/>
  <c r="AK251" i="57"/>
  <c r="AK252" i="57"/>
  <c r="AK253" i="57"/>
  <c r="AK254" i="57"/>
  <c r="AK255" i="57"/>
  <c r="AK256" i="57"/>
  <c r="AK257" i="57"/>
  <c r="AK258" i="57"/>
  <c r="AK259" i="57"/>
  <c r="AK260" i="57"/>
  <c r="AK261" i="57"/>
  <c r="AK262" i="57"/>
  <c r="AK263" i="57"/>
  <c r="AK264" i="57"/>
  <c r="AK265" i="57"/>
  <c r="AK266" i="57"/>
  <c r="AK267" i="57"/>
  <c r="AK268" i="57"/>
  <c r="AK269" i="57"/>
  <c r="AK270" i="57"/>
  <c r="AK271" i="57"/>
  <c r="AK272" i="57"/>
  <c r="AK273" i="57"/>
  <c r="AK274" i="57"/>
  <c r="AK275" i="57"/>
  <c r="AK276" i="57"/>
  <c r="AK277" i="57"/>
  <c r="AK278" i="57"/>
  <c r="AK279" i="57"/>
  <c r="AK280" i="57"/>
  <c r="AK281" i="57"/>
  <c r="AK282" i="57"/>
  <c r="AK283" i="57"/>
  <c r="AK284" i="57"/>
  <c r="AK285" i="57"/>
  <c r="AK286" i="57"/>
  <c r="AK287" i="57"/>
  <c r="AK288" i="57"/>
  <c r="AK289" i="57"/>
  <c r="AK290" i="57"/>
  <c r="AK291" i="57"/>
  <c r="AK292" i="57"/>
  <c r="AK293" i="57"/>
  <c r="AK294" i="57"/>
  <c r="AK295" i="57"/>
  <c r="AK296" i="57"/>
  <c r="AK297" i="57"/>
  <c r="AK298" i="57"/>
  <c r="AK299" i="57"/>
  <c r="AK300" i="57"/>
  <c r="AK301" i="57"/>
  <c r="AK302" i="57"/>
  <c r="AK303" i="57"/>
  <c r="AK304" i="57"/>
  <c r="AK305" i="57"/>
  <c r="AK306" i="57"/>
  <c r="AK307" i="57"/>
  <c r="AK308" i="57"/>
  <c r="AK309" i="57"/>
  <c r="AK310" i="57"/>
  <c r="AK311" i="57"/>
  <c r="AK312" i="57"/>
  <c r="AK313" i="57"/>
  <c r="AK314" i="57"/>
  <c r="AK315" i="57"/>
  <c r="AK316" i="57"/>
  <c r="AK317" i="57"/>
  <c r="AK318" i="57"/>
  <c r="AK319" i="57"/>
  <c r="AK320" i="57"/>
  <c r="AK321" i="57"/>
  <c r="AK322" i="57"/>
  <c r="AK323" i="57"/>
  <c r="AK324" i="57"/>
  <c r="AK325" i="57"/>
  <c r="AK326" i="57"/>
  <c r="AK327" i="57"/>
  <c r="AK328" i="57"/>
  <c r="AK329" i="57"/>
  <c r="AK330" i="57"/>
  <c r="AK331" i="57"/>
  <c r="AK332" i="57"/>
  <c r="AK333" i="57"/>
  <c r="AK334" i="57"/>
  <c r="AK335" i="57"/>
  <c r="AK336" i="57"/>
  <c r="AK337" i="57"/>
  <c r="AK338" i="57"/>
  <c r="AK339" i="57"/>
  <c r="AK340" i="57"/>
  <c r="AK341" i="57"/>
  <c r="AK342" i="57"/>
  <c r="AK343" i="57"/>
  <c r="AK344" i="57"/>
  <c r="AK345" i="57"/>
  <c r="AK346" i="57"/>
  <c r="AK347" i="57"/>
  <c r="AK348" i="57"/>
  <c r="AK349" i="57"/>
  <c r="AK350" i="57"/>
  <c r="AK36" i="57"/>
  <c r="AJ37" i="57"/>
  <c r="AJ38" i="57"/>
  <c r="AJ39" i="57"/>
  <c r="AJ40" i="57"/>
  <c r="AJ41" i="57"/>
  <c r="AJ42" i="57"/>
  <c r="AJ43" i="57"/>
  <c r="AJ44" i="57"/>
  <c r="AJ45" i="57"/>
  <c r="AJ46" i="57"/>
  <c r="AJ47" i="57"/>
  <c r="AJ48" i="57"/>
  <c r="AJ49" i="57"/>
  <c r="AJ50" i="57"/>
  <c r="AJ51" i="57"/>
  <c r="AJ52" i="57"/>
  <c r="AJ53" i="57"/>
  <c r="AJ54" i="57"/>
  <c r="AJ55" i="57"/>
  <c r="AJ56" i="57"/>
  <c r="AJ57" i="57"/>
  <c r="AJ58" i="57"/>
  <c r="AJ59" i="57"/>
  <c r="AJ60" i="57"/>
  <c r="AJ61" i="57"/>
  <c r="AJ62" i="57"/>
  <c r="AJ63" i="57"/>
  <c r="AJ64" i="57"/>
  <c r="AJ65" i="57"/>
  <c r="AJ66" i="57"/>
  <c r="AJ67" i="57"/>
  <c r="AJ68" i="57"/>
  <c r="AJ69" i="57"/>
  <c r="AJ70" i="57"/>
  <c r="AJ71" i="57"/>
  <c r="AJ72" i="57"/>
  <c r="AJ73" i="57"/>
  <c r="AJ74" i="57"/>
  <c r="AJ75" i="57"/>
  <c r="AJ76" i="57"/>
  <c r="AJ77" i="57"/>
  <c r="AJ78" i="57"/>
  <c r="AJ79" i="57"/>
  <c r="AJ80" i="57"/>
  <c r="AJ81" i="57"/>
  <c r="AJ82" i="57"/>
  <c r="AJ83" i="57"/>
  <c r="AJ84" i="57"/>
  <c r="AJ85" i="57"/>
  <c r="AJ86" i="57"/>
  <c r="AJ87" i="57"/>
  <c r="AJ88" i="57"/>
  <c r="AJ89" i="57"/>
  <c r="AJ90" i="57"/>
  <c r="AJ91" i="57"/>
  <c r="AJ92" i="57"/>
  <c r="AJ93" i="57"/>
  <c r="AJ94" i="57"/>
  <c r="AJ95" i="57"/>
  <c r="AJ96" i="57"/>
  <c r="AJ97" i="57"/>
  <c r="AJ98" i="57"/>
  <c r="AJ99" i="57"/>
  <c r="AJ100" i="57"/>
  <c r="AJ101" i="57"/>
  <c r="AJ102" i="57"/>
  <c r="AJ103" i="57"/>
  <c r="AJ104" i="57"/>
  <c r="AJ105" i="57"/>
  <c r="AJ106" i="57"/>
  <c r="AJ107" i="57"/>
  <c r="AJ108" i="57"/>
  <c r="AJ109" i="57"/>
  <c r="AJ110" i="57"/>
  <c r="AJ111" i="57"/>
  <c r="AJ112" i="57"/>
  <c r="AJ113" i="57"/>
  <c r="AJ114" i="57"/>
  <c r="AJ115" i="57"/>
  <c r="AJ116" i="57"/>
  <c r="AJ117" i="57"/>
  <c r="AJ118" i="57"/>
  <c r="AJ119" i="57"/>
  <c r="AJ120" i="57"/>
  <c r="AJ121" i="57"/>
  <c r="AJ122" i="57"/>
  <c r="AJ123" i="57"/>
  <c r="AJ124" i="57"/>
  <c r="AJ125" i="57"/>
  <c r="AJ126" i="57"/>
  <c r="AJ127" i="57"/>
  <c r="AJ128" i="57"/>
  <c r="AJ129" i="57"/>
  <c r="AJ130" i="57"/>
  <c r="AJ131" i="57"/>
  <c r="AJ132" i="57"/>
  <c r="AJ133" i="57"/>
  <c r="AJ134" i="57"/>
  <c r="AJ135" i="57"/>
  <c r="AJ136" i="57"/>
  <c r="AJ137" i="57"/>
  <c r="AJ138" i="57"/>
  <c r="AJ139" i="57"/>
  <c r="AJ140" i="57"/>
  <c r="AJ141" i="57"/>
  <c r="AJ142" i="57"/>
  <c r="AJ143" i="57"/>
  <c r="AJ144" i="57"/>
  <c r="AJ145" i="57"/>
  <c r="AJ146" i="57"/>
  <c r="AJ147" i="57"/>
  <c r="AJ148" i="57"/>
  <c r="AJ149" i="57"/>
  <c r="AJ150" i="57"/>
  <c r="AJ151" i="57"/>
  <c r="AJ152" i="57"/>
  <c r="AJ153" i="57"/>
  <c r="AJ154" i="57"/>
  <c r="AJ155" i="57"/>
  <c r="AJ156" i="57"/>
  <c r="AJ157" i="57"/>
  <c r="AJ158" i="57"/>
  <c r="AJ159" i="57"/>
  <c r="AJ160" i="57"/>
  <c r="AJ161" i="57"/>
  <c r="AJ162" i="57"/>
  <c r="AJ163" i="57"/>
  <c r="AJ164" i="57"/>
  <c r="AJ165" i="57"/>
  <c r="AJ166" i="57"/>
  <c r="AJ167" i="57"/>
  <c r="AJ168" i="57"/>
  <c r="AJ169" i="57"/>
  <c r="AJ170" i="57"/>
  <c r="AJ171" i="57"/>
  <c r="AJ172" i="57"/>
  <c r="AJ173" i="57"/>
  <c r="AJ174" i="57"/>
  <c r="AJ175" i="57"/>
  <c r="AJ176" i="57"/>
  <c r="AJ177" i="57"/>
  <c r="AJ178" i="57"/>
  <c r="AJ179" i="57"/>
  <c r="AJ180" i="57"/>
  <c r="AJ181" i="57"/>
  <c r="AJ182" i="57"/>
  <c r="AJ183" i="57"/>
  <c r="AJ184" i="57"/>
  <c r="AJ185" i="57"/>
  <c r="AJ186" i="57"/>
  <c r="AJ187" i="57"/>
  <c r="AJ188" i="57"/>
  <c r="AJ189" i="57"/>
  <c r="AJ190" i="57"/>
  <c r="AJ191" i="57"/>
  <c r="AJ192" i="57"/>
  <c r="AJ193" i="57"/>
  <c r="AJ194" i="57"/>
  <c r="AJ195" i="57"/>
  <c r="AJ196" i="57"/>
  <c r="AJ197" i="57"/>
  <c r="AJ198" i="57"/>
  <c r="AJ199" i="57"/>
  <c r="AJ200" i="57"/>
  <c r="AJ201" i="57"/>
  <c r="AJ202" i="57"/>
  <c r="AJ203" i="57"/>
  <c r="AJ204" i="57"/>
  <c r="AJ205" i="57"/>
  <c r="AJ206" i="57"/>
  <c r="AJ207" i="57"/>
  <c r="AJ208" i="57"/>
  <c r="AJ209" i="57"/>
  <c r="AJ210" i="57"/>
  <c r="AJ211" i="57"/>
  <c r="AJ212" i="57"/>
  <c r="AJ213" i="57"/>
  <c r="AJ214" i="57"/>
  <c r="AJ215" i="57"/>
  <c r="AJ216" i="57"/>
  <c r="AJ217" i="57"/>
  <c r="AJ218" i="57"/>
  <c r="AJ219" i="57"/>
  <c r="AJ220" i="57"/>
  <c r="AJ221" i="57"/>
  <c r="AJ222" i="57"/>
  <c r="AJ223" i="57"/>
  <c r="AJ224" i="57"/>
  <c r="AJ225" i="57"/>
  <c r="AJ226" i="57"/>
  <c r="AJ227" i="57"/>
  <c r="AJ228" i="57"/>
  <c r="AJ229" i="57"/>
  <c r="AJ230" i="57"/>
  <c r="AJ231" i="57"/>
  <c r="AJ232" i="57"/>
  <c r="AJ233" i="57"/>
  <c r="AJ234" i="57"/>
  <c r="AJ235" i="57"/>
  <c r="AJ236" i="57"/>
  <c r="AJ237" i="57"/>
  <c r="AJ238" i="57"/>
  <c r="AJ239" i="57"/>
  <c r="AJ240" i="57"/>
  <c r="AJ241" i="57"/>
  <c r="AJ242" i="57"/>
  <c r="AJ243" i="57"/>
  <c r="AJ244" i="57"/>
  <c r="AJ245" i="57"/>
  <c r="AJ246" i="57"/>
  <c r="AJ247" i="57"/>
  <c r="AJ248" i="57"/>
  <c r="AJ249" i="57"/>
  <c r="AJ250" i="57"/>
  <c r="AJ251" i="57"/>
  <c r="AJ252" i="57"/>
  <c r="AJ253" i="57"/>
  <c r="AJ254" i="57"/>
  <c r="AJ255" i="57"/>
  <c r="AJ256" i="57"/>
  <c r="AJ257" i="57"/>
  <c r="AJ258" i="57"/>
  <c r="AJ259" i="57"/>
  <c r="AJ260" i="57"/>
  <c r="AJ261" i="57"/>
  <c r="AJ262" i="57"/>
  <c r="AJ263" i="57"/>
  <c r="AJ264" i="57"/>
  <c r="AJ265" i="57"/>
  <c r="AJ266" i="57"/>
  <c r="AJ267" i="57"/>
  <c r="AJ268" i="57"/>
  <c r="AJ269" i="57"/>
  <c r="AJ270" i="57"/>
  <c r="AJ271" i="57"/>
  <c r="AJ272" i="57"/>
  <c r="AJ273" i="57"/>
  <c r="AJ274" i="57"/>
  <c r="AJ275" i="57"/>
  <c r="AJ276" i="57"/>
  <c r="AJ277" i="57"/>
  <c r="AJ278" i="57"/>
  <c r="AJ279" i="57"/>
  <c r="AJ280" i="57"/>
  <c r="AJ281" i="57"/>
  <c r="AJ282" i="57"/>
  <c r="AJ283" i="57"/>
  <c r="AJ284" i="57"/>
  <c r="AJ285" i="57"/>
  <c r="AJ286" i="57"/>
  <c r="AJ287" i="57"/>
  <c r="AJ288" i="57"/>
  <c r="AJ289" i="57"/>
  <c r="AJ290" i="57"/>
  <c r="AJ291" i="57"/>
  <c r="AJ292" i="57"/>
  <c r="AJ293" i="57"/>
  <c r="AJ294" i="57"/>
  <c r="AJ295" i="57"/>
  <c r="AJ296" i="57"/>
  <c r="AJ297" i="57"/>
  <c r="AJ298" i="57"/>
  <c r="AJ299" i="57"/>
  <c r="AJ300" i="57"/>
  <c r="AJ301" i="57"/>
  <c r="AJ302" i="57"/>
  <c r="AJ303" i="57"/>
  <c r="AJ304" i="57"/>
  <c r="AJ305" i="57"/>
  <c r="AJ306" i="57"/>
  <c r="AJ307" i="57"/>
  <c r="AJ308" i="57"/>
  <c r="AJ309" i="57"/>
  <c r="AJ310" i="57"/>
  <c r="AJ311" i="57"/>
  <c r="AJ312" i="57"/>
  <c r="AJ313" i="57"/>
  <c r="AJ314" i="57"/>
  <c r="AJ315" i="57"/>
  <c r="AJ316" i="57"/>
  <c r="AJ317" i="57"/>
  <c r="AJ318" i="57"/>
  <c r="AJ319" i="57"/>
  <c r="AJ320" i="57"/>
  <c r="AJ321" i="57"/>
  <c r="AJ322" i="57"/>
  <c r="AJ323" i="57"/>
  <c r="AJ324" i="57"/>
  <c r="AJ325" i="57"/>
  <c r="AJ326" i="57"/>
  <c r="AJ327" i="57"/>
  <c r="AJ328" i="57"/>
  <c r="AJ329" i="57"/>
  <c r="AJ330" i="57"/>
  <c r="AJ331" i="57"/>
  <c r="AJ332" i="57"/>
  <c r="AJ333" i="57"/>
  <c r="AJ334" i="57"/>
  <c r="AJ335" i="57"/>
  <c r="AJ336" i="57"/>
  <c r="AJ337" i="57"/>
  <c r="AJ338" i="57"/>
  <c r="AJ339" i="57"/>
  <c r="AJ340" i="57"/>
  <c r="AJ341" i="57"/>
  <c r="AJ342" i="57"/>
  <c r="AJ343" i="57"/>
  <c r="AJ344" i="57"/>
  <c r="AJ345" i="57"/>
  <c r="AJ346" i="57"/>
  <c r="AJ347" i="57"/>
  <c r="AJ348" i="57"/>
  <c r="AJ349" i="57"/>
  <c r="AJ350" i="57"/>
  <c r="AJ36" i="57"/>
  <c r="AI38" i="57"/>
  <c r="AI40" i="57"/>
  <c r="AI41" i="57"/>
  <c r="AI42" i="57"/>
  <c r="AI43" i="57"/>
  <c r="AI44" i="57"/>
  <c r="AI45" i="57"/>
  <c r="AI46" i="57"/>
  <c r="AI47" i="57"/>
  <c r="AI48" i="57"/>
  <c r="AI49" i="57"/>
  <c r="AI50" i="57"/>
  <c r="AI51" i="57"/>
  <c r="AI53" i="57"/>
  <c r="AI55" i="57"/>
  <c r="AI56" i="57"/>
  <c r="AI57" i="57"/>
  <c r="AI58" i="57"/>
  <c r="AI59" i="57"/>
  <c r="AI60" i="57"/>
  <c r="AI61" i="57"/>
  <c r="AI62" i="57"/>
  <c r="AI63" i="57"/>
  <c r="AI64" i="57"/>
  <c r="AI65" i="57"/>
  <c r="AI66" i="57"/>
  <c r="AI68" i="57"/>
  <c r="AI69" i="57"/>
  <c r="AI70" i="57"/>
  <c r="AI71" i="57"/>
  <c r="AI72" i="57"/>
  <c r="AI73" i="57"/>
  <c r="AI74" i="57"/>
  <c r="AI75" i="57"/>
  <c r="AI76" i="57"/>
  <c r="AI77" i="57"/>
  <c r="AI78" i="57"/>
  <c r="AI79" i="57"/>
  <c r="AI80" i="57"/>
  <c r="AI81" i="57"/>
  <c r="AI83" i="57"/>
  <c r="AI84" i="57"/>
  <c r="AI85" i="57"/>
  <c r="AI86" i="57"/>
  <c r="AI87" i="57"/>
  <c r="AI88" i="57"/>
  <c r="AI89" i="57"/>
  <c r="AI90" i="57"/>
  <c r="AI91" i="57"/>
  <c r="AI92" i="57"/>
  <c r="AI93" i="57"/>
  <c r="AI94" i="57"/>
  <c r="AI95" i="57"/>
  <c r="AI96" i="57"/>
  <c r="AI98" i="57"/>
  <c r="AI100" i="57"/>
  <c r="AI101" i="57"/>
  <c r="AI102" i="57"/>
  <c r="AI103" i="57"/>
  <c r="AI104" i="57"/>
  <c r="AI105" i="57"/>
  <c r="AI106" i="57"/>
  <c r="AI107" i="57"/>
  <c r="AI108" i="57"/>
  <c r="AI109" i="57"/>
  <c r="AI110" i="57"/>
  <c r="AI111" i="57"/>
  <c r="AI113" i="57"/>
  <c r="AI115" i="57"/>
  <c r="AI116" i="57"/>
  <c r="AI117" i="57"/>
  <c r="AI118" i="57"/>
  <c r="AI119" i="57"/>
  <c r="AI120" i="57"/>
  <c r="AI121" i="57"/>
  <c r="AI122" i="57"/>
  <c r="AI123" i="57"/>
  <c r="AI124" i="57"/>
  <c r="AI125" i="57"/>
  <c r="AI126" i="57"/>
  <c r="AI128" i="57"/>
  <c r="AI129" i="57"/>
  <c r="AI130" i="57"/>
  <c r="AI131" i="57"/>
  <c r="AI132" i="57"/>
  <c r="AI133" i="57"/>
  <c r="AI134" i="57"/>
  <c r="AI135" i="57"/>
  <c r="AI136" i="57"/>
  <c r="AI137" i="57"/>
  <c r="AI138" i="57"/>
  <c r="AI139" i="57"/>
  <c r="AI140" i="57"/>
  <c r="AI141" i="57"/>
  <c r="AI143" i="57"/>
  <c r="AI144" i="57"/>
  <c r="AI145" i="57"/>
  <c r="AI146" i="57"/>
  <c r="AI147" i="57"/>
  <c r="AI148" i="57"/>
  <c r="AI149" i="57"/>
  <c r="AI150" i="57"/>
  <c r="AI151" i="57"/>
  <c r="AI152" i="57"/>
  <c r="AI153" i="57"/>
  <c r="AI154" i="57"/>
  <c r="AI155" i="57"/>
  <c r="AI156" i="57"/>
  <c r="AI158" i="57"/>
  <c r="AI160" i="57"/>
  <c r="AI161" i="57"/>
  <c r="AI162" i="57"/>
  <c r="AI163" i="57"/>
  <c r="AI164" i="57"/>
  <c r="AI165" i="57"/>
  <c r="AI166" i="57"/>
  <c r="AI167" i="57"/>
  <c r="AI168" i="57"/>
  <c r="AI169" i="57"/>
  <c r="AI170" i="57"/>
  <c r="AI171" i="57"/>
  <c r="AI173" i="57"/>
  <c r="AI175" i="57"/>
  <c r="AI176" i="57"/>
  <c r="AI177" i="57"/>
  <c r="AI178" i="57"/>
  <c r="AI179" i="57"/>
  <c r="AI180" i="57"/>
  <c r="AI181" i="57"/>
  <c r="AI182" i="57"/>
  <c r="AI183" i="57"/>
  <c r="AI184" i="57"/>
  <c r="AI185" i="57"/>
  <c r="AI186" i="57"/>
  <c r="AI188" i="57"/>
  <c r="AI189" i="57"/>
  <c r="AI190" i="57"/>
  <c r="AI191" i="57"/>
  <c r="AI192" i="57"/>
  <c r="AI193" i="57"/>
  <c r="AI194" i="57"/>
  <c r="AI195" i="57"/>
  <c r="AI196" i="57"/>
  <c r="AI197" i="57"/>
  <c r="AI198" i="57"/>
  <c r="AI199" i="57"/>
  <c r="AI200" i="57"/>
  <c r="AI201" i="57"/>
  <c r="AI203" i="57"/>
  <c r="AI204" i="57"/>
  <c r="AI205" i="57"/>
  <c r="AI206" i="57"/>
  <c r="AI207" i="57"/>
  <c r="AI208" i="57"/>
  <c r="AI209" i="57"/>
  <c r="AI210" i="57"/>
  <c r="AI211" i="57"/>
  <c r="AI212" i="57"/>
  <c r="AI213" i="57"/>
  <c r="AI214" i="57"/>
  <c r="AI215" i="57"/>
  <c r="AI216" i="57"/>
  <c r="AI218" i="57"/>
  <c r="AI220" i="57"/>
  <c r="AI221" i="57"/>
  <c r="AI222" i="57"/>
  <c r="AI223" i="57"/>
  <c r="AI224" i="57"/>
  <c r="AI225" i="57"/>
  <c r="AI226" i="57"/>
  <c r="AI227" i="57"/>
  <c r="AI228" i="57"/>
  <c r="AI229" i="57"/>
  <c r="AI230" i="57"/>
  <c r="AI231" i="57"/>
  <c r="AI233" i="57"/>
  <c r="AI235" i="57"/>
  <c r="AI236" i="57"/>
  <c r="AI237" i="57"/>
  <c r="AI238" i="57"/>
  <c r="AI239" i="57"/>
  <c r="AI240" i="57"/>
  <c r="AI241" i="57"/>
  <c r="AI242" i="57"/>
  <c r="AI243" i="57"/>
  <c r="AI244" i="57"/>
  <c r="AI245" i="57"/>
  <c r="AI246" i="57"/>
  <c r="AI248" i="57"/>
  <c r="AI249" i="57"/>
  <c r="AI250" i="57"/>
  <c r="AI251" i="57"/>
  <c r="AI252" i="57"/>
  <c r="AI253" i="57"/>
  <c r="AI254" i="57"/>
  <c r="AI255" i="57"/>
  <c r="AI256" i="57"/>
  <c r="AI257" i="57"/>
  <c r="AI258" i="57"/>
  <c r="AI259" i="57"/>
  <c r="AI260" i="57"/>
  <c r="AI261" i="57"/>
  <c r="AI263" i="57"/>
  <c r="AI264" i="57"/>
  <c r="AI265" i="57"/>
  <c r="AI266" i="57"/>
  <c r="AI267" i="57"/>
  <c r="AI268" i="57"/>
  <c r="AI269" i="57"/>
  <c r="AI270" i="57"/>
  <c r="AI271" i="57"/>
  <c r="AI272" i="57"/>
  <c r="AI273" i="57"/>
  <c r="AI274" i="57"/>
  <c r="AI275" i="57"/>
  <c r="AI276" i="57"/>
  <c r="AI278" i="57"/>
  <c r="AI280" i="57"/>
  <c r="AI281" i="57"/>
  <c r="AI282" i="57"/>
  <c r="AI283" i="57"/>
  <c r="AI284" i="57"/>
  <c r="AI285" i="57"/>
  <c r="AI286" i="57"/>
  <c r="AI287" i="57"/>
  <c r="AI288" i="57"/>
  <c r="AI289" i="57"/>
  <c r="AI290" i="57"/>
  <c r="AI291" i="57"/>
  <c r="AI293" i="57"/>
  <c r="AI295" i="57"/>
  <c r="AI296" i="57"/>
  <c r="AI297" i="57"/>
  <c r="AI298" i="57"/>
  <c r="AI299" i="57"/>
  <c r="AI300" i="57"/>
  <c r="AI301" i="57"/>
  <c r="AI302" i="57"/>
  <c r="AI303" i="57"/>
  <c r="AI304" i="57"/>
  <c r="AI305" i="57"/>
  <c r="AI306" i="57"/>
  <c r="AI308" i="57"/>
  <c r="AI309" i="57"/>
  <c r="AI310" i="57"/>
  <c r="AI311" i="57"/>
  <c r="AI312" i="57"/>
  <c r="AI313" i="57"/>
  <c r="AI314" i="57"/>
  <c r="AI315" i="57"/>
  <c r="AI316" i="57"/>
  <c r="AI317" i="57"/>
  <c r="AI318" i="57"/>
  <c r="AI319" i="57"/>
  <c r="AI320" i="57"/>
  <c r="AI321" i="57"/>
  <c r="AI323" i="57"/>
  <c r="AI324" i="57"/>
  <c r="AI325" i="57"/>
  <c r="AI326" i="57"/>
  <c r="AI327" i="57"/>
  <c r="AI328" i="57"/>
  <c r="AI329" i="57"/>
  <c r="AI330" i="57"/>
  <c r="AI331" i="57"/>
  <c r="AI332" i="57"/>
  <c r="AI333" i="57"/>
  <c r="AI334" i="57"/>
  <c r="AI335" i="57"/>
  <c r="AI336" i="57"/>
  <c r="AI338" i="57"/>
  <c r="AI340" i="57"/>
  <c r="AI341" i="57"/>
  <c r="AI342" i="57"/>
  <c r="AI343" i="57"/>
  <c r="AI344" i="57"/>
  <c r="AI345" i="57"/>
  <c r="AI346" i="57"/>
  <c r="AI347" i="57"/>
  <c r="AI348" i="57"/>
  <c r="AI349" i="57"/>
  <c r="AI350" i="57"/>
  <c r="AI36" i="57"/>
  <c r="AN14" i="57"/>
  <c r="AN15" i="57"/>
  <c r="AN16" i="57"/>
  <c r="AN17" i="57"/>
  <c r="AN18" i="57"/>
  <c r="AN19" i="57"/>
  <c r="AN20" i="57"/>
  <c r="AN21" i="57"/>
  <c r="AN22" i="57"/>
  <c r="AN23" i="57"/>
  <c r="AN13" i="57"/>
  <c r="AN12" i="57"/>
  <c r="AI54" i="57" s="1"/>
  <c r="AN11" i="57"/>
  <c r="AN10" i="57"/>
  <c r="AI97" i="57" s="1"/>
  <c r="AN9" i="57"/>
  <c r="AL7" i="57"/>
  <c r="J55" i="66" l="1"/>
  <c r="K28" i="66"/>
  <c r="O27" i="66"/>
  <c r="E27" i="66"/>
  <c r="H28" i="66" s="1"/>
  <c r="G28" i="66"/>
  <c r="I28" i="66" s="1"/>
  <c r="D55" i="66"/>
  <c r="F27" i="66"/>
  <c r="L28" i="66" s="1"/>
  <c r="J28" i="66"/>
  <c r="K55" i="66"/>
  <c r="AI292" i="57"/>
  <c r="AI232" i="57"/>
  <c r="AI172" i="57"/>
  <c r="AI112" i="57"/>
  <c r="AI52" i="57"/>
  <c r="AI339" i="57"/>
  <c r="AI307" i="57"/>
  <c r="AI279" i="57"/>
  <c r="AI247" i="57"/>
  <c r="AI219" i="57"/>
  <c r="AI187" i="57"/>
  <c r="AI159" i="57"/>
  <c r="AI127" i="57"/>
  <c r="AI99" i="57"/>
  <c r="AI67" i="57"/>
  <c r="AI39" i="57"/>
  <c r="AI322" i="57"/>
  <c r="AI294" i="57"/>
  <c r="AI262" i="57"/>
  <c r="AI234" i="57"/>
  <c r="AI202" i="57"/>
  <c r="AI174" i="57"/>
  <c r="AI142" i="57"/>
  <c r="AI114" i="57"/>
  <c r="AI82" i="57"/>
  <c r="AI277" i="57"/>
  <c r="AI157" i="57"/>
  <c r="AI37" i="57"/>
  <c r="AI337" i="57"/>
  <c r="AI217" i="57"/>
  <c r="F55" i="66" l="1"/>
  <c r="M55" i="66"/>
  <c r="N55" i="66" s="1"/>
  <c r="E55" i="66"/>
  <c r="H56" i="66" s="1"/>
  <c r="G56" i="66"/>
  <c r="I56" i="66" s="1"/>
  <c r="O28" i="66"/>
  <c r="O55" i="66"/>
  <c r="D28" i="66"/>
  <c r="Y7" i="57"/>
  <c r="Z7" i="57"/>
  <c r="AA7" i="57"/>
  <c r="AB7" i="57"/>
  <c r="AC7" i="57"/>
  <c r="X7" i="57"/>
  <c r="W7" i="57"/>
  <c r="V7" i="57"/>
  <c r="U7" i="57"/>
  <c r="T7" i="57"/>
  <c r="S7" i="57"/>
  <c r="R7" i="57"/>
  <c r="J56" i="66" l="1"/>
  <c r="D56" i="66"/>
  <c r="F28" i="66"/>
  <c r="E28" i="66"/>
  <c r="G29" i="66"/>
  <c r="K56" i="66"/>
  <c r="L56" i="66"/>
  <c r="AA96" i="57"/>
  <c r="AA100" i="57"/>
  <c r="AA160" i="57"/>
  <c r="AA164" i="57"/>
  <c r="AA224" i="57"/>
  <c r="AA228" i="57"/>
  <c r="AA288" i="57"/>
  <c r="AA292" i="57"/>
  <c r="AB37" i="57"/>
  <c r="AC37" i="57" s="1"/>
  <c r="AB38" i="57"/>
  <c r="AC38" i="57" s="1"/>
  <c r="AB39" i="57"/>
  <c r="AC39" i="57" s="1"/>
  <c r="AB40" i="57"/>
  <c r="AC40" i="57" s="1"/>
  <c r="AB41" i="57"/>
  <c r="AC41" i="57" s="1"/>
  <c r="AB42" i="57"/>
  <c r="AC42" i="57" s="1"/>
  <c r="AB43" i="57"/>
  <c r="AC43" i="57" s="1"/>
  <c r="AB44" i="57"/>
  <c r="AC44" i="57" s="1"/>
  <c r="AB45" i="57"/>
  <c r="AC45" i="57" s="1"/>
  <c r="AB46" i="57"/>
  <c r="AC46" i="57" s="1"/>
  <c r="AB47" i="57"/>
  <c r="AC47" i="57" s="1"/>
  <c r="AB48" i="57"/>
  <c r="AC48" i="57" s="1"/>
  <c r="AB49" i="57"/>
  <c r="AC49" i="57" s="1"/>
  <c r="AB50" i="57"/>
  <c r="AC50" i="57" s="1"/>
  <c r="AB51" i="57"/>
  <c r="AC51" i="57" s="1"/>
  <c r="AB52" i="57"/>
  <c r="AC52" i="57" s="1"/>
  <c r="AB53" i="57"/>
  <c r="AC53" i="57" s="1"/>
  <c r="AB54" i="57"/>
  <c r="AC54" i="57" s="1"/>
  <c r="AB55" i="57"/>
  <c r="AC55" i="57" s="1"/>
  <c r="AB56" i="57"/>
  <c r="AC56" i="57" s="1"/>
  <c r="AB57" i="57"/>
  <c r="AC57" i="57" s="1"/>
  <c r="AB58" i="57"/>
  <c r="AC58" i="57" s="1"/>
  <c r="AB59" i="57"/>
  <c r="AC59" i="57" s="1"/>
  <c r="AB60" i="57"/>
  <c r="AC60" i="57" s="1"/>
  <c r="AB61" i="57"/>
  <c r="AC61" i="57" s="1"/>
  <c r="AB62" i="57"/>
  <c r="AC62" i="57" s="1"/>
  <c r="AB63" i="57"/>
  <c r="AC63" i="57" s="1"/>
  <c r="AB64" i="57"/>
  <c r="AC64" i="57" s="1"/>
  <c r="AB65" i="57"/>
  <c r="AC65" i="57" s="1"/>
  <c r="AB66" i="57"/>
  <c r="AC66" i="57" s="1"/>
  <c r="AB67" i="57"/>
  <c r="AC67" i="57" s="1"/>
  <c r="AB68" i="57"/>
  <c r="AB69" i="57"/>
  <c r="AC69" i="57" s="1"/>
  <c r="AB70" i="57"/>
  <c r="AC70" i="57" s="1"/>
  <c r="AB71" i="57"/>
  <c r="AC71" i="57" s="1"/>
  <c r="AB72" i="57"/>
  <c r="AC72" i="57" s="1"/>
  <c r="AB73" i="57"/>
  <c r="AC73" i="57" s="1"/>
  <c r="AB74" i="57"/>
  <c r="AC74" i="57" s="1"/>
  <c r="AB75" i="57"/>
  <c r="AC75" i="57" s="1"/>
  <c r="AB76" i="57"/>
  <c r="AC76" i="57" s="1"/>
  <c r="AB77" i="57"/>
  <c r="AC77" i="57" s="1"/>
  <c r="AB78" i="57"/>
  <c r="AC78" i="57" s="1"/>
  <c r="AB79" i="57"/>
  <c r="AC79" i="57" s="1"/>
  <c r="AB80" i="57"/>
  <c r="AC80" i="57" s="1"/>
  <c r="AB81" i="57"/>
  <c r="AC81" i="57" s="1"/>
  <c r="AB82" i="57"/>
  <c r="AC82" i="57" s="1"/>
  <c r="AB83" i="57"/>
  <c r="AB84" i="57"/>
  <c r="AC84" i="57" s="1"/>
  <c r="AB85" i="57"/>
  <c r="AC85" i="57" s="1"/>
  <c r="AB86" i="57"/>
  <c r="AC86" i="57" s="1"/>
  <c r="AB87" i="57"/>
  <c r="AC87" i="57" s="1"/>
  <c r="AB88" i="57"/>
  <c r="AC88" i="57" s="1"/>
  <c r="AB89" i="57"/>
  <c r="AC89" i="57" s="1"/>
  <c r="AB90" i="57"/>
  <c r="AC90" i="57" s="1"/>
  <c r="AB91" i="57"/>
  <c r="AC91" i="57" s="1"/>
  <c r="AB92" i="57"/>
  <c r="AC92" i="57" s="1"/>
  <c r="AB93" i="57"/>
  <c r="AC93" i="57" s="1"/>
  <c r="AB94" i="57"/>
  <c r="AC94" i="57" s="1"/>
  <c r="AB95" i="57"/>
  <c r="AC95" i="57" s="1"/>
  <c r="AB96" i="57"/>
  <c r="AC96" i="57" s="1"/>
  <c r="AB97" i="57"/>
  <c r="AC97" i="57" s="1"/>
  <c r="AB98" i="57"/>
  <c r="AC98" i="57" s="1"/>
  <c r="AB99" i="57"/>
  <c r="AC99" i="57" s="1"/>
  <c r="AB100" i="57"/>
  <c r="AC100" i="57" s="1"/>
  <c r="AB101" i="57"/>
  <c r="AC101" i="57" s="1"/>
  <c r="AB102" i="57"/>
  <c r="AC102" i="57" s="1"/>
  <c r="AB103" i="57"/>
  <c r="AC103" i="57" s="1"/>
  <c r="AB104" i="57"/>
  <c r="AC104" i="57" s="1"/>
  <c r="AB105" i="57"/>
  <c r="AC105" i="57" s="1"/>
  <c r="AB106" i="57"/>
  <c r="AC106" i="57" s="1"/>
  <c r="AB107" i="57"/>
  <c r="AC107" i="57" s="1"/>
  <c r="AB108" i="57"/>
  <c r="AC108" i="57" s="1"/>
  <c r="AB109" i="57"/>
  <c r="AC109" i="57" s="1"/>
  <c r="AB110" i="57"/>
  <c r="AC110" i="57" s="1"/>
  <c r="AB111" i="57"/>
  <c r="AC111" i="57" s="1"/>
  <c r="AB112" i="57"/>
  <c r="AC112" i="57" s="1"/>
  <c r="AB113" i="57"/>
  <c r="AC113" i="57" s="1"/>
  <c r="AB114" i="57"/>
  <c r="AC114" i="57" s="1"/>
  <c r="AB115" i="57"/>
  <c r="AC115" i="57" s="1"/>
  <c r="AB116" i="57"/>
  <c r="AC116" i="57" s="1"/>
  <c r="AB117" i="57"/>
  <c r="AC117" i="57" s="1"/>
  <c r="AB118" i="57"/>
  <c r="AC118" i="57" s="1"/>
  <c r="AB119" i="57"/>
  <c r="AC119" i="57" s="1"/>
  <c r="AB120" i="57"/>
  <c r="AC120" i="57" s="1"/>
  <c r="AB121" i="57"/>
  <c r="AC121" i="57" s="1"/>
  <c r="AB122" i="57"/>
  <c r="AC122" i="57" s="1"/>
  <c r="AB123" i="57"/>
  <c r="AC123" i="57" s="1"/>
  <c r="AB124" i="57"/>
  <c r="AC124" i="57" s="1"/>
  <c r="AB125" i="57"/>
  <c r="AC125" i="57" s="1"/>
  <c r="AB126" i="57"/>
  <c r="AC126" i="57" s="1"/>
  <c r="AB127" i="57"/>
  <c r="AC127" i="57" s="1"/>
  <c r="AB128" i="57"/>
  <c r="AB129" i="57"/>
  <c r="AC129" i="57" s="1"/>
  <c r="AB130" i="57"/>
  <c r="AC130" i="57" s="1"/>
  <c r="AB131" i="57"/>
  <c r="AC131" i="57" s="1"/>
  <c r="AB132" i="57"/>
  <c r="AC132" i="57" s="1"/>
  <c r="AB133" i="57"/>
  <c r="AC133" i="57" s="1"/>
  <c r="AB134" i="57"/>
  <c r="AC134" i="57" s="1"/>
  <c r="AB135" i="57"/>
  <c r="AC135" i="57" s="1"/>
  <c r="AB136" i="57"/>
  <c r="AC136" i="57" s="1"/>
  <c r="AB137" i="57"/>
  <c r="AC137" i="57" s="1"/>
  <c r="AB138" i="57"/>
  <c r="AC138" i="57" s="1"/>
  <c r="AB139" i="57"/>
  <c r="AC139" i="57" s="1"/>
  <c r="AB140" i="57"/>
  <c r="AC140" i="57" s="1"/>
  <c r="AB141" i="57"/>
  <c r="AC141" i="57" s="1"/>
  <c r="AB142" i="57"/>
  <c r="AC142" i="57" s="1"/>
  <c r="AB143" i="57"/>
  <c r="AB144" i="57"/>
  <c r="AC144" i="57" s="1"/>
  <c r="AB145" i="57"/>
  <c r="AC145" i="57" s="1"/>
  <c r="AB146" i="57"/>
  <c r="AC146" i="57" s="1"/>
  <c r="AB147" i="57"/>
  <c r="AC147" i="57" s="1"/>
  <c r="AB148" i="57"/>
  <c r="AC148" i="57" s="1"/>
  <c r="AB149" i="57"/>
  <c r="AC149" i="57" s="1"/>
  <c r="AB150" i="57"/>
  <c r="AC150" i="57" s="1"/>
  <c r="AB151" i="57"/>
  <c r="AC151" i="57" s="1"/>
  <c r="AB152" i="57"/>
  <c r="AC152" i="57" s="1"/>
  <c r="AB153" i="57"/>
  <c r="AC153" i="57" s="1"/>
  <c r="AB154" i="57"/>
  <c r="AC154" i="57" s="1"/>
  <c r="AB155" i="57"/>
  <c r="AC155" i="57" s="1"/>
  <c r="AB156" i="57"/>
  <c r="AC156" i="57" s="1"/>
  <c r="AB157" i="57"/>
  <c r="AC157" i="57" s="1"/>
  <c r="AB158" i="57"/>
  <c r="AC158" i="57" s="1"/>
  <c r="AB159" i="57"/>
  <c r="AC159" i="57" s="1"/>
  <c r="AB160" i="57"/>
  <c r="AC160" i="57" s="1"/>
  <c r="AB161" i="57"/>
  <c r="AC161" i="57" s="1"/>
  <c r="AB162" i="57"/>
  <c r="AC162" i="57" s="1"/>
  <c r="AB163" i="57"/>
  <c r="AC163" i="57" s="1"/>
  <c r="AB164" i="57"/>
  <c r="AC164" i="57" s="1"/>
  <c r="AB165" i="57"/>
  <c r="AC165" i="57" s="1"/>
  <c r="AB166" i="57"/>
  <c r="AC166" i="57" s="1"/>
  <c r="AB167" i="57"/>
  <c r="AC167" i="57" s="1"/>
  <c r="AB168" i="57"/>
  <c r="AC168" i="57" s="1"/>
  <c r="AB169" i="57"/>
  <c r="AC169" i="57" s="1"/>
  <c r="AB170" i="57"/>
  <c r="AC170" i="57" s="1"/>
  <c r="AB171" i="57"/>
  <c r="AC171" i="57" s="1"/>
  <c r="AB172" i="57"/>
  <c r="AC172" i="57" s="1"/>
  <c r="AB173" i="57"/>
  <c r="AC173" i="57" s="1"/>
  <c r="AB174" i="57"/>
  <c r="AC174" i="57" s="1"/>
  <c r="AB175" i="57"/>
  <c r="AC175" i="57" s="1"/>
  <c r="AB176" i="57"/>
  <c r="AC176" i="57" s="1"/>
  <c r="AB177" i="57"/>
  <c r="AC177" i="57" s="1"/>
  <c r="AB178" i="57"/>
  <c r="AC178" i="57" s="1"/>
  <c r="AB179" i="57"/>
  <c r="AC179" i="57" s="1"/>
  <c r="AB180" i="57"/>
  <c r="AC180" i="57" s="1"/>
  <c r="AB181" i="57"/>
  <c r="AC181" i="57" s="1"/>
  <c r="AB182" i="57"/>
  <c r="AC182" i="57" s="1"/>
  <c r="AB183" i="57"/>
  <c r="AC183" i="57" s="1"/>
  <c r="AB184" i="57"/>
  <c r="AC184" i="57" s="1"/>
  <c r="AB185" i="57"/>
  <c r="AC185" i="57" s="1"/>
  <c r="AB186" i="57"/>
  <c r="AC186" i="57" s="1"/>
  <c r="AB187" i="57"/>
  <c r="AC187" i="57" s="1"/>
  <c r="AB188" i="57"/>
  <c r="AB189" i="57"/>
  <c r="AC189" i="57" s="1"/>
  <c r="AB190" i="57"/>
  <c r="AC190" i="57" s="1"/>
  <c r="AB191" i="57"/>
  <c r="AC191" i="57" s="1"/>
  <c r="AB192" i="57"/>
  <c r="AC192" i="57" s="1"/>
  <c r="AB193" i="57"/>
  <c r="AC193" i="57" s="1"/>
  <c r="AB194" i="57"/>
  <c r="AC194" i="57" s="1"/>
  <c r="AB195" i="57"/>
  <c r="AC195" i="57" s="1"/>
  <c r="AB196" i="57"/>
  <c r="AC196" i="57" s="1"/>
  <c r="AB197" i="57"/>
  <c r="AC197" i="57" s="1"/>
  <c r="AB198" i="57"/>
  <c r="AC198" i="57" s="1"/>
  <c r="AB199" i="57"/>
  <c r="AC199" i="57" s="1"/>
  <c r="AB200" i="57"/>
  <c r="AC200" i="57" s="1"/>
  <c r="AB201" i="57"/>
  <c r="AC201" i="57" s="1"/>
  <c r="AB202" i="57"/>
  <c r="AC202" i="57" s="1"/>
  <c r="AB203" i="57"/>
  <c r="AB204" i="57"/>
  <c r="AC204" i="57" s="1"/>
  <c r="AB205" i="57"/>
  <c r="AC205" i="57" s="1"/>
  <c r="AB206" i="57"/>
  <c r="AC206" i="57" s="1"/>
  <c r="AB207" i="57"/>
  <c r="AC207" i="57" s="1"/>
  <c r="AB208" i="57"/>
  <c r="AC208" i="57" s="1"/>
  <c r="AB209" i="57"/>
  <c r="AC209" i="57" s="1"/>
  <c r="AB210" i="57"/>
  <c r="AC210" i="57" s="1"/>
  <c r="AB211" i="57"/>
  <c r="AC211" i="57" s="1"/>
  <c r="AB212" i="57"/>
  <c r="AC212" i="57" s="1"/>
  <c r="AB213" i="57"/>
  <c r="AC213" i="57" s="1"/>
  <c r="AB214" i="57"/>
  <c r="AC214" i="57" s="1"/>
  <c r="AB215" i="57"/>
  <c r="AC215" i="57" s="1"/>
  <c r="AB216" i="57"/>
  <c r="AC216" i="57" s="1"/>
  <c r="AB217" i="57"/>
  <c r="AC217" i="57" s="1"/>
  <c r="AB218" i="57"/>
  <c r="AC218" i="57" s="1"/>
  <c r="AB219" i="57"/>
  <c r="AC219" i="57" s="1"/>
  <c r="AB220" i="57"/>
  <c r="AC220" i="57" s="1"/>
  <c r="AB221" i="57"/>
  <c r="AC221" i="57" s="1"/>
  <c r="AB222" i="57"/>
  <c r="AC222" i="57" s="1"/>
  <c r="AB223" i="57"/>
  <c r="AC223" i="57" s="1"/>
  <c r="AB224" i="57"/>
  <c r="AC224" i="57" s="1"/>
  <c r="AB225" i="57"/>
  <c r="AC225" i="57" s="1"/>
  <c r="AB226" i="57"/>
  <c r="AC226" i="57" s="1"/>
  <c r="AB227" i="57"/>
  <c r="AC227" i="57" s="1"/>
  <c r="AB228" i="57"/>
  <c r="AC228" i="57" s="1"/>
  <c r="AB229" i="57"/>
  <c r="AC229" i="57" s="1"/>
  <c r="AB230" i="57"/>
  <c r="AC230" i="57" s="1"/>
  <c r="AB231" i="57"/>
  <c r="AC231" i="57" s="1"/>
  <c r="AB232" i="57"/>
  <c r="AC232" i="57" s="1"/>
  <c r="AB233" i="57"/>
  <c r="AC233" i="57" s="1"/>
  <c r="AB234" i="57"/>
  <c r="AC234" i="57" s="1"/>
  <c r="AB235" i="57"/>
  <c r="AC235" i="57" s="1"/>
  <c r="AB236" i="57"/>
  <c r="AC236" i="57" s="1"/>
  <c r="AB237" i="57"/>
  <c r="AC237" i="57" s="1"/>
  <c r="AB238" i="57"/>
  <c r="AC238" i="57" s="1"/>
  <c r="AB239" i="57"/>
  <c r="AC239" i="57" s="1"/>
  <c r="AB240" i="57"/>
  <c r="AC240" i="57" s="1"/>
  <c r="AB241" i="57"/>
  <c r="AC241" i="57" s="1"/>
  <c r="AB242" i="57"/>
  <c r="AC242" i="57" s="1"/>
  <c r="AB243" i="57"/>
  <c r="AC243" i="57" s="1"/>
  <c r="AB244" i="57"/>
  <c r="AC244" i="57" s="1"/>
  <c r="AB245" i="57"/>
  <c r="AC245" i="57" s="1"/>
  <c r="AB246" i="57"/>
  <c r="AC246" i="57" s="1"/>
  <c r="AB247" i="57"/>
  <c r="AC247" i="57" s="1"/>
  <c r="AB248" i="57"/>
  <c r="AB249" i="57"/>
  <c r="AC249" i="57" s="1"/>
  <c r="AB250" i="57"/>
  <c r="AC250" i="57" s="1"/>
  <c r="AB251" i="57"/>
  <c r="AC251" i="57" s="1"/>
  <c r="AB252" i="57"/>
  <c r="AC252" i="57" s="1"/>
  <c r="AB253" i="57"/>
  <c r="AC253" i="57" s="1"/>
  <c r="AB254" i="57"/>
  <c r="AC254" i="57" s="1"/>
  <c r="AB255" i="57"/>
  <c r="AC255" i="57" s="1"/>
  <c r="AB256" i="57"/>
  <c r="AC256" i="57" s="1"/>
  <c r="AB257" i="57"/>
  <c r="AC257" i="57" s="1"/>
  <c r="AB258" i="57"/>
  <c r="AC258" i="57" s="1"/>
  <c r="AB259" i="57"/>
  <c r="AC259" i="57" s="1"/>
  <c r="AB260" i="57"/>
  <c r="AC260" i="57" s="1"/>
  <c r="AB261" i="57"/>
  <c r="AC261" i="57" s="1"/>
  <c r="AB262" i="57"/>
  <c r="AC262" i="57" s="1"/>
  <c r="AB263" i="57"/>
  <c r="AB264" i="57"/>
  <c r="AC264" i="57" s="1"/>
  <c r="AB265" i="57"/>
  <c r="AC265" i="57" s="1"/>
  <c r="AB266" i="57"/>
  <c r="AC266" i="57" s="1"/>
  <c r="AB267" i="57"/>
  <c r="AC267" i="57" s="1"/>
  <c r="AB268" i="57"/>
  <c r="AC268" i="57" s="1"/>
  <c r="AB269" i="57"/>
  <c r="AC269" i="57" s="1"/>
  <c r="AB270" i="57"/>
  <c r="AC270" i="57" s="1"/>
  <c r="AB271" i="57"/>
  <c r="AC271" i="57" s="1"/>
  <c r="AB272" i="57"/>
  <c r="AC272" i="57" s="1"/>
  <c r="AB273" i="57"/>
  <c r="AC273" i="57" s="1"/>
  <c r="AB274" i="57"/>
  <c r="AC274" i="57" s="1"/>
  <c r="AB275" i="57"/>
  <c r="AC275" i="57" s="1"/>
  <c r="AB276" i="57"/>
  <c r="AC276" i="57" s="1"/>
  <c r="AB277" i="57"/>
  <c r="AC277" i="57" s="1"/>
  <c r="AB278" i="57"/>
  <c r="AC278" i="57" s="1"/>
  <c r="AB279" i="57"/>
  <c r="AC279" i="57" s="1"/>
  <c r="AB280" i="57"/>
  <c r="AC280" i="57" s="1"/>
  <c r="AB281" i="57"/>
  <c r="AC281" i="57" s="1"/>
  <c r="AB282" i="57"/>
  <c r="AC282" i="57" s="1"/>
  <c r="AB283" i="57"/>
  <c r="AC283" i="57" s="1"/>
  <c r="AB284" i="57"/>
  <c r="AC284" i="57" s="1"/>
  <c r="AB285" i="57"/>
  <c r="AC285" i="57" s="1"/>
  <c r="AB286" i="57"/>
  <c r="AC286" i="57" s="1"/>
  <c r="AB287" i="57"/>
  <c r="AC287" i="57" s="1"/>
  <c r="AB288" i="57"/>
  <c r="AC288" i="57" s="1"/>
  <c r="AB289" i="57"/>
  <c r="AC289" i="57" s="1"/>
  <c r="AB290" i="57"/>
  <c r="AC290" i="57" s="1"/>
  <c r="AB291" i="57"/>
  <c r="AC291" i="57" s="1"/>
  <c r="AB292" i="57"/>
  <c r="AC292" i="57" s="1"/>
  <c r="AB293" i="57"/>
  <c r="AC293" i="57" s="1"/>
  <c r="AB294" i="57"/>
  <c r="AC294" i="57" s="1"/>
  <c r="AB295" i="57"/>
  <c r="AC295" i="57" s="1"/>
  <c r="AB296" i="57"/>
  <c r="AC296" i="57" s="1"/>
  <c r="AB297" i="57"/>
  <c r="AC297" i="57" s="1"/>
  <c r="AB298" i="57"/>
  <c r="AC298" i="57" s="1"/>
  <c r="AB299" i="57"/>
  <c r="AC299" i="57" s="1"/>
  <c r="AB300" i="57"/>
  <c r="AC300" i="57" s="1"/>
  <c r="AB301" i="57"/>
  <c r="AC301" i="57" s="1"/>
  <c r="AB302" i="57"/>
  <c r="AC302" i="57" s="1"/>
  <c r="AB303" i="57"/>
  <c r="AC303" i="57" s="1"/>
  <c r="AB304" i="57"/>
  <c r="AC304" i="57" s="1"/>
  <c r="AB305" i="57"/>
  <c r="AC305" i="57" s="1"/>
  <c r="AB306" i="57"/>
  <c r="AC306" i="57" s="1"/>
  <c r="AB307" i="57"/>
  <c r="AC307" i="57" s="1"/>
  <c r="AB308" i="57"/>
  <c r="AB309" i="57"/>
  <c r="AC309" i="57" s="1"/>
  <c r="AB310" i="57"/>
  <c r="AC310" i="57" s="1"/>
  <c r="AB311" i="57"/>
  <c r="AC311" i="57" s="1"/>
  <c r="AB312" i="57"/>
  <c r="AC312" i="57" s="1"/>
  <c r="AB313" i="57"/>
  <c r="AC313" i="57" s="1"/>
  <c r="AB314" i="57"/>
  <c r="AC314" i="57" s="1"/>
  <c r="AB315" i="57"/>
  <c r="AC315" i="57" s="1"/>
  <c r="AB316" i="57"/>
  <c r="AC316" i="57" s="1"/>
  <c r="AB317" i="57"/>
  <c r="AC317" i="57" s="1"/>
  <c r="AB318" i="57"/>
  <c r="AC318" i="57" s="1"/>
  <c r="AB319" i="57"/>
  <c r="AC319" i="57" s="1"/>
  <c r="AB320" i="57"/>
  <c r="AC320" i="57" s="1"/>
  <c r="AB321" i="57"/>
  <c r="AC321" i="57" s="1"/>
  <c r="AB322" i="57"/>
  <c r="AC322" i="57" s="1"/>
  <c r="AB323" i="57"/>
  <c r="AB324" i="57"/>
  <c r="AC324" i="57" s="1"/>
  <c r="AB325" i="57"/>
  <c r="AC325" i="57" s="1"/>
  <c r="AB326" i="57"/>
  <c r="AC326" i="57" s="1"/>
  <c r="AB327" i="57"/>
  <c r="AC327" i="57" s="1"/>
  <c r="AB328" i="57"/>
  <c r="AC328" i="57" s="1"/>
  <c r="AB329" i="57"/>
  <c r="AC329" i="57" s="1"/>
  <c r="AB330" i="57"/>
  <c r="AC330" i="57" s="1"/>
  <c r="AB331" i="57"/>
  <c r="AC331" i="57" s="1"/>
  <c r="AB332" i="57"/>
  <c r="AC332" i="57" s="1"/>
  <c r="AB333" i="57"/>
  <c r="AC333" i="57" s="1"/>
  <c r="AB334" i="57"/>
  <c r="AC334" i="57" s="1"/>
  <c r="AB335" i="57"/>
  <c r="AC335" i="57" s="1"/>
  <c r="AB336" i="57"/>
  <c r="AC336" i="57" s="1"/>
  <c r="AB337" i="57"/>
  <c r="AC337" i="57" s="1"/>
  <c r="AB338" i="57"/>
  <c r="AC338" i="57" s="1"/>
  <c r="AB339" i="57"/>
  <c r="AC339" i="57" s="1"/>
  <c r="AB340" i="57"/>
  <c r="AC340" i="57" s="1"/>
  <c r="AB341" i="57"/>
  <c r="AC341" i="57" s="1"/>
  <c r="AB342" i="57"/>
  <c r="AC342" i="57" s="1"/>
  <c r="AB343" i="57"/>
  <c r="AC343" i="57" s="1"/>
  <c r="AB344" i="57"/>
  <c r="AC344" i="57" s="1"/>
  <c r="AB345" i="57"/>
  <c r="AC345" i="57" s="1"/>
  <c r="AB346" i="57"/>
  <c r="AC346" i="57" s="1"/>
  <c r="AB347" i="57"/>
  <c r="AC347" i="57" s="1"/>
  <c r="AB348" i="57"/>
  <c r="AC348" i="57" s="1"/>
  <c r="AB349" i="57"/>
  <c r="AC349" i="57" s="1"/>
  <c r="AB350" i="57"/>
  <c r="AC350" i="57" s="1"/>
  <c r="AB36" i="57"/>
  <c r="AC36" i="57" s="1"/>
  <c r="Z37" i="57"/>
  <c r="AA37" i="57" s="1"/>
  <c r="Z38" i="57"/>
  <c r="AA38" i="57" s="1"/>
  <c r="Z39" i="57"/>
  <c r="AA39" i="57" s="1"/>
  <c r="Z40" i="57"/>
  <c r="AA40" i="57" s="1"/>
  <c r="Z41" i="57"/>
  <c r="AA41" i="57" s="1"/>
  <c r="Z42" i="57"/>
  <c r="AA42" i="57" s="1"/>
  <c r="Z43" i="57"/>
  <c r="AA43" i="57" s="1"/>
  <c r="Z44" i="57"/>
  <c r="AA44" i="57" s="1"/>
  <c r="Z45" i="57"/>
  <c r="AA45" i="57" s="1"/>
  <c r="Z46" i="57"/>
  <c r="AA46" i="57" s="1"/>
  <c r="Z47" i="57"/>
  <c r="AA47" i="57" s="1"/>
  <c r="Z48" i="57"/>
  <c r="AA48" i="57" s="1"/>
  <c r="Z49" i="57"/>
  <c r="AA49" i="57" s="1"/>
  <c r="Z50" i="57"/>
  <c r="AA50" i="57" s="1"/>
  <c r="Z51" i="57"/>
  <c r="AA51" i="57" s="1"/>
  <c r="Z52" i="57"/>
  <c r="AA52" i="57" s="1"/>
  <c r="Z53" i="57"/>
  <c r="AA53" i="57" s="1"/>
  <c r="Z54" i="57"/>
  <c r="AA54" i="57" s="1"/>
  <c r="Z55" i="57"/>
  <c r="AA55" i="57" s="1"/>
  <c r="Z56" i="57"/>
  <c r="AA56" i="57" s="1"/>
  <c r="Z57" i="57"/>
  <c r="AA57" i="57" s="1"/>
  <c r="Z58" i="57"/>
  <c r="AA58" i="57" s="1"/>
  <c r="Z59" i="57"/>
  <c r="AA59" i="57" s="1"/>
  <c r="Z60" i="57"/>
  <c r="AA60" i="57" s="1"/>
  <c r="Z61" i="57"/>
  <c r="AA61" i="57" s="1"/>
  <c r="Z62" i="57"/>
  <c r="AA62" i="57" s="1"/>
  <c r="Z63" i="57"/>
  <c r="AA63" i="57" s="1"/>
  <c r="Z64" i="57"/>
  <c r="AA64" i="57" s="1"/>
  <c r="Z65" i="57"/>
  <c r="AA65" i="57" s="1"/>
  <c r="Z66" i="57"/>
  <c r="AA66" i="57" s="1"/>
  <c r="Z67" i="57"/>
  <c r="AA67" i="57" s="1"/>
  <c r="Z68" i="57"/>
  <c r="AA68" i="57" s="1"/>
  <c r="Z69" i="57"/>
  <c r="AA69" i="57" s="1"/>
  <c r="Z70" i="57"/>
  <c r="AA70" i="57" s="1"/>
  <c r="Z71" i="57"/>
  <c r="AA71" i="57" s="1"/>
  <c r="Z72" i="57"/>
  <c r="AA72" i="57" s="1"/>
  <c r="Z73" i="57"/>
  <c r="AA73" i="57" s="1"/>
  <c r="Z74" i="57"/>
  <c r="AA74" i="57" s="1"/>
  <c r="Z75" i="57"/>
  <c r="AA75" i="57" s="1"/>
  <c r="Z76" i="57"/>
  <c r="AA76" i="57" s="1"/>
  <c r="Z77" i="57"/>
  <c r="AA77" i="57" s="1"/>
  <c r="Z78" i="57"/>
  <c r="AA78" i="57" s="1"/>
  <c r="Z79" i="57"/>
  <c r="AA79" i="57" s="1"/>
  <c r="Z80" i="57"/>
  <c r="AA80" i="57" s="1"/>
  <c r="Z81" i="57"/>
  <c r="AA81" i="57" s="1"/>
  <c r="Z82" i="57"/>
  <c r="AA82" i="57" s="1"/>
  <c r="Z83" i="57"/>
  <c r="AA83" i="57" s="1"/>
  <c r="Z84" i="57"/>
  <c r="AA84" i="57" s="1"/>
  <c r="Z85" i="57"/>
  <c r="AA85" i="57" s="1"/>
  <c r="Z86" i="57"/>
  <c r="AA86" i="57" s="1"/>
  <c r="Z87" i="57"/>
  <c r="AA87" i="57" s="1"/>
  <c r="Z88" i="57"/>
  <c r="AA88" i="57" s="1"/>
  <c r="Z89" i="57"/>
  <c r="AA89" i="57" s="1"/>
  <c r="Z90" i="57"/>
  <c r="AA90" i="57" s="1"/>
  <c r="Z91" i="57"/>
  <c r="AA91" i="57" s="1"/>
  <c r="Z92" i="57"/>
  <c r="AA92" i="57" s="1"/>
  <c r="Z93" i="57"/>
  <c r="AA93" i="57" s="1"/>
  <c r="Z94" i="57"/>
  <c r="AA94" i="57" s="1"/>
  <c r="Z95" i="57"/>
  <c r="AA95" i="57" s="1"/>
  <c r="Z96" i="57"/>
  <c r="Z97" i="57"/>
  <c r="AA97" i="57" s="1"/>
  <c r="Z98" i="57"/>
  <c r="AA98" i="57" s="1"/>
  <c r="Z99" i="57"/>
  <c r="AA99" i="57" s="1"/>
  <c r="Z100" i="57"/>
  <c r="Z101" i="57"/>
  <c r="AA101" i="57" s="1"/>
  <c r="Z102" i="57"/>
  <c r="AA102" i="57" s="1"/>
  <c r="Z103" i="57"/>
  <c r="AA103" i="57" s="1"/>
  <c r="Z104" i="57"/>
  <c r="AA104" i="57" s="1"/>
  <c r="Z105" i="57"/>
  <c r="AA105" i="57" s="1"/>
  <c r="Z106" i="57"/>
  <c r="AA106" i="57" s="1"/>
  <c r="Z107" i="57"/>
  <c r="AA107" i="57" s="1"/>
  <c r="Z108" i="57"/>
  <c r="AA108" i="57" s="1"/>
  <c r="Z109" i="57"/>
  <c r="AA109" i="57" s="1"/>
  <c r="Z110" i="57"/>
  <c r="AA110" i="57" s="1"/>
  <c r="Z111" i="57"/>
  <c r="AA111" i="57" s="1"/>
  <c r="Z112" i="57"/>
  <c r="AA112" i="57" s="1"/>
  <c r="Z113" i="57"/>
  <c r="AA113" i="57" s="1"/>
  <c r="Z114" i="57"/>
  <c r="AA114" i="57" s="1"/>
  <c r="Z115" i="57"/>
  <c r="AA115" i="57" s="1"/>
  <c r="Z116" i="57"/>
  <c r="AA116" i="57" s="1"/>
  <c r="Z117" i="57"/>
  <c r="AA117" i="57" s="1"/>
  <c r="Z118" i="57"/>
  <c r="AA118" i="57" s="1"/>
  <c r="Z119" i="57"/>
  <c r="AA119" i="57" s="1"/>
  <c r="Z120" i="57"/>
  <c r="AA120" i="57" s="1"/>
  <c r="Z121" i="57"/>
  <c r="AA121" i="57" s="1"/>
  <c r="Z122" i="57"/>
  <c r="AA122" i="57" s="1"/>
  <c r="Z123" i="57"/>
  <c r="AA123" i="57" s="1"/>
  <c r="Z124" i="57"/>
  <c r="AA124" i="57" s="1"/>
  <c r="Z125" i="57"/>
  <c r="AA125" i="57" s="1"/>
  <c r="Z126" i="57"/>
  <c r="AA126" i="57" s="1"/>
  <c r="Z127" i="57"/>
  <c r="AA127" i="57" s="1"/>
  <c r="Z128" i="57"/>
  <c r="AA128" i="57" s="1"/>
  <c r="Z129" i="57"/>
  <c r="AA129" i="57" s="1"/>
  <c r="Z130" i="57"/>
  <c r="AA130" i="57" s="1"/>
  <c r="Z131" i="57"/>
  <c r="AA131" i="57" s="1"/>
  <c r="Z132" i="57"/>
  <c r="AA132" i="57" s="1"/>
  <c r="Z133" i="57"/>
  <c r="AA133" i="57" s="1"/>
  <c r="Z134" i="57"/>
  <c r="AA134" i="57" s="1"/>
  <c r="Z135" i="57"/>
  <c r="AA135" i="57" s="1"/>
  <c r="Z136" i="57"/>
  <c r="AA136" i="57" s="1"/>
  <c r="Z137" i="57"/>
  <c r="AA137" i="57" s="1"/>
  <c r="Z138" i="57"/>
  <c r="AA138" i="57" s="1"/>
  <c r="Z139" i="57"/>
  <c r="AA139" i="57" s="1"/>
  <c r="Z140" i="57"/>
  <c r="AA140" i="57" s="1"/>
  <c r="Z141" i="57"/>
  <c r="AA141" i="57" s="1"/>
  <c r="Z142" i="57"/>
  <c r="AA142" i="57" s="1"/>
  <c r="Z143" i="57"/>
  <c r="AA143" i="57" s="1"/>
  <c r="Z144" i="57"/>
  <c r="AA144" i="57" s="1"/>
  <c r="Z145" i="57"/>
  <c r="AA145" i="57" s="1"/>
  <c r="Z146" i="57"/>
  <c r="AA146" i="57" s="1"/>
  <c r="Z147" i="57"/>
  <c r="AA147" i="57" s="1"/>
  <c r="Z148" i="57"/>
  <c r="AA148" i="57" s="1"/>
  <c r="Z149" i="57"/>
  <c r="AA149" i="57" s="1"/>
  <c r="Z150" i="57"/>
  <c r="AA150" i="57" s="1"/>
  <c r="Z151" i="57"/>
  <c r="AA151" i="57" s="1"/>
  <c r="Z152" i="57"/>
  <c r="AA152" i="57" s="1"/>
  <c r="Z153" i="57"/>
  <c r="AA153" i="57" s="1"/>
  <c r="Z154" i="57"/>
  <c r="AA154" i="57" s="1"/>
  <c r="Z155" i="57"/>
  <c r="AA155" i="57" s="1"/>
  <c r="Z156" i="57"/>
  <c r="AA156" i="57" s="1"/>
  <c r="Z157" i="57"/>
  <c r="AA157" i="57" s="1"/>
  <c r="Z158" i="57"/>
  <c r="AA158" i="57" s="1"/>
  <c r="Z159" i="57"/>
  <c r="AA159" i="57" s="1"/>
  <c r="Z160" i="57"/>
  <c r="Z161" i="57"/>
  <c r="AA161" i="57" s="1"/>
  <c r="Z162" i="57"/>
  <c r="AA162" i="57" s="1"/>
  <c r="Z163" i="57"/>
  <c r="AA163" i="57" s="1"/>
  <c r="Z164" i="57"/>
  <c r="Z165" i="57"/>
  <c r="AA165" i="57" s="1"/>
  <c r="Z166" i="57"/>
  <c r="AA166" i="57" s="1"/>
  <c r="Z167" i="57"/>
  <c r="AA167" i="57" s="1"/>
  <c r="Z168" i="57"/>
  <c r="AA168" i="57" s="1"/>
  <c r="Z169" i="57"/>
  <c r="AA169" i="57" s="1"/>
  <c r="Z170" i="57"/>
  <c r="AA170" i="57" s="1"/>
  <c r="Z171" i="57"/>
  <c r="AA171" i="57" s="1"/>
  <c r="Z172" i="57"/>
  <c r="AA172" i="57" s="1"/>
  <c r="Z173" i="57"/>
  <c r="AA173" i="57" s="1"/>
  <c r="Z174" i="57"/>
  <c r="AA174" i="57" s="1"/>
  <c r="Z175" i="57"/>
  <c r="AA175" i="57" s="1"/>
  <c r="Z176" i="57"/>
  <c r="AA176" i="57" s="1"/>
  <c r="Z177" i="57"/>
  <c r="AA177" i="57" s="1"/>
  <c r="Z178" i="57"/>
  <c r="AA178" i="57" s="1"/>
  <c r="Z179" i="57"/>
  <c r="AA179" i="57" s="1"/>
  <c r="Z180" i="57"/>
  <c r="AA180" i="57" s="1"/>
  <c r="Z181" i="57"/>
  <c r="AA181" i="57" s="1"/>
  <c r="Z182" i="57"/>
  <c r="AA182" i="57" s="1"/>
  <c r="Z183" i="57"/>
  <c r="AA183" i="57" s="1"/>
  <c r="Z184" i="57"/>
  <c r="AA184" i="57" s="1"/>
  <c r="Z185" i="57"/>
  <c r="AA185" i="57" s="1"/>
  <c r="Z186" i="57"/>
  <c r="AA186" i="57" s="1"/>
  <c r="Z187" i="57"/>
  <c r="AA187" i="57" s="1"/>
  <c r="Z188" i="57"/>
  <c r="AA188" i="57" s="1"/>
  <c r="Z189" i="57"/>
  <c r="AA189" i="57" s="1"/>
  <c r="Z190" i="57"/>
  <c r="AA190" i="57" s="1"/>
  <c r="Z191" i="57"/>
  <c r="AA191" i="57" s="1"/>
  <c r="Z192" i="57"/>
  <c r="AA192" i="57" s="1"/>
  <c r="Z193" i="57"/>
  <c r="AA193" i="57" s="1"/>
  <c r="Z194" i="57"/>
  <c r="AA194" i="57" s="1"/>
  <c r="Z195" i="57"/>
  <c r="AA195" i="57" s="1"/>
  <c r="Z196" i="57"/>
  <c r="AA196" i="57" s="1"/>
  <c r="Z197" i="57"/>
  <c r="AA197" i="57" s="1"/>
  <c r="Z198" i="57"/>
  <c r="AA198" i="57" s="1"/>
  <c r="Z199" i="57"/>
  <c r="AA199" i="57" s="1"/>
  <c r="Z200" i="57"/>
  <c r="AA200" i="57" s="1"/>
  <c r="Z201" i="57"/>
  <c r="AA201" i="57" s="1"/>
  <c r="Z202" i="57"/>
  <c r="AA202" i="57" s="1"/>
  <c r="Z203" i="57"/>
  <c r="AA203" i="57" s="1"/>
  <c r="Z204" i="57"/>
  <c r="AA204" i="57" s="1"/>
  <c r="Z205" i="57"/>
  <c r="AA205" i="57" s="1"/>
  <c r="Z206" i="57"/>
  <c r="AA206" i="57" s="1"/>
  <c r="Z207" i="57"/>
  <c r="AA207" i="57" s="1"/>
  <c r="Z208" i="57"/>
  <c r="AA208" i="57" s="1"/>
  <c r="Z209" i="57"/>
  <c r="AA209" i="57" s="1"/>
  <c r="Z210" i="57"/>
  <c r="AA210" i="57" s="1"/>
  <c r="Z211" i="57"/>
  <c r="AA211" i="57" s="1"/>
  <c r="Z212" i="57"/>
  <c r="AA212" i="57" s="1"/>
  <c r="Z213" i="57"/>
  <c r="AA213" i="57" s="1"/>
  <c r="Z214" i="57"/>
  <c r="AA214" i="57" s="1"/>
  <c r="Z215" i="57"/>
  <c r="AA215" i="57" s="1"/>
  <c r="Z216" i="57"/>
  <c r="AA216" i="57" s="1"/>
  <c r="Z217" i="57"/>
  <c r="AA217" i="57" s="1"/>
  <c r="Z218" i="57"/>
  <c r="AA218" i="57" s="1"/>
  <c r="Z219" i="57"/>
  <c r="AA219" i="57" s="1"/>
  <c r="Z220" i="57"/>
  <c r="AA220" i="57" s="1"/>
  <c r="Z221" i="57"/>
  <c r="AA221" i="57" s="1"/>
  <c r="Z222" i="57"/>
  <c r="AA222" i="57" s="1"/>
  <c r="Z223" i="57"/>
  <c r="AA223" i="57" s="1"/>
  <c r="Z224" i="57"/>
  <c r="Z225" i="57"/>
  <c r="AA225" i="57" s="1"/>
  <c r="Z226" i="57"/>
  <c r="AA226" i="57" s="1"/>
  <c r="Z227" i="57"/>
  <c r="AA227" i="57" s="1"/>
  <c r="Z228" i="57"/>
  <c r="Z229" i="57"/>
  <c r="AA229" i="57" s="1"/>
  <c r="Z230" i="57"/>
  <c r="AA230" i="57" s="1"/>
  <c r="Z231" i="57"/>
  <c r="AA231" i="57" s="1"/>
  <c r="Z232" i="57"/>
  <c r="AA232" i="57" s="1"/>
  <c r="Z233" i="57"/>
  <c r="AA233" i="57" s="1"/>
  <c r="Z234" i="57"/>
  <c r="AA234" i="57" s="1"/>
  <c r="Z235" i="57"/>
  <c r="AA235" i="57" s="1"/>
  <c r="Z236" i="57"/>
  <c r="AA236" i="57" s="1"/>
  <c r="Z237" i="57"/>
  <c r="AA237" i="57" s="1"/>
  <c r="Z238" i="57"/>
  <c r="AA238" i="57" s="1"/>
  <c r="Z239" i="57"/>
  <c r="AA239" i="57" s="1"/>
  <c r="Z240" i="57"/>
  <c r="AA240" i="57" s="1"/>
  <c r="Z241" i="57"/>
  <c r="AA241" i="57" s="1"/>
  <c r="Z242" i="57"/>
  <c r="AA242" i="57" s="1"/>
  <c r="Z243" i="57"/>
  <c r="AA243" i="57" s="1"/>
  <c r="Z244" i="57"/>
  <c r="AA244" i="57" s="1"/>
  <c r="Z245" i="57"/>
  <c r="AA245" i="57" s="1"/>
  <c r="Z246" i="57"/>
  <c r="AA246" i="57" s="1"/>
  <c r="Z247" i="57"/>
  <c r="AA247" i="57" s="1"/>
  <c r="Z248" i="57"/>
  <c r="AA248" i="57" s="1"/>
  <c r="Z249" i="57"/>
  <c r="AA249" i="57" s="1"/>
  <c r="Z250" i="57"/>
  <c r="AA250" i="57" s="1"/>
  <c r="Z251" i="57"/>
  <c r="AA251" i="57" s="1"/>
  <c r="Z252" i="57"/>
  <c r="AA252" i="57" s="1"/>
  <c r="Z253" i="57"/>
  <c r="AA253" i="57" s="1"/>
  <c r="Z254" i="57"/>
  <c r="AA254" i="57" s="1"/>
  <c r="Z255" i="57"/>
  <c r="AA255" i="57" s="1"/>
  <c r="Z256" i="57"/>
  <c r="AA256" i="57" s="1"/>
  <c r="Z257" i="57"/>
  <c r="AA257" i="57" s="1"/>
  <c r="Z258" i="57"/>
  <c r="AA258" i="57" s="1"/>
  <c r="Z259" i="57"/>
  <c r="AA259" i="57" s="1"/>
  <c r="Z260" i="57"/>
  <c r="AA260" i="57" s="1"/>
  <c r="Z261" i="57"/>
  <c r="AA261" i="57" s="1"/>
  <c r="Z262" i="57"/>
  <c r="AA262" i="57" s="1"/>
  <c r="Z263" i="57"/>
  <c r="AA263" i="57" s="1"/>
  <c r="Z264" i="57"/>
  <c r="AA264" i="57" s="1"/>
  <c r="Z265" i="57"/>
  <c r="AA265" i="57" s="1"/>
  <c r="Z266" i="57"/>
  <c r="AA266" i="57" s="1"/>
  <c r="Z267" i="57"/>
  <c r="AA267" i="57" s="1"/>
  <c r="Z268" i="57"/>
  <c r="AA268" i="57" s="1"/>
  <c r="Z269" i="57"/>
  <c r="AA269" i="57" s="1"/>
  <c r="Z270" i="57"/>
  <c r="AA270" i="57" s="1"/>
  <c r="Z271" i="57"/>
  <c r="AA271" i="57" s="1"/>
  <c r="Z272" i="57"/>
  <c r="AA272" i="57" s="1"/>
  <c r="Z273" i="57"/>
  <c r="AA273" i="57" s="1"/>
  <c r="Z274" i="57"/>
  <c r="AA274" i="57" s="1"/>
  <c r="Z275" i="57"/>
  <c r="AA275" i="57" s="1"/>
  <c r="Z276" i="57"/>
  <c r="AA276" i="57" s="1"/>
  <c r="Z277" i="57"/>
  <c r="AA277" i="57" s="1"/>
  <c r="Z278" i="57"/>
  <c r="AA278" i="57" s="1"/>
  <c r="Z279" i="57"/>
  <c r="AA279" i="57" s="1"/>
  <c r="Z280" i="57"/>
  <c r="AA280" i="57" s="1"/>
  <c r="Z281" i="57"/>
  <c r="AA281" i="57" s="1"/>
  <c r="Z282" i="57"/>
  <c r="AA282" i="57" s="1"/>
  <c r="Z283" i="57"/>
  <c r="AA283" i="57" s="1"/>
  <c r="Z284" i="57"/>
  <c r="AA284" i="57" s="1"/>
  <c r="Z285" i="57"/>
  <c r="AA285" i="57" s="1"/>
  <c r="Z286" i="57"/>
  <c r="AA286" i="57" s="1"/>
  <c r="Z287" i="57"/>
  <c r="AA287" i="57" s="1"/>
  <c r="Z288" i="57"/>
  <c r="Z289" i="57"/>
  <c r="AA289" i="57" s="1"/>
  <c r="Z290" i="57"/>
  <c r="AA290" i="57" s="1"/>
  <c r="Z291" i="57"/>
  <c r="AA291" i="57" s="1"/>
  <c r="Z292" i="57"/>
  <c r="Z293" i="57"/>
  <c r="AA293" i="57" s="1"/>
  <c r="Z294" i="57"/>
  <c r="AA294" i="57" s="1"/>
  <c r="Z295" i="57"/>
  <c r="AA295" i="57" s="1"/>
  <c r="Z296" i="57"/>
  <c r="AA296" i="57" s="1"/>
  <c r="Z297" i="57"/>
  <c r="AA297" i="57" s="1"/>
  <c r="Z298" i="57"/>
  <c r="AA298" i="57" s="1"/>
  <c r="Z299" i="57"/>
  <c r="AA299" i="57" s="1"/>
  <c r="Z300" i="57"/>
  <c r="AA300" i="57" s="1"/>
  <c r="Z301" i="57"/>
  <c r="AA301" i="57" s="1"/>
  <c r="Z302" i="57"/>
  <c r="AA302" i="57" s="1"/>
  <c r="Z303" i="57"/>
  <c r="AA303" i="57" s="1"/>
  <c r="Z304" i="57"/>
  <c r="AA304" i="57" s="1"/>
  <c r="Z305" i="57"/>
  <c r="AA305" i="57" s="1"/>
  <c r="Z306" i="57"/>
  <c r="AA306" i="57" s="1"/>
  <c r="Z307" i="57"/>
  <c r="AA307" i="57" s="1"/>
  <c r="Z308" i="57"/>
  <c r="AA308" i="57" s="1"/>
  <c r="Z309" i="57"/>
  <c r="AA309" i="57" s="1"/>
  <c r="Z310" i="57"/>
  <c r="AA310" i="57" s="1"/>
  <c r="Z311" i="57"/>
  <c r="AA311" i="57" s="1"/>
  <c r="Z312" i="57"/>
  <c r="AA312" i="57" s="1"/>
  <c r="Z313" i="57"/>
  <c r="AA313" i="57" s="1"/>
  <c r="Z314" i="57"/>
  <c r="AA314" i="57" s="1"/>
  <c r="Z315" i="57"/>
  <c r="AA315" i="57" s="1"/>
  <c r="Z316" i="57"/>
  <c r="AA316" i="57" s="1"/>
  <c r="Z317" i="57"/>
  <c r="AA317" i="57" s="1"/>
  <c r="Z318" i="57"/>
  <c r="AA318" i="57" s="1"/>
  <c r="Z319" i="57"/>
  <c r="AA319" i="57" s="1"/>
  <c r="Z320" i="57"/>
  <c r="AA320" i="57" s="1"/>
  <c r="Z321" i="57"/>
  <c r="AA321" i="57" s="1"/>
  <c r="Z322" i="57"/>
  <c r="AA322" i="57" s="1"/>
  <c r="Z323" i="57"/>
  <c r="AA323" i="57" s="1"/>
  <c r="Z324" i="57"/>
  <c r="AA324" i="57" s="1"/>
  <c r="Z325" i="57"/>
  <c r="AA325" i="57" s="1"/>
  <c r="Z326" i="57"/>
  <c r="AA326" i="57" s="1"/>
  <c r="Z327" i="57"/>
  <c r="AA327" i="57" s="1"/>
  <c r="Z328" i="57"/>
  <c r="AA328" i="57" s="1"/>
  <c r="Z329" i="57"/>
  <c r="AA329" i="57" s="1"/>
  <c r="Z330" i="57"/>
  <c r="AA330" i="57" s="1"/>
  <c r="Z331" i="57"/>
  <c r="AA331" i="57" s="1"/>
  <c r="Z332" i="57"/>
  <c r="AA332" i="57" s="1"/>
  <c r="Z333" i="57"/>
  <c r="AA333" i="57" s="1"/>
  <c r="Z334" i="57"/>
  <c r="AA334" i="57" s="1"/>
  <c r="Z335" i="57"/>
  <c r="AA335" i="57" s="1"/>
  <c r="Z336" i="57"/>
  <c r="AA336" i="57" s="1"/>
  <c r="Z337" i="57"/>
  <c r="AA337" i="57" s="1"/>
  <c r="Z338" i="57"/>
  <c r="AA338" i="57" s="1"/>
  <c r="Z339" i="57"/>
  <c r="AA339" i="57" s="1"/>
  <c r="Z340" i="57"/>
  <c r="AA340" i="57" s="1"/>
  <c r="Z341" i="57"/>
  <c r="AA341" i="57" s="1"/>
  <c r="Z342" i="57"/>
  <c r="AA342" i="57" s="1"/>
  <c r="Z343" i="57"/>
  <c r="AA343" i="57" s="1"/>
  <c r="Z344" i="57"/>
  <c r="AA344" i="57" s="1"/>
  <c r="Z345" i="57"/>
  <c r="AA345" i="57" s="1"/>
  <c r="Z346" i="57"/>
  <c r="AA346" i="57" s="1"/>
  <c r="Z347" i="57"/>
  <c r="AA347" i="57" s="1"/>
  <c r="Z348" i="57"/>
  <c r="AA348" i="57" s="1"/>
  <c r="Z349" i="57"/>
  <c r="AA349" i="57" s="1"/>
  <c r="Z350" i="57"/>
  <c r="AA350" i="57" s="1"/>
  <c r="Z36" i="57"/>
  <c r="H29" i="66" l="1"/>
  <c r="K29" i="66" s="1"/>
  <c r="O56" i="66"/>
  <c r="F56" i="66"/>
  <c r="L57" i="66" s="1"/>
  <c r="M56" i="66"/>
  <c r="N56" i="66" s="1"/>
  <c r="E56" i="66"/>
  <c r="H57" i="66" s="1"/>
  <c r="G57" i="66"/>
  <c r="I57" i="66" s="1"/>
  <c r="I29" i="66"/>
  <c r="L29" i="66" s="1"/>
  <c r="J29" i="66"/>
  <c r="J57" i="66"/>
  <c r="AC308" i="57"/>
  <c r="AC248" i="57"/>
  <c r="AC188" i="57"/>
  <c r="AC128" i="57"/>
  <c r="AC68" i="57"/>
  <c r="AC323" i="57"/>
  <c r="AC263" i="57"/>
  <c r="AC203" i="57"/>
  <c r="AC143" i="57"/>
  <c r="AC83" i="57"/>
  <c r="AA36" i="57"/>
  <c r="N34" i="57"/>
  <c r="O40" i="57" s="1"/>
  <c r="C37" i="57"/>
  <c r="E37" i="57" s="1"/>
  <c r="C38" i="57"/>
  <c r="E38" i="57" s="1"/>
  <c r="C39" i="57"/>
  <c r="E39" i="57" s="1"/>
  <c r="C40" i="57"/>
  <c r="E40" i="57" s="1"/>
  <c r="C41" i="57"/>
  <c r="E41" i="57" s="1"/>
  <c r="C42" i="57"/>
  <c r="E42" i="57" s="1"/>
  <c r="C43" i="57"/>
  <c r="E43" i="57" s="1"/>
  <c r="C44" i="57"/>
  <c r="E44" i="57" s="1"/>
  <c r="C45" i="57"/>
  <c r="E45" i="57" s="1"/>
  <c r="C46" i="57"/>
  <c r="E46" i="57" s="1"/>
  <c r="C47" i="57"/>
  <c r="E47" i="57" s="1"/>
  <c r="C48" i="57"/>
  <c r="E48" i="57" s="1"/>
  <c r="C49" i="57"/>
  <c r="E49" i="57" s="1"/>
  <c r="C50" i="57"/>
  <c r="E50" i="57" s="1"/>
  <c r="C51" i="57"/>
  <c r="E51" i="57" s="1"/>
  <c r="C52" i="57"/>
  <c r="E52" i="57" s="1"/>
  <c r="C53" i="57"/>
  <c r="E53" i="57" s="1"/>
  <c r="C54" i="57"/>
  <c r="E54" i="57" s="1"/>
  <c r="C55" i="57"/>
  <c r="E55" i="57" s="1"/>
  <c r="C56" i="57"/>
  <c r="E56" i="57" s="1"/>
  <c r="C57" i="57"/>
  <c r="E57" i="57" s="1"/>
  <c r="C58" i="57"/>
  <c r="E58" i="57" s="1"/>
  <c r="C59" i="57"/>
  <c r="E59" i="57" s="1"/>
  <c r="C60" i="57"/>
  <c r="E60" i="57" s="1"/>
  <c r="C61" i="57"/>
  <c r="E61" i="57" s="1"/>
  <c r="C62" i="57"/>
  <c r="E62" i="57" s="1"/>
  <c r="C63" i="57"/>
  <c r="E63" i="57" s="1"/>
  <c r="C64" i="57"/>
  <c r="E64" i="57" s="1"/>
  <c r="C65" i="57"/>
  <c r="E65" i="57" s="1"/>
  <c r="C66" i="57"/>
  <c r="E66" i="57" s="1"/>
  <c r="C67" i="57"/>
  <c r="E67" i="57" s="1"/>
  <c r="C68" i="57"/>
  <c r="E68" i="57" s="1"/>
  <c r="C69" i="57"/>
  <c r="C70" i="57"/>
  <c r="E70" i="57" s="1"/>
  <c r="C71" i="57"/>
  <c r="E71" i="57" s="1"/>
  <c r="C72" i="57"/>
  <c r="E72" i="57" s="1"/>
  <c r="C73" i="57"/>
  <c r="C74" i="57"/>
  <c r="E74" i="57" s="1"/>
  <c r="C75" i="57"/>
  <c r="E75" i="57" s="1"/>
  <c r="C76" i="57"/>
  <c r="E76" i="57" s="1"/>
  <c r="C77" i="57"/>
  <c r="E77" i="57" s="1"/>
  <c r="C78" i="57"/>
  <c r="C79" i="57"/>
  <c r="E79" i="57" s="1"/>
  <c r="C80" i="57"/>
  <c r="E80" i="57" s="1"/>
  <c r="C81" i="57"/>
  <c r="E81" i="57" s="1"/>
  <c r="C82" i="57"/>
  <c r="E82" i="57" s="1"/>
  <c r="C83" i="57"/>
  <c r="E83" i="57" s="1"/>
  <c r="C84" i="57"/>
  <c r="E84" i="57" s="1"/>
  <c r="C85" i="57"/>
  <c r="E85" i="57" s="1"/>
  <c r="C86" i="57"/>
  <c r="E86" i="57" s="1"/>
  <c r="C87" i="57"/>
  <c r="E87" i="57" s="1"/>
  <c r="C88" i="57"/>
  <c r="E88" i="57" s="1"/>
  <c r="C89" i="57"/>
  <c r="E89" i="57" s="1"/>
  <c r="C90" i="57"/>
  <c r="E90" i="57" s="1"/>
  <c r="C91" i="57"/>
  <c r="E91" i="57" s="1"/>
  <c r="C92" i="57"/>
  <c r="C93" i="57"/>
  <c r="E93" i="57" s="1"/>
  <c r="C94" i="57"/>
  <c r="E94" i="57" s="1"/>
  <c r="C95" i="57"/>
  <c r="E95" i="57" s="1"/>
  <c r="C96" i="57"/>
  <c r="E96" i="57" s="1"/>
  <c r="C97" i="57"/>
  <c r="E97" i="57" s="1"/>
  <c r="C98" i="57"/>
  <c r="E98" i="57" s="1"/>
  <c r="C99" i="57"/>
  <c r="E99" i="57" s="1"/>
  <c r="C100" i="57"/>
  <c r="E100" i="57" s="1"/>
  <c r="C101" i="57"/>
  <c r="E101" i="57" s="1"/>
  <c r="C102" i="57"/>
  <c r="E102" i="57" s="1"/>
  <c r="C103" i="57"/>
  <c r="E103" i="57" s="1"/>
  <c r="C104" i="57"/>
  <c r="E104" i="57" s="1"/>
  <c r="C105" i="57"/>
  <c r="C106" i="57"/>
  <c r="E106" i="57" s="1"/>
  <c r="C107" i="57"/>
  <c r="E107" i="57" s="1"/>
  <c r="C108" i="57"/>
  <c r="E108" i="57" s="1"/>
  <c r="C109" i="57"/>
  <c r="E109" i="57" s="1"/>
  <c r="C110" i="57"/>
  <c r="E110" i="57" s="1"/>
  <c r="C111" i="57"/>
  <c r="E111" i="57" s="1"/>
  <c r="C112" i="57"/>
  <c r="E112" i="57" s="1"/>
  <c r="C113" i="57"/>
  <c r="E113" i="57" s="1"/>
  <c r="C114" i="57"/>
  <c r="E114" i="57" s="1"/>
  <c r="C115" i="57"/>
  <c r="E115" i="57" s="1"/>
  <c r="C116" i="57"/>
  <c r="E116" i="57" s="1"/>
  <c r="C117" i="57"/>
  <c r="E117" i="57" s="1"/>
  <c r="C118" i="57"/>
  <c r="E118" i="57" s="1"/>
  <c r="C119" i="57"/>
  <c r="E119" i="57" s="1"/>
  <c r="C120" i="57"/>
  <c r="E120" i="57" s="1"/>
  <c r="C121" i="57"/>
  <c r="E121" i="57" s="1"/>
  <c r="C122" i="57"/>
  <c r="E122" i="57" s="1"/>
  <c r="C123" i="57"/>
  <c r="E123" i="57" s="1"/>
  <c r="C124" i="57"/>
  <c r="E124" i="57" s="1"/>
  <c r="C125" i="57"/>
  <c r="E125" i="57" s="1"/>
  <c r="C126" i="57"/>
  <c r="E126" i="57" s="1"/>
  <c r="C127" i="57"/>
  <c r="E127" i="57" s="1"/>
  <c r="C128" i="57"/>
  <c r="E128" i="57" s="1"/>
  <c r="C129" i="57"/>
  <c r="E129" i="57" s="1"/>
  <c r="C130" i="57"/>
  <c r="C131" i="57"/>
  <c r="E131" i="57" s="1"/>
  <c r="C132" i="57"/>
  <c r="E132" i="57" s="1"/>
  <c r="C133" i="57"/>
  <c r="E133" i="57" s="1"/>
  <c r="C134" i="57"/>
  <c r="E134" i="57" s="1"/>
  <c r="C135" i="57"/>
  <c r="E135" i="57" s="1"/>
  <c r="C136" i="57"/>
  <c r="E136" i="57" s="1"/>
  <c r="C137" i="57"/>
  <c r="E137" i="57" s="1"/>
  <c r="C138" i="57"/>
  <c r="C139" i="57"/>
  <c r="E139" i="57" s="1"/>
  <c r="C140" i="57"/>
  <c r="C141" i="57"/>
  <c r="E141" i="57" s="1"/>
  <c r="C142" i="57"/>
  <c r="F142" i="57" s="1"/>
  <c r="C143" i="57"/>
  <c r="E143" i="57" s="1"/>
  <c r="C144" i="57"/>
  <c r="E144" i="57" s="1"/>
  <c r="C145" i="57"/>
  <c r="E145" i="57" s="1"/>
  <c r="C146" i="57"/>
  <c r="C147" i="57"/>
  <c r="E147" i="57" s="1"/>
  <c r="C148" i="57"/>
  <c r="E148" i="57" s="1"/>
  <c r="C149" i="57"/>
  <c r="E149" i="57" s="1"/>
  <c r="C150" i="57"/>
  <c r="C151" i="57"/>
  <c r="E151" i="57" s="1"/>
  <c r="C152" i="57"/>
  <c r="E152" i="57" s="1"/>
  <c r="C153" i="57"/>
  <c r="E153" i="57" s="1"/>
  <c r="C154" i="57"/>
  <c r="E154" i="57" s="1"/>
  <c r="C155" i="57"/>
  <c r="E155" i="57" s="1"/>
  <c r="C156" i="57"/>
  <c r="E156" i="57" s="1"/>
  <c r="C157" i="57"/>
  <c r="E157" i="57" s="1"/>
  <c r="C158" i="57"/>
  <c r="C159" i="57"/>
  <c r="E159" i="57" s="1"/>
  <c r="C160" i="57"/>
  <c r="E160" i="57" s="1"/>
  <c r="C161" i="57"/>
  <c r="E161" i="57" s="1"/>
  <c r="C162" i="57"/>
  <c r="E162" i="57" s="1"/>
  <c r="C163" i="57"/>
  <c r="E163" i="57" s="1"/>
  <c r="C164" i="57"/>
  <c r="E164" i="57" s="1"/>
  <c r="C165" i="57"/>
  <c r="E165" i="57" s="1"/>
  <c r="C166" i="57"/>
  <c r="E166" i="57" s="1"/>
  <c r="C167" i="57"/>
  <c r="E167" i="57" s="1"/>
  <c r="C168" i="57"/>
  <c r="E168" i="57" s="1"/>
  <c r="C169" i="57"/>
  <c r="E169" i="57" s="1"/>
  <c r="C170" i="57"/>
  <c r="F170" i="57" s="1"/>
  <c r="C171" i="57"/>
  <c r="E171" i="57" s="1"/>
  <c r="C172" i="57"/>
  <c r="E172" i="57" s="1"/>
  <c r="C173" i="57"/>
  <c r="E173" i="57" s="1"/>
  <c r="C174" i="57"/>
  <c r="E174" i="57" s="1"/>
  <c r="C175" i="57"/>
  <c r="E175" i="57" s="1"/>
  <c r="C176" i="57"/>
  <c r="E176" i="57" s="1"/>
  <c r="C177" i="57"/>
  <c r="E177" i="57" s="1"/>
  <c r="C178" i="57"/>
  <c r="C179" i="57"/>
  <c r="E179" i="57" s="1"/>
  <c r="C180" i="57"/>
  <c r="E180" i="57" s="1"/>
  <c r="C181" i="57"/>
  <c r="E181" i="57" s="1"/>
  <c r="C182" i="57"/>
  <c r="C183" i="57"/>
  <c r="E183" i="57" s="1"/>
  <c r="C184" i="57"/>
  <c r="E184" i="57" s="1"/>
  <c r="C185" i="57"/>
  <c r="E185" i="57" s="1"/>
  <c r="C186" i="57"/>
  <c r="G186" i="57" s="1"/>
  <c r="C187" i="57"/>
  <c r="E187" i="57" s="1"/>
  <c r="C188" i="57"/>
  <c r="E188" i="57" s="1"/>
  <c r="C189" i="57"/>
  <c r="E189" i="57" s="1"/>
  <c r="C190" i="57"/>
  <c r="E190" i="57" s="1"/>
  <c r="C191" i="57"/>
  <c r="E191" i="57" s="1"/>
  <c r="C192" i="57"/>
  <c r="E192" i="57" s="1"/>
  <c r="C193" i="57"/>
  <c r="C194" i="57"/>
  <c r="E194" i="57" s="1"/>
  <c r="C195" i="57"/>
  <c r="E195" i="57" s="1"/>
  <c r="C196" i="57"/>
  <c r="E196" i="57" s="1"/>
  <c r="C197" i="57"/>
  <c r="E197" i="57" s="1"/>
  <c r="C198" i="57"/>
  <c r="C199" i="57"/>
  <c r="E199" i="57" s="1"/>
  <c r="C200" i="57"/>
  <c r="E200" i="57" s="1"/>
  <c r="C201" i="57"/>
  <c r="E201" i="57" s="1"/>
  <c r="C202" i="57"/>
  <c r="E202" i="57" s="1"/>
  <c r="C203" i="57"/>
  <c r="E203" i="57" s="1"/>
  <c r="C204" i="57"/>
  <c r="E204" i="57" s="1"/>
  <c r="C205" i="57"/>
  <c r="E205" i="57" s="1"/>
  <c r="C206" i="57"/>
  <c r="H206" i="57" s="1"/>
  <c r="C207" i="57"/>
  <c r="E207" i="57" s="1"/>
  <c r="C208" i="57"/>
  <c r="E208" i="57" s="1"/>
  <c r="C209" i="57"/>
  <c r="E209" i="57" s="1"/>
  <c r="C210" i="57"/>
  <c r="E210" i="57" s="1"/>
  <c r="C211" i="57"/>
  <c r="E211" i="57" s="1"/>
  <c r="C212" i="57"/>
  <c r="E212" i="57" s="1"/>
  <c r="C213" i="57"/>
  <c r="E213" i="57" s="1"/>
  <c r="C214" i="57"/>
  <c r="G214" i="57" s="1"/>
  <c r="C215" i="57"/>
  <c r="E215" i="57" s="1"/>
  <c r="C216" i="57"/>
  <c r="E216" i="57" s="1"/>
  <c r="C217" i="57"/>
  <c r="E217" i="57" s="1"/>
  <c r="C218" i="57"/>
  <c r="H218" i="57" s="1"/>
  <c r="C219" i="57"/>
  <c r="E219" i="57" s="1"/>
  <c r="C220" i="57"/>
  <c r="E220" i="57" s="1"/>
  <c r="C221" i="57"/>
  <c r="E221" i="57" s="1"/>
  <c r="C222" i="57"/>
  <c r="E222" i="57" s="1"/>
  <c r="C223" i="57"/>
  <c r="E223" i="57" s="1"/>
  <c r="C224" i="57"/>
  <c r="E224" i="57" s="1"/>
  <c r="C225" i="57"/>
  <c r="E225" i="57" s="1"/>
  <c r="C226" i="57"/>
  <c r="H226" i="57" s="1"/>
  <c r="C227" i="57"/>
  <c r="E227" i="57" s="1"/>
  <c r="C228" i="57"/>
  <c r="E228" i="57" s="1"/>
  <c r="C229" i="57"/>
  <c r="E229" i="57" s="1"/>
  <c r="C230" i="57"/>
  <c r="G230" i="57" s="1"/>
  <c r="C231" i="57"/>
  <c r="E231" i="57" s="1"/>
  <c r="C232" i="57"/>
  <c r="E232" i="57" s="1"/>
  <c r="C233" i="57"/>
  <c r="E233" i="57" s="1"/>
  <c r="C234" i="57"/>
  <c r="E234" i="57" s="1"/>
  <c r="C235" i="57"/>
  <c r="E235" i="57" s="1"/>
  <c r="C236" i="57"/>
  <c r="E236" i="57" s="1"/>
  <c r="C237" i="57"/>
  <c r="E237" i="57" s="1"/>
  <c r="C238" i="57"/>
  <c r="H238" i="57" s="1"/>
  <c r="C239" i="57"/>
  <c r="E239" i="57" s="1"/>
  <c r="C240" i="57"/>
  <c r="E240" i="57" s="1"/>
  <c r="C241" i="57"/>
  <c r="E241" i="57" s="1"/>
  <c r="C242" i="57"/>
  <c r="E242" i="57" s="1"/>
  <c r="C243" i="57"/>
  <c r="E243" i="57" s="1"/>
  <c r="C244" i="57"/>
  <c r="E244" i="57" s="1"/>
  <c r="C245" i="57"/>
  <c r="E245" i="57" s="1"/>
  <c r="C36" i="57"/>
  <c r="G36" i="57" s="1"/>
  <c r="B37" i="57"/>
  <c r="B38" i="57"/>
  <c r="B39" i="57"/>
  <c r="B40" i="57"/>
  <c r="B41" i="57"/>
  <c r="B42" i="57"/>
  <c r="B43" i="57"/>
  <c r="B44" i="57"/>
  <c r="B45" i="57"/>
  <c r="B46" i="57"/>
  <c r="B47" i="57"/>
  <c r="B48" i="57"/>
  <c r="B49" i="57"/>
  <c r="B50" i="57"/>
  <c r="B51" i="57"/>
  <c r="B52" i="57"/>
  <c r="B53" i="57"/>
  <c r="B54" i="57"/>
  <c r="B55" i="57"/>
  <c r="B56" i="57"/>
  <c r="B57" i="57"/>
  <c r="B58" i="57"/>
  <c r="B59" i="57"/>
  <c r="B60" i="57"/>
  <c r="B61" i="57"/>
  <c r="B62" i="57"/>
  <c r="B63" i="57"/>
  <c r="B64" i="57"/>
  <c r="B65" i="57"/>
  <c r="B66" i="57"/>
  <c r="B67" i="57"/>
  <c r="B68" i="57"/>
  <c r="B69" i="57"/>
  <c r="B70" i="57"/>
  <c r="B71" i="57"/>
  <c r="B72" i="57"/>
  <c r="B73" i="57"/>
  <c r="B74" i="57"/>
  <c r="B75" i="57"/>
  <c r="B76" i="57"/>
  <c r="B77" i="57"/>
  <c r="B78" i="57"/>
  <c r="B79" i="57"/>
  <c r="B80" i="57"/>
  <c r="B81" i="57"/>
  <c r="B82" i="57"/>
  <c r="B83" i="57"/>
  <c r="B84" i="57"/>
  <c r="B85" i="57"/>
  <c r="B86" i="57"/>
  <c r="B87" i="57"/>
  <c r="B88" i="57"/>
  <c r="B89" i="57"/>
  <c r="B90" i="57"/>
  <c r="B91" i="57"/>
  <c r="B92" i="57"/>
  <c r="B93" i="57"/>
  <c r="B94" i="57"/>
  <c r="B95" i="57"/>
  <c r="B96" i="57"/>
  <c r="B97" i="57"/>
  <c r="B98" i="57"/>
  <c r="B99" i="57"/>
  <c r="B100" i="57"/>
  <c r="B101" i="57"/>
  <c r="B102" i="57"/>
  <c r="B103" i="57"/>
  <c r="B104" i="57"/>
  <c r="B105" i="57"/>
  <c r="B106" i="57"/>
  <c r="B107" i="57"/>
  <c r="B108" i="57"/>
  <c r="B109" i="57"/>
  <c r="B110" i="57"/>
  <c r="B111" i="57"/>
  <c r="B112" i="57"/>
  <c r="B113" i="57"/>
  <c r="B114" i="57"/>
  <c r="B115" i="57"/>
  <c r="B116" i="57"/>
  <c r="B117" i="57"/>
  <c r="B118" i="57"/>
  <c r="B119" i="57"/>
  <c r="B120" i="57"/>
  <c r="B121" i="57"/>
  <c r="B122" i="57"/>
  <c r="B123" i="57"/>
  <c r="B124" i="57"/>
  <c r="B125" i="57"/>
  <c r="B126" i="57"/>
  <c r="B127" i="57"/>
  <c r="B128" i="57"/>
  <c r="B129" i="57"/>
  <c r="B130" i="57"/>
  <c r="B131" i="57"/>
  <c r="B132" i="57"/>
  <c r="B133" i="57"/>
  <c r="B134" i="57"/>
  <c r="B135" i="57"/>
  <c r="B136" i="57"/>
  <c r="B137" i="57"/>
  <c r="B138" i="57"/>
  <c r="B139" i="57"/>
  <c r="B140" i="57"/>
  <c r="B141" i="57"/>
  <c r="B142" i="57"/>
  <c r="B143" i="57"/>
  <c r="B144" i="57"/>
  <c r="B145" i="57"/>
  <c r="B146" i="57"/>
  <c r="B147" i="57"/>
  <c r="B148" i="57"/>
  <c r="B149" i="57"/>
  <c r="B150" i="57"/>
  <c r="B151" i="57"/>
  <c r="B152" i="57"/>
  <c r="B153" i="57"/>
  <c r="B154" i="57"/>
  <c r="B155" i="57"/>
  <c r="B156" i="57"/>
  <c r="B157" i="57"/>
  <c r="B158" i="57"/>
  <c r="B159" i="57"/>
  <c r="B160" i="57"/>
  <c r="B161" i="57"/>
  <c r="B162" i="57"/>
  <c r="B163" i="57"/>
  <c r="B164" i="57"/>
  <c r="B165" i="57"/>
  <c r="B166" i="57"/>
  <c r="B167" i="57"/>
  <c r="B168" i="57"/>
  <c r="B169" i="57"/>
  <c r="B170" i="57"/>
  <c r="B171" i="57"/>
  <c r="B172" i="57"/>
  <c r="B173" i="57"/>
  <c r="B174" i="57"/>
  <c r="B175" i="57"/>
  <c r="B176" i="57"/>
  <c r="B177" i="57"/>
  <c r="B178" i="57"/>
  <c r="B179" i="57"/>
  <c r="B180" i="57"/>
  <c r="B181" i="57"/>
  <c r="B182" i="57"/>
  <c r="B183" i="57"/>
  <c r="B184" i="57"/>
  <c r="B185" i="57"/>
  <c r="B186" i="57"/>
  <c r="B187" i="57"/>
  <c r="B188" i="57"/>
  <c r="B189" i="57"/>
  <c r="B190" i="57"/>
  <c r="B191" i="57"/>
  <c r="B192" i="57"/>
  <c r="B193" i="57"/>
  <c r="B194" i="57"/>
  <c r="B195" i="57"/>
  <c r="B196" i="57"/>
  <c r="B197" i="57"/>
  <c r="B198" i="57"/>
  <c r="B199" i="57"/>
  <c r="B200" i="57"/>
  <c r="B201" i="57"/>
  <c r="B202" i="57"/>
  <c r="B203" i="57"/>
  <c r="B204" i="57"/>
  <c r="B205" i="57"/>
  <c r="B206" i="57"/>
  <c r="B207" i="57"/>
  <c r="B208" i="57"/>
  <c r="B209" i="57"/>
  <c r="B210" i="57"/>
  <c r="B211" i="57"/>
  <c r="B212" i="57"/>
  <c r="B213" i="57"/>
  <c r="B214" i="57"/>
  <c r="B215" i="57"/>
  <c r="B216" i="57"/>
  <c r="B217" i="57"/>
  <c r="B218" i="57"/>
  <c r="B219" i="57"/>
  <c r="B220" i="57"/>
  <c r="B221" i="57"/>
  <c r="B222" i="57"/>
  <c r="B223" i="57"/>
  <c r="B224" i="57"/>
  <c r="B225" i="57"/>
  <c r="B226" i="57"/>
  <c r="B227" i="57"/>
  <c r="B228" i="57"/>
  <c r="B229" i="57"/>
  <c r="B230" i="57"/>
  <c r="B231" i="57"/>
  <c r="B232" i="57"/>
  <c r="B233" i="57"/>
  <c r="B234" i="57"/>
  <c r="B235" i="57"/>
  <c r="B236" i="57"/>
  <c r="B237" i="57"/>
  <c r="B238" i="57"/>
  <c r="B239" i="57"/>
  <c r="B240" i="57"/>
  <c r="B241" i="57"/>
  <c r="B242" i="57"/>
  <c r="B243" i="57"/>
  <c r="B244" i="57"/>
  <c r="B245" i="57"/>
  <c r="B36" i="57"/>
  <c r="D10" i="57"/>
  <c r="E10" i="57"/>
  <c r="F10" i="57"/>
  <c r="D11" i="57"/>
  <c r="E11" i="57"/>
  <c r="F11" i="57"/>
  <c r="D12" i="57"/>
  <c r="E12" i="57"/>
  <c r="F12" i="57"/>
  <c r="D13" i="57"/>
  <c r="E13" i="57"/>
  <c r="F13" i="57"/>
  <c r="D14" i="57"/>
  <c r="E14" i="57"/>
  <c r="F14" i="57"/>
  <c r="D15" i="57"/>
  <c r="E15" i="57"/>
  <c r="F15" i="57"/>
  <c r="D16" i="57"/>
  <c r="E16" i="57"/>
  <c r="F16" i="57"/>
  <c r="D17" i="57"/>
  <c r="E17" i="57"/>
  <c r="F17" i="57"/>
  <c r="D18" i="57"/>
  <c r="E18" i="57"/>
  <c r="F18" i="57"/>
  <c r="D19" i="57"/>
  <c r="E19" i="57"/>
  <c r="F19" i="57"/>
  <c r="D20" i="57"/>
  <c r="E20" i="57"/>
  <c r="F20" i="57"/>
  <c r="D21" i="57"/>
  <c r="E21" i="57"/>
  <c r="F21" i="57"/>
  <c r="D22" i="57"/>
  <c r="E22" i="57"/>
  <c r="F22" i="57"/>
  <c r="D23" i="57"/>
  <c r="E23" i="57"/>
  <c r="F23" i="57"/>
  <c r="D24" i="57"/>
  <c r="E24" i="57"/>
  <c r="F24" i="57"/>
  <c r="D25" i="57"/>
  <c r="E25" i="57"/>
  <c r="F25" i="57"/>
  <c r="D26" i="57"/>
  <c r="E26" i="57"/>
  <c r="F26" i="57"/>
  <c r="D27" i="57"/>
  <c r="E27" i="57"/>
  <c r="F27" i="57"/>
  <c r="D28" i="57"/>
  <c r="E28" i="57"/>
  <c r="F28" i="57"/>
  <c r="D29" i="57"/>
  <c r="E29" i="57"/>
  <c r="F29" i="57"/>
  <c r="F9" i="57"/>
  <c r="E9" i="57"/>
  <c r="D9" i="57"/>
  <c r="O29" i="66" l="1"/>
  <c r="D29" i="66"/>
  <c r="K57" i="66"/>
  <c r="F235" i="57"/>
  <c r="F227" i="57"/>
  <c r="F219" i="57"/>
  <c r="F243" i="57"/>
  <c r="F211" i="57"/>
  <c r="F241" i="57"/>
  <c r="F233" i="57"/>
  <c r="F225" i="57"/>
  <c r="F217" i="57"/>
  <c r="F209" i="57"/>
  <c r="F239" i="57"/>
  <c r="F231" i="57"/>
  <c r="F223" i="57"/>
  <c r="F215" i="57"/>
  <c r="F207" i="57"/>
  <c r="F245" i="57"/>
  <c r="F237" i="57"/>
  <c r="F229" i="57"/>
  <c r="F221" i="57"/>
  <c r="F213" i="57"/>
  <c r="F205" i="57"/>
  <c r="H198" i="57"/>
  <c r="E198" i="57"/>
  <c r="H130" i="57"/>
  <c r="E130" i="57"/>
  <c r="G218" i="57"/>
  <c r="F202" i="57"/>
  <c r="F186" i="57"/>
  <c r="F174" i="57"/>
  <c r="F162" i="57"/>
  <c r="F154" i="57"/>
  <c r="F126" i="57"/>
  <c r="F114" i="57"/>
  <c r="F102" i="57"/>
  <c r="F86" i="57"/>
  <c r="F42" i="57"/>
  <c r="I193" i="57"/>
  <c r="E193" i="57"/>
  <c r="J105" i="57"/>
  <c r="E105" i="57"/>
  <c r="H73" i="57"/>
  <c r="E73" i="57"/>
  <c r="H69" i="57"/>
  <c r="E69" i="57"/>
  <c r="G202" i="57"/>
  <c r="I143" i="57"/>
  <c r="J41" i="57"/>
  <c r="F201" i="57"/>
  <c r="F197" i="57"/>
  <c r="F193" i="57"/>
  <c r="F189" i="57"/>
  <c r="F185" i="57"/>
  <c r="F181" i="57"/>
  <c r="F177" i="57"/>
  <c r="F173" i="57"/>
  <c r="F169" i="57"/>
  <c r="F165" i="57"/>
  <c r="F161" i="57"/>
  <c r="F157" i="57"/>
  <c r="F153" i="57"/>
  <c r="F149" i="57"/>
  <c r="F145" i="57"/>
  <c r="F141" i="57"/>
  <c r="F137" i="57"/>
  <c r="F133" i="57"/>
  <c r="F129" i="57"/>
  <c r="F125" i="57"/>
  <c r="F121" i="57"/>
  <c r="F117" i="57"/>
  <c r="F113" i="57"/>
  <c r="F109" i="57"/>
  <c r="F105" i="57"/>
  <c r="F101" i="57"/>
  <c r="F97" i="57"/>
  <c r="F93" i="57"/>
  <c r="F89" i="57"/>
  <c r="F85" i="57"/>
  <c r="F81" i="57"/>
  <c r="F77" i="57"/>
  <c r="F73" i="57"/>
  <c r="F69" i="57"/>
  <c r="F65" i="57"/>
  <c r="F61" i="57"/>
  <c r="F57" i="57"/>
  <c r="F53" i="57"/>
  <c r="F49" i="57"/>
  <c r="F45" i="57"/>
  <c r="F41" i="57"/>
  <c r="F37" i="57"/>
  <c r="G182" i="57"/>
  <c r="E182" i="57"/>
  <c r="H158" i="57"/>
  <c r="E158" i="57"/>
  <c r="G150" i="57"/>
  <c r="E150" i="57"/>
  <c r="G138" i="57"/>
  <c r="E138" i="57"/>
  <c r="G78" i="57"/>
  <c r="E78" i="57"/>
  <c r="H78" i="57"/>
  <c r="F194" i="57"/>
  <c r="F182" i="57"/>
  <c r="F150" i="57"/>
  <c r="F138" i="57"/>
  <c r="F122" i="57"/>
  <c r="F110" i="57"/>
  <c r="F94" i="57"/>
  <c r="F38" i="57"/>
  <c r="J140" i="57"/>
  <c r="E140" i="57"/>
  <c r="H92" i="57"/>
  <c r="E92" i="57"/>
  <c r="O37" i="57"/>
  <c r="D127" i="57" s="1"/>
  <c r="O39" i="57"/>
  <c r="O43" i="57"/>
  <c r="H134" i="57"/>
  <c r="F36" i="57"/>
  <c r="F244" i="57"/>
  <c r="F242" i="57"/>
  <c r="F240" i="57"/>
  <c r="F238" i="57"/>
  <c r="F236" i="57"/>
  <c r="F234" i="57"/>
  <c r="F232" i="57"/>
  <c r="F230" i="57"/>
  <c r="F228" i="57"/>
  <c r="F226" i="57"/>
  <c r="F224" i="57"/>
  <c r="F222" i="57"/>
  <c r="F220" i="57"/>
  <c r="F218" i="57"/>
  <c r="F216" i="57"/>
  <c r="F214" i="57"/>
  <c r="F212" i="57"/>
  <c r="F210" i="57"/>
  <c r="F208" i="57"/>
  <c r="F206" i="57"/>
  <c r="F204" i="57"/>
  <c r="F200" i="57"/>
  <c r="F196" i="57"/>
  <c r="F192" i="57"/>
  <c r="F188" i="57"/>
  <c r="F184" i="57"/>
  <c r="F180" i="57"/>
  <c r="F176" i="57"/>
  <c r="F172" i="57"/>
  <c r="F168" i="57"/>
  <c r="F164" i="57"/>
  <c r="F160" i="57"/>
  <c r="F156" i="57"/>
  <c r="F152" i="57"/>
  <c r="F148" i="57"/>
  <c r="F144" i="57"/>
  <c r="F140" i="57"/>
  <c r="F136" i="57"/>
  <c r="F132" i="57"/>
  <c r="F128" i="57"/>
  <c r="F124" i="57"/>
  <c r="F120" i="57"/>
  <c r="F116" i="57"/>
  <c r="F112" i="57"/>
  <c r="F108" i="57"/>
  <c r="F104" i="57"/>
  <c r="F100" i="57"/>
  <c r="F96" i="57"/>
  <c r="F92" i="57"/>
  <c r="F88" i="57"/>
  <c r="F84" i="57"/>
  <c r="F80" i="57"/>
  <c r="F76" i="57"/>
  <c r="F72" i="57"/>
  <c r="F68" i="57"/>
  <c r="F64" i="57"/>
  <c r="F60" i="57"/>
  <c r="F56" i="57"/>
  <c r="F52" i="57"/>
  <c r="F48" i="57"/>
  <c r="F44" i="57"/>
  <c r="F40" i="57"/>
  <c r="O44" i="57"/>
  <c r="D194" i="57" s="1"/>
  <c r="H186" i="57"/>
  <c r="E186" i="57"/>
  <c r="H178" i="57"/>
  <c r="E178" i="57"/>
  <c r="D170" i="57"/>
  <c r="E170" i="57"/>
  <c r="H146" i="57"/>
  <c r="E146" i="57"/>
  <c r="H142" i="57"/>
  <c r="E142" i="57"/>
  <c r="G154" i="57"/>
  <c r="F198" i="57"/>
  <c r="F190" i="57"/>
  <c r="F178" i="57"/>
  <c r="F166" i="57"/>
  <c r="F158" i="57"/>
  <c r="F146" i="57"/>
  <c r="F134" i="57"/>
  <c r="F130" i="57"/>
  <c r="F118" i="57"/>
  <c r="F106" i="57"/>
  <c r="F98" i="57"/>
  <c r="F90" i="57"/>
  <c r="F82" i="57"/>
  <c r="F78" i="57"/>
  <c r="F74" i="57"/>
  <c r="F70" i="57"/>
  <c r="F66" i="57"/>
  <c r="F62" i="57"/>
  <c r="F58" i="57"/>
  <c r="F54" i="57"/>
  <c r="F50" i="57"/>
  <c r="F46" i="57"/>
  <c r="G234" i="57"/>
  <c r="G170" i="57"/>
  <c r="H115" i="57"/>
  <c r="E36" i="57"/>
  <c r="E238" i="57"/>
  <c r="E230" i="57"/>
  <c r="E226" i="57"/>
  <c r="E218" i="57"/>
  <c r="E214" i="57"/>
  <c r="E206" i="57"/>
  <c r="F203" i="57"/>
  <c r="F199" i="57"/>
  <c r="F195" i="57"/>
  <c r="F191" i="57"/>
  <c r="F187" i="57"/>
  <c r="F183" i="57"/>
  <c r="F179" i="57"/>
  <c r="F175" i="57"/>
  <c r="F171" i="57"/>
  <c r="F167" i="57"/>
  <c r="F163" i="57"/>
  <c r="F159" i="57"/>
  <c r="F155" i="57"/>
  <c r="F151" i="57"/>
  <c r="F147" i="57"/>
  <c r="F143" i="57"/>
  <c r="F139" i="57"/>
  <c r="F135" i="57"/>
  <c r="F131" i="57"/>
  <c r="F127" i="57"/>
  <c r="F123" i="57"/>
  <c r="F119" i="57"/>
  <c r="F115" i="57"/>
  <c r="F111" i="57"/>
  <c r="F107" i="57"/>
  <c r="F103" i="57"/>
  <c r="F99" i="57"/>
  <c r="F95" i="57"/>
  <c r="F91" i="57"/>
  <c r="F87" i="57"/>
  <c r="F83" i="57"/>
  <c r="F79" i="57"/>
  <c r="F75" i="57"/>
  <c r="F71" i="57"/>
  <c r="F67" i="57"/>
  <c r="F63" i="57"/>
  <c r="F59" i="57"/>
  <c r="F55" i="57"/>
  <c r="F51" i="57"/>
  <c r="F47" i="57"/>
  <c r="F43" i="57"/>
  <c r="F39" i="57"/>
  <c r="D220" i="57"/>
  <c r="O36" i="57"/>
  <c r="O42" i="57"/>
  <c r="D202" i="57" s="1"/>
  <c r="O38" i="57"/>
  <c r="D228" i="57" s="1"/>
  <c r="O45" i="57"/>
  <c r="O41" i="57"/>
  <c r="D70" i="57"/>
  <c r="D150" i="57"/>
  <c r="D50" i="57"/>
  <c r="D185" i="57"/>
  <c r="I240" i="57"/>
  <c r="H240" i="57"/>
  <c r="J240" i="57"/>
  <c r="G240" i="57"/>
  <c r="H228" i="57"/>
  <c r="G228" i="57"/>
  <c r="H216" i="57"/>
  <c r="G216" i="57"/>
  <c r="I200" i="57"/>
  <c r="H200" i="57"/>
  <c r="G200" i="57"/>
  <c r="J200" i="57"/>
  <c r="H188" i="57"/>
  <c r="G188" i="57"/>
  <c r="H176" i="57"/>
  <c r="G176" i="57"/>
  <c r="I164" i="57"/>
  <c r="H164" i="57"/>
  <c r="J164" i="57"/>
  <c r="G164" i="57"/>
  <c r="H148" i="57"/>
  <c r="G148" i="57"/>
  <c r="G136" i="57"/>
  <c r="H136" i="57"/>
  <c r="G124" i="57"/>
  <c r="H124" i="57"/>
  <c r="I124" i="57"/>
  <c r="I112" i="57"/>
  <c r="J112" i="57"/>
  <c r="G112" i="57"/>
  <c r="H112" i="57"/>
  <c r="G100" i="57"/>
  <c r="H100" i="57"/>
  <c r="I100" i="57"/>
  <c r="D100" i="57"/>
  <c r="J100" i="57"/>
  <c r="G88" i="57"/>
  <c r="H88" i="57"/>
  <c r="G76" i="57"/>
  <c r="D76" i="57"/>
  <c r="H76" i="57"/>
  <c r="G64" i="57"/>
  <c r="I64" i="57"/>
  <c r="J64" i="57"/>
  <c r="H64" i="57"/>
  <c r="I52" i="57"/>
  <c r="J52" i="57"/>
  <c r="G52" i="57"/>
  <c r="H52" i="57"/>
  <c r="G40" i="57"/>
  <c r="H40" i="57"/>
  <c r="I40" i="57"/>
  <c r="J40" i="57"/>
  <c r="D40" i="57"/>
  <c r="D209" i="57"/>
  <c r="H243" i="57"/>
  <c r="J243" i="57"/>
  <c r="I243" i="57"/>
  <c r="G243" i="57"/>
  <c r="H239" i="57"/>
  <c r="J239" i="57"/>
  <c r="I239" i="57"/>
  <c r="G239" i="57"/>
  <c r="J235" i="57"/>
  <c r="I235" i="57"/>
  <c r="H235" i="57"/>
  <c r="G235" i="57"/>
  <c r="J231" i="57"/>
  <c r="I231" i="57"/>
  <c r="H231" i="57"/>
  <c r="G231" i="57"/>
  <c r="H227" i="57"/>
  <c r="G227" i="57"/>
  <c r="H223" i="57"/>
  <c r="J223" i="57"/>
  <c r="I223" i="57"/>
  <c r="G223" i="57"/>
  <c r="H219" i="57"/>
  <c r="J219" i="57"/>
  <c r="I219" i="57"/>
  <c r="G219" i="57"/>
  <c r="D219" i="57"/>
  <c r="J215" i="57"/>
  <c r="I215" i="57"/>
  <c r="H215" i="57"/>
  <c r="G215" i="57"/>
  <c r="J211" i="57"/>
  <c r="I211" i="57"/>
  <c r="H211" i="57"/>
  <c r="G211" i="57"/>
  <c r="H207" i="57"/>
  <c r="G207" i="57"/>
  <c r="H203" i="57"/>
  <c r="J203" i="57"/>
  <c r="I203" i="57"/>
  <c r="G203" i="57"/>
  <c r="H199" i="57"/>
  <c r="J199" i="57"/>
  <c r="I199" i="57"/>
  <c r="G199" i="57"/>
  <c r="D199" i="57"/>
  <c r="J195" i="57"/>
  <c r="I195" i="57"/>
  <c r="H195" i="57"/>
  <c r="G195" i="57"/>
  <c r="J191" i="57"/>
  <c r="I191" i="57"/>
  <c r="H191" i="57"/>
  <c r="G191" i="57"/>
  <c r="H187" i="57"/>
  <c r="G187" i="57"/>
  <c r="H183" i="57"/>
  <c r="J183" i="57"/>
  <c r="I183" i="57"/>
  <c r="G183" i="57"/>
  <c r="H179" i="57"/>
  <c r="J179" i="57"/>
  <c r="I179" i="57"/>
  <c r="G179" i="57"/>
  <c r="D179" i="57"/>
  <c r="J175" i="57"/>
  <c r="I175" i="57"/>
  <c r="H175" i="57"/>
  <c r="G175" i="57"/>
  <c r="D175" i="57"/>
  <c r="J171" i="57"/>
  <c r="I171" i="57"/>
  <c r="H171" i="57"/>
  <c r="G171" i="57"/>
  <c r="H167" i="57"/>
  <c r="G167" i="57"/>
  <c r="H163" i="57"/>
  <c r="J163" i="57"/>
  <c r="I163" i="57"/>
  <c r="G163" i="57"/>
  <c r="H159" i="57"/>
  <c r="J159" i="57"/>
  <c r="I159" i="57"/>
  <c r="G159" i="57"/>
  <c r="D159" i="57"/>
  <c r="J155" i="57"/>
  <c r="I155" i="57"/>
  <c r="H155" i="57"/>
  <c r="G155" i="57"/>
  <c r="J151" i="57"/>
  <c r="I151" i="57"/>
  <c r="H151" i="57"/>
  <c r="G151" i="57"/>
  <c r="H147" i="57"/>
  <c r="G147" i="57"/>
  <c r="G143" i="57"/>
  <c r="J143" i="57"/>
  <c r="H143" i="57"/>
  <c r="G139" i="57"/>
  <c r="I139" i="57"/>
  <c r="H139" i="57"/>
  <c r="D139" i="57"/>
  <c r="J139" i="57"/>
  <c r="I135" i="57"/>
  <c r="J135" i="57"/>
  <c r="G135" i="57"/>
  <c r="H135" i="57"/>
  <c r="I131" i="57"/>
  <c r="J131" i="57"/>
  <c r="G131" i="57"/>
  <c r="H131" i="57"/>
  <c r="G127" i="57"/>
  <c r="H127" i="57"/>
  <c r="G123" i="57"/>
  <c r="H123" i="57"/>
  <c r="I123" i="57"/>
  <c r="J123" i="57"/>
  <c r="G119" i="57"/>
  <c r="H119" i="57"/>
  <c r="I119" i="57"/>
  <c r="D119" i="57"/>
  <c r="J119" i="57"/>
  <c r="I115" i="57"/>
  <c r="J115" i="57"/>
  <c r="G115" i="57"/>
  <c r="I111" i="57"/>
  <c r="J111" i="57"/>
  <c r="G111" i="57"/>
  <c r="G107" i="57"/>
  <c r="H107" i="57"/>
  <c r="G103" i="57"/>
  <c r="H103" i="57"/>
  <c r="I103" i="57"/>
  <c r="J103" i="57"/>
  <c r="G99" i="57"/>
  <c r="H99" i="57"/>
  <c r="I99" i="57"/>
  <c r="D99" i="57"/>
  <c r="J99" i="57"/>
  <c r="I95" i="57"/>
  <c r="J95" i="57"/>
  <c r="G95" i="57"/>
  <c r="D95" i="57"/>
  <c r="H95" i="57"/>
  <c r="I91" i="57"/>
  <c r="J91" i="57"/>
  <c r="G91" i="57"/>
  <c r="H91" i="57"/>
  <c r="G87" i="57"/>
  <c r="G83" i="57"/>
  <c r="H83" i="57"/>
  <c r="I83" i="57"/>
  <c r="J83" i="57"/>
  <c r="G79" i="57"/>
  <c r="H79" i="57"/>
  <c r="I79" i="57"/>
  <c r="J79" i="57"/>
  <c r="D79" i="57"/>
  <c r="I75" i="57"/>
  <c r="J75" i="57"/>
  <c r="G75" i="57"/>
  <c r="H75" i="57"/>
  <c r="I71" i="57"/>
  <c r="J71" i="57"/>
  <c r="G71" i="57"/>
  <c r="H71" i="57"/>
  <c r="G67" i="57"/>
  <c r="H67" i="57"/>
  <c r="G63" i="57"/>
  <c r="H63" i="57"/>
  <c r="I63" i="57"/>
  <c r="J63" i="57"/>
  <c r="D63" i="57"/>
  <c r="G59" i="57"/>
  <c r="H59" i="57"/>
  <c r="I59" i="57"/>
  <c r="J59" i="57"/>
  <c r="D59" i="57"/>
  <c r="I55" i="57"/>
  <c r="J55" i="57"/>
  <c r="G55" i="57"/>
  <c r="H55" i="57"/>
  <c r="I51" i="57"/>
  <c r="J51" i="57"/>
  <c r="G51" i="57"/>
  <c r="H51" i="57"/>
  <c r="G47" i="57"/>
  <c r="H47" i="57"/>
  <c r="G43" i="57"/>
  <c r="H43" i="57"/>
  <c r="I43" i="57"/>
  <c r="J43" i="57"/>
  <c r="G39" i="57"/>
  <c r="H39" i="57"/>
  <c r="I39" i="57"/>
  <c r="J39" i="57"/>
  <c r="D39" i="57"/>
  <c r="D86" i="57"/>
  <c r="D243" i="57"/>
  <c r="D239" i="57"/>
  <c r="D186" i="57"/>
  <c r="D176" i="57"/>
  <c r="D146" i="57"/>
  <c r="D130" i="57"/>
  <c r="G198" i="57"/>
  <c r="G166" i="57"/>
  <c r="H111" i="57"/>
  <c r="H166" i="57"/>
  <c r="H236" i="57"/>
  <c r="G236" i="57"/>
  <c r="I224" i="57"/>
  <c r="H224" i="57"/>
  <c r="J224" i="57"/>
  <c r="G224" i="57"/>
  <c r="J212" i="57"/>
  <c r="I212" i="57"/>
  <c r="H212" i="57"/>
  <c r="G212" i="57"/>
  <c r="I204" i="57"/>
  <c r="H204" i="57"/>
  <c r="J204" i="57"/>
  <c r="G204" i="57"/>
  <c r="J192" i="57"/>
  <c r="I192" i="57"/>
  <c r="H192" i="57"/>
  <c r="G192" i="57"/>
  <c r="I180" i="57"/>
  <c r="H180" i="57"/>
  <c r="J180" i="57"/>
  <c r="G180" i="57"/>
  <c r="H168" i="57"/>
  <c r="G168" i="57"/>
  <c r="H156" i="57"/>
  <c r="G156" i="57"/>
  <c r="D156" i="57"/>
  <c r="G144" i="57"/>
  <c r="H144" i="57"/>
  <c r="I144" i="57"/>
  <c r="I132" i="57"/>
  <c r="J132" i="57"/>
  <c r="G132" i="57"/>
  <c r="H132" i="57"/>
  <c r="G120" i="57"/>
  <c r="H120" i="57"/>
  <c r="I120" i="57"/>
  <c r="D120" i="57"/>
  <c r="G108" i="57"/>
  <c r="H108" i="57"/>
  <c r="G96" i="57"/>
  <c r="D96" i="57"/>
  <c r="G84" i="57"/>
  <c r="H84" i="57"/>
  <c r="I84" i="57"/>
  <c r="J84" i="57"/>
  <c r="I72" i="57"/>
  <c r="J72" i="57"/>
  <c r="G72" i="57"/>
  <c r="H72" i="57"/>
  <c r="G60" i="57"/>
  <c r="H60" i="57"/>
  <c r="I60" i="57"/>
  <c r="D60" i="57"/>
  <c r="G48" i="57"/>
  <c r="H48" i="57"/>
  <c r="D240" i="57"/>
  <c r="H96" i="57"/>
  <c r="H36" i="57"/>
  <c r="D36" i="57"/>
  <c r="J242" i="57"/>
  <c r="I242" i="57"/>
  <c r="H242" i="57"/>
  <c r="I234" i="57"/>
  <c r="H234" i="57"/>
  <c r="J234" i="57"/>
  <c r="I230" i="57"/>
  <c r="H230" i="57"/>
  <c r="J230" i="57"/>
  <c r="J222" i="57"/>
  <c r="I222" i="57"/>
  <c r="H222" i="57"/>
  <c r="I214" i="57"/>
  <c r="H214" i="57"/>
  <c r="J214" i="57"/>
  <c r="I210" i="57"/>
  <c r="H210" i="57"/>
  <c r="J210" i="57"/>
  <c r="J202" i="57"/>
  <c r="I202" i="57"/>
  <c r="H202" i="57"/>
  <c r="I194" i="57"/>
  <c r="H194" i="57"/>
  <c r="J194" i="57"/>
  <c r="I190" i="57"/>
  <c r="H190" i="57"/>
  <c r="J190" i="57"/>
  <c r="J182" i="57"/>
  <c r="I182" i="57"/>
  <c r="H182" i="57"/>
  <c r="I174" i="57"/>
  <c r="H174" i="57"/>
  <c r="J174" i="57"/>
  <c r="I170" i="57"/>
  <c r="H170" i="57"/>
  <c r="J170" i="57"/>
  <c r="J162" i="57"/>
  <c r="I162" i="57"/>
  <c r="H162" i="57"/>
  <c r="I154" i="57"/>
  <c r="H154" i="57"/>
  <c r="J154" i="57"/>
  <c r="I150" i="57"/>
  <c r="H150" i="57"/>
  <c r="J150" i="57"/>
  <c r="G142" i="57"/>
  <c r="I142" i="57"/>
  <c r="J142" i="57"/>
  <c r="I134" i="57"/>
  <c r="J134" i="57"/>
  <c r="G134" i="57"/>
  <c r="I130" i="57"/>
  <c r="J130" i="57"/>
  <c r="G130" i="57"/>
  <c r="G126" i="57"/>
  <c r="H126" i="57"/>
  <c r="G122" i="57"/>
  <c r="H122" i="57"/>
  <c r="I122" i="57"/>
  <c r="J122" i="57"/>
  <c r="G118" i="57"/>
  <c r="H118" i="57"/>
  <c r="I114" i="57"/>
  <c r="J114" i="57"/>
  <c r="G114" i="57"/>
  <c r="H114" i="57"/>
  <c r="I110" i="57"/>
  <c r="J110" i="57"/>
  <c r="G110" i="57"/>
  <c r="H110" i="57"/>
  <c r="G106" i="57"/>
  <c r="H106" i="57"/>
  <c r="G102" i="57"/>
  <c r="H102" i="57"/>
  <c r="I102" i="57"/>
  <c r="J102" i="57"/>
  <c r="G98" i="57"/>
  <c r="H98" i="57"/>
  <c r="I94" i="57"/>
  <c r="J94" i="57"/>
  <c r="G94" i="57"/>
  <c r="H94" i="57"/>
  <c r="I90" i="57"/>
  <c r="J90" i="57"/>
  <c r="G90" i="57"/>
  <c r="H90" i="57"/>
  <c r="G86" i="57"/>
  <c r="H86" i="57"/>
  <c r="G82" i="57"/>
  <c r="H82" i="57"/>
  <c r="I82" i="57"/>
  <c r="I74" i="57"/>
  <c r="J74" i="57"/>
  <c r="G74" i="57"/>
  <c r="H74" i="57"/>
  <c r="I70" i="57"/>
  <c r="J70" i="57"/>
  <c r="G70" i="57"/>
  <c r="H70" i="57"/>
  <c r="G66" i="57"/>
  <c r="H66" i="57"/>
  <c r="G62" i="57"/>
  <c r="H62" i="57"/>
  <c r="I62" i="57"/>
  <c r="J62" i="57"/>
  <c r="G58" i="57"/>
  <c r="H58" i="57"/>
  <c r="I54" i="57"/>
  <c r="J54" i="57"/>
  <c r="G54" i="57"/>
  <c r="H54" i="57"/>
  <c r="I50" i="57"/>
  <c r="J50" i="57"/>
  <c r="G50" i="57"/>
  <c r="H50" i="57"/>
  <c r="G46" i="57"/>
  <c r="H46" i="57"/>
  <c r="G42" i="57"/>
  <c r="H42" i="57"/>
  <c r="I42" i="57"/>
  <c r="J42" i="57"/>
  <c r="G38" i="57"/>
  <c r="H38" i="57"/>
  <c r="D165" i="57"/>
  <c r="D181" i="57"/>
  <c r="D242" i="57"/>
  <c r="D234" i="57"/>
  <c r="D230" i="57"/>
  <c r="D226" i="57"/>
  <c r="D222" i="57"/>
  <c r="D212" i="57"/>
  <c r="D206" i="57"/>
  <c r="D190" i="57"/>
  <c r="D180" i="57"/>
  <c r="D174" i="57"/>
  <c r="D126" i="57"/>
  <c r="D110" i="57"/>
  <c r="D62" i="57"/>
  <c r="D46" i="57"/>
  <c r="G242" i="57"/>
  <c r="G226" i="57"/>
  <c r="G210" i="57"/>
  <c r="G194" i="57"/>
  <c r="G178" i="57"/>
  <c r="G162" i="57"/>
  <c r="G146" i="57"/>
  <c r="J124" i="57"/>
  <c r="H87" i="57"/>
  <c r="I244" i="57"/>
  <c r="H244" i="57"/>
  <c r="J244" i="57"/>
  <c r="G244" i="57"/>
  <c r="J232" i="57"/>
  <c r="I232" i="57"/>
  <c r="H232" i="57"/>
  <c r="G232" i="57"/>
  <c r="I220" i="57"/>
  <c r="H220" i="57"/>
  <c r="G220" i="57"/>
  <c r="H208" i="57"/>
  <c r="G208" i="57"/>
  <c r="H196" i="57"/>
  <c r="G196" i="57"/>
  <c r="I184" i="57"/>
  <c r="H184" i="57"/>
  <c r="J184" i="57"/>
  <c r="G184" i="57"/>
  <c r="J172" i="57"/>
  <c r="I172" i="57"/>
  <c r="H172" i="57"/>
  <c r="G172" i="57"/>
  <c r="I160" i="57"/>
  <c r="H160" i="57"/>
  <c r="J160" i="57"/>
  <c r="G160" i="57"/>
  <c r="D160" i="57"/>
  <c r="J152" i="57"/>
  <c r="I152" i="57"/>
  <c r="H152" i="57"/>
  <c r="G152" i="57"/>
  <c r="D152" i="57"/>
  <c r="G140" i="57"/>
  <c r="I140" i="57"/>
  <c r="D140" i="57"/>
  <c r="H140" i="57"/>
  <c r="G128" i="57"/>
  <c r="H128" i="57"/>
  <c r="G116" i="57"/>
  <c r="H116" i="57"/>
  <c r="D116" i="57"/>
  <c r="G104" i="57"/>
  <c r="H104" i="57"/>
  <c r="I104" i="57"/>
  <c r="D104" i="57"/>
  <c r="J104" i="57"/>
  <c r="I92" i="57"/>
  <c r="J92" i="57"/>
  <c r="G92" i="57"/>
  <c r="G80" i="57"/>
  <c r="H80" i="57"/>
  <c r="I80" i="57"/>
  <c r="J80" i="57"/>
  <c r="D80" i="57"/>
  <c r="G68" i="57"/>
  <c r="H68" i="57"/>
  <c r="G56" i="57"/>
  <c r="H56" i="57"/>
  <c r="D56" i="57"/>
  <c r="G44" i="57"/>
  <c r="H44" i="57"/>
  <c r="I44" i="57"/>
  <c r="J44" i="57"/>
  <c r="D193" i="57"/>
  <c r="J245" i="57"/>
  <c r="I245" i="57"/>
  <c r="H245" i="57"/>
  <c r="G245" i="57"/>
  <c r="J241" i="57"/>
  <c r="I241" i="57"/>
  <c r="H241" i="57"/>
  <c r="G241" i="57"/>
  <c r="H237" i="57"/>
  <c r="G237" i="57"/>
  <c r="H233" i="57"/>
  <c r="J233" i="57"/>
  <c r="I233" i="57"/>
  <c r="G233" i="57"/>
  <c r="H229" i="57"/>
  <c r="J229" i="57"/>
  <c r="I229" i="57"/>
  <c r="G229" i="57"/>
  <c r="J225" i="57"/>
  <c r="I225" i="57"/>
  <c r="H225" i="57"/>
  <c r="G225" i="57"/>
  <c r="J221" i="57"/>
  <c r="I221" i="57"/>
  <c r="H221" i="57"/>
  <c r="G221" i="57"/>
  <c r="H217" i="57"/>
  <c r="G217" i="57"/>
  <c r="H213" i="57"/>
  <c r="J213" i="57"/>
  <c r="I213" i="57"/>
  <c r="G213" i="57"/>
  <c r="H209" i="57"/>
  <c r="J209" i="57"/>
  <c r="I209" i="57"/>
  <c r="G209" i="57"/>
  <c r="J205" i="57"/>
  <c r="I205" i="57"/>
  <c r="H205" i="57"/>
  <c r="G205" i="57"/>
  <c r="J201" i="57"/>
  <c r="I201" i="57"/>
  <c r="H201" i="57"/>
  <c r="G201" i="57"/>
  <c r="H197" i="57"/>
  <c r="G197" i="57"/>
  <c r="H193" i="57"/>
  <c r="J193" i="57"/>
  <c r="G193" i="57"/>
  <c r="H189" i="57"/>
  <c r="J189" i="57"/>
  <c r="I189" i="57"/>
  <c r="G189" i="57"/>
  <c r="J185" i="57"/>
  <c r="I185" i="57"/>
  <c r="H185" i="57"/>
  <c r="G185" i="57"/>
  <c r="J181" i="57"/>
  <c r="I181" i="57"/>
  <c r="H181" i="57"/>
  <c r="G181" i="57"/>
  <c r="H177" i="57"/>
  <c r="G177" i="57"/>
  <c r="H173" i="57"/>
  <c r="J173" i="57"/>
  <c r="I173" i="57"/>
  <c r="G173" i="57"/>
  <c r="H169" i="57"/>
  <c r="J169" i="57"/>
  <c r="I169" i="57"/>
  <c r="G169" i="57"/>
  <c r="J165" i="57"/>
  <c r="I165" i="57"/>
  <c r="H165" i="57"/>
  <c r="G165" i="57"/>
  <c r="J161" i="57"/>
  <c r="I161" i="57"/>
  <c r="H161" i="57"/>
  <c r="G161" i="57"/>
  <c r="H157" i="57"/>
  <c r="G157" i="57"/>
  <c r="H153" i="57"/>
  <c r="J153" i="57"/>
  <c r="I153" i="57"/>
  <c r="G153" i="57"/>
  <c r="H149" i="57"/>
  <c r="J149" i="57"/>
  <c r="I149" i="57"/>
  <c r="G149" i="57"/>
  <c r="D149" i="57"/>
  <c r="G145" i="57"/>
  <c r="H145" i="57"/>
  <c r="I145" i="57"/>
  <c r="J145" i="57"/>
  <c r="D145" i="57"/>
  <c r="G141" i="57"/>
  <c r="H141" i="57"/>
  <c r="I141" i="57"/>
  <c r="J141" i="57"/>
  <c r="D141" i="57"/>
  <c r="G137" i="57"/>
  <c r="H137" i="57"/>
  <c r="I133" i="57"/>
  <c r="J133" i="57"/>
  <c r="G133" i="57"/>
  <c r="H133" i="57"/>
  <c r="D133" i="57"/>
  <c r="I129" i="57"/>
  <c r="J129" i="57"/>
  <c r="G129" i="57"/>
  <c r="H129" i="57"/>
  <c r="D129" i="57"/>
  <c r="G125" i="57"/>
  <c r="H125" i="57"/>
  <c r="I125" i="57"/>
  <c r="J125" i="57"/>
  <c r="D125" i="57"/>
  <c r="G121" i="57"/>
  <c r="H121" i="57"/>
  <c r="I121" i="57"/>
  <c r="J121" i="57"/>
  <c r="G117" i="57"/>
  <c r="H117" i="57"/>
  <c r="I113" i="57"/>
  <c r="J113" i="57"/>
  <c r="G113" i="57"/>
  <c r="H113" i="57"/>
  <c r="D113" i="57"/>
  <c r="I109" i="57"/>
  <c r="J109" i="57"/>
  <c r="G109" i="57"/>
  <c r="H109" i="57"/>
  <c r="D109" i="57"/>
  <c r="G105" i="57"/>
  <c r="H105" i="57"/>
  <c r="I105" i="57"/>
  <c r="D105" i="57"/>
  <c r="G101" i="57"/>
  <c r="H101" i="57"/>
  <c r="I101" i="57"/>
  <c r="D101" i="57"/>
  <c r="G97" i="57"/>
  <c r="H97" i="57"/>
  <c r="I93" i="57"/>
  <c r="J93" i="57"/>
  <c r="G93" i="57"/>
  <c r="H93" i="57"/>
  <c r="D93" i="57"/>
  <c r="I89" i="57"/>
  <c r="J89" i="57"/>
  <c r="G89" i="57"/>
  <c r="H89" i="57"/>
  <c r="D89" i="57"/>
  <c r="G85" i="57"/>
  <c r="H85" i="57"/>
  <c r="I85" i="57"/>
  <c r="J85" i="57"/>
  <c r="D85" i="57"/>
  <c r="G81" i="57"/>
  <c r="H81" i="57"/>
  <c r="I81" i="57"/>
  <c r="J81" i="57"/>
  <c r="G77" i="57"/>
  <c r="H77" i="57"/>
  <c r="I73" i="57"/>
  <c r="J73" i="57"/>
  <c r="G73" i="57"/>
  <c r="D73" i="57"/>
  <c r="I69" i="57"/>
  <c r="J69" i="57"/>
  <c r="G69" i="57"/>
  <c r="D69" i="57"/>
  <c r="G65" i="57"/>
  <c r="H65" i="57"/>
  <c r="I65" i="57"/>
  <c r="J65" i="57"/>
  <c r="D65" i="57"/>
  <c r="G61" i="57"/>
  <c r="H61" i="57"/>
  <c r="I61" i="57"/>
  <c r="J61" i="57"/>
  <c r="D61" i="57"/>
  <c r="G57" i="57"/>
  <c r="H57" i="57"/>
  <c r="I53" i="57"/>
  <c r="J53" i="57"/>
  <c r="G53" i="57"/>
  <c r="H53" i="57"/>
  <c r="D53" i="57"/>
  <c r="I49" i="57"/>
  <c r="J49" i="57"/>
  <c r="G49" i="57"/>
  <c r="H49" i="57"/>
  <c r="D49" i="57"/>
  <c r="G45" i="57"/>
  <c r="H45" i="57"/>
  <c r="I45" i="57"/>
  <c r="J45" i="57"/>
  <c r="D45" i="57"/>
  <c r="G41" i="57"/>
  <c r="H41" i="57"/>
  <c r="I41" i="57"/>
  <c r="G37" i="57"/>
  <c r="H37" i="57"/>
  <c r="D114" i="57"/>
  <c r="D245" i="57"/>
  <c r="D241" i="57"/>
  <c r="D233" i="57"/>
  <c r="D229" i="57"/>
  <c r="D225" i="57"/>
  <c r="D216" i="57"/>
  <c r="D210" i="57"/>
  <c r="D205" i="57"/>
  <c r="D200" i="57"/>
  <c r="D189" i="57"/>
  <c r="D184" i="57"/>
  <c r="D173" i="57"/>
  <c r="D106" i="57"/>
  <c r="D90" i="57"/>
  <c r="G238" i="57"/>
  <c r="G222" i="57"/>
  <c r="G206" i="57"/>
  <c r="G190" i="57"/>
  <c r="G174" i="57"/>
  <c r="G158" i="57"/>
  <c r="J144" i="57"/>
  <c r="H138" i="57"/>
  <c r="J120" i="57"/>
  <c r="J101" i="57"/>
  <c r="J82" i="57"/>
  <c r="J60" i="57"/>
  <c r="J220" i="57"/>
  <c r="O57" i="66" l="1"/>
  <c r="E29" i="66"/>
  <c r="G30" i="66"/>
  <c r="D57" i="66"/>
  <c r="F29" i="66"/>
  <c r="D137" i="57"/>
  <c r="D192" i="57"/>
  <c r="D42" i="57"/>
  <c r="D122" i="57"/>
  <c r="D204" i="57"/>
  <c r="D132" i="57"/>
  <c r="D74" i="57"/>
  <c r="D154" i="57"/>
  <c r="D232" i="57"/>
  <c r="D92" i="57"/>
  <c r="D142" i="57"/>
  <c r="D52" i="57"/>
  <c r="D167" i="57"/>
  <c r="D227" i="57"/>
  <c r="D237" i="57"/>
  <c r="D37" i="57"/>
  <c r="D97" i="57"/>
  <c r="D87" i="57"/>
  <c r="D217" i="57"/>
  <c r="D58" i="57"/>
  <c r="D178" i="57"/>
  <c r="D57" i="57"/>
  <c r="D117" i="57"/>
  <c r="D157" i="57"/>
  <c r="D138" i="57"/>
  <c r="D77" i="57"/>
  <c r="D177" i="57"/>
  <c r="D168" i="57"/>
  <c r="D78" i="57"/>
  <c r="D158" i="57"/>
  <c r="D48" i="57"/>
  <c r="D218" i="57"/>
  <c r="D98" i="57"/>
  <c r="D68" i="57"/>
  <c r="D128" i="57"/>
  <c r="D108" i="57"/>
  <c r="D238" i="57"/>
  <c r="D81" i="57"/>
  <c r="D121" i="57"/>
  <c r="D244" i="57"/>
  <c r="D231" i="57"/>
  <c r="D118" i="57"/>
  <c r="D38" i="57"/>
  <c r="D198" i="57"/>
  <c r="D43" i="57"/>
  <c r="D71" i="57"/>
  <c r="D111" i="57"/>
  <c r="D115" i="57"/>
  <c r="D147" i="57"/>
  <c r="D155" i="57"/>
  <c r="D203" i="57"/>
  <c r="D211" i="57"/>
  <c r="D164" i="57"/>
  <c r="D197" i="57"/>
  <c r="D196" i="57"/>
  <c r="D54" i="57"/>
  <c r="D214" i="57"/>
  <c r="D134" i="57"/>
  <c r="D235" i="57"/>
  <c r="D102" i="57"/>
  <c r="D182" i="57"/>
  <c r="D47" i="57"/>
  <c r="D51" i="57"/>
  <c r="D67" i="57"/>
  <c r="D75" i="57"/>
  <c r="D103" i="57"/>
  <c r="D107" i="57"/>
  <c r="D131" i="57"/>
  <c r="D143" i="57"/>
  <c r="D183" i="57"/>
  <c r="D191" i="57"/>
  <c r="D207" i="57"/>
  <c r="D215" i="57"/>
  <c r="D188" i="57"/>
  <c r="D64" i="57"/>
  <c r="D88" i="57"/>
  <c r="D112" i="57"/>
  <c r="D148" i="57"/>
  <c r="D169" i="57"/>
  <c r="D201" i="57"/>
  <c r="D66" i="57"/>
  <c r="D162" i="57"/>
  <c r="D208" i="57"/>
  <c r="D151" i="57"/>
  <c r="D41" i="57"/>
  <c r="D221" i="57"/>
  <c r="D153" i="57"/>
  <c r="D161" i="57"/>
  <c r="D224" i="57"/>
  <c r="D44" i="57"/>
  <c r="D94" i="57"/>
  <c r="D72" i="57"/>
  <c r="D84" i="57"/>
  <c r="D144" i="57"/>
  <c r="D223" i="57"/>
  <c r="D55" i="57"/>
  <c r="D83" i="57"/>
  <c r="D91" i="57"/>
  <c r="D123" i="57"/>
  <c r="D135" i="57"/>
  <c r="D163" i="57"/>
  <c r="D171" i="57"/>
  <c r="D187" i="57"/>
  <c r="D195" i="57"/>
  <c r="D124" i="57"/>
  <c r="D136" i="57"/>
  <c r="D213" i="57"/>
  <c r="D82" i="57"/>
  <c r="D166" i="57"/>
  <c r="D172" i="57"/>
  <c r="D236" i="57"/>
  <c r="I30" i="66" l="1"/>
  <c r="J30" i="66"/>
  <c r="H30" i="66"/>
  <c r="K30" i="66"/>
  <c r="L30" i="66"/>
  <c r="F57" i="66"/>
  <c r="M57" i="66"/>
  <c r="N57" i="66" s="1"/>
  <c r="E57" i="66"/>
  <c r="G58" i="66"/>
  <c r="I58" i="66" s="1"/>
  <c r="E81" i="53"/>
  <c r="O30" i="66" l="1"/>
  <c r="H58" i="66"/>
  <c r="K58" i="66" s="1"/>
  <c r="J58" i="66"/>
  <c r="L58" i="66"/>
  <c r="D30" i="66"/>
  <c r="B4" i="63"/>
  <c r="O58" i="66" l="1"/>
  <c r="G31" i="66"/>
  <c r="I31" i="66" s="1"/>
  <c r="F30" i="66"/>
  <c r="D58" i="66"/>
  <c r="E30" i="66"/>
  <c r="B11" i="63"/>
  <c r="B10" i="63"/>
  <c r="B9" i="63"/>
  <c r="AH424" i="54"/>
  <c r="AL424" i="54" s="1"/>
  <c r="AF424" i="54"/>
  <c r="AJ424" i="54" s="1"/>
  <c r="AG424" i="54"/>
  <c r="AK424" i="54" s="1"/>
  <c r="G27" i="57"/>
  <c r="G19" i="57"/>
  <c r="G11" i="57"/>
  <c r="G26" i="57"/>
  <c r="G14" i="57"/>
  <c r="G25" i="57"/>
  <c r="G13" i="57"/>
  <c r="G23" i="57"/>
  <c r="G15" i="57"/>
  <c r="G22" i="57"/>
  <c r="G18" i="57"/>
  <c r="G10" i="57"/>
  <c r="G29" i="57"/>
  <c r="G21" i="57"/>
  <c r="G17" i="57"/>
  <c r="G9" i="57"/>
  <c r="G28" i="57"/>
  <c r="G24" i="57"/>
  <c r="G20" i="57"/>
  <c r="G16" i="57"/>
  <c r="G12" i="57"/>
  <c r="AG4" i="54"/>
  <c r="AK4" i="54" s="1"/>
  <c r="F81" i="53"/>
  <c r="G81" i="53"/>
  <c r="F79" i="53"/>
  <c r="G79" i="53"/>
  <c r="E79" i="53"/>
  <c r="J31" i="66" l="1"/>
  <c r="H31" i="66"/>
  <c r="K31" i="66" s="1"/>
  <c r="F58" i="66"/>
  <c r="L59" i="66" s="1"/>
  <c r="M58" i="66"/>
  <c r="N58" i="66" s="1"/>
  <c r="E58" i="66"/>
  <c r="G59" i="66"/>
  <c r="I59" i="66" s="1"/>
  <c r="L31" i="66"/>
  <c r="D4" i="63"/>
  <c r="C4" i="63"/>
  <c r="D16" i="63"/>
  <c r="D20" i="63"/>
  <c r="D21" i="63"/>
  <c r="D22" i="63"/>
  <c r="D18" i="63"/>
  <c r="D19" i="63"/>
  <c r="D17" i="63"/>
  <c r="J14" i="53"/>
  <c r="K14" i="53"/>
  <c r="K15" i="53" s="1"/>
  <c r="O15" i="53" s="1"/>
  <c r="O31" i="66" l="1"/>
  <c r="H59" i="66"/>
  <c r="K59" i="66" s="1"/>
  <c r="J59" i="66"/>
  <c r="D31" i="66"/>
  <c r="V215" i="54"/>
  <c r="V68" i="54"/>
  <c r="V236" i="54"/>
  <c r="V152" i="54"/>
  <c r="V299" i="54"/>
  <c r="V5" i="54"/>
  <c r="V257" i="54"/>
  <c r="V110" i="54"/>
  <c r="V131" i="54"/>
  <c r="V89" i="54"/>
  <c r="V47" i="54"/>
  <c r="V320" i="54"/>
  <c r="V278" i="54"/>
  <c r="V26" i="54"/>
  <c r="V173" i="54"/>
  <c r="V194" i="54"/>
  <c r="J15" i="53"/>
  <c r="D9" i="64"/>
  <c r="J9" i="64" s="1"/>
  <c r="D8" i="64"/>
  <c r="J8" i="64" s="1"/>
  <c r="D19" i="64"/>
  <c r="J19" i="64" s="1"/>
  <c r="D18" i="64"/>
  <c r="J18" i="64" s="1"/>
  <c r="D15" i="64"/>
  <c r="J15" i="64" s="1"/>
  <c r="D17" i="64"/>
  <c r="J17" i="64" s="1"/>
  <c r="D14" i="64"/>
  <c r="J14" i="64" s="1"/>
  <c r="D6" i="64"/>
  <c r="J6" i="64" s="1"/>
  <c r="D5" i="64"/>
  <c r="J5" i="64" s="1"/>
  <c r="D16" i="64"/>
  <c r="J16" i="64" s="1"/>
  <c r="D13" i="64"/>
  <c r="J13" i="64" s="1"/>
  <c r="D7" i="64"/>
  <c r="J7" i="64" s="1"/>
  <c r="D10" i="64"/>
  <c r="J10" i="64" s="1"/>
  <c r="D11" i="64"/>
  <c r="J11" i="64" s="1"/>
  <c r="D12" i="64"/>
  <c r="J12" i="64" s="1"/>
  <c r="T172" i="54"/>
  <c r="T193" i="54"/>
  <c r="T256" i="54"/>
  <c r="T4" i="54"/>
  <c r="T25" i="54"/>
  <c r="T319" i="54"/>
  <c r="T46" i="54"/>
  <c r="T235" i="54"/>
  <c r="T109" i="54"/>
  <c r="T298" i="54"/>
  <c r="T151" i="54"/>
  <c r="T130" i="54"/>
  <c r="T88" i="54"/>
  <c r="T277" i="54"/>
  <c r="T214" i="54"/>
  <c r="T67" i="54"/>
  <c r="D29" i="64"/>
  <c r="D21" i="64"/>
  <c r="D26" i="64"/>
  <c r="D28" i="64"/>
  <c r="D22" i="64"/>
  <c r="D35" i="64"/>
  <c r="D33" i="64"/>
  <c r="D25" i="64"/>
  <c r="D34" i="64"/>
  <c r="D32" i="64"/>
  <c r="D24" i="64"/>
  <c r="D20" i="64"/>
  <c r="D31" i="64"/>
  <c r="D27" i="64"/>
  <c r="D23" i="64"/>
  <c r="D30" i="64"/>
  <c r="D15" i="53"/>
  <c r="E25" i="64"/>
  <c r="E29" i="64"/>
  <c r="E32" i="64"/>
  <c r="E22" i="64"/>
  <c r="E21" i="64"/>
  <c r="E28" i="64"/>
  <c r="E35" i="64"/>
  <c r="E26" i="64"/>
  <c r="E24" i="64"/>
  <c r="E20" i="64"/>
  <c r="E31" i="64"/>
  <c r="E27" i="64"/>
  <c r="E34" i="64"/>
  <c r="E30" i="64"/>
  <c r="E23" i="64"/>
  <c r="E33" i="64"/>
  <c r="E65" i="63"/>
  <c r="E63" i="63"/>
  <c r="E35" i="63"/>
  <c r="E33" i="63"/>
  <c r="E57" i="63"/>
  <c r="E59" i="63"/>
  <c r="C11" i="63"/>
  <c r="C9" i="63"/>
  <c r="C10" i="63"/>
  <c r="E47" i="63"/>
  <c r="E45" i="63"/>
  <c r="E53" i="63"/>
  <c r="E51" i="63"/>
  <c r="D10" i="63"/>
  <c r="D11" i="63"/>
  <c r="D9" i="63"/>
  <c r="E39" i="63"/>
  <c r="E41" i="63"/>
  <c r="E27" i="63"/>
  <c r="E29" i="63"/>
  <c r="L14" i="53"/>
  <c r="H2" i="53"/>
  <c r="O59" i="66" l="1"/>
  <c r="G32" i="66"/>
  <c r="F31" i="66"/>
  <c r="D59" i="66"/>
  <c r="E31" i="66"/>
  <c r="D43" i="53"/>
  <c r="G44" i="53" s="1"/>
  <c r="I44" i="53" s="1"/>
  <c r="G16" i="53"/>
  <c r="I16" i="53" s="1"/>
  <c r="E43" i="53"/>
  <c r="H44" i="53" s="1"/>
  <c r="Z782" i="54"/>
  <c r="AF782" i="54" s="1"/>
  <c r="AJ782" i="54" s="1"/>
  <c r="T68" i="54"/>
  <c r="T173" i="54"/>
  <c r="T320" i="54"/>
  <c r="T194" i="54"/>
  <c r="T89" i="54"/>
  <c r="T215" i="54"/>
  <c r="T131" i="54"/>
  <c r="T236" i="54"/>
  <c r="T47" i="54"/>
  <c r="T278" i="54"/>
  <c r="T110" i="54"/>
  <c r="T257" i="54"/>
  <c r="T152" i="54"/>
  <c r="T5" i="54"/>
  <c r="T299" i="54"/>
  <c r="T26" i="54"/>
  <c r="F16" i="64"/>
  <c r="F7" i="64"/>
  <c r="F12" i="64"/>
  <c r="F19" i="64"/>
  <c r="F6" i="64"/>
  <c r="F13" i="64"/>
  <c r="F14" i="64"/>
  <c r="F15" i="64"/>
  <c r="F9" i="64"/>
  <c r="F10" i="64"/>
  <c r="F11" i="64"/>
  <c r="F17" i="64"/>
  <c r="F18" i="64"/>
  <c r="F5" i="64"/>
  <c r="F8" i="64"/>
  <c r="X172" i="54"/>
  <c r="X46" i="54"/>
  <c r="X214" i="54"/>
  <c r="X67" i="54"/>
  <c r="X25" i="54"/>
  <c r="X151" i="54"/>
  <c r="X256" i="54"/>
  <c r="X235" i="54"/>
  <c r="X319" i="54"/>
  <c r="X193" i="54"/>
  <c r="X88" i="54"/>
  <c r="X277" i="54"/>
  <c r="X4" i="54"/>
  <c r="X109" i="54"/>
  <c r="X298" i="54"/>
  <c r="X130" i="54"/>
  <c r="G35" i="64"/>
  <c r="J35" i="64" s="1"/>
  <c r="G26" i="64"/>
  <c r="J26" i="64" s="1"/>
  <c r="G33" i="64"/>
  <c r="J33" i="64" s="1"/>
  <c r="G25" i="64"/>
  <c r="J25" i="64" s="1"/>
  <c r="G29" i="64"/>
  <c r="J29" i="64" s="1"/>
  <c r="G21" i="64"/>
  <c r="J21" i="64" s="1"/>
  <c r="G20" i="64"/>
  <c r="J20" i="64" s="1"/>
  <c r="G34" i="64"/>
  <c r="J34" i="64" s="1"/>
  <c r="G23" i="64"/>
  <c r="J23" i="64" s="1"/>
  <c r="G30" i="64"/>
  <c r="J30" i="64" s="1"/>
  <c r="G32" i="64"/>
  <c r="J32" i="64" s="1"/>
  <c r="G28" i="64"/>
  <c r="J28" i="64" s="1"/>
  <c r="G24" i="64"/>
  <c r="J24" i="64" s="1"/>
  <c r="G22" i="64"/>
  <c r="J22" i="64" s="1"/>
  <c r="G31" i="64"/>
  <c r="J31" i="64" s="1"/>
  <c r="G27" i="64"/>
  <c r="J27" i="64" s="1"/>
  <c r="Z25" i="54"/>
  <c r="AF25" i="54" s="1"/>
  <c r="AJ25" i="54" s="1"/>
  <c r="F16" i="63"/>
  <c r="F17" i="63"/>
  <c r="F20" i="63"/>
  <c r="F19" i="63"/>
  <c r="F22" i="63"/>
  <c r="F21" i="63"/>
  <c r="F18" i="63"/>
  <c r="E20" i="63"/>
  <c r="E19" i="63"/>
  <c r="E18" i="63"/>
  <c r="E16" i="63"/>
  <c r="E21" i="63"/>
  <c r="E17" i="63"/>
  <c r="E22" i="63"/>
  <c r="AF4" i="54"/>
  <c r="AJ4" i="54" s="1"/>
  <c r="M14" i="53"/>
  <c r="N14" i="53" s="1"/>
  <c r="F14" i="53"/>
  <c r="J16" i="53" l="1"/>
  <c r="F43" i="53"/>
  <c r="J44" i="53"/>
  <c r="E11" i="65" s="1"/>
  <c r="AR11" i="65" s="1"/>
  <c r="EJ41" i="65" s="1"/>
  <c r="I32" i="66"/>
  <c r="J32" i="66"/>
  <c r="H32" i="66"/>
  <c r="K32" i="66" s="1"/>
  <c r="F59" i="66"/>
  <c r="L60" i="66" s="1"/>
  <c r="M59" i="66"/>
  <c r="N59" i="66" s="1"/>
  <c r="E59" i="66"/>
  <c r="G60" i="66"/>
  <c r="I60" i="66" s="1"/>
  <c r="L32" i="66"/>
  <c r="I12" i="64"/>
  <c r="L12" i="64" s="1"/>
  <c r="I10" i="64"/>
  <c r="L10" i="64" s="1"/>
  <c r="I13" i="64"/>
  <c r="L13" i="64" s="1"/>
  <c r="I5" i="64"/>
  <c r="L5" i="64" s="1"/>
  <c r="I18" i="64"/>
  <c r="L18" i="64" s="1"/>
  <c r="I16" i="64"/>
  <c r="L16" i="64" s="1"/>
  <c r="I19" i="64"/>
  <c r="L19" i="64" s="1"/>
  <c r="I11" i="64"/>
  <c r="L11" i="64" s="1"/>
  <c r="I17" i="64"/>
  <c r="L17" i="64" s="1"/>
  <c r="I9" i="64"/>
  <c r="L9" i="64" s="1"/>
  <c r="I15" i="64"/>
  <c r="L15" i="64" s="1"/>
  <c r="I14" i="64"/>
  <c r="L14" i="64" s="1"/>
  <c r="I6" i="64"/>
  <c r="L6" i="64" s="1"/>
  <c r="I8" i="64"/>
  <c r="L8" i="64" s="1"/>
  <c r="I7" i="64"/>
  <c r="L7" i="64" s="1"/>
  <c r="L44" i="53"/>
  <c r="AD782" i="54"/>
  <c r="AH782" i="54" s="1"/>
  <c r="AL782" i="54" s="1"/>
  <c r="T405" i="54"/>
  <c r="T426" i="54"/>
  <c r="T510" i="54"/>
  <c r="T447" i="54"/>
  <c r="T363" i="54"/>
  <c r="T489" i="54"/>
  <c r="T678" i="54"/>
  <c r="T741" i="54"/>
  <c r="T384" i="54"/>
  <c r="T657" i="54"/>
  <c r="T468" i="54"/>
  <c r="T342" i="54"/>
  <c r="T615" i="54"/>
  <c r="T699" i="54"/>
  <c r="E5" i="65"/>
  <c r="AR5" i="65" s="1"/>
  <c r="EJ5" i="65" s="1"/>
  <c r="D16" i="53"/>
  <c r="T27" i="54"/>
  <c r="T216" i="54"/>
  <c r="T321" i="54"/>
  <c r="T111" i="54"/>
  <c r="T300" i="54"/>
  <c r="T69" i="54"/>
  <c r="T6" i="54"/>
  <c r="T258" i="54"/>
  <c r="T174" i="54"/>
  <c r="T153" i="54"/>
  <c r="T195" i="54"/>
  <c r="T48" i="54"/>
  <c r="T279" i="54"/>
  <c r="T237" i="54"/>
  <c r="T132" i="54"/>
  <c r="T90" i="54"/>
  <c r="K44" i="53"/>
  <c r="O44" i="53" s="1"/>
  <c r="AB782" i="54"/>
  <c r="AG782" i="54" s="1"/>
  <c r="AK782" i="54" s="1"/>
  <c r="L15" i="53"/>
  <c r="G47" i="63"/>
  <c r="E49" i="63"/>
  <c r="E61" i="63"/>
  <c r="G59" i="63"/>
  <c r="G53" i="63"/>
  <c r="E55" i="63"/>
  <c r="G67" i="63"/>
  <c r="G63" i="63"/>
  <c r="G27" i="63"/>
  <c r="G31" i="63"/>
  <c r="G57" i="63"/>
  <c r="G61" i="63"/>
  <c r="G29" i="63"/>
  <c r="E31" i="63"/>
  <c r="G45" i="63"/>
  <c r="G49" i="63"/>
  <c r="G35" i="63"/>
  <c r="E37" i="63"/>
  <c r="G37" i="63"/>
  <c r="G33" i="63"/>
  <c r="G65" i="63"/>
  <c r="E67" i="63"/>
  <c r="G41" i="63"/>
  <c r="E43" i="63"/>
  <c r="G43" i="63"/>
  <c r="G39" i="63"/>
  <c r="G51" i="63"/>
  <c r="G55" i="63"/>
  <c r="AD4" i="54"/>
  <c r="AH4" i="54" s="1"/>
  <c r="AL4" i="54" s="1"/>
  <c r="T720" i="54" l="1"/>
  <c r="T594" i="54"/>
  <c r="T552" i="54"/>
  <c r="T762" i="54"/>
  <c r="T531" i="54"/>
  <c r="T573" i="54"/>
  <c r="T636" i="54"/>
  <c r="T783" i="54"/>
  <c r="O32" i="66"/>
  <c r="H60" i="66"/>
  <c r="K60" i="66"/>
  <c r="D32" i="66"/>
  <c r="J60" i="66"/>
  <c r="G17" i="53"/>
  <c r="I17" i="53" s="1"/>
  <c r="CN13" i="65"/>
  <c r="CZ13" i="65" s="1"/>
  <c r="CN51" i="65"/>
  <c r="CZ51" i="65" s="1"/>
  <c r="CN45" i="65"/>
  <c r="CZ45" i="65" s="1"/>
  <c r="CN77" i="65"/>
  <c r="CZ77" i="65" s="1"/>
  <c r="CN48" i="65"/>
  <c r="CN62" i="65"/>
  <c r="CN46" i="65"/>
  <c r="CN14" i="65"/>
  <c r="CN19" i="65"/>
  <c r="CZ19" i="65" s="1"/>
  <c r="CN80" i="65"/>
  <c r="CN32" i="65"/>
  <c r="CN65" i="65"/>
  <c r="CN29" i="65"/>
  <c r="CZ29" i="65" s="1"/>
  <c r="CN31" i="65"/>
  <c r="CN17" i="65"/>
  <c r="CN34" i="65"/>
  <c r="CN16" i="65"/>
  <c r="CN35" i="65"/>
  <c r="CZ35" i="65" s="1"/>
  <c r="CN30" i="65"/>
  <c r="CN47" i="65"/>
  <c r="CN61" i="65"/>
  <c r="CZ61" i="65" s="1"/>
  <c r="CN52" i="65"/>
  <c r="CZ52" i="65" s="1"/>
  <c r="CN78" i="65"/>
  <c r="CN50" i="65"/>
  <c r="CN82" i="65"/>
  <c r="CN66" i="65"/>
  <c r="CN33" i="65"/>
  <c r="CN63" i="65"/>
  <c r="CN67" i="65"/>
  <c r="CZ67" i="65" s="1"/>
  <c r="CN84" i="65"/>
  <c r="CZ84" i="65" s="1"/>
  <c r="CN49" i="65"/>
  <c r="CN81" i="65"/>
  <c r="CN18" i="65"/>
  <c r="CN20" i="65"/>
  <c r="CZ20" i="65" s="1"/>
  <c r="CN79" i="65"/>
  <c r="CN64" i="65"/>
  <c r="CN83" i="65"/>
  <c r="CZ83" i="65" s="1"/>
  <c r="CN68" i="65"/>
  <c r="CZ68" i="65" s="1"/>
  <c r="CN36" i="65"/>
  <c r="CZ36" i="65" s="1"/>
  <c r="CN15" i="65"/>
  <c r="I11" i="65"/>
  <c r="E16" i="53"/>
  <c r="H17" i="53" s="1"/>
  <c r="F16" i="53"/>
  <c r="D44" i="53"/>
  <c r="G45" i="53" s="1"/>
  <c r="I45" i="53" s="1"/>
  <c r="F11" i="65"/>
  <c r="AS11" i="65" s="1"/>
  <c r="EJ42" i="65" s="1"/>
  <c r="V447" i="54"/>
  <c r="V573" i="54"/>
  <c r="V363" i="54"/>
  <c r="V489" i="54"/>
  <c r="V678" i="54"/>
  <c r="V741" i="54"/>
  <c r="V510" i="54"/>
  <c r="V468" i="54"/>
  <c r="V342" i="54"/>
  <c r="V552" i="54"/>
  <c r="V531" i="54"/>
  <c r="V720" i="54"/>
  <c r="V594" i="54"/>
  <c r="V783" i="54"/>
  <c r="V762" i="54"/>
  <c r="V426" i="54"/>
  <c r="V384" i="54"/>
  <c r="V657" i="54"/>
  <c r="V615" i="54"/>
  <c r="V405" i="54"/>
  <c r="V699" i="54"/>
  <c r="V636" i="54"/>
  <c r="CN44" i="65"/>
  <c r="CZ44" i="65" s="1"/>
  <c r="CN26" i="65"/>
  <c r="CN12" i="65"/>
  <c r="CZ12" i="65" s="1"/>
  <c r="CN11" i="65"/>
  <c r="CZ11" i="65" s="1"/>
  <c r="CN38" i="65"/>
  <c r="CN7" i="65"/>
  <c r="CN70" i="65"/>
  <c r="CN25" i="65"/>
  <c r="CN69" i="65"/>
  <c r="CZ69" i="65" s="1"/>
  <c r="CN73" i="65"/>
  <c r="CN56" i="65"/>
  <c r="CN40" i="65"/>
  <c r="CN39" i="65"/>
  <c r="CN37" i="65"/>
  <c r="CZ37" i="65" s="1"/>
  <c r="CN55" i="65"/>
  <c r="CN74" i="65"/>
  <c r="CN21" i="65"/>
  <c r="CZ21" i="65" s="1"/>
  <c r="CN28" i="65"/>
  <c r="CZ28" i="65" s="1"/>
  <c r="CN53" i="65"/>
  <c r="CZ53" i="65" s="1"/>
  <c r="CN54" i="65"/>
  <c r="CN58" i="65"/>
  <c r="CN75" i="65"/>
  <c r="CZ75" i="65" s="1"/>
  <c r="CN10" i="65"/>
  <c r="CN24" i="65"/>
  <c r="CN8" i="65"/>
  <c r="CN22" i="65"/>
  <c r="CN9" i="65"/>
  <c r="CN60" i="65"/>
  <c r="CZ60" i="65" s="1"/>
  <c r="CN6" i="65"/>
  <c r="CN42" i="65"/>
  <c r="CN23" i="65"/>
  <c r="CN41" i="65"/>
  <c r="CN57" i="65"/>
  <c r="CN76" i="65"/>
  <c r="CZ76" i="65" s="1"/>
  <c r="CN71" i="65"/>
  <c r="CN59" i="65"/>
  <c r="CZ59" i="65" s="1"/>
  <c r="CN27" i="65"/>
  <c r="CZ27" i="65" s="1"/>
  <c r="CN72" i="65"/>
  <c r="CN43" i="65"/>
  <c r="CZ43" i="65" s="1"/>
  <c r="CN5" i="65"/>
  <c r="CZ5" i="65" s="1"/>
  <c r="I5" i="65"/>
  <c r="G11" i="65"/>
  <c r="AT11" i="65" s="1"/>
  <c r="EJ43" i="65" s="1"/>
  <c r="X384" i="54"/>
  <c r="X720" i="54"/>
  <c r="X342" i="54"/>
  <c r="X489" i="54"/>
  <c r="X741" i="54"/>
  <c r="X657" i="54"/>
  <c r="X615" i="54"/>
  <c r="X405" i="54"/>
  <c r="X699" i="54"/>
  <c r="X573" i="54"/>
  <c r="X636" i="54"/>
  <c r="X678" i="54"/>
  <c r="X531" i="54"/>
  <c r="X594" i="54"/>
  <c r="X783" i="54"/>
  <c r="X468" i="54"/>
  <c r="X762" i="54"/>
  <c r="X426" i="54"/>
  <c r="X510" i="54"/>
  <c r="X552" i="54"/>
  <c r="X447" i="54"/>
  <c r="X363" i="54"/>
  <c r="X26" i="54"/>
  <c r="X173" i="54"/>
  <c r="X194" i="54"/>
  <c r="X215" i="54"/>
  <c r="X320" i="54"/>
  <c r="X5" i="54"/>
  <c r="X110" i="54"/>
  <c r="X68" i="54"/>
  <c r="X131" i="54"/>
  <c r="X257" i="54"/>
  <c r="X89" i="54"/>
  <c r="X152" i="54"/>
  <c r="X236" i="54"/>
  <c r="X47" i="54"/>
  <c r="X278" i="54"/>
  <c r="X299" i="54"/>
  <c r="F32" i="64"/>
  <c r="F35" i="64"/>
  <c r="F23" i="64"/>
  <c r="F26" i="64"/>
  <c r="F33" i="64"/>
  <c r="F25" i="64"/>
  <c r="F29" i="64"/>
  <c r="F21" i="64"/>
  <c r="F24" i="64"/>
  <c r="F31" i="64"/>
  <c r="F34" i="64"/>
  <c r="F27" i="64"/>
  <c r="F22" i="64"/>
  <c r="F30" i="64"/>
  <c r="F28" i="64"/>
  <c r="F20" i="64"/>
  <c r="Z5" i="54"/>
  <c r="AF5" i="54" s="1"/>
  <c r="AJ5" i="54" s="1"/>
  <c r="F15" i="53"/>
  <c r="L16" i="53" s="1"/>
  <c r="E15" i="53"/>
  <c r="N15" i="53"/>
  <c r="O60" i="66" l="1"/>
  <c r="D60" i="66"/>
  <c r="E32" i="66"/>
  <c r="G33" i="66"/>
  <c r="I33" i="66" s="1"/>
  <c r="F32" i="66"/>
  <c r="L33" i="66" s="1"/>
  <c r="H16" i="53"/>
  <c r="K16" i="53" s="1"/>
  <c r="J17" i="53"/>
  <c r="CK69" i="65"/>
  <c r="CY69" i="65" s="1"/>
  <c r="CK71" i="65"/>
  <c r="CK7" i="65"/>
  <c r="CK73" i="65"/>
  <c r="CK74" i="65"/>
  <c r="CK72" i="65"/>
  <c r="CK21" i="65"/>
  <c r="CY21" i="65" s="1"/>
  <c r="CK70" i="65"/>
  <c r="CK23" i="65"/>
  <c r="CK5" i="65"/>
  <c r="CY5" i="65" s="1"/>
  <c r="CK38" i="65"/>
  <c r="CK9" i="65"/>
  <c r="CK55" i="65"/>
  <c r="CK8" i="65"/>
  <c r="CK22" i="65"/>
  <c r="CK10" i="65"/>
  <c r="CK26" i="65"/>
  <c r="CK43" i="65"/>
  <c r="CY43" i="65" s="1"/>
  <c r="CK75" i="65"/>
  <c r="CY75" i="65" s="1"/>
  <c r="CK27" i="65"/>
  <c r="CY27" i="65" s="1"/>
  <c r="CK40" i="65"/>
  <c r="CK44" i="65"/>
  <c r="CY44" i="65" s="1"/>
  <c r="CK39" i="65"/>
  <c r="CK56" i="65"/>
  <c r="CK60" i="65"/>
  <c r="CY60" i="65" s="1"/>
  <c r="CK76" i="65"/>
  <c r="CY76" i="65" s="1"/>
  <c r="CK53" i="65"/>
  <c r="CY53" i="65" s="1"/>
  <c r="CK42" i="65"/>
  <c r="CK25" i="65"/>
  <c r="CK59" i="65"/>
  <c r="CY59" i="65" s="1"/>
  <c r="CK24" i="65"/>
  <c r="CK54" i="65"/>
  <c r="CK11" i="65"/>
  <c r="CY11" i="65" s="1"/>
  <c r="CK12" i="65"/>
  <c r="CY12" i="65" s="1"/>
  <c r="CK37" i="65"/>
  <c r="CY37" i="65" s="1"/>
  <c r="CK28" i="65"/>
  <c r="CY28" i="65" s="1"/>
  <c r="CK41" i="65"/>
  <c r="CK57" i="65"/>
  <c r="CK6" i="65"/>
  <c r="CK58" i="65"/>
  <c r="M44" i="53"/>
  <c r="N44" i="53" s="1"/>
  <c r="F44" i="53"/>
  <c r="E44" i="53"/>
  <c r="H45" i="53" s="1"/>
  <c r="Z783" i="54"/>
  <c r="AF783" i="54" s="1"/>
  <c r="AJ783" i="54" s="1"/>
  <c r="J45" i="53"/>
  <c r="CK31" i="65"/>
  <c r="CK32" i="65"/>
  <c r="CK50" i="65"/>
  <c r="CK36" i="65"/>
  <c r="CY36" i="65" s="1"/>
  <c r="CK77" i="65"/>
  <c r="CY77" i="65" s="1"/>
  <c r="CK78" i="65"/>
  <c r="CK46" i="65"/>
  <c r="CK17" i="65"/>
  <c r="CK30" i="65"/>
  <c r="CK19" i="65"/>
  <c r="CY19" i="65" s="1"/>
  <c r="CK33" i="65"/>
  <c r="CK13" i="65"/>
  <c r="CY13" i="65" s="1"/>
  <c r="CK82" i="65"/>
  <c r="CK81" i="65"/>
  <c r="CK66" i="65"/>
  <c r="CK65" i="65"/>
  <c r="CK16" i="65"/>
  <c r="CK61" i="65"/>
  <c r="CY61" i="65" s="1"/>
  <c r="CK64" i="65"/>
  <c r="CK18" i="65"/>
  <c r="CK63" i="65"/>
  <c r="CK68" i="65"/>
  <c r="CY68" i="65" s="1"/>
  <c r="CK34" i="65"/>
  <c r="CK35" i="65"/>
  <c r="CY35" i="65" s="1"/>
  <c r="CK48" i="65"/>
  <c r="CK80" i="65"/>
  <c r="CK20" i="65"/>
  <c r="CY20" i="65" s="1"/>
  <c r="CK49" i="65"/>
  <c r="CK84" i="65"/>
  <c r="CY84" i="65" s="1"/>
  <c r="CK29" i="65"/>
  <c r="CY29" i="65" s="1"/>
  <c r="CK62" i="65"/>
  <c r="CK51" i="65"/>
  <c r="CY51" i="65" s="1"/>
  <c r="CK14" i="65"/>
  <c r="CK15" i="65"/>
  <c r="CK83" i="65"/>
  <c r="CY83" i="65" s="1"/>
  <c r="CK67" i="65"/>
  <c r="CY67" i="65" s="1"/>
  <c r="CK45" i="65"/>
  <c r="CY45" i="65" s="1"/>
  <c r="CK79" i="65"/>
  <c r="CK47" i="65"/>
  <c r="CK52" i="65"/>
  <c r="CY52" i="65" s="1"/>
  <c r="CO31" i="65"/>
  <c r="CZ31" i="65" s="1"/>
  <c r="CO13" i="65"/>
  <c r="CO62" i="65"/>
  <c r="CZ62" i="65" s="1"/>
  <c r="CO51" i="65"/>
  <c r="DC51" i="65" s="1"/>
  <c r="CO17" i="65"/>
  <c r="CO46" i="65"/>
  <c r="CZ46" i="65" s="1"/>
  <c r="CO48" i="65"/>
  <c r="CZ48" i="65" s="1"/>
  <c r="CO81" i="65"/>
  <c r="CO67" i="65"/>
  <c r="DC67" i="65" s="1"/>
  <c r="CO66" i="65"/>
  <c r="CO64" i="65"/>
  <c r="CZ64" i="65" s="1"/>
  <c r="CO19" i="65"/>
  <c r="DC19" i="65" s="1"/>
  <c r="CO82" i="65"/>
  <c r="CO79" i="65"/>
  <c r="CZ79" i="65" s="1"/>
  <c r="CO32" i="65"/>
  <c r="CZ32" i="65" s="1"/>
  <c r="CO80" i="65"/>
  <c r="CZ80" i="65" s="1"/>
  <c r="CO65" i="65"/>
  <c r="CO29" i="65"/>
  <c r="CO18" i="65"/>
  <c r="CO68" i="65"/>
  <c r="CO33" i="65"/>
  <c r="CO14" i="65"/>
  <c r="CZ14" i="65" s="1"/>
  <c r="CO61" i="65"/>
  <c r="CO20" i="65"/>
  <c r="CO78" i="65"/>
  <c r="CZ78" i="65" s="1"/>
  <c r="CO15" i="65"/>
  <c r="CZ15" i="65" s="1"/>
  <c r="CO50" i="65"/>
  <c r="CO34" i="65"/>
  <c r="CO35" i="65"/>
  <c r="DC35" i="65" s="1"/>
  <c r="CO52" i="65"/>
  <c r="CO30" i="65"/>
  <c r="CZ30" i="65" s="1"/>
  <c r="CO83" i="65"/>
  <c r="DC83" i="65" s="1"/>
  <c r="CO36" i="65"/>
  <c r="CO49" i="65"/>
  <c r="CO77" i="65"/>
  <c r="CO47" i="65"/>
  <c r="CZ47" i="65" s="1"/>
  <c r="CO84" i="65"/>
  <c r="CO63" i="65"/>
  <c r="CZ63" i="65" s="1"/>
  <c r="CO45" i="65"/>
  <c r="CO16" i="65"/>
  <c r="CZ16" i="65" s="1"/>
  <c r="J11" i="65"/>
  <c r="CP77" i="65"/>
  <c r="CP62" i="65"/>
  <c r="CP19" i="65"/>
  <c r="CP45" i="65"/>
  <c r="CP48" i="65"/>
  <c r="CP13" i="65"/>
  <c r="CP31" i="65"/>
  <c r="DC31" i="65" s="1"/>
  <c r="CP82" i="65"/>
  <c r="CZ82" i="65" s="1"/>
  <c r="CP17" i="65"/>
  <c r="CZ17" i="65" s="1"/>
  <c r="CP34" i="65"/>
  <c r="CZ34" i="65" s="1"/>
  <c r="CP65" i="65"/>
  <c r="CZ65" i="65" s="1"/>
  <c r="CP29" i="65"/>
  <c r="CP46" i="65"/>
  <c r="CP79" i="65"/>
  <c r="DC79" i="65" s="1"/>
  <c r="CP81" i="65"/>
  <c r="CZ81" i="65" s="1"/>
  <c r="CP67" i="65"/>
  <c r="CP83" i="65"/>
  <c r="CP36" i="65"/>
  <c r="DC36" i="65" s="1"/>
  <c r="CP49" i="65"/>
  <c r="CZ49" i="65" s="1"/>
  <c r="CP35" i="65"/>
  <c r="CP52" i="65"/>
  <c r="DC52" i="65" s="1"/>
  <c r="CP84" i="65"/>
  <c r="DC84" i="65" s="1"/>
  <c r="CP80" i="65"/>
  <c r="CP32" i="65"/>
  <c r="CP18" i="65"/>
  <c r="CZ18" i="65" s="1"/>
  <c r="CP20" i="65"/>
  <c r="DC20" i="65" s="1"/>
  <c r="CP63" i="65"/>
  <c r="DC63" i="65" s="1"/>
  <c r="CP16" i="65"/>
  <c r="CP64" i="65"/>
  <c r="CP47" i="65"/>
  <c r="DC47" i="65" s="1"/>
  <c r="CP14" i="65"/>
  <c r="CP30" i="65"/>
  <c r="CP68" i="65"/>
  <c r="DC68" i="65" s="1"/>
  <c r="CP50" i="65"/>
  <c r="CZ50" i="65" s="1"/>
  <c r="CP15" i="65"/>
  <c r="DC15" i="65" s="1"/>
  <c r="CP51" i="65"/>
  <c r="CP33" i="65"/>
  <c r="CZ33" i="65" s="1"/>
  <c r="CP61" i="65"/>
  <c r="CP78" i="65"/>
  <c r="CP66" i="65"/>
  <c r="CZ66" i="65" s="1"/>
  <c r="K11" i="65"/>
  <c r="L17" i="53"/>
  <c r="G5" i="65"/>
  <c r="AT5" i="65" s="1"/>
  <c r="EJ7" i="65" s="1"/>
  <c r="X321" i="54"/>
  <c r="X6" i="54"/>
  <c r="X48" i="54"/>
  <c r="X174" i="54"/>
  <c r="X300" i="54"/>
  <c r="X195" i="54"/>
  <c r="X132" i="54"/>
  <c r="X258" i="54"/>
  <c r="X69" i="54"/>
  <c r="X279" i="54"/>
  <c r="X90" i="54"/>
  <c r="X111" i="54"/>
  <c r="X153" i="54"/>
  <c r="X27" i="54"/>
  <c r="X216" i="54"/>
  <c r="X237" i="54"/>
  <c r="I33" i="64"/>
  <c r="L33" i="64" s="1"/>
  <c r="I25" i="64"/>
  <c r="L25" i="64" s="1"/>
  <c r="I21" i="64"/>
  <c r="L21" i="64" s="1"/>
  <c r="I26" i="64"/>
  <c r="L26" i="64" s="1"/>
  <c r="I29" i="64"/>
  <c r="L29" i="64" s="1"/>
  <c r="I30" i="64"/>
  <c r="L30" i="64" s="1"/>
  <c r="I20" i="64"/>
  <c r="L20" i="64" s="1"/>
  <c r="I22" i="64"/>
  <c r="L22" i="64" s="1"/>
  <c r="I32" i="64"/>
  <c r="L32" i="64" s="1"/>
  <c r="I28" i="64"/>
  <c r="L28" i="64" s="1"/>
  <c r="I24" i="64"/>
  <c r="L24" i="64" s="1"/>
  <c r="I31" i="64"/>
  <c r="L31" i="64" s="1"/>
  <c r="I27" i="64"/>
  <c r="L27" i="64" s="1"/>
  <c r="I34" i="64"/>
  <c r="L34" i="64" s="1"/>
  <c r="I23" i="64"/>
  <c r="L23" i="64" s="1"/>
  <c r="I35" i="64"/>
  <c r="L35" i="64" s="1"/>
  <c r="AD25" i="54"/>
  <c r="AH25" i="54" s="1"/>
  <c r="AL25" i="54" s="1"/>
  <c r="H29" i="64"/>
  <c r="K29" i="64" s="1"/>
  <c r="H21" i="64"/>
  <c r="K21" i="64" s="1"/>
  <c r="H26" i="64"/>
  <c r="K26" i="64" s="1"/>
  <c r="H33" i="64"/>
  <c r="K33" i="64" s="1"/>
  <c r="H25" i="64"/>
  <c r="K25" i="64" s="1"/>
  <c r="H32" i="64"/>
  <c r="K32" i="64" s="1"/>
  <c r="H28" i="64"/>
  <c r="K28" i="64" s="1"/>
  <c r="H31" i="64"/>
  <c r="K31" i="64" s="1"/>
  <c r="H27" i="64"/>
  <c r="K27" i="64" s="1"/>
  <c r="H20" i="64"/>
  <c r="K20" i="64" s="1"/>
  <c r="H24" i="64"/>
  <c r="K24" i="64" s="1"/>
  <c r="H34" i="64"/>
  <c r="K34" i="64" s="1"/>
  <c r="H23" i="64"/>
  <c r="K23" i="64" s="1"/>
  <c r="H30" i="64"/>
  <c r="K30" i="64" s="1"/>
  <c r="H22" i="64"/>
  <c r="K22" i="64" s="1"/>
  <c r="H35" i="64"/>
  <c r="K35" i="64" s="1"/>
  <c r="AB25" i="54"/>
  <c r="AG25" i="54" s="1"/>
  <c r="AK25" i="54" s="1"/>
  <c r="AB5" i="54"/>
  <c r="AG5" i="54" s="1"/>
  <c r="AK5" i="54" s="1"/>
  <c r="AD5" i="54"/>
  <c r="AH5" i="54" s="1"/>
  <c r="AL5" i="54" s="1"/>
  <c r="N17" i="53"/>
  <c r="H33" i="66" l="1"/>
  <c r="K33" i="66" s="1"/>
  <c r="F60" i="66"/>
  <c r="M60" i="66"/>
  <c r="N60" i="66" s="1"/>
  <c r="E60" i="66"/>
  <c r="G61" i="66"/>
  <c r="J33" i="66"/>
  <c r="O16" i="53"/>
  <c r="F5" i="65"/>
  <c r="AS5" i="65" s="1"/>
  <c r="EJ6" i="65" s="1"/>
  <c r="V69" i="54"/>
  <c r="V48" i="54"/>
  <c r="V216" i="54"/>
  <c r="V27" i="54"/>
  <c r="V321" i="54"/>
  <c r="V6" i="54"/>
  <c r="V279" i="54"/>
  <c r="V90" i="54"/>
  <c r="V111" i="54"/>
  <c r="V153" i="54"/>
  <c r="V237" i="54"/>
  <c r="V258" i="54"/>
  <c r="V300" i="54"/>
  <c r="V195" i="54"/>
  <c r="V132" i="54"/>
  <c r="V174" i="54"/>
  <c r="T322" i="54"/>
  <c r="T70" i="54"/>
  <c r="T238" i="54"/>
  <c r="T259" i="54"/>
  <c r="T301" i="54"/>
  <c r="T196" i="54"/>
  <c r="T49" i="54"/>
  <c r="T133" i="54"/>
  <c r="T91" i="54"/>
  <c r="T280" i="54"/>
  <c r="AI5" i="65"/>
  <c r="DS5" i="65" s="1"/>
  <c r="T154" i="54"/>
  <c r="T7" i="54"/>
  <c r="T217" i="54"/>
  <c r="T28" i="54"/>
  <c r="D17" i="53"/>
  <c r="T112" i="54"/>
  <c r="T175" i="54"/>
  <c r="AB783" i="54"/>
  <c r="AG783" i="54" s="1"/>
  <c r="AK783" i="54" s="1"/>
  <c r="K45" i="53"/>
  <c r="O45" i="53" s="1"/>
  <c r="CM13" i="65"/>
  <c r="CM83" i="65"/>
  <c r="CM81" i="65"/>
  <c r="CY81" i="65" s="1"/>
  <c r="CM17" i="65"/>
  <c r="CY17" i="65" s="1"/>
  <c r="CM18" i="65"/>
  <c r="CY18" i="65" s="1"/>
  <c r="CM14" i="65"/>
  <c r="CM68" i="65"/>
  <c r="DB68" i="65" s="1"/>
  <c r="CM35" i="65"/>
  <c r="CM82" i="65"/>
  <c r="CY82" i="65" s="1"/>
  <c r="CM33" i="65"/>
  <c r="CY33" i="65" s="1"/>
  <c r="CM36" i="65"/>
  <c r="DB36" i="65" s="1"/>
  <c r="CM63" i="65"/>
  <c r="DB63" i="65" s="1"/>
  <c r="CM61" i="65"/>
  <c r="CM84" i="65"/>
  <c r="DB84" i="65" s="1"/>
  <c r="CM45" i="65"/>
  <c r="CM16" i="65"/>
  <c r="CM65" i="65"/>
  <c r="CY65" i="65" s="1"/>
  <c r="CM49" i="65"/>
  <c r="CY49" i="65" s="1"/>
  <c r="CM32" i="65"/>
  <c r="CM77" i="65"/>
  <c r="CM62" i="65"/>
  <c r="CM67" i="65"/>
  <c r="CM78" i="65"/>
  <c r="CM79" i="65"/>
  <c r="DB79" i="65" s="1"/>
  <c r="CM20" i="65"/>
  <c r="DB20" i="65" s="1"/>
  <c r="CM50" i="65"/>
  <c r="CY50" i="65" s="1"/>
  <c r="CM30" i="65"/>
  <c r="CM19" i="65"/>
  <c r="CM66" i="65"/>
  <c r="CY66" i="65" s="1"/>
  <c r="CM47" i="65"/>
  <c r="DB47" i="65" s="1"/>
  <c r="CM31" i="65"/>
  <c r="DB31" i="65" s="1"/>
  <c r="CM80" i="65"/>
  <c r="CM15" i="65"/>
  <c r="DB15" i="65" s="1"/>
  <c r="CM29" i="65"/>
  <c r="CM34" i="65"/>
  <c r="CY34" i="65" s="1"/>
  <c r="CM46" i="65"/>
  <c r="CM64" i="65"/>
  <c r="CM51" i="65"/>
  <c r="CM52" i="65"/>
  <c r="DB52" i="65" s="1"/>
  <c r="CM48" i="65"/>
  <c r="CL32" i="65"/>
  <c r="CY32" i="65" s="1"/>
  <c r="CL29" i="65"/>
  <c r="CL17" i="65"/>
  <c r="CL19" i="65"/>
  <c r="DB19" i="65" s="1"/>
  <c r="CL46" i="65"/>
  <c r="CY46" i="65" s="1"/>
  <c r="CL15" i="65"/>
  <c r="CY15" i="65" s="1"/>
  <c r="CL30" i="65"/>
  <c r="CY30" i="65" s="1"/>
  <c r="CL48" i="65"/>
  <c r="CY48" i="65" s="1"/>
  <c r="CL61" i="65"/>
  <c r="CL49" i="65"/>
  <c r="CL50" i="65"/>
  <c r="CL13" i="65"/>
  <c r="CL62" i="65"/>
  <c r="CY62" i="65" s="1"/>
  <c r="CL51" i="65"/>
  <c r="DB51" i="65" s="1"/>
  <c r="CL82" i="65"/>
  <c r="CL64" i="65"/>
  <c r="CY64" i="65" s="1"/>
  <c r="CL35" i="65"/>
  <c r="DB35" i="65" s="1"/>
  <c r="CL79" i="65"/>
  <c r="CY79" i="65" s="1"/>
  <c r="CL83" i="65"/>
  <c r="DB83" i="65" s="1"/>
  <c r="CL78" i="65"/>
  <c r="CY78" i="65" s="1"/>
  <c r="CL67" i="65"/>
  <c r="DB67" i="65" s="1"/>
  <c r="CL77" i="65"/>
  <c r="CL18" i="65"/>
  <c r="CL68" i="65"/>
  <c r="CL52" i="65"/>
  <c r="CL63" i="65"/>
  <c r="CY63" i="65" s="1"/>
  <c r="CL80" i="65"/>
  <c r="CY80" i="65" s="1"/>
  <c r="CL81" i="65"/>
  <c r="CL34" i="65"/>
  <c r="CL84" i="65"/>
  <c r="CL20" i="65"/>
  <c r="CL36" i="65"/>
  <c r="CL45" i="65"/>
  <c r="CL33" i="65"/>
  <c r="CL65" i="65"/>
  <c r="CL31" i="65"/>
  <c r="CY31" i="65" s="1"/>
  <c r="CL66" i="65"/>
  <c r="CL14" i="65"/>
  <c r="CY14" i="65" s="1"/>
  <c r="CL16" i="65"/>
  <c r="CY16" i="65" s="1"/>
  <c r="CL47" i="65"/>
  <c r="CY47" i="65" s="1"/>
  <c r="K17" i="53"/>
  <c r="O17" i="53" s="1"/>
  <c r="AD783" i="54"/>
  <c r="AH783" i="54" s="1"/>
  <c r="AL783" i="54" s="1"/>
  <c r="L45" i="53"/>
  <c r="AI11" i="65"/>
  <c r="DZ5" i="65" s="1"/>
  <c r="T406" i="54"/>
  <c r="T616" i="54"/>
  <c r="T700" i="54"/>
  <c r="T784" i="54"/>
  <c r="T343" i="54"/>
  <c r="T364" i="54"/>
  <c r="T637" i="54"/>
  <c r="T595" i="54"/>
  <c r="T469" i="54"/>
  <c r="T448" i="54"/>
  <c r="T763" i="54"/>
  <c r="T658" i="54"/>
  <c r="T490" i="54"/>
  <c r="T574" i="54"/>
  <c r="T532" i="54"/>
  <c r="T679" i="54"/>
  <c r="T511" i="54"/>
  <c r="T553" i="54"/>
  <c r="T742" i="54"/>
  <c r="T385" i="54"/>
  <c r="T427" i="54"/>
  <c r="T721" i="54"/>
  <c r="CP44" i="65"/>
  <c r="DC44" i="65" s="1"/>
  <c r="CP23" i="65"/>
  <c r="DC23" i="65" s="1"/>
  <c r="CP22" i="65"/>
  <c r="CP71" i="65"/>
  <c r="DC71" i="65" s="1"/>
  <c r="CP60" i="65"/>
  <c r="DC60" i="65" s="1"/>
  <c r="CP41" i="65"/>
  <c r="CZ41" i="65" s="1"/>
  <c r="CP57" i="65"/>
  <c r="CZ57" i="65" s="1"/>
  <c r="CP38" i="65"/>
  <c r="CP7" i="65"/>
  <c r="DC7" i="65" s="1"/>
  <c r="CP25" i="65"/>
  <c r="CZ25" i="65" s="1"/>
  <c r="CP73" i="65"/>
  <c r="CZ73" i="65" s="1"/>
  <c r="CP24" i="65"/>
  <c r="CP56" i="65"/>
  <c r="CP72" i="65"/>
  <c r="CP69" i="65"/>
  <c r="CP28" i="65"/>
  <c r="DC28" i="65" s="1"/>
  <c r="CP53" i="65"/>
  <c r="CP55" i="65"/>
  <c r="DC55" i="65" s="1"/>
  <c r="CP10" i="65"/>
  <c r="CZ10" i="65" s="1"/>
  <c r="CP27" i="65"/>
  <c r="CP42" i="65"/>
  <c r="CZ42" i="65" s="1"/>
  <c r="CP11" i="65"/>
  <c r="CP74" i="65"/>
  <c r="CZ74" i="65" s="1"/>
  <c r="CP21" i="65"/>
  <c r="CP70" i="65"/>
  <c r="CP39" i="65"/>
  <c r="DC39" i="65" s="1"/>
  <c r="CP37" i="65"/>
  <c r="CP8" i="65"/>
  <c r="CP54" i="65"/>
  <c r="CP5" i="65"/>
  <c r="CP26" i="65"/>
  <c r="CZ26" i="65" s="1"/>
  <c r="CP12" i="65"/>
  <c r="DC12" i="65" s="1"/>
  <c r="CP40" i="65"/>
  <c r="CP76" i="65"/>
  <c r="DC76" i="65" s="1"/>
  <c r="CP9" i="65"/>
  <c r="CZ9" i="65" s="1"/>
  <c r="CP58" i="65"/>
  <c r="CZ58" i="65" s="1"/>
  <c r="CP6" i="65"/>
  <c r="CP75" i="65"/>
  <c r="CP59" i="65"/>
  <c r="CP43" i="65"/>
  <c r="K5" i="65"/>
  <c r="AJ5" i="65"/>
  <c r="DS6" i="65" s="1"/>
  <c r="X259" i="54"/>
  <c r="X154" i="54"/>
  <c r="X70" i="54"/>
  <c r="X301" i="54"/>
  <c r="X112" i="54"/>
  <c r="X133" i="54"/>
  <c r="X91" i="54"/>
  <c r="X280" i="54"/>
  <c r="X196" i="54"/>
  <c r="X28" i="54"/>
  <c r="X7" i="54"/>
  <c r="X322" i="54"/>
  <c r="X217" i="54"/>
  <c r="X175" i="54"/>
  <c r="X238" i="54"/>
  <c r="X49" i="54"/>
  <c r="D41" i="64"/>
  <c r="D43" i="64"/>
  <c r="D38" i="64"/>
  <c r="D46" i="64"/>
  <c r="D36" i="64"/>
  <c r="D45" i="64"/>
  <c r="D37" i="64"/>
  <c r="D44" i="64"/>
  <c r="D40" i="64"/>
  <c r="D42" i="64"/>
  <c r="D39" i="64"/>
  <c r="F43" i="64"/>
  <c r="F38" i="64"/>
  <c r="F39" i="64"/>
  <c r="F45" i="64"/>
  <c r="F37" i="64"/>
  <c r="F42" i="64"/>
  <c r="F46" i="64"/>
  <c r="F44" i="64"/>
  <c r="F40" i="64"/>
  <c r="F41" i="64"/>
  <c r="F36" i="64"/>
  <c r="E40" i="64"/>
  <c r="E46" i="64"/>
  <c r="E38" i="64"/>
  <c r="E43" i="64"/>
  <c r="E39" i="64"/>
  <c r="E42" i="64"/>
  <c r="E36" i="64"/>
  <c r="E45" i="64"/>
  <c r="E41" i="64"/>
  <c r="E37" i="64"/>
  <c r="E44" i="64"/>
  <c r="Z6" i="54"/>
  <c r="AF6" i="54" s="1"/>
  <c r="AJ6" i="54" s="1"/>
  <c r="N18" i="53"/>
  <c r="J5" i="65" l="1"/>
  <c r="CL8" i="65" s="1"/>
  <c r="CY8" i="65" s="1"/>
  <c r="CO22" i="65"/>
  <c r="CZ22" i="65" s="1"/>
  <c r="O33" i="66"/>
  <c r="D33" i="66"/>
  <c r="I61" i="66"/>
  <c r="L61" i="66" s="1"/>
  <c r="J61" i="66"/>
  <c r="H61" i="66"/>
  <c r="K61" i="66" s="1"/>
  <c r="CO59" i="65"/>
  <c r="DC59" i="65" s="1"/>
  <c r="CO10" i="65"/>
  <c r="CO76" i="65"/>
  <c r="CO8" i="65"/>
  <c r="CZ8" i="65" s="1"/>
  <c r="CO41" i="65"/>
  <c r="CO71" i="65"/>
  <c r="CZ71" i="65" s="1"/>
  <c r="CO5" i="65"/>
  <c r="CO53" i="65"/>
  <c r="CO55" i="65"/>
  <c r="CZ55" i="65" s="1"/>
  <c r="CO57" i="65"/>
  <c r="CO54" i="65"/>
  <c r="CZ54" i="65" s="1"/>
  <c r="CO11" i="65"/>
  <c r="DC11" i="65" s="1"/>
  <c r="CO27" i="65"/>
  <c r="DC27" i="65" s="1"/>
  <c r="CO73" i="65"/>
  <c r="CO74" i="65"/>
  <c r="CO6" i="65"/>
  <c r="CZ6" i="65" s="1"/>
  <c r="CO60" i="65"/>
  <c r="CO69" i="65"/>
  <c r="CO24" i="65"/>
  <c r="CZ24" i="65" s="1"/>
  <c r="CO39" i="65"/>
  <c r="CZ39" i="65" s="1"/>
  <c r="CO40" i="65"/>
  <c r="CZ40" i="65" s="1"/>
  <c r="CO70" i="65"/>
  <c r="CZ70" i="65" s="1"/>
  <c r="CO38" i="65"/>
  <c r="CZ38" i="65" s="1"/>
  <c r="CO25" i="65"/>
  <c r="CO12" i="65"/>
  <c r="CO56" i="65"/>
  <c r="CZ56" i="65" s="1"/>
  <c r="CO26" i="65"/>
  <c r="CO72" i="65"/>
  <c r="CZ72" i="65" s="1"/>
  <c r="CO23" i="65"/>
  <c r="CZ23" i="65" s="1"/>
  <c r="CO43" i="65"/>
  <c r="DC43" i="65" s="1"/>
  <c r="CO42" i="65"/>
  <c r="CO58" i="65"/>
  <c r="CO75" i="65"/>
  <c r="DC75" i="65" s="1"/>
  <c r="CO9" i="65"/>
  <c r="CO21" i="65"/>
  <c r="CO37" i="65"/>
  <c r="CO28" i="65"/>
  <c r="CO7" i="65"/>
  <c r="CZ7" i="65" s="1"/>
  <c r="CO44" i="65"/>
  <c r="G18" i="53"/>
  <c r="I18" i="53" s="1"/>
  <c r="E17" i="53"/>
  <c r="H18" i="53" s="1"/>
  <c r="D45" i="53"/>
  <c r="F17" i="53"/>
  <c r="J18" i="53"/>
  <c r="E6" i="65" s="1"/>
  <c r="CN140" i="65" s="1"/>
  <c r="CZ140" i="65" s="1"/>
  <c r="AJ11" i="65"/>
  <c r="DZ6" i="65" s="1"/>
  <c r="X742" i="54"/>
  <c r="X385" i="54"/>
  <c r="X427" i="54"/>
  <c r="X721" i="54"/>
  <c r="X763" i="54"/>
  <c r="X490" i="54"/>
  <c r="X700" i="54"/>
  <c r="X784" i="54"/>
  <c r="X679" i="54"/>
  <c r="X469" i="54"/>
  <c r="X637" i="54"/>
  <c r="X448" i="54"/>
  <c r="X511" i="54"/>
  <c r="X532" i="54"/>
  <c r="X406" i="54"/>
  <c r="X616" i="54"/>
  <c r="X343" i="54"/>
  <c r="X364" i="54"/>
  <c r="X574" i="54"/>
  <c r="X595" i="54"/>
  <c r="X658" i="54"/>
  <c r="X553" i="54"/>
  <c r="CL37" i="65"/>
  <c r="CL23" i="65"/>
  <c r="CY23" i="65" s="1"/>
  <c r="CL7" i="65"/>
  <c r="CY7" i="65" s="1"/>
  <c r="CL75" i="65"/>
  <c r="DB75" i="65" s="1"/>
  <c r="CL21" i="65"/>
  <c r="CL57" i="65"/>
  <c r="CL60" i="65"/>
  <c r="CL27" i="65"/>
  <c r="DB27" i="65" s="1"/>
  <c r="CL53" i="65"/>
  <c r="CL9" i="65"/>
  <c r="CL25" i="65"/>
  <c r="CL69" i="65"/>
  <c r="CL44" i="65"/>
  <c r="CL5" i="65"/>
  <c r="CL11" i="65"/>
  <c r="DB11" i="65" s="1"/>
  <c r="CL6" i="65"/>
  <c r="CY6" i="65" s="1"/>
  <c r="CL12" i="65"/>
  <c r="CL74" i="65"/>
  <c r="CL73" i="65"/>
  <c r="CL72" i="65"/>
  <c r="CY72" i="65" s="1"/>
  <c r="CN138" i="65"/>
  <c r="V301" i="54"/>
  <c r="V91" i="54"/>
  <c r="V280" i="54"/>
  <c r="V70" i="54"/>
  <c r="V238" i="54"/>
  <c r="V49" i="54"/>
  <c r="V28" i="54"/>
  <c r="V175" i="54"/>
  <c r="V259" i="54"/>
  <c r="V112" i="54"/>
  <c r="V322" i="54"/>
  <c r="V196" i="54"/>
  <c r="V154" i="54"/>
  <c r="V133" i="54"/>
  <c r="V7" i="54"/>
  <c r="V217" i="54"/>
  <c r="V511" i="54"/>
  <c r="V679" i="54"/>
  <c r="V553" i="54"/>
  <c r="V469" i="54"/>
  <c r="V448" i="54"/>
  <c r="V427" i="54"/>
  <c r="V406" i="54"/>
  <c r="V616" i="54"/>
  <c r="V343" i="54"/>
  <c r="V364" i="54"/>
  <c r="V595" i="54"/>
  <c r="V574" i="54"/>
  <c r="V742" i="54"/>
  <c r="V763" i="54"/>
  <c r="V658" i="54"/>
  <c r="V700" i="54"/>
  <c r="V784" i="54"/>
  <c r="V490" i="54"/>
  <c r="V532" i="54"/>
  <c r="V637" i="54"/>
  <c r="V385" i="54"/>
  <c r="V721" i="54"/>
  <c r="CM9" i="65"/>
  <c r="CY9" i="65" s="1"/>
  <c r="CM75" i="65"/>
  <c r="CM76" i="65"/>
  <c r="DB76" i="65" s="1"/>
  <c r="CM21" i="65"/>
  <c r="CM10" i="65"/>
  <c r="CY10" i="65" s="1"/>
  <c r="CM28" i="65"/>
  <c r="DB28" i="65" s="1"/>
  <c r="CM44" i="65"/>
  <c r="DB44" i="65" s="1"/>
  <c r="CM59" i="65"/>
  <c r="CM54" i="65"/>
  <c r="CM42" i="65"/>
  <c r="CY42" i="65" s="1"/>
  <c r="CM41" i="65"/>
  <c r="CY41" i="65" s="1"/>
  <c r="CM58" i="65"/>
  <c r="CY58" i="65" s="1"/>
  <c r="CM70" i="65"/>
  <c r="CM53" i="65"/>
  <c r="CM69" i="65"/>
  <c r="CM12" i="65"/>
  <c r="DB12" i="65" s="1"/>
  <c r="CM25" i="65"/>
  <c r="CY25" i="65" s="1"/>
  <c r="CM26" i="65"/>
  <c r="CY26" i="65" s="1"/>
  <c r="CM60" i="65"/>
  <c r="DB60" i="65" s="1"/>
  <c r="CM37" i="65"/>
  <c r="CM11" i="65"/>
  <c r="CM40" i="65"/>
  <c r="CM71" i="65"/>
  <c r="DB71" i="65" s="1"/>
  <c r="CM23" i="65"/>
  <c r="DB23" i="65" s="1"/>
  <c r="CM56" i="65"/>
  <c r="CM39" i="65"/>
  <c r="DB39" i="65" s="1"/>
  <c r="CM57" i="65"/>
  <c r="CY57" i="65" s="1"/>
  <c r="CM8" i="65"/>
  <c r="CM72" i="65"/>
  <c r="CM6" i="65"/>
  <c r="CM43" i="65"/>
  <c r="CM22" i="65"/>
  <c r="CM74" i="65"/>
  <c r="CY74" i="65" s="1"/>
  <c r="CM55" i="65"/>
  <c r="DB55" i="65" s="1"/>
  <c r="CM38" i="65"/>
  <c r="CM24" i="65"/>
  <c r="CM27" i="65"/>
  <c r="CM73" i="65"/>
  <c r="CY73" i="65" s="1"/>
  <c r="CM7" i="65"/>
  <c r="DB7" i="65" s="1"/>
  <c r="CM5" i="65"/>
  <c r="T8" i="54"/>
  <c r="T92" i="54"/>
  <c r="T302" i="54"/>
  <c r="T197" i="54"/>
  <c r="D18" i="53"/>
  <c r="G19" i="53" s="1"/>
  <c r="Y37" i="64"/>
  <c r="Y46" i="64"/>
  <c r="Z42" i="64"/>
  <c r="Z46" i="64"/>
  <c r="X38" i="64"/>
  <c r="X42" i="64"/>
  <c r="Y38" i="64"/>
  <c r="Y40" i="64"/>
  <c r="Z36" i="64"/>
  <c r="Y42" i="64"/>
  <c r="Y44" i="64"/>
  <c r="X40" i="64"/>
  <c r="Z41" i="64"/>
  <c r="Z38" i="64"/>
  <c r="Z44" i="64"/>
  <c r="Y36" i="64"/>
  <c r="X43" i="64"/>
  <c r="Y39" i="64"/>
  <c r="X41" i="64"/>
  <c r="X44" i="64"/>
  <c r="X36" i="64"/>
  <c r="Y43" i="64"/>
  <c r="Z39" i="64"/>
  <c r="Z45" i="64"/>
  <c r="Z37" i="64"/>
  <c r="X39" i="64"/>
  <c r="Y45" i="64"/>
  <c r="X46" i="64"/>
  <c r="Z40" i="64"/>
  <c r="Z43" i="64"/>
  <c r="X45" i="64"/>
  <c r="X37" i="64"/>
  <c r="Y41" i="64"/>
  <c r="Z466" i="54"/>
  <c r="AF466" i="54" s="1"/>
  <c r="AJ466" i="54" s="1"/>
  <c r="G38" i="64"/>
  <c r="J38" i="64" s="1"/>
  <c r="G41" i="64"/>
  <c r="J41" i="64" s="1"/>
  <c r="G45" i="64"/>
  <c r="J45" i="64" s="1"/>
  <c r="G37" i="64"/>
  <c r="J37" i="64" s="1"/>
  <c r="G44" i="64"/>
  <c r="J44" i="64" s="1"/>
  <c r="G42" i="64"/>
  <c r="J42" i="64" s="1"/>
  <c r="G46" i="64"/>
  <c r="J46" i="64" s="1"/>
  <c r="G40" i="64"/>
  <c r="J40" i="64" s="1"/>
  <c r="G36" i="64"/>
  <c r="J36" i="64" s="1"/>
  <c r="G39" i="64"/>
  <c r="J39" i="64" s="1"/>
  <c r="G43" i="64"/>
  <c r="J43" i="64" s="1"/>
  <c r="Z46" i="54"/>
  <c r="AF46" i="54" s="1"/>
  <c r="AJ46" i="54" s="1"/>
  <c r="Z26" i="54"/>
  <c r="AF26" i="54" s="1"/>
  <c r="AJ26" i="54" s="1"/>
  <c r="I37" i="64"/>
  <c r="L37" i="64" s="1"/>
  <c r="I38" i="64"/>
  <c r="L38" i="64" s="1"/>
  <c r="I41" i="64"/>
  <c r="L41" i="64" s="1"/>
  <c r="I40" i="64"/>
  <c r="L40" i="64" s="1"/>
  <c r="I36" i="64"/>
  <c r="L36" i="64" s="1"/>
  <c r="I45" i="64"/>
  <c r="L45" i="64" s="1"/>
  <c r="I39" i="64"/>
  <c r="I42" i="64"/>
  <c r="L42" i="64" s="1"/>
  <c r="I43" i="64"/>
  <c r="L43" i="64" s="1"/>
  <c r="I46" i="64"/>
  <c r="L46" i="64" s="1"/>
  <c r="I44" i="64"/>
  <c r="L44" i="64" s="1"/>
  <c r="AD46" i="54"/>
  <c r="AH46" i="54" s="1"/>
  <c r="AL46" i="54" s="1"/>
  <c r="AD26" i="54"/>
  <c r="AH26" i="54" s="1"/>
  <c r="AL26" i="54" s="1"/>
  <c r="H37" i="64"/>
  <c r="K37" i="64" s="1"/>
  <c r="H38" i="64"/>
  <c r="K38" i="64" s="1"/>
  <c r="H41" i="64"/>
  <c r="K41" i="64" s="1"/>
  <c r="H45" i="64"/>
  <c r="K45" i="64" s="1"/>
  <c r="H42" i="64"/>
  <c r="K42" i="64" s="1"/>
  <c r="H43" i="64"/>
  <c r="K43" i="64" s="1"/>
  <c r="H46" i="64"/>
  <c r="K46" i="64" s="1"/>
  <c r="H44" i="64"/>
  <c r="K44" i="64" s="1"/>
  <c r="H36" i="64"/>
  <c r="K36" i="64" s="1"/>
  <c r="H40" i="64"/>
  <c r="K40" i="64" s="1"/>
  <c r="H39" i="64"/>
  <c r="K39" i="64" s="1"/>
  <c r="AB46" i="54"/>
  <c r="AG46" i="54" s="1"/>
  <c r="AK46" i="54" s="1"/>
  <c r="AB26" i="54"/>
  <c r="AG26" i="54" s="1"/>
  <c r="AK26" i="54" s="1"/>
  <c r="L39" i="64"/>
  <c r="Z384" i="54"/>
  <c r="AF384" i="54" s="1"/>
  <c r="Z426" i="54"/>
  <c r="AF426" i="54" s="1"/>
  <c r="AB6" i="54"/>
  <c r="AG6" i="54" s="1"/>
  <c r="AK6" i="54" s="1"/>
  <c r="AD6" i="54"/>
  <c r="AH6" i="54" s="1"/>
  <c r="AL6" i="54" s="1"/>
  <c r="AD466" i="54"/>
  <c r="AH466" i="54" s="1"/>
  <c r="AL466" i="54" s="1"/>
  <c r="AB466" i="54"/>
  <c r="AG466" i="54" s="1"/>
  <c r="AK466" i="54" s="1"/>
  <c r="N19" i="53"/>
  <c r="CL56" i="65" l="1"/>
  <c r="CY56" i="65" s="1"/>
  <c r="CL24" i="65"/>
  <c r="CY24" i="65" s="1"/>
  <c r="CL76" i="65"/>
  <c r="CL38" i="65"/>
  <c r="CY38" i="65" s="1"/>
  <c r="CL42" i="65"/>
  <c r="CL40" i="65"/>
  <c r="CY40" i="65" s="1"/>
  <c r="CL41" i="65"/>
  <c r="CL59" i="65"/>
  <c r="DB59" i="65" s="1"/>
  <c r="CL70" i="65"/>
  <c r="CY70" i="65" s="1"/>
  <c r="CL28" i="65"/>
  <c r="CL71" i="65"/>
  <c r="CY71" i="65" s="1"/>
  <c r="CL39" i="65"/>
  <c r="CY39" i="65" s="1"/>
  <c r="CL43" i="65"/>
  <c r="DB43" i="65" s="1"/>
  <c r="CL26" i="65"/>
  <c r="CL58" i="65"/>
  <c r="CL55" i="65"/>
  <c r="CY55" i="65" s="1"/>
  <c r="CL22" i="65"/>
  <c r="CY22" i="65" s="1"/>
  <c r="CL54" i="65"/>
  <c r="CY54" i="65" s="1"/>
  <c r="CL10" i="65"/>
  <c r="O61" i="66"/>
  <c r="E33" i="66"/>
  <c r="G34" i="66"/>
  <c r="I34" i="66" s="1"/>
  <c r="F33" i="66"/>
  <c r="L34" i="66" s="1"/>
  <c r="D61" i="66"/>
  <c r="J34" i="66"/>
  <c r="CN106" i="65"/>
  <c r="CN103" i="65"/>
  <c r="CN121" i="65"/>
  <c r="CN158" i="65"/>
  <c r="AR6" i="65"/>
  <c r="EJ11" i="65" s="1"/>
  <c r="CN119" i="65"/>
  <c r="CN124" i="65"/>
  <c r="CZ124" i="65" s="1"/>
  <c r="CN135" i="65"/>
  <c r="CN151" i="65"/>
  <c r="CN88" i="65"/>
  <c r="K18" i="53"/>
  <c r="O18" i="53" s="1"/>
  <c r="T176" i="54"/>
  <c r="T71" i="54"/>
  <c r="CN101" i="65"/>
  <c r="CZ101" i="65" s="1"/>
  <c r="CN91" i="65"/>
  <c r="CZ91" i="65" s="1"/>
  <c r="CN157" i="65"/>
  <c r="CZ157" i="65" s="1"/>
  <c r="CN90" i="65"/>
  <c r="CN133" i="65"/>
  <c r="CZ133" i="65" s="1"/>
  <c r="T323" i="54"/>
  <c r="T50" i="54"/>
  <c r="CN92" i="65"/>
  <c r="CZ92" i="65" s="1"/>
  <c r="CN149" i="65"/>
  <c r="CZ149" i="65" s="1"/>
  <c r="CN89" i="65"/>
  <c r="CN105" i="65"/>
  <c r="CN136" i="65"/>
  <c r="V113" i="54"/>
  <c r="V29" i="54"/>
  <c r="V281" i="54"/>
  <c r="T281" i="54"/>
  <c r="T239" i="54"/>
  <c r="T218" i="54"/>
  <c r="T113" i="54"/>
  <c r="CN102" i="65"/>
  <c r="CN134" i="65"/>
  <c r="CN152" i="65"/>
  <c r="CN85" i="65"/>
  <c r="CZ85" i="65" s="1"/>
  <c r="CN122" i="65"/>
  <c r="CN160" i="65"/>
  <c r="CN118" i="65"/>
  <c r="CN137" i="65"/>
  <c r="CN150" i="65"/>
  <c r="CN87" i="65"/>
  <c r="L18" i="53"/>
  <c r="G6" i="65" s="1"/>
  <c r="V92" i="54"/>
  <c r="V218" i="54"/>
  <c r="T260" i="54"/>
  <c r="T155" i="54"/>
  <c r="T134" i="54"/>
  <c r="T29" i="54"/>
  <c r="CN123" i="65"/>
  <c r="CZ123" i="65" s="1"/>
  <c r="CN108" i="65"/>
  <c r="CZ108" i="65" s="1"/>
  <c r="CN120" i="65"/>
  <c r="CN104" i="65"/>
  <c r="CN139" i="65"/>
  <c r="CZ139" i="65" s="1"/>
  <c r="CN117" i="65"/>
  <c r="CZ117" i="65" s="1"/>
  <c r="CN107" i="65"/>
  <c r="CZ107" i="65" s="1"/>
  <c r="CN159" i="65"/>
  <c r="CN86" i="65"/>
  <c r="X176" i="54"/>
  <c r="F45" i="53"/>
  <c r="G46" i="53"/>
  <c r="E45" i="53"/>
  <c r="M45" i="53"/>
  <c r="N45" i="53" s="1"/>
  <c r="Z784" i="54"/>
  <c r="AF784" i="54" s="1"/>
  <c r="AJ784" i="54" s="1"/>
  <c r="I6" i="65"/>
  <c r="D46" i="53"/>
  <c r="E18" i="53"/>
  <c r="H19" i="53" s="1"/>
  <c r="J19" i="53"/>
  <c r="AI6" i="65" s="1"/>
  <c r="DS9" i="65" s="1"/>
  <c r="F18" i="53"/>
  <c r="D49" i="64"/>
  <c r="D57" i="64"/>
  <c r="D51" i="64"/>
  <c r="D50" i="64"/>
  <c r="D56" i="64"/>
  <c r="D52" i="64"/>
  <c r="D47" i="64"/>
  <c r="D48" i="64"/>
  <c r="D54" i="64"/>
  <c r="D53" i="64"/>
  <c r="D55" i="64"/>
  <c r="F51" i="64"/>
  <c r="F55" i="64"/>
  <c r="F53" i="64"/>
  <c r="F47" i="64"/>
  <c r="F50" i="64"/>
  <c r="F52" i="64"/>
  <c r="F48" i="64"/>
  <c r="F57" i="64"/>
  <c r="F56" i="64"/>
  <c r="F54" i="64"/>
  <c r="F49" i="64"/>
  <c r="E54" i="64"/>
  <c r="E57" i="64"/>
  <c r="E53" i="64"/>
  <c r="E49" i="64"/>
  <c r="E52" i="64"/>
  <c r="E56" i="64"/>
  <c r="E50" i="64"/>
  <c r="E55" i="64"/>
  <c r="E51" i="64"/>
  <c r="E47" i="64"/>
  <c r="E48" i="64"/>
  <c r="AB384" i="54"/>
  <c r="AG384" i="54" s="1"/>
  <c r="AB426" i="54"/>
  <c r="AG426" i="54" s="1"/>
  <c r="AD426" i="54"/>
  <c r="AH426" i="54" s="1"/>
  <c r="AD384" i="54"/>
  <c r="AH384" i="54" s="1"/>
  <c r="N20" i="53"/>
  <c r="V239" i="54" l="1"/>
  <c r="V302" i="54"/>
  <c r="V71" i="54"/>
  <c r="V134" i="54"/>
  <c r="V260" i="54"/>
  <c r="V323" i="54"/>
  <c r="V155" i="54"/>
  <c r="F6" i="65"/>
  <c r="AS6" i="65" s="1"/>
  <c r="EJ12" i="65" s="1"/>
  <c r="V197" i="54"/>
  <c r="V50" i="54"/>
  <c r="V8" i="54"/>
  <c r="V176" i="54"/>
  <c r="H34" i="66"/>
  <c r="K34" i="66"/>
  <c r="F61" i="66"/>
  <c r="M61" i="66"/>
  <c r="N61" i="66" s="1"/>
  <c r="E61" i="66"/>
  <c r="G62" i="66"/>
  <c r="D34" i="66"/>
  <c r="CP137" i="65"/>
  <c r="CZ137" i="65" s="1"/>
  <c r="AT6" i="65"/>
  <c r="EJ13" i="65" s="1"/>
  <c r="CP106" i="65"/>
  <c r="CZ106" i="65" s="1"/>
  <c r="CP133" i="65"/>
  <c r="CP140" i="65"/>
  <c r="DC140" i="65" s="1"/>
  <c r="CP124" i="65"/>
  <c r="DC124" i="65" s="1"/>
  <c r="CP151" i="65"/>
  <c r="DC151" i="65" s="1"/>
  <c r="X92" i="54"/>
  <c r="CP104" i="65"/>
  <c r="CP158" i="65"/>
  <c r="X302" i="54"/>
  <c r="CP101" i="65"/>
  <c r="CP117" i="65"/>
  <c r="CP86" i="65"/>
  <c r="X197" i="54"/>
  <c r="CP85" i="65"/>
  <c r="CP103" i="65"/>
  <c r="DC103" i="65" s="1"/>
  <c r="CP150" i="65"/>
  <c r="CP123" i="65"/>
  <c r="CP105" i="65"/>
  <c r="CZ105" i="65" s="1"/>
  <c r="CP120" i="65"/>
  <c r="CP159" i="65"/>
  <c r="DC159" i="65" s="1"/>
  <c r="CP92" i="65"/>
  <c r="DC92" i="65" s="1"/>
  <c r="CP90" i="65"/>
  <c r="CZ90" i="65" s="1"/>
  <c r="CP108" i="65"/>
  <c r="DC108" i="65" s="1"/>
  <c r="X323" i="54"/>
  <c r="X50" i="54"/>
  <c r="X155" i="54"/>
  <c r="X239" i="54"/>
  <c r="CP134" i="65"/>
  <c r="CP152" i="65"/>
  <c r="CP122" i="65"/>
  <c r="CZ122" i="65" s="1"/>
  <c r="CP91" i="65"/>
  <c r="CP157" i="65"/>
  <c r="CP138" i="65"/>
  <c r="CZ138" i="65" s="1"/>
  <c r="CP87" i="65"/>
  <c r="DC87" i="65" s="1"/>
  <c r="CP102" i="65"/>
  <c r="CP139" i="65"/>
  <c r="CP88" i="65"/>
  <c r="X260" i="54"/>
  <c r="X71" i="54"/>
  <c r="X281" i="54"/>
  <c r="X29" i="54"/>
  <c r="CP149" i="65"/>
  <c r="CP119" i="65"/>
  <c r="DC119" i="65" s="1"/>
  <c r="CP136" i="65"/>
  <c r="CP121" i="65"/>
  <c r="CZ121" i="65" s="1"/>
  <c r="CP89" i="65"/>
  <c r="CZ89" i="65" s="1"/>
  <c r="CP135" i="65"/>
  <c r="DC135" i="65" s="1"/>
  <c r="CP107" i="65"/>
  <c r="CP160" i="65"/>
  <c r="CP118" i="65"/>
  <c r="X113" i="54"/>
  <c r="X8" i="54"/>
  <c r="X134" i="54"/>
  <c r="X218" i="54"/>
  <c r="AB784" i="54"/>
  <c r="AG784" i="54" s="1"/>
  <c r="AK784" i="54" s="1"/>
  <c r="H46" i="53"/>
  <c r="K46" i="53" s="1"/>
  <c r="O46" i="53" s="1"/>
  <c r="I46" i="53"/>
  <c r="L46" i="53" s="1"/>
  <c r="J46" i="53"/>
  <c r="M46" i="53" s="1"/>
  <c r="N46" i="53" s="1"/>
  <c r="AD784" i="54"/>
  <c r="AH784" i="54" s="1"/>
  <c r="AL784" i="54" s="1"/>
  <c r="T72" i="54"/>
  <c r="T156" i="54"/>
  <c r="T9" i="54"/>
  <c r="T93" i="54"/>
  <c r="T30" i="54"/>
  <c r="T114" i="54"/>
  <c r="T51" i="54"/>
  <c r="T198" i="54"/>
  <c r="T282" i="54"/>
  <c r="T135" i="54"/>
  <c r="T219" i="54"/>
  <c r="T303" i="54"/>
  <c r="T177" i="54"/>
  <c r="T240" i="54"/>
  <c r="T324" i="54"/>
  <c r="T261" i="54"/>
  <c r="CK85" i="65"/>
  <c r="CY85" i="65" s="1"/>
  <c r="CK117" i="65"/>
  <c r="CY117" i="65" s="1"/>
  <c r="CK104" i="65"/>
  <c r="CK137" i="65"/>
  <c r="CK119" i="65"/>
  <c r="CK160" i="65"/>
  <c r="CK123" i="65"/>
  <c r="CY123" i="65" s="1"/>
  <c r="CK136" i="65"/>
  <c r="CK152" i="65"/>
  <c r="CK92" i="65"/>
  <c r="CY92" i="65" s="1"/>
  <c r="CK89" i="65"/>
  <c r="CK86" i="65"/>
  <c r="CK118" i="65"/>
  <c r="CK149" i="65"/>
  <c r="CY149" i="65" s="1"/>
  <c r="CK135" i="65"/>
  <c r="CK91" i="65"/>
  <c r="CY91" i="65" s="1"/>
  <c r="CK139" i="65"/>
  <c r="CY139" i="65" s="1"/>
  <c r="CK150" i="65"/>
  <c r="CK159" i="65"/>
  <c r="CK120" i="65"/>
  <c r="CK101" i="65"/>
  <c r="CY101" i="65" s="1"/>
  <c r="CK88" i="65"/>
  <c r="CK121" i="65"/>
  <c r="CK157" i="65"/>
  <c r="CY157" i="65" s="1"/>
  <c r="CK151" i="65"/>
  <c r="CK103" i="65"/>
  <c r="CK124" i="65"/>
  <c r="CY124" i="65" s="1"/>
  <c r="CK87" i="65"/>
  <c r="CK90" i="65"/>
  <c r="CK134" i="65"/>
  <c r="CK105" i="65"/>
  <c r="CK102" i="65"/>
  <c r="CK133" i="65"/>
  <c r="CY133" i="65" s="1"/>
  <c r="CK107" i="65"/>
  <c r="CY107" i="65" s="1"/>
  <c r="CK158" i="65"/>
  <c r="CK108" i="65"/>
  <c r="CY108" i="65" s="1"/>
  <c r="CK138" i="65"/>
  <c r="CK106" i="65"/>
  <c r="CK140" i="65"/>
  <c r="CY140" i="65" s="1"/>
  <c r="CK122" i="65"/>
  <c r="K6" i="65"/>
  <c r="G47" i="53"/>
  <c r="J47" i="53" s="1"/>
  <c r="E46" i="53"/>
  <c r="F46" i="53"/>
  <c r="Z764" i="54"/>
  <c r="AF764" i="54" s="1"/>
  <c r="Z785" i="54"/>
  <c r="AF785" i="54" s="1"/>
  <c r="AJ785" i="54" s="1"/>
  <c r="K19" i="53"/>
  <c r="O19" i="53" s="1"/>
  <c r="I19" i="53"/>
  <c r="L19" i="53" s="1"/>
  <c r="G53" i="64"/>
  <c r="J53" i="64" s="1"/>
  <c r="G51" i="64"/>
  <c r="J51" i="64" s="1"/>
  <c r="G57" i="64"/>
  <c r="J57" i="64" s="1"/>
  <c r="G50" i="64"/>
  <c r="J50" i="64" s="1"/>
  <c r="G49" i="64"/>
  <c r="J49" i="64" s="1"/>
  <c r="G56" i="64"/>
  <c r="J56" i="64" s="1"/>
  <c r="G52" i="64"/>
  <c r="J52" i="64" s="1"/>
  <c r="G48" i="64"/>
  <c r="J48" i="64" s="1"/>
  <c r="G54" i="64"/>
  <c r="J54" i="64" s="1"/>
  <c r="G55" i="64"/>
  <c r="J55" i="64" s="1"/>
  <c r="G47" i="64"/>
  <c r="J47" i="64" s="1"/>
  <c r="Z67" i="54"/>
  <c r="AF67" i="54" s="1"/>
  <c r="AJ67" i="54" s="1"/>
  <c r="Z47" i="54"/>
  <c r="AF47" i="54" s="1"/>
  <c r="AJ47" i="54" s="1"/>
  <c r="Z27" i="54"/>
  <c r="AF27" i="54" s="1"/>
  <c r="AJ27" i="54" s="1"/>
  <c r="I50" i="64"/>
  <c r="L50" i="64" s="1"/>
  <c r="I49" i="64"/>
  <c r="L49" i="64" s="1"/>
  <c r="I53" i="64"/>
  <c r="L53" i="64" s="1"/>
  <c r="I57" i="64"/>
  <c r="L57" i="64" s="1"/>
  <c r="I56" i="64"/>
  <c r="L56" i="64" s="1"/>
  <c r="I52" i="64"/>
  <c r="L52" i="64" s="1"/>
  <c r="I54" i="64"/>
  <c r="L54" i="64" s="1"/>
  <c r="I51" i="64"/>
  <c r="L51" i="64" s="1"/>
  <c r="I48" i="64"/>
  <c r="L48" i="64" s="1"/>
  <c r="I55" i="64"/>
  <c r="L55" i="64" s="1"/>
  <c r="I47" i="64"/>
  <c r="L47" i="64" s="1"/>
  <c r="AD67" i="54"/>
  <c r="AH67" i="54" s="1"/>
  <c r="AL67" i="54" s="1"/>
  <c r="AD47" i="54"/>
  <c r="AH47" i="54" s="1"/>
  <c r="AL47" i="54" s="1"/>
  <c r="AD27" i="54"/>
  <c r="AH27" i="54" s="1"/>
  <c r="AL27" i="54" s="1"/>
  <c r="H56" i="64"/>
  <c r="K56" i="64" s="1"/>
  <c r="H50" i="64"/>
  <c r="K50" i="64" s="1"/>
  <c r="H49" i="64"/>
  <c r="K49" i="64" s="1"/>
  <c r="H53" i="64"/>
  <c r="K53" i="64" s="1"/>
  <c r="H57" i="64"/>
  <c r="K57" i="64" s="1"/>
  <c r="H54" i="64"/>
  <c r="K54" i="64" s="1"/>
  <c r="H48" i="64"/>
  <c r="H55" i="64"/>
  <c r="K55" i="64" s="1"/>
  <c r="H47" i="64"/>
  <c r="K47" i="64" s="1"/>
  <c r="H52" i="64"/>
  <c r="K52" i="64" s="1"/>
  <c r="H51" i="64"/>
  <c r="K51" i="64" s="1"/>
  <c r="AB67" i="54"/>
  <c r="AG67" i="54" s="1"/>
  <c r="AK67" i="54" s="1"/>
  <c r="AB47" i="54"/>
  <c r="AG47" i="54" s="1"/>
  <c r="AK47" i="54" s="1"/>
  <c r="AB27" i="54"/>
  <c r="AG27" i="54" s="1"/>
  <c r="AK27" i="54" s="1"/>
  <c r="K48" i="64"/>
  <c r="Z7" i="54"/>
  <c r="AF7" i="54" s="1"/>
  <c r="AJ7" i="54" s="1"/>
  <c r="AD7" i="54"/>
  <c r="AH7" i="54" s="1"/>
  <c r="AL7" i="54" s="1"/>
  <c r="AB7" i="54"/>
  <c r="AG7" i="54" s="1"/>
  <c r="AK7" i="54" s="1"/>
  <c r="N21" i="53"/>
  <c r="CO149" i="65" l="1"/>
  <c r="CO92" i="65"/>
  <c r="J6" i="65"/>
  <c r="CL118" i="65" s="1"/>
  <c r="CY118" i="65" s="1"/>
  <c r="CO85" i="65"/>
  <c r="CO139" i="65"/>
  <c r="DC139" i="65" s="1"/>
  <c r="CO88" i="65"/>
  <c r="CZ88" i="65" s="1"/>
  <c r="CO138" i="65"/>
  <c r="CO91" i="65"/>
  <c r="DC91" i="65" s="1"/>
  <c r="CO106" i="65"/>
  <c r="CO105" i="65"/>
  <c r="CO160" i="65"/>
  <c r="CZ160" i="65" s="1"/>
  <c r="CO157" i="65"/>
  <c r="CO108" i="65"/>
  <c r="CO121" i="65"/>
  <c r="CO135" i="65"/>
  <c r="CZ135" i="65" s="1"/>
  <c r="CO158" i="65"/>
  <c r="CZ158" i="65" s="1"/>
  <c r="CO123" i="65"/>
  <c r="DC123" i="65" s="1"/>
  <c r="CO118" i="65"/>
  <c r="CZ118" i="65" s="1"/>
  <c r="CO137" i="65"/>
  <c r="CO133" i="65"/>
  <c r="CO134" i="65"/>
  <c r="CZ134" i="65" s="1"/>
  <c r="CO152" i="65"/>
  <c r="CZ152" i="65" s="1"/>
  <c r="CO151" i="65"/>
  <c r="CZ151" i="65" s="1"/>
  <c r="CO136" i="65"/>
  <c r="CZ136" i="65" s="1"/>
  <c r="CO159" i="65"/>
  <c r="CZ159" i="65" s="1"/>
  <c r="CO89" i="65"/>
  <c r="CO90" i="65"/>
  <c r="CO140" i="65"/>
  <c r="CO120" i="65"/>
  <c r="CZ120" i="65" s="1"/>
  <c r="CO87" i="65"/>
  <c r="CZ87" i="65" s="1"/>
  <c r="CO150" i="65"/>
  <c r="CZ150" i="65" s="1"/>
  <c r="CO117" i="65"/>
  <c r="CO101" i="65"/>
  <c r="CO102" i="65"/>
  <c r="CZ102" i="65" s="1"/>
  <c r="CO119" i="65"/>
  <c r="CZ119" i="65" s="1"/>
  <c r="CO103" i="65"/>
  <c r="CZ103" i="65" s="1"/>
  <c r="CO122" i="65"/>
  <c r="CO124" i="65"/>
  <c r="CO107" i="65"/>
  <c r="DC107" i="65" s="1"/>
  <c r="CO104" i="65"/>
  <c r="CZ104" i="65" s="1"/>
  <c r="CO86" i="65"/>
  <c r="CZ86" i="65" s="1"/>
  <c r="F34" i="66"/>
  <c r="L35" i="66" s="1"/>
  <c r="D69" i="66" s="1"/>
  <c r="E34" i="66"/>
  <c r="D62" i="66"/>
  <c r="L62" i="66"/>
  <c r="I62" i="66"/>
  <c r="J62" i="66"/>
  <c r="J63" i="66" s="1"/>
  <c r="N69" i="66" s="1"/>
  <c r="O34" i="66"/>
  <c r="K35" i="66"/>
  <c r="J35" i="66"/>
  <c r="B69" i="66" s="1"/>
  <c r="H62" i="66"/>
  <c r="K62" i="66" s="1"/>
  <c r="G12" i="65"/>
  <c r="AT12" i="65" s="1"/>
  <c r="EJ49" i="65" s="1"/>
  <c r="X743" i="54"/>
  <c r="X365" i="54"/>
  <c r="X596" i="54"/>
  <c r="X470" i="54"/>
  <c r="X722" i="54"/>
  <c r="X617" i="54"/>
  <c r="X701" i="54"/>
  <c r="X785" i="54"/>
  <c r="X533" i="54"/>
  <c r="X638" i="54"/>
  <c r="X575" i="54"/>
  <c r="X554" i="54"/>
  <c r="X512" i="54"/>
  <c r="X764" i="54"/>
  <c r="X449" i="54"/>
  <c r="X386" i="54"/>
  <c r="X491" i="54"/>
  <c r="X407" i="54"/>
  <c r="X428" i="54"/>
  <c r="X659" i="54"/>
  <c r="X344" i="54"/>
  <c r="X680" i="54"/>
  <c r="V638" i="54"/>
  <c r="V491" i="54"/>
  <c r="V659" i="54"/>
  <c r="V428" i="54"/>
  <c r="V470" i="54"/>
  <c r="V617" i="54"/>
  <c r="V449" i="54"/>
  <c r="V596" i="54"/>
  <c r="V764" i="54"/>
  <c r="V365" i="54"/>
  <c r="V386" i="54"/>
  <c r="F12" i="65"/>
  <c r="AS12" i="65" s="1"/>
  <c r="EJ48" i="65" s="1"/>
  <c r="V785" i="54"/>
  <c r="V554" i="54"/>
  <c r="V680" i="54"/>
  <c r="V575" i="54"/>
  <c r="V407" i="54"/>
  <c r="V512" i="54"/>
  <c r="V743" i="54"/>
  <c r="V344" i="54"/>
  <c r="V701" i="54"/>
  <c r="V722" i="54"/>
  <c r="V533" i="54"/>
  <c r="T428" i="54"/>
  <c r="T344" i="54"/>
  <c r="T512" i="54"/>
  <c r="T785" i="54"/>
  <c r="T701" i="54"/>
  <c r="E12" i="65"/>
  <c r="AR12" i="65" s="1"/>
  <c r="EJ47" i="65" s="1"/>
  <c r="T659" i="54"/>
  <c r="T386" i="54"/>
  <c r="T575" i="54"/>
  <c r="T638" i="54"/>
  <c r="T722" i="54"/>
  <c r="T365" i="54"/>
  <c r="T554" i="54"/>
  <c r="T407" i="54"/>
  <c r="T596" i="54"/>
  <c r="T764" i="54"/>
  <c r="T617" i="54"/>
  <c r="T449" i="54"/>
  <c r="T533" i="54"/>
  <c r="T491" i="54"/>
  <c r="T743" i="54"/>
  <c r="T470" i="54"/>
  <c r="T680" i="54"/>
  <c r="AI12" i="65"/>
  <c r="DZ9" i="65" s="1"/>
  <c r="AJ6" i="65"/>
  <c r="DS11" i="65" s="1"/>
  <c r="I47" i="53"/>
  <c r="L47" i="53" s="1"/>
  <c r="CL86" i="65"/>
  <c r="CY86" i="65" s="1"/>
  <c r="CL88" i="65"/>
  <c r="CY88" i="65" s="1"/>
  <c r="CL149" i="65"/>
  <c r="CL152" i="65"/>
  <c r="CY152" i="65" s="1"/>
  <c r="CL108" i="65"/>
  <c r="CL91" i="65"/>
  <c r="DB91" i="65" s="1"/>
  <c r="CL138" i="65"/>
  <c r="CL135" i="65"/>
  <c r="CY135" i="65" s="1"/>
  <c r="CL87" i="65"/>
  <c r="CY87" i="65" s="1"/>
  <c r="CL104" i="65"/>
  <c r="CY104" i="65" s="1"/>
  <c r="CL102" i="65"/>
  <c r="CY102" i="65" s="1"/>
  <c r="CL133" i="65"/>
  <c r="CL117" i="65"/>
  <c r="CL89" i="65"/>
  <c r="CL157" i="65"/>
  <c r="CL120" i="65"/>
  <c r="CY120" i="65" s="1"/>
  <c r="CL140" i="65"/>
  <c r="CL119" i="65"/>
  <c r="CY119" i="65" s="1"/>
  <c r="CL123" i="65"/>
  <c r="DB123" i="65" s="1"/>
  <c r="CL101" i="65"/>
  <c r="V9" i="54"/>
  <c r="V93" i="54"/>
  <c r="V177" i="54"/>
  <c r="V261" i="54"/>
  <c r="V30" i="54"/>
  <c r="V114" i="54"/>
  <c r="V198" i="54"/>
  <c r="V282" i="54"/>
  <c r="V51" i="54"/>
  <c r="V135" i="54"/>
  <c r="V219" i="54"/>
  <c r="V303" i="54"/>
  <c r="V72" i="54"/>
  <c r="V156" i="54"/>
  <c r="V240" i="54"/>
  <c r="V324" i="54"/>
  <c r="AD785" i="54"/>
  <c r="AH785" i="54" s="1"/>
  <c r="AL785" i="54" s="1"/>
  <c r="AD764" i="54"/>
  <c r="AH764" i="54" s="1"/>
  <c r="CM107" i="65"/>
  <c r="CM123" i="65"/>
  <c r="CM159" i="65"/>
  <c r="DB159" i="65" s="1"/>
  <c r="CM102" i="65"/>
  <c r="CM136" i="65"/>
  <c r="CM88" i="65"/>
  <c r="CM149" i="65"/>
  <c r="CM134" i="65"/>
  <c r="CM137" i="65"/>
  <c r="CY137" i="65" s="1"/>
  <c r="CM150" i="65"/>
  <c r="CM91" i="65"/>
  <c r="CM105" i="65"/>
  <c r="CY105" i="65" s="1"/>
  <c r="CM139" i="65"/>
  <c r="CM90" i="65"/>
  <c r="CY90" i="65" s="1"/>
  <c r="CM120" i="65"/>
  <c r="CM152" i="65"/>
  <c r="CM133" i="65"/>
  <c r="CM101" i="65"/>
  <c r="CM121" i="65"/>
  <c r="CY121" i="65" s="1"/>
  <c r="CM118" i="65"/>
  <c r="CM103" i="65"/>
  <c r="DB103" i="65" s="1"/>
  <c r="CM151" i="65"/>
  <c r="DB151" i="65" s="1"/>
  <c r="CM122" i="65"/>
  <c r="CY122" i="65" s="1"/>
  <c r="CM140" i="65"/>
  <c r="DB140" i="65" s="1"/>
  <c r="CM160" i="65"/>
  <c r="CM87" i="65"/>
  <c r="DB87" i="65" s="1"/>
  <c r="CM124" i="65"/>
  <c r="DB124" i="65" s="1"/>
  <c r="CM89" i="65"/>
  <c r="CY89" i="65" s="1"/>
  <c r="CM85" i="65"/>
  <c r="CM138" i="65"/>
  <c r="CY138" i="65" s="1"/>
  <c r="CM158" i="65"/>
  <c r="CM108" i="65"/>
  <c r="DB108" i="65" s="1"/>
  <c r="CM135" i="65"/>
  <c r="DB135" i="65" s="1"/>
  <c r="CM117" i="65"/>
  <c r="CM119" i="65"/>
  <c r="DB119" i="65" s="1"/>
  <c r="CM92" i="65"/>
  <c r="DB92" i="65" s="1"/>
  <c r="CM86" i="65"/>
  <c r="CM106" i="65"/>
  <c r="CY106" i="65" s="1"/>
  <c r="CM157" i="65"/>
  <c r="CM104" i="65"/>
  <c r="X30" i="54"/>
  <c r="X114" i="54"/>
  <c r="X198" i="54"/>
  <c r="X282" i="54"/>
  <c r="X51" i="54"/>
  <c r="X135" i="54"/>
  <c r="X219" i="54"/>
  <c r="X303" i="54"/>
  <c r="X72" i="54"/>
  <c r="X156" i="54"/>
  <c r="X240" i="54"/>
  <c r="X324" i="54"/>
  <c r="X177" i="54"/>
  <c r="X93" i="54"/>
  <c r="X261" i="54"/>
  <c r="X9" i="54"/>
  <c r="H47" i="53"/>
  <c r="K47" i="53" s="1"/>
  <c r="O47" i="53" s="1"/>
  <c r="AB785" i="54"/>
  <c r="AG785" i="54" s="1"/>
  <c r="AK785" i="54" s="1"/>
  <c r="AB764" i="54"/>
  <c r="AG764" i="54" s="1"/>
  <c r="D19" i="53"/>
  <c r="G20" i="53" s="1"/>
  <c r="E62" i="64"/>
  <c r="E61" i="64"/>
  <c r="E58" i="64"/>
  <c r="E64" i="64"/>
  <c r="E65" i="64"/>
  <c r="E60" i="64"/>
  <c r="E59" i="64"/>
  <c r="E68" i="64"/>
  <c r="E66" i="64"/>
  <c r="E67" i="64"/>
  <c r="E63" i="64"/>
  <c r="AD364" i="54"/>
  <c r="AH364" i="54" s="1"/>
  <c r="AD406" i="54"/>
  <c r="AH406" i="54" s="1"/>
  <c r="AB406" i="54"/>
  <c r="AG406" i="54" s="1"/>
  <c r="AB364" i="54"/>
  <c r="AG364" i="54" s="1"/>
  <c r="Z364" i="54"/>
  <c r="AF364" i="54" s="1"/>
  <c r="Z406" i="54"/>
  <c r="AF406" i="54" s="1"/>
  <c r="N22" i="53"/>
  <c r="CL151" i="65" l="1"/>
  <c r="CY151" i="65" s="1"/>
  <c r="CL106" i="65"/>
  <c r="CL158" i="65"/>
  <c r="CY158" i="65" s="1"/>
  <c r="CL92" i="65"/>
  <c r="CL150" i="65"/>
  <c r="CY150" i="65" s="1"/>
  <c r="CL139" i="65"/>
  <c r="DB139" i="65" s="1"/>
  <c r="CL105" i="65"/>
  <c r="CL90" i="65"/>
  <c r="CL160" i="65"/>
  <c r="CY160" i="65" s="1"/>
  <c r="CL134" i="65"/>
  <c r="CY134" i="65" s="1"/>
  <c r="CL122" i="65"/>
  <c r="CL103" i="65"/>
  <c r="CY103" i="65" s="1"/>
  <c r="CL136" i="65"/>
  <c r="CY136" i="65" s="1"/>
  <c r="CL137" i="65"/>
  <c r="CL107" i="65"/>
  <c r="DB107" i="65" s="1"/>
  <c r="CL159" i="65"/>
  <c r="CY159" i="65" s="1"/>
  <c r="CL124" i="65"/>
  <c r="CL85" i="65"/>
  <c r="CL121" i="65"/>
  <c r="O62" i="66"/>
  <c r="O35" i="66"/>
  <c r="C69" i="66"/>
  <c r="F62" i="66"/>
  <c r="L63" i="66" s="1"/>
  <c r="P69" i="66" s="1"/>
  <c r="M62" i="66"/>
  <c r="N62" i="66" s="1"/>
  <c r="E62" i="66"/>
  <c r="K63" i="66" s="1"/>
  <c r="N79" i="66"/>
  <c r="T69" i="66"/>
  <c r="T80" i="66" s="1"/>
  <c r="N81" i="66"/>
  <c r="H69" i="66"/>
  <c r="B79" i="66"/>
  <c r="P81" i="66"/>
  <c r="D79" i="66"/>
  <c r="J69" i="66"/>
  <c r="CO95" i="65"/>
  <c r="CZ95" i="65" s="1"/>
  <c r="CO153" i="65"/>
  <c r="CO144" i="65"/>
  <c r="CZ144" i="65" s="1"/>
  <c r="CO114" i="65"/>
  <c r="CO164" i="65"/>
  <c r="CZ164" i="65" s="1"/>
  <c r="CO112" i="65"/>
  <c r="CZ112" i="65" s="1"/>
  <c r="CO111" i="65"/>
  <c r="CZ111" i="65" s="1"/>
  <c r="CO110" i="65"/>
  <c r="CZ110" i="65" s="1"/>
  <c r="CO127" i="65"/>
  <c r="CZ127" i="65" s="1"/>
  <c r="CO154" i="65"/>
  <c r="CZ154" i="65" s="1"/>
  <c r="CO162" i="65"/>
  <c r="CZ162" i="65" s="1"/>
  <c r="CO100" i="65"/>
  <c r="CO146" i="65"/>
  <c r="CO94" i="65"/>
  <c r="CZ94" i="65" s="1"/>
  <c r="CO130" i="65"/>
  <c r="CO128" i="65"/>
  <c r="CZ128" i="65" s="1"/>
  <c r="CO115" i="65"/>
  <c r="DC115" i="65" s="1"/>
  <c r="CO98" i="65"/>
  <c r="CO99" i="65"/>
  <c r="DC99" i="65" s="1"/>
  <c r="CO126" i="65"/>
  <c r="CZ126" i="65" s="1"/>
  <c r="CO116" i="65"/>
  <c r="CO113" i="65"/>
  <c r="CO125" i="65"/>
  <c r="J12" i="65"/>
  <c r="CO145" i="65"/>
  <c r="CO97" i="65"/>
  <c r="CO148" i="65"/>
  <c r="CO147" i="65"/>
  <c r="DC147" i="65" s="1"/>
  <c r="CO131" i="65"/>
  <c r="DC131" i="65" s="1"/>
  <c r="CO141" i="65"/>
  <c r="CO156" i="65"/>
  <c r="CZ156" i="65" s="1"/>
  <c r="CO129" i="65"/>
  <c r="CO93" i="65"/>
  <c r="CO143" i="65"/>
  <c r="CZ143" i="65" s="1"/>
  <c r="CO142" i="65"/>
  <c r="CZ142" i="65" s="1"/>
  <c r="CO109" i="65"/>
  <c r="CO163" i="65"/>
  <c r="CZ163" i="65" s="1"/>
  <c r="CO96" i="65"/>
  <c r="CZ96" i="65" s="1"/>
  <c r="CO155" i="65"/>
  <c r="CZ155" i="65" s="1"/>
  <c r="CO161" i="65"/>
  <c r="CO132" i="65"/>
  <c r="I12" i="65"/>
  <c r="CN144" i="65"/>
  <c r="CN156" i="65"/>
  <c r="CN131" i="65"/>
  <c r="CZ131" i="65" s="1"/>
  <c r="CN112" i="65"/>
  <c r="CN126" i="65"/>
  <c r="CN100" i="65"/>
  <c r="CZ100" i="65" s="1"/>
  <c r="CN129" i="65"/>
  <c r="CN110" i="65"/>
  <c r="CN116" i="65"/>
  <c r="CZ116" i="65" s="1"/>
  <c r="CN114" i="65"/>
  <c r="CN115" i="65"/>
  <c r="CZ115" i="65" s="1"/>
  <c r="CN98" i="65"/>
  <c r="CN141" i="65"/>
  <c r="CZ141" i="65" s="1"/>
  <c r="CN109" i="65"/>
  <c r="CZ109" i="65" s="1"/>
  <c r="CN94" i="65"/>
  <c r="CN96" i="65"/>
  <c r="CN128" i="65"/>
  <c r="CN125" i="65"/>
  <c r="CZ125" i="65" s="1"/>
  <c r="CN111" i="65"/>
  <c r="CN163" i="65"/>
  <c r="CN164" i="65"/>
  <c r="CN148" i="65"/>
  <c r="CZ148" i="65" s="1"/>
  <c r="CN99" i="65"/>
  <c r="CZ99" i="65" s="1"/>
  <c r="CN97" i="65"/>
  <c r="CN130" i="65"/>
  <c r="CN154" i="65"/>
  <c r="CN142" i="65"/>
  <c r="CN162" i="65"/>
  <c r="CN147" i="65"/>
  <c r="CZ147" i="65" s="1"/>
  <c r="CN155" i="65"/>
  <c r="CN143" i="65"/>
  <c r="CN145" i="65"/>
  <c r="CN132" i="65"/>
  <c r="CZ132" i="65" s="1"/>
  <c r="CN153" i="65"/>
  <c r="CZ153" i="65" s="1"/>
  <c r="CN95" i="65"/>
  <c r="CN93" i="65"/>
  <c r="CZ93" i="65" s="1"/>
  <c r="CN127" i="65"/>
  <c r="CN113" i="65"/>
  <c r="CN146" i="65"/>
  <c r="CN161" i="65"/>
  <c r="CZ161" i="65" s="1"/>
  <c r="CP144" i="65"/>
  <c r="CP162" i="65"/>
  <c r="CP146" i="65"/>
  <c r="CZ146" i="65" s="1"/>
  <c r="CP141" i="65"/>
  <c r="CP110" i="65"/>
  <c r="CP116" i="65"/>
  <c r="DC116" i="65" s="1"/>
  <c r="CP130" i="65"/>
  <c r="CZ130" i="65" s="1"/>
  <c r="CP109" i="65"/>
  <c r="CP126" i="65"/>
  <c r="CP98" i="65"/>
  <c r="CZ98" i="65" s="1"/>
  <c r="K12" i="65"/>
  <c r="CP131" i="65"/>
  <c r="CP97" i="65"/>
  <c r="CZ97" i="65" s="1"/>
  <c r="CP129" i="65"/>
  <c r="CZ129" i="65" s="1"/>
  <c r="CP95" i="65"/>
  <c r="DC95" i="65" s="1"/>
  <c r="CP155" i="65"/>
  <c r="DC155" i="65" s="1"/>
  <c r="CP128" i="65"/>
  <c r="CP125" i="65"/>
  <c r="CP161" i="65"/>
  <c r="CP142" i="65"/>
  <c r="CP143" i="65"/>
  <c r="DC143" i="65" s="1"/>
  <c r="CP132" i="65"/>
  <c r="DC132" i="65" s="1"/>
  <c r="CP148" i="65"/>
  <c r="DC148" i="65" s="1"/>
  <c r="CP154" i="65"/>
  <c r="CP153" i="65"/>
  <c r="CP127" i="65"/>
  <c r="DC127" i="65" s="1"/>
  <c r="CP93" i="65"/>
  <c r="CP113" i="65"/>
  <c r="CZ113" i="65" s="1"/>
  <c r="CP115" i="65"/>
  <c r="CP94" i="65"/>
  <c r="CP114" i="65"/>
  <c r="CZ114" i="65" s="1"/>
  <c r="CP112" i="65"/>
  <c r="CP163" i="65"/>
  <c r="DC163" i="65" s="1"/>
  <c r="CP111" i="65"/>
  <c r="DC111" i="65" s="1"/>
  <c r="CP164" i="65"/>
  <c r="CP99" i="65"/>
  <c r="CP100" i="65"/>
  <c r="DC100" i="65" s="1"/>
  <c r="CP96" i="65"/>
  <c r="CP156" i="65"/>
  <c r="CP145" i="65"/>
  <c r="CZ145" i="65" s="1"/>
  <c r="CP147" i="65"/>
  <c r="AJ12" i="65"/>
  <c r="DZ11" i="65" s="1"/>
  <c r="D47" i="53"/>
  <c r="V345" i="54"/>
  <c r="V681" i="54"/>
  <c r="V618" i="54"/>
  <c r="V555" i="54"/>
  <c r="V492" i="54"/>
  <c r="V765" i="54"/>
  <c r="V471" i="54"/>
  <c r="V429" i="54"/>
  <c r="V366" i="54"/>
  <c r="V702" i="54"/>
  <c r="V639" i="54"/>
  <c r="V576" i="54"/>
  <c r="V786" i="54"/>
  <c r="V534" i="54"/>
  <c r="V513" i="54"/>
  <c r="V450" i="54"/>
  <c r="V387" i="54"/>
  <c r="V723" i="54"/>
  <c r="V660" i="54"/>
  <c r="V597" i="54"/>
  <c r="V408" i="54"/>
  <c r="V744" i="54"/>
  <c r="X597" i="54"/>
  <c r="X618" i="54"/>
  <c r="X639" i="54"/>
  <c r="X723" i="54"/>
  <c r="X765" i="54"/>
  <c r="X513" i="54"/>
  <c r="X660" i="54"/>
  <c r="X345" i="54"/>
  <c r="X366" i="54"/>
  <c r="X387" i="54"/>
  <c r="X408" i="54"/>
  <c r="X744" i="54"/>
  <c r="X702" i="54"/>
  <c r="X534" i="54"/>
  <c r="X681" i="54"/>
  <c r="X429" i="54"/>
  <c r="X450" i="54"/>
  <c r="X471" i="54"/>
  <c r="X492" i="54"/>
  <c r="X576" i="54"/>
  <c r="X786" i="54"/>
  <c r="X555" i="54"/>
  <c r="T513" i="54"/>
  <c r="T387" i="54"/>
  <c r="T492" i="54"/>
  <c r="T597" i="54"/>
  <c r="T702" i="54"/>
  <c r="T408" i="54"/>
  <c r="T723" i="54"/>
  <c r="T366" i="54"/>
  <c r="T471" i="54"/>
  <c r="T576" i="54"/>
  <c r="T681" i="54"/>
  <c r="T786" i="54"/>
  <c r="T618" i="54"/>
  <c r="T345" i="54"/>
  <c r="T450" i="54"/>
  <c r="T555" i="54"/>
  <c r="T660" i="54"/>
  <c r="T765" i="54"/>
  <c r="T639" i="54"/>
  <c r="T429" i="54"/>
  <c r="T534" i="54"/>
  <c r="T744" i="54"/>
  <c r="F19" i="53"/>
  <c r="E19" i="53"/>
  <c r="H20" i="53" s="1"/>
  <c r="I20" i="53"/>
  <c r="F67" i="64"/>
  <c r="F59" i="64"/>
  <c r="F63" i="64"/>
  <c r="F62" i="64"/>
  <c r="F61" i="64"/>
  <c r="F58" i="64"/>
  <c r="F68" i="64"/>
  <c r="F64" i="64"/>
  <c r="F60" i="64"/>
  <c r="F66" i="64"/>
  <c r="F65" i="64"/>
  <c r="D65" i="64"/>
  <c r="D62" i="64"/>
  <c r="D67" i="64"/>
  <c r="D59" i="64"/>
  <c r="D60" i="64"/>
  <c r="D66" i="64"/>
  <c r="D63" i="64"/>
  <c r="D68" i="64"/>
  <c r="D61" i="64"/>
  <c r="D58" i="64"/>
  <c r="D64" i="64"/>
  <c r="N23" i="53"/>
  <c r="E19" i="46"/>
  <c r="E18" i="46"/>
  <c r="E17" i="46"/>
  <c r="E16" i="46"/>
  <c r="E15" i="46"/>
  <c r="E14" i="46"/>
  <c r="E13" i="46"/>
  <c r="E12" i="46"/>
  <c r="E11" i="46"/>
  <c r="E10" i="46"/>
  <c r="E9" i="46"/>
  <c r="E8" i="46"/>
  <c r="E7" i="46"/>
  <c r="E6" i="46"/>
  <c r="E5" i="46"/>
  <c r="E4" i="46"/>
  <c r="P79" i="66" l="1"/>
  <c r="V69" i="66"/>
  <c r="V80" i="66" s="1"/>
  <c r="O69" i="66"/>
  <c r="O63" i="66"/>
  <c r="J80" i="66"/>
  <c r="J81" i="66"/>
  <c r="H81" i="66"/>
  <c r="H80" i="66"/>
  <c r="O81" i="66"/>
  <c r="C79" i="66"/>
  <c r="I69" i="66"/>
  <c r="CM155" i="65"/>
  <c r="DB155" i="65" s="1"/>
  <c r="CM162" i="65"/>
  <c r="CM98" i="65"/>
  <c r="CY98" i="65" s="1"/>
  <c r="CM100" i="65"/>
  <c r="DB100" i="65" s="1"/>
  <c r="CM94" i="65"/>
  <c r="CM109" i="65"/>
  <c r="CM146" i="65"/>
  <c r="CY146" i="65" s="1"/>
  <c r="CM161" i="65"/>
  <c r="CM110" i="65"/>
  <c r="CM153" i="65"/>
  <c r="CM99" i="65"/>
  <c r="CM130" i="65"/>
  <c r="CY130" i="65" s="1"/>
  <c r="CM115" i="65"/>
  <c r="CM95" i="65"/>
  <c r="DB95" i="65" s="1"/>
  <c r="CM129" i="65"/>
  <c r="CY129" i="65" s="1"/>
  <c r="CM163" i="65"/>
  <c r="DB163" i="65" s="1"/>
  <c r="CM131" i="65"/>
  <c r="CM164" i="65"/>
  <c r="CM111" i="65"/>
  <c r="DB111" i="65" s="1"/>
  <c r="CM154" i="65"/>
  <c r="CM144" i="65"/>
  <c r="CM125" i="65"/>
  <c r="CM147" i="65"/>
  <c r="CM127" i="65"/>
  <c r="DB127" i="65" s="1"/>
  <c r="CM145" i="65"/>
  <c r="CY145" i="65" s="1"/>
  <c r="CM141" i="65"/>
  <c r="CM116" i="65"/>
  <c r="DB116" i="65" s="1"/>
  <c r="CM96" i="65"/>
  <c r="CM93" i="65"/>
  <c r="CM132" i="65"/>
  <c r="DB132" i="65" s="1"/>
  <c r="CM97" i="65"/>
  <c r="CY97" i="65" s="1"/>
  <c r="CM128" i="65"/>
  <c r="CM112" i="65"/>
  <c r="CM126" i="65"/>
  <c r="CM113" i="65"/>
  <c r="CY113" i="65" s="1"/>
  <c r="CM114" i="65"/>
  <c r="CY114" i="65" s="1"/>
  <c r="CM148" i="65"/>
  <c r="DB148" i="65" s="1"/>
  <c r="CM156" i="65"/>
  <c r="CM143" i="65"/>
  <c r="DB143" i="65" s="1"/>
  <c r="CM142" i="65"/>
  <c r="CK161" i="65"/>
  <c r="CY161" i="65" s="1"/>
  <c r="CK148" i="65"/>
  <c r="CY148" i="65" s="1"/>
  <c r="CK97" i="65"/>
  <c r="CK142" i="65"/>
  <c r="CK94" i="65"/>
  <c r="CK144" i="65"/>
  <c r="CK156" i="65"/>
  <c r="CK155" i="65"/>
  <c r="CK114" i="65"/>
  <c r="CK93" i="65"/>
  <c r="CY93" i="65" s="1"/>
  <c r="CK163" i="65"/>
  <c r="CK145" i="65"/>
  <c r="CK109" i="65"/>
  <c r="CY109" i="65" s="1"/>
  <c r="CK128" i="65"/>
  <c r="CK153" i="65"/>
  <c r="CY153" i="65" s="1"/>
  <c r="CK125" i="65"/>
  <c r="CY125" i="65" s="1"/>
  <c r="CK126" i="65"/>
  <c r="CK131" i="65"/>
  <c r="CY131" i="65" s="1"/>
  <c r="CK111" i="65"/>
  <c r="CK98" i="65"/>
  <c r="CK154" i="65"/>
  <c r="CK146" i="65"/>
  <c r="CK95" i="65"/>
  <c r="CK147" i="65"/>
  <c r="CY147" i="65" s="1"/>
  <c r="CK110" i="65"/>
  <c r="CK130" i="65"/>
  <c r="CK113" i="65"/>
  <c r="CK143" i="65"/>
  <c r="CK132" i="65"/>
  <c r="CY132" i="65" s="1"/>
  <c r="CK99" i="65"/>
  <c r="CY99" i="65" s="1"/>
  <c r="CK116" i="65"/>
  <c r="CY116" i="65" s="1"/>
  <c r="CK129" i="65"/>
  <c r="CK127" i="65"/>
  <c r="CK112" i="65"/>
  <c r="CK141" i="65"/>
  <c r="CY141" i="65" s="1"/>
  <c r="CK164" i="65"/>
  <c r="CK100" i="65"/>
  <c r="CY100" i="65" s="1"/>
  <c r="CK115" i="65"/>
  <c r="CY115" i="65" s="1"/>
  <c r="CK162" i="65"/>
  <c r="CK96" i="65"/>
  <c r="CL98" i="65"/>
  <c r="CL164" i="65"/>
  <c r="CY164" i="65" s="1"/>
  <c r="CL161" i="65"/>
  <c r="CL142" i="65"/>
  <c r="CY142" i="65" s="1"/>
  <c r="CL145" i="65"/>
  <c r="CL114" i="65"/>
  <c r="CL128" i="65"/>
  <c r="CY128" i="65" s="1"/>
  <c r="CL143" i="65"/>
  <c r="CY143" i="65" s="1"/>
  <c r="CL99" i="65"/>
  <c r="DB99" i="65" s="1"/>
  <c r="CL126" i="65"/>
  <c r="CY126" i="65" s="1"/>
  <c r="CL132" i="65"/>
  <c r="CL162" i="65"/>
  <c r="CY162" i="65" s="1"/>
  <c r="CL156" i="65"/>
  <c r="CY156" i="65" s="1"/>
  <c r="CL100" i="65"/>
  <c r="CL153" i="65"/>
  <c r="CL148" i="65"/>
  <c r="CL131" i="65"/>
  <c r="DB131" i="65" s="1"/>
  <c r="CL96" i="65"/>
  <c r="CY96" i="65" s="1"/>
  <c r="CL116" i="65"/>
  <c r="CL97" i="65"/>
  <c r="CL141" i="65"/>
  <c r="CL93" i="65"/>
  <c r="CL111" i="65"/>
  <c r="CY111" i="65" s="1"/>
  <c r="CL109" i="65"/>
  <c r="CL147" i="65"/>
  <c r="DB147" i="65" s="1"/>
  <c r="CL155" i="65"/>
  <c r="CY155" i="65" s="1"/>
  <c r="CL130" i="65"/>
  <c r="CL127" i="65"/>
  <c r="CY127" i="65" s="1"/>
  <c r="CL110" i="65"/>
  <c r="CY110" i="65" s="1"/>
  <c r="CL112" i="65"/>
  <c r="CY112" i="65" s="1"/>
  <c r="CL129" i="65"/>
  <c r="CL146" i="65"/>
  <c r="CL113" i="65"/>
  <c r="CL94" i="65"/>
  <c r="CY94" i="65" s="1"/>
  <c r="CL144" i="65"/>
  <c r="CY144" i="65" s="1"/>
  <c r="CL154" i="65"/>
  <c r="CY154" i="65" s="1"/>
  <c r="CL95" i="65"/>
  <c r="CY95" i="65" s="1"/>
  <c r="CL163" i="65"/>
  <c r="CY163" i="65" s="1"/>
  <c r="CL115" i="65"/>
  <c r="DB115" i="65" s="1"/>
  <c r="CL125" i="65"/>
  <c r="L20" i="53"/>
  <c r="G7" i="65" s="1"/>
  <c r="AT7" i="65" s="1"/>
  <c r="EJ19" i="65" s="1"/>
  <c r="K20" i="53"/>
  <c r="O20" i="53" s="1"/>
  <c r="J20" i="53"/>
  <c r="E7" i="65" s="1"/>
  <c r="AR7" i="65" s="1"/>
  <c r="EJ17" i="65" s="1"/>
  <c r="E47" i="53"/>
  <c r="F47" i="53"/>
  <c r="G48" i="53"/>
  <c r="J48" i="53" s="1"/>
  <c r="M47" i="53"/>
  <c r="N47" i="53" s="1"/>
  <c r="Z765" i="54"/>
  <c r="AF765" i="54" s="1"/>
  <c r="Z786" i="54"/>
  <c r="AF786" i="54" s="1"/>
  <c r="AJ786" i="54" s="1"/>
  <c r="G65" i="64"/>
  <c r="J65" i="64" s="1"/>
  <c r="G67" i="64"/>
  <c r="J67" i="64" s="1"/>
  <c r="G62" i="64"/>
  <c r="J62" i="64" s="1"/>
  <c r="G61" i="64"/>
  <c r="J61" i="64" s="1"/>
  <c r="G58" i="64"/>
  <c r="J58" i="64" s="1"/>
  <c r="G64" i="64"/>
  <c r="J64" i="64" s="1"/>
  <c r="G60" i="64"/>
  <c r="J60" i="64" s="1"/>
  <c r="G63" i="64"/>
  <c r="J63" i="64" s="1"/>
  <c r="G66" i="64"/>
  <c r="J66" i="64" s="1"/>
  <c r="G68" i="64"/>
  <c r="J68" i="64" s="1"/>
  <c r="G59" i="64"/>
  <c r="J59" i="64" s="1"/>
  <c r="Z88" i="54"/>
  <c r="AF88" i="54" s="1"/>
  <c r="AJ88" i="54" s="1"/>
  <c r="Z68" i="54"/>
  <c r="AF68" i="54" s="1"/>
  <c r="AJ68" i="54" s="1"/>
  <c r="Z48" i="54"/>
  <c r="AF48" i="54" s="1"/>
  <c r="AJ48" i="54" s="1"/>
  <c r="Z28" i="54"/>
  <c r="AF28" i="54" s="1"/>
  <c r="AJ28" i="54" s="1"/>
  <c r="Z8" i="54"/>
  <c r="AF8" i="54" s="1"/>
  <c r="AJ8" i="54" s="1"/>
  <c r="N24" i="53"/>
  <c r="I81" i="66" l="1"/>
  <c r="I80" i="66"/>
  <c r="U69" i="66"/>
  <c r="U80" i="66" s="1"/>
  <c r="O79" i="66"/>
  <c r="D20" i="53"/>
  <c r="G21" i="53" s="1"/>
  <c r="I21" i="53" s="1"/>
  <c r="E13" i="65"/>
  <c r="F7" i="65"/>
  <c r="AS7" i="65" s="1"/>
  <c r="EJ18" i="65" s="1"/>
  <c r="V325" i="54"/>
  <c r="V262" i="54"/>
  <c r="V283" i="54"/>
  <c r="V220" i="54"/>
  <c r="V241" i="54"/>
  <c r="V136" i="54"/>
  <c r="V73" i="54"/>
  <c r="V10" i="54"/>
  <c r="V31" i="54"/>
  <c r="V52" i="54"/>
  <c r="V178" i="54"/>
  <c r="V157" i="54"/>
  <c r="V94" i="54"/>
  <c r="V115" i="54"/>
  <c r="V304" i="54"/>
  <c r="V199" i="54"/>
  <c r="CN202" i="65"/>
  <c r="CN215" i="65"/>
  <c r="CN172" i="65"/>
  <c r="CZ172" i="65" s="1"/>
  <c r="CN198" i="65"/>
  <c r="CN232" i="65"/>
  <c r="CN167" i="65"/>
  <c r="CN168" i="65"/>
  <c r="CN233" i="65"/>
  <c r="CN204" i="65"/>
  <c r="CZ204" i="65" s="1"/>
  <c r="CN166" i="65"/>
  <c r="CN229" i="65"/>
  <c r="CZ229" i="65" s="1"/>
  <c r="CN200" i="65"/>
  <c r="CN244" i="65"/>
  <c r="CN197" i="65"/>
  <c r="CZ197" i="65" s="1"/>
  <c r="CN243" i="65"/>
  <c r="CN241" i="65"/>
  <c r="CZ241" i="65" s="1"/>
  <c r="CN242" i="65"/>
  <c r="CN186" i="65"/>
  <c r="CN213" i="65"/>
  <c r="CZ213" i="65" s="1"/>
  <c r="CN171" i="65"/>
  <c r="CZ171" i="65" s="1"/>
  <c r="CN220" i="65"/>
  <c r="CZ220" i="65" s="1"/>
  <c r="CN165" i="65"/>
  <c r="CZ165" i="65" s="1"/>
  <c r="CN181" i="65"/>
  <c r="CZ181" i="65" s="1"/>
  <c r="CN182" i="65"/>
  <c r="CN230" i="65"/>
  <c r="CN217" i="65"/>
  <c r="CN246" i="65"/>
  <c r="CN203" i="65"/>
  <c r="CZ203" i="65" s="1"/>
  <c r="CN199" i="65"/>
  <c r="CN185" i="65"/>
  <c r="CN219" i="65"/>
  <c r="CZ219" i="65" s="1"/>
  <c r="CN231" i="65"/>
  <c r="CN184" i="65"/>
  <c r="CN187" i="65"/>
  <c r="CZ187" i="65" s="1"/>
  <c r="CN169" i="65"/>
  <c r="CN214" i="65"/>
  <c r="CN245" i="65"/>
  <c r="CN170" i="65"/>
  <c r="CN188" i="65"/>
  <c r="CZ188" i="65" s="1"/>
  <c r="CN183" i="65"/>
  <c r="CN201" i="65"/>
  <c r="CN218" i="65"/>
  <c r="CN234" i="65"/>
  <c r="CN216" i="65"/>
  <c r="CP198" i="65"/>
  <c r="CP242" i="65"/>
  <c r="CP165" i="65"/>
  <c r="CP234" i="65"/>
  <c r="CZ234" i="65" s="1"/>
  <c r="CP200" i="65"/>
  <c r="CP244" i="65"/>
  <c r="CP169" i="65"/>
  <c r="CZ169" i="65" s="1"/>
  <c r="CP215" i="65"/>
  <c r="DC215" i="65" s="1"/>
  <c r="CP220" i="65"/>
  <c r="DC220" i="65" s="1"/>
  <c r="CP185" i="65"/>
  <c r="CZ185" i="65" s="1"/>
  <c r="CP199" i="65"/>
  <c r="DC199" i="65" s="1"/>
  <c r="CP243" i="65"/>
  <c r="DC243" i="65" s="1"/>
  <c r="CP229" i="65"/>
  <c r="CP186" i="65"/>
  <c r="CZ186" i="65" s="1"/>
  <c r="CP197" i="65"/>
  <c r="CP166" i="65"/>
  <c r="CP232" i="65"/>
  <c r="CP183" i="65"/>
  <c r="DC183" i="65" s="1"/>
  <c r="CP219" i="65"/>
  <c r="CP233" i="65"/>
  <c r="CZ233" i="65" s="1"/>
  <c r="CP217" i="65"/>
  <c r="CZ217" i="65" s="1"/>
  <c r="CP170" i="65"/>
  <c r="CZ170" i="65" s="1"/>
  <c r="CP231" i="65"/>
  <c r="DC231" i="65" s="1"/>
  <c r="CP201" i="65"/>
  <c r="CZ201" i="65" s="1"/>
  <c r="CP204" i="65"/>
  <c r="DC204" i="65" s="1"/>
  <c r="CP187" i="65"/>
  <c r="CP214" i="65"/>
  <c r="CP202" i="65"/>
  <c r="CZ202" i="65" s="1"/>
  <c r="CP182" i="65"/>
  <c r="CP184" i="65"/>
  <c r="CP172" i="65"/>
  <c r="DC172" i="65" s="1"/>
  <c r="CP181" i="65"/>
  <c r="CP245" i="65"/>
  <c r="CZ245" i="65" s="1"/>
  <c r="CP167" i="65"/>
  <c r="DC167" i="65" s="1"/>
  <c r="CP188" i="65"/>
  <c r="DC188" i="65" s="1"/>
  <c r="CP241" i="65"/>
  <c r="CP213" i="65"/>
  <c r="CP246" i="65"/>
  <c r="CZ246" i="65" s="1"/>
  <c r="CP168" i="65"/>
  <c r="CP171" i="65"/>
  <c r="CP216" i="65"/>
  <c r="CP230" i="65"/>
  <c r="CP203" i="65"/>
  <c r="CP218" i="65"/>
  <c r="CZ218" i="65" s="1"/>
  <c r="I7" i="65"/>
  <c r="D48" i="53"/>
  <c r="I48" i="53"/>
  <c r="L48" i="53" s="1"/>
  <c r="AD765" i="54"/>
  <c r="AH765" i="54" s="1"/>
  <c r="AD786" i="54"/>
  <c r="AH786" i="54" s="1"/>
  <c r="AL786" i="54" s="1"/>
  <c r="X10" i="54"/>
  <c r="X94" i="54"/>
  <c r="X178" i="54"/>
  <c r="X262" i="54"/>
  <c r="X31" i="54"/>
  <c r="X115" i="54"/>
  <c r="X199" i="54"/>
  <c r="X283" i="54"/>
  <c r="X52" i="54"/>
  <c r="X136" i="54"/>
  <c r="X220" i="54"/>
  <c r="X304" i="54"/>
  <c r="X157" i="54"/>
  <c r="X241" i="54"/>
  <c r="X325" i="54"/>
  <c r="X73" i="54"/>
  <c r="H48" i="53"/>
  <c r="K48" i="53" s="1"/>
  <c r="O48" i="53" s="1"/>
  <c r="AB765" i="54"/>
  <c r="AG765" i="54" s="1"/>
  <c r="AB786" i="54"/>
  <c r="AG786" i="54" s="1"/>
  <c r="AK786" i="54" s="1"/>
  <c r="T52" i="54"/>
  <c r="T136" i="54"/>
  <c r="T73" i="54"/>
  <c r="T157" i="54"/>
  <c r="T10" i="54"/>
  <c r="T94" i="54"/>
  <c r="T31" i="54"/>
  <c r="T178" i="54"/>
  <c r="T262" i="54"/>
  <c r="T115" i="54"/>
  <c r="T199" i="54"/>
  <c r="T283" i="54"/>
  <c r="T220" i="54"/>
  <c r="T304" i="54"/>
  <c r="T241" i="54"/>
  <c r="T325" i="54"/>
  <c r="E20" i="53"/>
  <c r="H21" i="53" s="1"/>
  <c r="F20" i="53"/>
  <c r="I62" i="64"/>
  <c r="L62" i="64" s="1"/>
  <c r="I65" i="64"/>
  <c r="L65" i="64" s="1"/>
  <c r="I60" i="64"/>
  <c r="L60" i="64" s="1"/>
  <c r="I66" i="64"/>
  <c r="L66" i="64" s="1"/>
  <c r="I61" i="64"/>
  <c r="L61" i="64" s="1"/>
  <c r="I58" i="64"/>
  <c r="L58" i="64" s="1"/>
  <c r="I68" i="64"/>
  <c r="L68" i="64" s="1"/>
  <c r="I67" i="64"/>
  <c r="L67" i="64" s="1"/>
  <c r="I64" i="64"/>
  <c r="L64" i="64" s="1"/>
  <c r="I59" i="64"/>
  <c r="L59" i="64" s="1"/>
  <c r="I63" i="64"/>
  <c r="L63" i="64" s="1"/>
  <c r="AD88" i="54"/>
  <c r="AH88" i="54" s="1"/>
  <c r="AL88" i="54" s="1"/>
  <c r="AD68" i="54"/>
  <c r="AH68" i="54" s="1"/>
  <c r="AL68" i="54" s="1"/>
  <c r="AD48" i="54"/>
  <c r="AH48" i="54" s="1"/>
  <c r="AL48" i="54" s="1"/>
  <c r="AD28" i="54"/>
  <c r="AH28" i="54" s="1"/>
  <c r="AL28" i="54" s="1"/>
  <c r="H61" i="64"/>
  <c r="K61" i="64" s="1"/>
  <c r="H65" i="64"/>
  <c r="K65" i="64" s="1"/>
  <c r="H62" i="64"/>
  <c r="K62" i="64" s="1"/>
  <c r="H68" i="64"/>
  <c r="K68" i="64" s="1"/>
  <c r="H58" i="64"/>
  <c r="K58" i="64" s="1"/>
  <c r="H67" i="64"/>
  <c r="K67" i="64" s="1"/>
  <c r="H64" i="64"/>
  <c r="K64" i="64" s="1"/>
  <c r="H59" i="64"/>
  <c r="K59" i="64" s="1"/>
  <c r="H60" i="64"/>
  <c r="K60" i="64" s="1"/>
  <c r="H66" i="64"/>
  <c r="K66" i="64" s="1"/>
  <c r="H63" i="64"/>
  <c r="K63" i="64" s="1"/>
  <c r="AB88" i="54"/>
  <c r="AG88" i="54" s="1"/>
  <c r="AK88" i="54" s="1"/>
  <c r="AB68" i="54"/>
  <c r="AG68" i="54" s="1"/>
  <c r="AK68" i="54" s="1"/>
  <c r="AB48" i="54"/>
  <c r="AG48" i="54" s="1"/>
  <c r="AK48" i="54" s="1"/>
  <c r="AB28" i="54"/>
  <c r="AG28" i="54" s="1"/>
  <c r="AK28" i="54" s="1"/>
  <c r="Z386" i="54"/>
  <c r="AF386" i="54" s="1"/>
  <c r="Z344" i="54"/>
  <c r="AF344" i="54" s="1"/>
  <c r="AD8" i="54"/>
  <c r="AH8" i="54" s="1"/>
  <c r="AL8" i="54" s="1"/>
  <c r="AB8" i="54"/>
  <c r="AG8" i="54" s="1"/>
  <c r="AK8" i="54" s="1"/>
  <c r="N25" i="53"/>
  <c r="I13" i="65" l="1"/>
  <c r="AR13" i="65"/>
  <c r="EJ53" i="65" s="1"/>
  <c r="F13" i="65"/>
  <c r="G13" i="65"/>
  <c r="CN236" i="65"/>
  <c r="CN208" i="65"/>
  <c r="CN190" i="65"/>
  <c r="CN222" i="65"/>
  <c r="CN173" i="65"/>
  <c r="CZ173" i="65" s="1"/>
  <c r="CN226" i="65"/>
  <c r="CN210" i="65"/>
  <c r="CN238" i="65"/>
  <c r="CN252" i="65"/>
  <c r="CN195" i="65"/>
  <c r="CZ195" i="65" s="1"/>
  <c r="CN205" i="65"/>
  <c r="CZ205" i="65" s="1"/>
  <c r="CN176" i="65"/>
  <c r="CN223" i="65"/>
  <c r="CN240" i="65"/>
  <c r="CN248" i="65"/>
  <c r="CN225" i="65"/>
  <c r="CN193" i="65"/>
  <c r="CN174" i="65"/>
  <c r="CN224" i="65"/>
  <c r="CN239" i="65"/>
  <c r="CN211" i="65"/>
  <c r="CZ211" i="65" s="1"/>
  <c r="CN237" i="65"/>
  <c r="CN249" i="65"/>
  <c r="CN175" i="65"/>
  <c r="CN189" i="65"/>
  <c r="CZ189" i="65" s="1"/>
  <c r="CN178" i="65"/>
  <c r="CN221" i="65"/>
  <c r="CZ221" i="65" s="1"/>
  <c r="CN194" i="65"/>
  <c r="CN235" i="65"/>
  <c r="CZ235" i="65" s="1"/>
  <c r="CN247" i="65"/>
  <c r="CZ247" i="65" s="1"/>
  <c r="CN209" i="65"/>
  <c r="CN250" i="65"/>
  <c r="CN212" i="65"/>
  <c r="CZ212" i="65" s="1"/>
  <c r="CN206" i="65"/>
  <c r="CN191" i="65"/>
  <c r="CN179" i="65"/>
  <c r="CZ179" i="65" s="1"/>
  <c r="CN196" i="65"/>
  <c r="CZ196" i="65" s="1"/>
  <c r="CN192" i="65"/>
  <c r="CN207" i="65"/>
  <c r="CN180" i="65"/>
  <c r="CZ180" i="65" s="1"/>
  <c r="CN227" i="65"/>
  <c r="CZ227" i="65" s="1"/>
  <c r="CN228" i="65"/>
  <c r="CZ228" i="65" s="1"/>
  <c r="CN251" i="65"/>
  <c r="CN177" i="65"/>
  <c r="CO172" i="65"/>
  <c r="CO198" i="65"/>
  <c r="CZ198" i="65" s="1"/>
  <c r="CO229" i="65"/>
  <c r="CO200" i="65"/>
  <c r="CZ200" i="65" s="1"/>
  <c r="CO166" i="65"/>
  <c r="CZ166" i="65" s="1"/>
  <c r="CO168" i="65"/>
  <c r="CZ168" i="65" s="1"/>
  <c r="CO215" i="65"/>
  <c r="CZ215" i="65" s="1"/>
  <c r="CO181" i="65"/>
  <c r="CO243" i="65"/>
  <c r="CZ243" i="65" s="1"/>
  <c r="CO233" i="65"/>
  <c r="CO241" i="65"/>
  <c r="CO242" i="65"/>
  <c r="CZ242" i="65" s="1"/>
  <c r="CO213" i="65"/>
  <c r="CO171" i="65"/>
  <c r="DC171" i="65" s="1"/>
  <c r="CO220" i="65"/>
  <c r="CO217" i="65"/>
  <c r="CO245" i="65"/>
  <c r="CO165" i="65"/>
  <c r="CO232" i="65"/>
  <c r="CZ232" i="65" s="1"/>
  <c r="CO203" i="65"/>
  <c r="DC203" i="65" s="1"/>
  <c r="CO244" i="65"/>
  <c r="CZ244" i="65" s="1"/>
  <c r="CO183" i="65"/>
  <c r="CZ183" i="65" s="1"/>
  <c r="CO197" i="65"/>
  <c r="CO186" i="65"/>
  <c r="CO201" i="65"/>
  <c r="CO216" i="65"/>
  <c r="CZ216" i="65" s="1"/>
  <c r="CO218" i="65"/>
  <c r="CO204" i="65"/>
  <c r="CO199" i="65"/>
  <c r="CZ199" i="65" s="1"/>
  <c r="CO188" i="65"/>
  <c r="CO219" i="65"/>
  <c r="DC219" i="65" s="1"/>
  <c r="CO167" i="65"/>
  <c r="CZ167" i="65" s="1"/>
  <c r="CO182" i="65"/>
  <c r="CZ182" i="65" s="1"/>
  <c r="CO231" i="65"/>
  <c r="CZ231" i="65" s="1"/>
  <c r="CO184" i="65"/>
  <c r="CZ184" i="65" s="1"/>
  <c r="CO170" i="65"/>
  <c r="CO234" i="65"/>
  <c r="CO187" i="65"/>
  <c r="DC187" i="65" s="1"/>
  <c r="CO230" i="65"/>
  <c r="CZ230" i="65" s="1"/>
  <c r="CO169" i="65"/>
  <c r="CO202" i="65"/>
  <c r="CO214" i="65"/>
  <c r="CZ214" i="65" s="1"/>
  <c r="CO185" i="65"/>
  <c r="CO246" i="65"/>
  <c r="L21" i="53"/>
  <c r="V409" i="54"/>
  <c r="V346" i="54"/>
  <c r="V682" i="54"/>
  <c r="V619" i="54"/>
  <c r="V556" i="54"/>
  <c r="V766" i="54"/>
  <c r="V598" i="54"/>
  <c r="V745" i="54"/>
  <c r="V493" i="54"/>
  <c r="V430" i="54"/>
  <c r="V367" i="54"/>
  <c r="V703" i="54"/>
  <c r="V640" i="54"/>
  <c r="V787" i="54"/>
  <c r="V535" i="54"/>
  <c r="V577" i="54"/>
  <c r="V514" i="54"/>
  <c r="V451" i="54"/>
  <c r="V388" i="54"/>
  <c r="V724" i="54"/>
  <c r="V661" i="54"/>
  <c r="V472" i="54"/>
  <c r="K7" i="65"/>
  <c r="J7" i="65"/>
  <c r="E48" i="53"/>
  <c r="G49" i="53"/>
  <c r="I49" i="53" s="1"/>
  <c r="F48" i="53"/>
  <c r="M48" i="53"/>
  <c r="N48" i="53" s="1"/>
  <c r="Z787" i="54"/>
  <c r="AF787" i="54" s="1"/>
  <c r="AJ787" i="54" s="1"/>
  <c r="Z766" i="54"/>
  <c r="AF766" i="54" s="1"/>
  <c r="J21" i="53"/>
  <c r="AI7" i="65" s="1"/>
  <c r="CK179" i="65"/>
  <c r="CY179" i="65" s="1"/>
  <c r="CK178" i="65"/>
  <c r="CK210" i="65"/>
  <c r="CK250" i="65"/>
  <c r="CK209" i="65"/>
  <c r="CK248" i="65"/>
  <c r="CK227" i="65"/>
  <c r="CY227" i="65" s="1"/>
  <c r="CK212" i="65"/>
  <c r="CY212" i="65" s="1"/>
  <c r="CK249" i="65"/>
  <c r="CK189" i="65"/>
  <c r="CY189" i="65" s="1"/>
  <c r="CK196" i="65"/>
  <c r="CY196" i="65" s="1"/>
  <c r="CK191" i="65"/>
  <c r="CK190" i="65"/>
  <c r="CK222" i="65"/>
  <c r="CK176" i="65"/>
  <c r="CK223" i="65"/>
  <c r="CK177" i="65"/>
  <c r="CK236" i="65"/>
  <c r="CK237" i="65"/>
  <c r="CK180" i="65"/>
  <c r="CY180" i="65" s="1"/>
  <c r="CK221" i="65"/>
  <c r="CY221" i="65" s="1"/>
  <c r="CK240" i="65"/>
  <c r="CK195" i="65"/>
  <c r="CY195" i="65" s="1"/>
  <c r="CK194" i="65"/>
  <c r="CK226" i="65"/>
  <c r="CK192" i="65"/>
  <c r="CK225" i="65"/>
  <c r="CK193" i="65"/>
  <c r="CK252" i="65"/>
  <c r="CK251" i="65"/>
  <c r="CK208" i="65"/>
  <c r="CK235" i="65"/>
  <c r="CY235" i="65" s="1"/>
  <c r="CK228" i="65"/>
  <c r="CY228" i="65" s="1"/>
  <c r="CK175" i="65"/>
  <c r="CK207" i="65"/>
  <c r="CK224" i="65"/>
  <c r="CK174" i="65"/>
  <c r="CK239" i="65"/>
  <c r="CK247" i="65"/>
  <c r="CY247" i="65" s="1"/>
  <c r="CK206" i="65"/>
  <c r="CK211" i="65"/>
  <c r="CY211" i="65" s="1"/>
  <c r="CK173" i="65"/>
  <c r="CY173" i="65" s="1"/>
  <c r="CK238" i="65"/>
  <c r="CK205" i="65"/>
  <c r="CY205" i="65" s="1"/>
  <c r="X661" i="54"/>
  <c r="X598" i="54"/>
  <c r="X619" i="54"/>
  <c r="X787" i="54"/>
  <c r="X556" i="54"/>
  <c r="X346" i="54"/>
  <c r="X388" i="54"/>
  <c r="X682" i="54"/>
  <c r="X514" i="54"/>
  <c r="X745" i="54"/>
  <c r="X409" i="54"/>
  <c r="X367" i="54"/>
  <c r="X640" i="54"/>
  <c r="X577" i="54"/>
  <c r="X703" i="54"/>
  <c r="X493" i="54"/>
  <c r="X430" i="54"/>
  <c r="X451" i="54"/>
  <c r="X472" i="54"/>
  <c r="X724" i="54"/>
  <c r="X766" i="54"/>
  <c r="X535" i="54"/>
  <c r="T346" i="54"/>
  <c r="T451" i="54"/>
  <c r="T556" i="54"/>
  <c r="T661" i="54"/>
  <c r="T766" i="54"/>
  <c r="T472" i="54"/>
  <c r="T430" i="54"/>
  <c r="T535" i="54"/>
  <c r="T640" i="54"/>
  <c r="T745" i="54"/>
  <c r="T619" i="54"/>
  <c r="T367" i="54"/>
  <c r="T682" i="54"/>
  <c r="T409" i="54"/>
  <c r="T514" i="54"/>
  <c r="T388" i="54"/>
  <c r="T724" i="54"/>
  <c r="T598" i="54"/>
  <c r="T703" i="54"/>
  <c r="T493" i="54"/>
  <c r="T577" i="54"/>
  <c r="T787" i="54"/>
  <c r="CK171" i="65"/>
  <c r="CY171" i="65" s="1"/>
  <c r="CK166" i="65"/>
  <c r="CK198" i="65"/>
  <c r="CK230" i="65"/>
  <c r="CK168" i="65"/>
  <c r="CK232" i="65"/>
  <c r="CK204" i="65"/>
  <c r="CY204" i="65" s="1"/>
  <c r="CK243" i="65"/>
  <c r="CK197" i="65"/>
  <c r="CY197" i="65" s="1"/>
  <c r="CK188" i="65"/>
  <c r="CY188" i="65" s="1"/>
  <c r="CK215" i="65"/>
  <c r="CK183" i="65"/>
  <c r="CK170" i="65"/>
  <c r="CK202" i="65"/>
  <c r="CK234" i="65"/>
  <c r="CK184" i="65"/>
  <c r="CK241" i="65"/>
  <c r="CY241" i="65" s="1"/>
  <c r="CK213" i="65"/>
  <c r="CY213" i="65" s="1"/>
  <c r="CK245" i="65"/>
  <c r="CK219" i="65"/>
  <c r="CY219" i="65" s="1"/>
  <c r="CK217" i="65"/>
  <c r="CK233" i="65"/>
  <c r="CK187" i="65"/>
  <c r="CY187" i="65" s="1"/>
  <c r="CK182" i="65"/>
  <c r="CK214" i="65"/>
  <c r="CK242" i="65"/>
  <c r="CK200" i="65"/>
  <c r="CK169" i="65"/>
  <c r="CK220" i="65"/>
  <c r="CY220" i="65" s="1"/>
  <c r="CK165" i="65"/>
  <c r="CY165" i="65" s="1"/>
  <c r="CK244" i="65"/>
  <c r="CK231" i="65"/>
  <c r="CK203" i="65"/>
  <c r="CY203" i="65" s="1"/>
  <c r="CK218" i="65"/>
  <c r="CK229" i="65"/>
  <c r="CY229" i="65" s="1"/>
  <c r="CK167" i="65"/>
  <c r="CK246" i="65"/>
  <c r="CK181" i="65"/>
  <c r="CY181" i="65" s="1"/>
  <c r="CK199" i="65"/>
  <c r="CK216" i="65"/>
  <c r="CK172" i="65"/>
  <c r="CY172" i="65" s="1"/>
  <c r="CK186" i="65"/>
  <c r="CK185" i="65"/>
  <c r="CK201" i="65"/>
  <c r="K21" i="53"/>
  <c r="O21" i="53" s="1"/>
  <c r="F75" i="64"/>
  <c r="F71" i="64"/>
  <c r="F77" i="64"/>
  <c r="F74" i="64"/>
  <c r="F69" i="64"/>
  <c r="F79" i="64"/>
  <c r="F76" i="64"/>
  <c r="F72" i="64"/>
  <c r="F78" i="64"/>
  <c r="F73" i="64"/>
  <c r="F70" i="64"/>
  <c r="D73" i="64"/>
  <c r="D75" i="64"/>
  <c r="D74" i="64"/>
  <c r="D77" i="64"/>
  <c r="D78" i="64"/>
  <c r="D76" i="64"/>
  <c r="D72" i="64"/>
  <c r="D69" i="64"/>
  <c r="D79" i="64"/>
  <c r="D70" i="64"/>
  <c r="D71" i="64"/>
  <c r="E72" i="64"/>
  <c r="E79" i="64"/>
  <c r="E77" i="64"/>
  <c r="E73" i="64"/>
  <c r="E69" i="64"/>
  <c r="E74" i="64"/>
  <c r="E78" i="64"/>
  <c r="E70" i="64"/>
  <c r="E75" i="64"/>
  <c r="E71" i="64"/>
  <c r="E76" i="64"/>
  <c r="AD386" i="54"/>
  <c r="AH386" i="54" s="1"/>
  <c r="AD344" i="54"/>
  <c r="AH344" i="54" s="1"/>
  <c r="AB344" i="54"/>
  <c r="AG344" i="54" s="1"/>
  <c r="AB386" i="54"/>
  <c r="AG386" i="54" s="1"/>
  <c r="N26" i="53"/>
  <c r="J13" i="65" l="1"/>
  <c r="AS13" i="65"/>
  <c r="EJ54" i="65" s="1"/>
  <c r="K13" i="65"/>
  <c r="CM228" i="65" s="1"/>
  <c r="DB228" i="65" s="1"/>
  <c r="AT13" i="65"/>
  <c r="EJ55" i="65" s="1"/>
  <c r="L49" i="53"/>
  <c r="AJ13" i="65" s="1"/>
  <c r="DS16" i="65"/>
  <c r="DS13" i="65"/>
  <c r="CO194" i="65"/>
  <c r="CO210" i="65"/>
  <c r="CO240" i="65"/>
  <c r="CO193" i="65"/>
  <c r="CO173" i="65"/>
  <c r="CO226" i="65"/>
  <c r="CO223" i="65"/>
  <c r="CZ223" i="65" s="1"/>
  <c r="CO179" i="65"/>
  <c r="DC179" i="65" s="1"/>
  <c r="CO192" i="65"/>
  <c r="CZ192" i="65" s="1"/>
  <c r="CO235" i="65"/>
  <c r="CO190" i="65"/>
  <c r="CZ190" i="65" s="1"/>
  <c r="CO239" i="65"/>
  <c r="CO195" i="65"/>
  <c r="DC195" i="65" s="1"/>
  <c r="CO248" i="65"/>
  <c r="CZ248" i="65" s="1"/>
  <c r="CO236" i="65"/>
  <c r="CZ236" i="65" s="1"/>
  <c r="CO224" i="65"/>
  <c r="CZ224" i="65" s="1"/>
  <c r="CO222" i="65"/>
  <c r="CZ222" i="65" s="1"/>
  <c r="CO237" i="65"/>
  <c r="CZ237" i="65" s="1"/>
  <c r="CO209" i="65"/>
  <c r="CO249" i="65"/>
  <c r="CZ249" i="65" s="1"/>
  <c r="CO208" i="65"/>
  <c r="CZ208" i="65" s="1"/>
  <c r="CO238" i="65"/>
  <c r="CZ238" i="65" s="1"/>
  <c r="CO252" i="65"/>
  <c r="CO176" i="65"/>
  <c r="CZ176" i="65" s="1"/>
  <c r="CO207" i="65"/>
  <c r="CZ207" i="65" s="1"/>
  <c r="CO211" i="65"/>
  <c r="DC211" i="65" s="1"/>
  <c r="CO174" i="65"/>
  <c r="CZ174" i="65" s="1"/>
  <c r="CO196" i="65"/>
  <c r="CO206" i="65"/>
  <c r="CZ206" i="65" s="1"/>
  <c r="CO191" i="65"/>
  <c r="CZ191" i="65" s="1"/>
  <c r="CO177" i="65"/>
  <c r="CO251" i="65"/>
  <c r="CO221" i="65"/>
  <c r="CO205" i="65"/>
  <c r="CO250" i="65"/>
  <c r="CZ250" i="65" s="1"/>
  <c r="CO228" i="65"/>
  <c r="CO227" i="65"/>
  <c r="DC227" i="65" s="1"/>
  <c r="CO225" i="65"/>
  <c r="CO175" i="65"/>
  <c r="CZ175" i="65" s="1"/>
  <c r="CO247" i="65"/>
  <c r="CO189" i="65"/>
  <c r="CO180" i="65"/>
  <c r="CO178" i="65"/>
  <c r="CO212" i="65"/>
  <c r="CP192" i="65"/>
  <c r="CP222" i="65"/>
  <c r="CP224" i="65"/>
  <c r="CP235" i="65"/>
  <c r="CP190" i="65"/>
  <c r="CP239" i="65"/>
  <c r="CZ239" i="65" s="1"/>
  <c r="CP194" i="65"/>
  <c r="CZ194" i="65" s="1"/>
  <c r="CP223" i="65"/>
  <c r="DC223" i="65" s="1"/>
  <c r="CP240" i="65"/>
  <c r="CZ240" i="65" s="1"/>
  <c r="CP208" i="65"/>
  <c r="CP179" i="65"/>
  <c r="CP176" i="65"/>
  <c r="CP193" i="65"/>
  <c r="CZ193" i="65" s="1"/>
  <c r="CP226" i="65"/>
  <c r="CZ226" i="65" s="1"/>
  <c r="CP252" i="65"/>
  <c r="CZ252" i="65" s="1"/>
  <c r="CP210" i="65"/>
  <c r="CZ210" i="65" s="1"/>
  <c r="CP173" i="65"/>
  <c r="CP238" i="65"/>
  <c r="CP207" i="65"/>
  <c r="DC207" i="65" s="1"/>
  <c r="CP247" i="65"/>
  <c r="CP174" i="65"/>
  <c r="CP248" i="65"/>
  <c r="CP225" i="65"/>
  <c r="CZ225" i="65" s="1"/>
  <c r="CP250" i="65"/>
  <c r="CP180" i="65"/>
  <c r="DC180" i="65" s="1"/>
  <c r="CP228" i="65"/>
  <c r="DC228" i="65" s="1"/>
  <c r="CP227" i="65"/>
  <c r="CP251" i="65"/>
  <c r="CZ251" i="65" s="1"/>
  <c r="CP205" i="65"/>
  <c r="CP237" i="65"/>
  <c r="DC237" i="65" s="1"/>
  <c r="CP249" i="65"/>
  <c r="DC249" i="65" s="1"/>
  <c r="CP196" i="65"/>
  <c r="DC196" i="65" s="1"/>
  <c r="CP211" i="65"/>
  <c r="CP209" i="65"/>
  <c r="CZ209" i="65" s="1"/>
  <c r="CP175" i="65"/>
  <c r="DC175" i="65" s="1"/>
  <c r="CP189" i="65"/>
  <c r="CP178" i="65"/>
  <c r="CZ178" i="65" s="1"/>
  <c r="CP236" i="65"/>
  <c r="CP195" i="65"/>
  <c r="CP206" i="65"/>
  <c r="CP221" i="65"/>
  <c r="CP212" i="65"/>
  <c r="DC212" i="65" s="1"/>
  <c r="CP177" i="65"/>
  <c r="CZ177" i="65" s="1"/>
  <c r="CP191" i="65"/>
  <c r="DC191" i="65" s="1"/>
  <c r="AJ7" i="65"/>
  <c r="J49" i="53"/>
  <c r="T704" i="54" s="1"/>
  <c r="X74" i="54"/>
  <c r="X158" i="54"/>
  <c r="X242" i="54"/>
  <c r="X326" i="54"/>
  <c r="X11" i="54"/>
  <c r="X95" i="54"/>
  <c r="X179" i="54"/>
  <c r="X263" i="54"/>
  <c r="X32" i="54"/>
  <c r="X116" i="54"/>
  <c r="X200" i="54"/>
  <c r="X284" i="54"/>
  <c r="X137" i="54"/>
  <c r="X221" i="54"/>
  <c r="X53" i="54"/>
  <c r="X305" i="54"/>
  <c r="H49" i="53"/>
  <c r="K49" i="53" s="1"/>
  <c r="O49" i="53" s="1"/>
  <c r="AB766" i="54"/>
  <c r="AG766" i="54" s="1"/>
  <c r="AB787" i="54"/>
  <c r="AG787" i="54" s="1"/>
  <c r="AK787" i="54" s="1"/>
  <c r="X641" i="54"/>
  <c r="X662" i="54"/>
  <c r="X599" i="54"/>
  <c r="X683" i="54"/>
  <c r="X620" i="54"/>
  <c r="X515" i="54"/>
  <c r="X389" i="54"/>
  <c r="X410" i="54"/>
  <c r="X347" i="54"/>
  <c r="X368" i="54"/>
  <c r="X767" i="54"/>
  <c r="X725" i="54"/>
  <c r="X557" i="54"/>
  <c r="X536" i="54"/>
  <c r="X473" i="54"/>
  <c r="X494" i="54"/>
  <c r="X431" i="54"/>
  <c r="X452" i="54"/>
  <c r="X704" i="54"/>
  <c r="X746" i="54"/>
  <c r="X578" i="54"/>
  <c r="X788" i="54"/>
  <c r="CL172" i="65"/>
  <c r="CL171" i="65"/>
  <c r="DB171" i="65" s="1"/>
  <c r="CL203" i="65"/>
  <c r="DB203" i="65" s="1"/>
  <c r="CL243" i="65"/>
  <c r="CY243" i="65" s="1"/>
  <c r="CL214" i="65"/>
  <c r="CY214" i="65" s="1"/>
  <c r="CL166" i="65"/>
  <c r="CY166" i="65" s="1"/>
  <c r="CL202" i="65"/>
  <c r="CL234" i="65"/>
  <c r="CL201" i="65"/>
  <c r="CL245" i="65"/>
  <c r="CL184" i="65"/>
  <c r="CY184" i="65" s="1"/>
  <c r="CL183" i="65"/>
  <c r="CY183" i="65" s="1"/>
  <c r="CL215" i="65"/>
  <c r="CY215" i="65" s="1"/>
  <c r="CL165" i="65"/>
  <c r="CL230" i="65"/>
  <c r="CY230" i="65" s="1"/>
  <c r="CL182" i="65"/>
  <c r="CY182" i="65" s="1"/>
  <c r="CL216" i="65"/>
  <c r="CY216" i="65" s="1"/>
  <c r="CL241" i="65"/>
  <c r="CL233" i="65"/>
  <c r="CL169" i="65"/>
  <c r="CL188" i="65"/>
  <c r="CL187" i="65"/>
  <c r="DB187" i="65" s="1"/>
  <c r="CL219" i="65"/>
  <c r="DB219" i="65" s="1"/>
  <c r="CL181" i="65"/>
  <c r="CL244" i="65"/>
  <c r="CY244" i="65" s="1"/>
  <c r="CL198" i="65"/>
  <c r="CY198" i="65" s="1"/>
  <c r="CL218" i="65"/>
  <c r="CL170" i="65"/>
  <c r="CL213" i="65"/>
  <c r="CL229" i="65"/>
  <c r="CL199" i="65"/>
  <c r="CY199" i="65" s="1"/>
  <c r="CL200" i="65"/>
  <c r="CY200" i="65" s="1"/>
  <c r="CL185" i="65"/>
  <c r="CL231" i="65"/>
  <c r="CY231" i="65" s="1"/>
  <c r="CL232" i="65"/>
  <c r="CY232" i="65" s="1"/>
  <c r="CL204" i="65"/>
  <c r="CL168" i="65"/>
  <c r="CY168" i="65" s="1"/>
  <c r="CL197" i="65"/>
  <c r="CL186" i="65"/>
  <c r="CL217" i="65"/>
  <c r="CL220" i="65"/>
  <c r="CL242" i="65"/>
  <c r="CY242" i="65" s="1"/>
  <c r="CL167" i="65"/>
  <c r="CY167" i="65" s="1"/>
  <c r="CL246" i="65"/>
  <c r="CM193" i="65"/>
  <c r="CY193" i="65" s="1"/>
  <c r="CM196" i="65"/>
  <c r="DB196" i="65" s="1"/>
  <c r="CM209" i="65"/>
  <c r="CY209" i="65" s="1"/>
  <c r="CM206" i="65"/>
  <c r="CM235" i="65"/>
  <c r="CM195" i="65"/>
  <c r="CM212" i="65"/>
  <c r="DB212" i="65" s="1"/>
  <c r="CM240" i="65"/>
  <c r="CY240" i="65" s="1"/>
  <c r="CM174" i="65"/>
  <c r="CM224" i="65"/>
  <c r="CM210" i="65"/>
  <c r="CY210" i="65" s="1"/>
  <c r="CM247" i="65"/>
  <c r="V53" i="54"/>
  <c r="V137" i="54"/>
  <c r="V221" i="54"/>
  <c r="V305" i="54"/>
  <c r="V74" i="54"/>
  <c r="V158" i="54"/>
  <c r="V242" i="54"/>
  <c r="V326" i="54"/>
  <c r="V11" i="54"/>
  <c r="V95" i="54"/>
  <c r="V179" i="54"/>
  <c r="V263" i="54"/>
  <c r="V32" i="54"/>
  <c r="V116" i="54"/>
  <c r="V200" i="54"/>
  <c r="V284" i="54"/>
  <c r="T32" i="54"/>
  <c r="T116" i="54"/>
  <c r="T53" i="54"/>
  <c r="T137" i="54"/>
  <c r="T74" i="54"/>
  <c r="T11" i="54"/>
  <c r="T242" i="54"/>
  <c r="T326" i="54"/>
  <c r="T221" i="54"/>
  <c r="T305" i="54"/>
  <c r="T95" i="54"/>
  <c r="T179" i="54"/>
  <c r="T263" i="54"/>
  <c r="T158" i="54"/>
  <c r="T200" i="54"/>
  <c r="T284" i="54"/>
  <c r="AD787" i="54"/>
  <c r="AH787" i="54" s="1"/>
  <c r="AL787" i="54" s="1"/>
  <c r="AD766" i="54"/>
  <c r="AH766" i="54" s="1"/>
  <c r="CL180" i="65"/>
  <c r="CL179" i="65"/>
  <c r="DB179" i="65" s="1"/>
  <c r="CL211" i="65"/>
  <c r="DB211" i="65" s="1"/>
  <c r="CL239" i="65"/>
  <c r="CL189" i="65"/>
  <c r="CL228" i="65"/>
  <c r="CL209" i="65"/>
  <c r="CL208" i="65"/>
  <c r="CY208" i="65" s="1"/>
  <c r="CL193" i="65"/>
  <c r="CL222" i="65"/>
  <c r="CY222" i="65" s="1"/>
  <c r="CL210" i="65"/>
  <c r="CL192" i="65"/>
  <c r="CY192" i="65" s="1"/>
  <c r="CL191" i="65"/>
  <c r="CY191" i="65" s="1"/>
  <c r="CL223" i="65"/>
  <c r="CY223" i="65" s="1"/>
  <c r="CL247" i="65"/>
  <c r="CL205" i="65"/>
  <c r="CL237" i="65"/>
  <c r="CY237" i="65" s="1"/>
  <c r="CL225" i="65"/>
  <c r="CL226" i="65"/>
  <c r="CL206" i="65"/>
  <c r="CY206" i="65" s="1"/>
  <c r="CL236" i="65"/>
  <c r="CY236" i="65" s="1"/>
  <c r="CL224" i="65"/>
  <c r="CY224" i="65" s="1"/>
  <c r="CL196" i="65"/>
  <c r="CL195" i="65"/>
  <c r="DB195" i="65" s="1"/>
  <c r="CL227" i="65"/>
  <c r="DB227" i="65" s="1"/>
  <c r="CL251" i="65"/>
  <c r="CL212" i="65"/>
  <c r="CL174" i="65"/>
  <c r="CY174" i="65" s="1"/>
  <c r="CL248" i="65"/>
  <c r="CY248" i="65" s="1"/>
  <c r="CL240" i="65"/>
  <c r="CL238" i="65"/>
  <c r="CY238" i="65" s="1"/>
  <c r="CL249" i="65"/>
  <c r="CY249" i="65" s="1"/>
  <c r="CL178" i="65"/>
  <c r="CL207" i="65"/>
  <c r="CY207" i="65" s="1"/>
  <c r="CL190" i="65"/>
  <c r="CY190" i="65" s="1"/>
  <c r="CL194" i="65"/>
  <c r="CL235" i="65"/>
  <c r="CL250" i="65"/>
  <c r="CY250" i="65" s="1"/>
  <c r="CL176" i="65"/>
  <c r="CY176" i="65" s="1"/>
  <c r="CL173" i="65"/>
  <c r="CL177" i="65"/>
  <c r="CL252" i="65"/>
  <c r="CL175" i="65"/>
  <c r="CY175" i="65" s="1"/>
  <c r="CL221" i="65"/>
  <c r="CM181" i="65"/>
  <c r="CM172" i="65"/>
  <c r="DB172" i="65" s="1"/>
  <c r="CM204" i="65"/>
  <c r="DB204" i="65" s="1"/>
  <c r="CM244" i="65"/>
  <c r="CM203" i="65"/>
  <c r="CM242" i="65"/>
  <c r="CM230" i="65"/>
  <c r="CM166" i="65"/>
  <c r="CM234" i="65"/>
  <c r="CY234" i="65" s="1"/>
  <c r="CM167" i="65"/>
  <c r="DB167" i="65" s="1"/>
  <c r="CM199" i="65"/>
  <c r="DB199" i="65" s="1"/>
  <c r="CM185" i="65"/>
  <c r="CY185" i="65" s="1"/>
  <c r="CM184" i="65"/>
  <c r="CM216" i="65"/>
  <c r="CM170" i="65"/>
  <c r="CY170" i="65" s="1"/>
  <c r="CM217" i="65"/>
  <c r="CY217" i="65" s="1"/>
  <c r="CM171" i="65"/>
  <c r="CM246" i="65"/>
  <c r="CY246" i="65" s="1"/>
  <c r="CM182" i="65"/>
  <c r="CM241" i="65"/>
  <c r="CM183" i="65"/>
  <c r="DB183" i="65" s="1"/>
  <c r="CM213" i="65"/>
  <c r="CM165" i="65"/>
  <c r="CM197" i="65"/>
  <c r="CM188" i="65"/>
  <c r="DB188" i="65" s="1"/>
  <c r="CM220" i="65"/>
  <c r="DB220" i="65" s="1"/>
  <c r="CM186" i="65"/>
  <c r="CY186" i="65" s="1"/>
  <c r="CM219" i="65"/>
  <c r="CM187" i="65"/>
  <c r="CM215" i="65"/>
  <c r="DB215" i="65" s="1"/>
  <c r="CM198" i="65"/>
  <c r="CM243" i="65"/>
  <c r="DB243" i="65" s="1"/>
  <c r="CM231" i="65"/>
  <c r="DB231" i="65" s="1"/>
  <c r="CM200" i="65"/>
  <c r="CM214" i="65"/>
  <c r="CM245" i="65"/>
  <c r="CY245" i="65" s="1"/>
  <c r="CM232" i="65"/>
  <c r="CM229" i="65"/>
  <c r="CM169" i="65"/>
  <c r="CY169" i="65" s="1"/>
  <c r="CM201" i="65"/>
  <c r="CY201" i="65" s="1"/>
  <c r="CM202" i="65"/>
  <c r="CY202" i="65" s="1"/>
  <c r="CM168" i="65"/>
  <c r="CM233" i="65"/>
  <c r="CY233" i="65" s="1"/>
  <c r="CM218" i="65"/>
  <c r="CY218" i="65" s="1"/>
  <c r="D21" i="53"/>
  <c r="G77" i="64"/>
  <c r="J77" i="64" s="1"/>
  <c r="G74" i="64"/>
  <c r="J74" i="64" s="1"/>
  <c r="G69" i="64"/>
  <c r="J69" i="64" s="1"/>
  <c r="G73" i="64"/>
  <c r="J73" i="64" s="1"/>
  <c r="G75" i="64"/>
  <c r="J75" i="64" s="1"/>
  <c r="G76" i="64"/>
  <c r="J76" i="64" s="1"/>
  <c r="G78" i="64"/>
  <c r="J78" i="64" s="1"/>
  <c r="G79" i="64"/>
  <c r="J79" i="64" s="1"/>
  <c r="G70" i="64"/>
  <c r="J70" i="64" s="1"/>
  <c r="G72" i="64"/>
  <c r="J72" i="64" s="1"/>
  <c r="G71" i="64"/>
  <c r="J71" i="64" s="1"/>
  <c r="Z109" i="54"/>
  <c r="AF109" i="54" s="1"/>
  <c r="AJ109" i="54" s="1"/>
  <c r="Z89" i="54"/>
  <c r="AF89" i="54" s="1"/>
  <c r="AJ89" i="54" s="1"/>
  <c r="Z69" i="54"/>
  <c r="AF69" i="54" s="1"/>
  <c r="AJ69" i="54" s="1"/>
  <c r="Z49" i="54"/>
  <c r="AF49" i="54" s="1"/>
  <c r="AJ49" i="54" s="1"/>
  <c r="Z29" i="54"/>
  <c r="AF29" i="54" s="1"/>
  <c r="AJ29" i="54" s="1"/>
  <c r="Z324" i="54"/>
  <c r="AF324" i="54" s="1"/>
  <c r="Z9" i="54"/>
  <c r="AF9" i="54" s="1"/>
  <c r="AJ9" i="54" s="1"/>
  <c r="N27" i="53"/>
  <c r="CM248" i="65" l="1"/>
  <c r="CM237" i="65"/>
  <c r="DB237" i="65" s="1"/>
  <c r="CM238" i="65"/>
  <c r="CM176" i="65"/>
  <c r="CM179" i="65"/>
  <c r="CM250" i="65"/>
  <c r="CM205" i="65"/>
  <c r="CM227" i="65"/>
  <c r="CM173" i="65"/>
  <c r="CM226" i="65"/>
  <c r="CY226" i="65" s="1"/>
  <c r="CM251" i="65"/>
  <c r="CY251" i="65" s="1"/>
  <c r="CM189" i="65"/>
  <c r="CM211" i="65"/>
  <c r="CM190" i="65"/>
  <c r="CM249" i="65"/>
  <c r="DB249" i="65" s="1"/>
  <c r="CM180" i="65"/>
  <c r="DB180" i="65" s="1"/>
  <c r="CM191" i="65"/>
  <c r="DB191" i="65" s="1"/>
  <c r="CM178" i="65"/>
  <c r="CY178" i="65" s="1"/>
  <c r="CM236" i="65"/>
  <c r="CM175" i="65"/>
  <c r="DB175" i="65" s="1"/>
  <c r="CM252" i="65"/>
  <c r="CY252" i="65" s="1"/>
  <c r="CM192" i="65"/>
  <c r="CM239" i="65"/>
  <c r="CY239" i="65" s="1"/>
  <c r="CM207" i="65"/>
  <c r="DB207" i="65" s="1"/>
  <c r="CM222" i="65"/>
  <c r="CM194" i="65"/>
  <c r="CY194" i="65" s="1"/>
  <c r="CM177" i="65"/>
  <c r="CY177" i="65" s="1"/>
  <c r="CM223" i="65"/>
  <c r="DB223" i="65" s="1"/>
  <c r="CM208" i="65"/>
  <c r="CM225" i="65"/>
  <c r="CY225" i="65" s="1"/>
  <c r="CM221" i="65"/>
  <c r="D49" i="53"/>
  <c r="M49" i="53" s="1"/>
  <c r="N49" i="53" s="1"/>
  <c r="G22" i="53"/>
  <c r="I22" i="53" s="1"/>
  <c r="T788" i="54"/>
  <c r="T725" i="54"/>
  <c r="T746" i="54"/>
  <c r="T368" i="54"/>
  <c r="T557" i="54"/>
  <c r="T620" i="54"/>
  <c r="T641" i="54"/>
  <c r="T599" i="54"/>
  <c r="T452" i="54"/>
  <c r="T683" i="54"/>
  <c r="T494" i="54"/>
  <c r="T515" i="54"/>
  <c r="T536" i="54"/>
  <c r="T767" i="54"/>
  <c r="T347" i="54"/>
  <c r="T578" i="54"/>
  <c r="T389" i="54"/>
  <c r="T410" i="54"/>
  <c r="T431" i="54"/>
  <c r="T662" i="54"/>
  <c r="T473" i="54"/>
  <c r="AI13" i="65"/>
  <c r="DS14" i="65"/>
  <c r="DS17" i="65"/>
  <c r="DZ14" i="65"/>
  <c r="DZ17" i="65"/>
  <c r="F49" i="53"/>
  <c r="Z767" i="54"/>
  <c r="AF767" i="54" s="1"/>
  <c r="V557" i="54"/>
  <c r="V494" i="54"/>
  <c r="V431" i="54"/>
  <c r="V368" i="54"/>
  <c r="V704" i="54"/>
  <c r="V410" i="54"/>
  <c r="V620" i="54"/>
  <c r="V641" i="54"/>
  <c r="V578" i="54"/>
  <c r="V515" i="54"/>
  <c r="V452" i="54"/>
  <c r="V788" i="54"/>
  <c r="V683" i="54"/>
  <c r="V389" i="54"/>
  <c r="V725" i="54"/>
  <c r="V662" i="54"/>
  <c r="V599" i="54"/>
  <c r="V536" i="54"/>
  <c r="V746" i="54"/>
  <c r="V473" i="54"/>
  <c r="V347" i="54"/>
  <c r="V767" i="54"/>
  <c r="F21" i="53"/>
  <c r="E21" i="53"/>
  <c r="H22" i="53" s="1"/>
  <c r="H74" i="64"/>
  <c r="K74" i="64" s="1"/>
  <c r="H72" i="64"/>
  <c r="K72" i="64" s="1"/>
  <c r="H69" i="64"/>
  <c r="K69" i="64" s="1"/>
  <c r="H77" i="64"/>
  <c r="K77" i="64" s="1"/>
  <c r="H73" i="64"/>
  <c r="K73" i="64" s="1"/>
  <c r="H70" i="64"/>
  <c r="K70" i="64" s="1"/>
  <c r="H79" i="64"/>
  <c r="K79" i="64" s="1"/>
  <c r="H71" i="64"/>
  <c r="K71" i="64" s="1"/>
  <c r="H76" i="64"/>
  <c r="K76" i="64" s="1"/>
  <c r="H78" i="64"/>
  <c r="K78" i="64" s="1"/>
  <c r="H75" i="64"/>
  <c r="K75" i="64" s="1"/>
  <c r="AB109" i="54"/>
  <c r="AG109" i="54" s="1"/>
  <c r="AK109" i="54" s="1"/>
  <c r="AB89" i="54"/>
  <c r="AG89" i="54" s="1"/>
  <c r="AK89" i="54" s="1"/>
  <c r="AB69" i="54"/>
  <c r="AG69" i="54" s="1"/>
  <c r="AK69" i="54" s="1"/>
  <c r="AB49" i="54"/>
  <c r="AG49" i="54" s="1"/>
  <c r="AK49" i="54" s="1"/>
  <c r="AB29" i="54"/>
  <c r="AG29" i="54" s="1"/>
  <c r="AK29" i="54" s="1"/>
  <c r="I75" i="64"/>
  <c r="L75" i="64" s="1"/>
  <c r="I73" i="64"/>
  <c r="L73" i="64" s="1"/>
  <c r="I77" i="64"/>
  <c r="L77" i="64" s="1"/>
  <c r="I74" i="64"/>
  <c r="L74" i="64" s="1"/>
  <c r="I69" i="64"/>
  <c r="L69" i="64" s="1"/>
  <c r="I70" i="64"/>
  <c r="L70" i="64" s="1"/>
  <c r="I76" i="64"/>
  <c r="L76" i="64" s="1"/>
  <c r="I72" i="64"/>
  <c r="L72" i="64" s="1"/>
  <c r="I78" i="64"/>
  <c r="L78" i="64" s="1"/>
  <c r="I79" i="64"/>
  <c r="L79" i="64" s="1"/>
  <c r="I71" i="64"/>
  <c r="L71" i="64" s="1"/>
  <c r="AD109" i="54"/>
  <c r="AH109" i="54" s="1"/>
  <c r="AL109" i="54" s="1"/>
  <c r="AD89" i="54"/>
  <c r="AH89" i="54" s="1"/>
  <c r="AL89" i="54" s="1"/>
  <c r="AD69" i="54"/>
  <c r="AH69" i="54" s="1"/>
  <c r="AL69" i="54" s="1"/>
  <c r="AD49" i="54"/>
  <c r="AH49" i="54" s="1"/>
  <c r="AL49" i="54" s="1"/>
  <c r="AD29" i="54"/>
  <c r="AH29" i="54" s="1"/>
  <c r="AL29" i="54" s="1"/>
  <c r="Z744" i="54"/>
  <c r="AF744" i="54" s="1"/>
  <c r="Z366" i="54"/>
  <c r="AF366" i="54" s="1"/>
  <c r="AB324" i="54"/>
  <c r="AG324" i="54" s="1"/>
  <c r="AB9" i="54"/>
  <c r="AG9" i="54" s="1"/>
  <c r="AK9" i="54" s="1"/>
  <c r="AD9" i="54"/>
  <c r="AH9" i="54" s="1"/>
  <c r="AL9" i="54" s="1"/>
  <c r="AD324" i="54"/>
  <c r="AH324" i="54" s="1"/>
  <c r="N28" i="53"/>
  <c r="Z788" i="54" l="1"/>
  <c r="AF788" i="54" s="1"/>
  <c r="AJ788" i="54" s="1"/>
  <c r="G50" i="53"/>
  <c r="I50" i="53" s="1"/>
  <c r="E49" i="53"/>
  <c r="L50" i="53"/>
  <c r="G14" i="65" s="1"/>
  <c r="AT14" i="65" s="1"/>
  <c r="EJ61" i="65" s="1"/>
  <c r="K22" i="53"/>
  <c r="O22" i="53" s="1"/>
  <c r="L22" i="53"/>
  <c r="DZ13" i="65"/>
  <c r="DZ16" i="65"/>
  <c r="J50" i="53"/>
  <c r="T474" i="54" s="1"/>
  <c r="J22" i="53"/>
  <c r="E8" i="65" s="1"/>
  <c r="AR8" i="65" s="1"/>
  <c r="EJ23" i="65" s="1"/>
  <c r="H50" i="53"/>
  <c r="K50" i="53" s="1"/>
  <c r="O50" i="53" s="1"/>
  <c r="AB788" i="54"/>
  <c r="AG788" i="54" s="1"/>
  <c r="AK788" i="54" s="1"/>
  <c r="AB767" i="54"/>
  <c r="AG767" i="54" s="1"/>
  <c r="AD788" i="54"/>
  <c r="AH788" i="54" s="1"/>
  <c r="AL788" i="54" s="1"/>
  <c r="AD767" i="54"/>
  <c r="AH767" i="54" s="1"/>
  <c r="D81" i="64"/>
  <c r="D89" i="64"/>
  <c r="D86" i="64"/>
  <c r="D83" i="64"/>
  <c r="D82" i="64"/>
  <c r="D80" i="64"/>
  <c r="D88" i="64"/>
  <c r="D84" i="64"/>
  <c r="D85" i="64"/>
  <c r="D90" i="64"/>
  <c r="D87" i="64"/>
  <c r="F83" i="64"/>
  <c r="F87" i="64"/>
  <c r="F86" i="64"/>
  <c r="F85" i="64"/>
  <c r="F88" i="64"/>
  <c r="F90" i="64"/>
  <c r="F82" i="64"/>
  <c r="F84" i="64"/>
  <c r="F80" i="64"/>
  <c r="F89" i="64"/>
  <c r="F81" i="64"/>
  <c r="E80" i="64"/>
  <c r="E83" i="64"/>
  <c r="E84" i="64"/>
  <c r="E90" i="64"/>
  <c r="E81" i="64"/>
  <c r="E87" i="64"/>
  <c r="E89" i="64"/>
  <c r="E85" i="64"/>
  <c r="E88" i="64"/>
  <c r="E86" i="64"/>
  <c r="E82" i="64"/>
  <c r="AD744" i="54"/>
  <c r="AH744" i="54" s="1"/>
  <c r="AD366" i="54"/>
  <c r="AH366" i="54" s="1"/>
  <c r="AB744" i="54"/>
  <c r="AG744" i="54" s="1"/>
  <c r="AB366" i="54"/>
  <c r="AG366" i="54" s="1"/>
  <c r="Z304" i="54"/>
  <c r="AF304" i="54" s="1"/>
  <c r="Z10" i="54"/>
  <c r="AF10" i="54" s="1"/>
  <c r="AJ10" i="54" s="1"/>
  <c r="N29" i="53"/>
  <c r="T369" i="54" l="1"/>
  <c r="T390" i="54"/>
  <c r="T642" i="54"/>
  <c r="T726" i="54"/>
  <c r="T453" i="54"/>
  <c r="T621" i="54"/>
  <c r="T495" i="54"/>
  <c r="T411" i="54"/>
  <c r="T768" i="54"/>
  <c r="T789" i="54"/>
  <c r="T600" i="54"/>
  <c r="T537" i="54"/>
  <c r="T432" i="54"/>
  <c r="T684" i="54"/>
  <c r="T705" i="54"/>
  <c r="T348" i="54"/>
  <c r="T579" i="54"/>
  <c r="T516" i="54"/>
  <c r="T747" i="54"/>
  <c r="T558" i="54"/>
  <c r="T663" i="54"/>
  <c r="F14" i="65"/>
  <c r="AS14" i="65" s="1"/>
  <c r="EJ60" i="65" s="1"/>
  <c r="F8" i="65"/>
  <c r="AS8" i="65" s="1"/>
  <c r="EJ24" i="65" s="1"/>
  <c r="V201" i="54"/>
  <c r="V222" i="54"/>
  <c r="V243" i="54"/>
  <c r="V180" i="54"/>
  <c r="V159" i="54"/>
  <c r="V285" i="54"/>
  <c r="V306" i="54"/>
  <c r="V327" i="54"/>
  <c r="V264" i="54"/>
  <c r="V138" i="54"/>
  <c r="V33" i="54"/>
  <c r="V54" i="54"/>
  <c r="V75" i="54"/>
  <c r="V12" i="54"/>
  <c r="V117" i="54"/>
  <c r="V96" i="54"/>
  <c r="CN292" i="65"/>
  <c r="CZ292" i="65" s="1"/>
  <c r="CN289" i="65"/>
  <c r="CN271" i="65"/>
  <c r="CN340" i="65"/>
  <c r="CN304" i="65"/>
  <c r="CN259" i="65"/>
  <c r="CZ259" i="65" s="1"/>
  <c r="CN291" i="65"/>
  <c r="CZ291" i="65" s="1"/>
  <c r="CN332" i="65"/>
  <c r="CN330" i="65"/>
  <c r="CN276" i="65"/>
  <c r="CZ276" i="65" s="1"/>
  <c r="CN290" i="65"/>
  <c r="CN317" i="65"/>
  <c r="CZ317" i="65" s="1"/>
  <c r="CN320" i="65"/>
  <c r="CN275" i="65"/>
  <c r="CZ275" i="65" s="1"/>
  <c r="CN270" i="65"/>
  <c r="CN253" i="65"/>
  <c r="CZ253" i="65" s="1"/>
  <c r="CN301" i="65"/>
  <c r="CZ301" i="65" s="1"/>
  <c r="CN318" i="65"/>
  <c r="CN257" i="65"/>
  <c r="CN303" i="65"/>
  <c r="CN307" i="65"/>
  <c r="CZ307" i="65" s="1"/>
  <c r="CN306" i="65"/>
  <c r="CN260" i="65"/>
  <c r="CZ260" i="65" s="1"/>
  <c r="CN305" i="65"/>
  <c r="CN273" i="65"/>
  <c r="CN321" i="65"/>
  <c r="CN339" i="65"/>
  <c r="CZ339" i="65" s="1"/>
  <c r="CN327" i="65"/>
  <c r="CZ327" i="65" s="1"/>
  <c r="CN285" i="65"/>
  <c r="CZ285" i="65" s="1"/>
  <c r="CN286" i="65"/>
  <c r="CN274" i="65"/>
  <c r="CN342" i="65"/>
  <c r="CN269" i="65"/>
  <c r="CZ269" i="65" s="1"/>
  <c r="CN258" i="65"/>
  <c r="CN344" i="65"/>
  <c r="CN329" i="65"/>
  <c r="CN319" i="65"/>
  <c r="CN288" i="65"/>
  <c r="CN254" i="65"/>
  <c r="CN255" i="65"/>
  <c r="CN331" i="65"/>
  <c r="CN302" i="65"/>
  <c r="CN272" i="65"/>
  <c r="CN343" i="65"/>
  <c r="CN341" i="65"/>
  <c r="CN287" i="65"/>
  <c r="CN308" i="65"/>
  <c r="CZ308" i="65" s="1"/>
  <c r="CN256" i="65"/>
  <c r="CN328" i="65"/>
  <c r="CP323" i="65"/>
  <c r="CP315" i="65"/>
  <c r="CP337" i="65"/>
  <c r="CZ337" i="65" s="1"/>
  <c r="CP268" i="65"/>
  <c r="DC268" i="65" s="1"/>
  <c r="CP280" i="65"/>
  <c r="CP261" i="65"/>
  <c r="CP322" i="65"/>
  <c r="CP266" i="65"/>
  <c r="CZ266" i="65" s="1"/>
  <c r="CP313" i="65"/>
  <c r="CZ313" i="65" s="1"/>
  <c r="CP310" i="65"/>
  <c r="CP312" i="65"/>
  <c r="CP335" i="65"/>
  <c r="DC335" i="65" s="1"/>
  <c r="CP316" i="65"/>
  <c r="DC316" i="65" s="1"/>
  <c r="CP296" i="65"/>
  <c r="CP314" i="65"/>
  <c r="CZ314" i="65" s="1"/>
  <c r="CP336" i="65"/>
  <c r="CP295" i="65"/>
  <c r="DC295" i="65" s="1"/>
  <c r="CP338" i="65"/>
  <c r="CZ338" i="65" s="1"/>
  <c r="CP294" i="65"/>
  <c r="CP277" i="65"/>
  <c r="CP325" i="65"/>
  <c r="CP346" i="65"/>
  <c r="CP309" i="65"/>
  <c r="CP265" i="65"/>
  <c r="CZ265" i="65" s="1"/>
  <c r="CP297" i="65"/>
  <c r="CZ297" i="65" s="1"/>
  <c r="CP262" i="65"/>
  <c r="CP345" i="65"/>
  <c r="CP284" i="65"/>
  <c r="DC284" i="65" s="1"/>
  <c r="CP311" i="65"/>
  <c r="DC311" i="65" s="1"/>
  <c r="CP300" i="65"/>
  <c r="DC300" i="65" s="1"/>
  <c r="CP347" i="65"/>
  <c r="DC347" i="65" s="1"/>
  <c r="CP281" i="65"/>
  <c r="CZ281" i="65" s="1"/>
  <c r="CP324" i="65"/>
  <c r="DC324" i="65" s="1"/>
  <c r="CP349" i="65"/>
  <c r="CZ349" i="65" s="1"/>
  <c r="CP263" i="65"/>
  <c r="DC263" i="65" s="1"/>
  <c r="CP298" i="65"/>
  <c r="CZ298" i="65" s="1"/>
  <c r="CP326" i="65"/>
  <c r="CZ326" i="65" s="1"/>
  <c r="CP279" i="65"/>
  <c r="DC279" i="65" s="1"/>
  <c r="CP299" i="65"/>
  <c r="CP278" i="65"/>
  <c r="CP333" i="65"/>
  <c r="CP264" i="65"/>
  <c r="CP350" i="65"/>
  <c r="CZ350" i="65" s="1"/>
  <c r="CP348" i="65"/>
  <c r="CP293" i="65"/>
  <c r="CP267" i="65"/>
  <c r="CP282" i="65"/>
  <c r="CZ282" i="65" s="1"/>
  <c r="CP283" i="65"/>
  <c r="CP334" i="65"/>
  <c r="G8" i="65"/>
  <c r="AT8" i="65" s="1"/>
  <c r="EJ25" i="65" s="1"/>
  <c r="E14" i="65"/>
  <c r="AR14" i="65" s="1"/>
  <c r="EJ59" i="65" s="1"/>
  <c r="X54" i="54"/>
  <c r="X138" i="54"/>
  <c r="X222" i="54"/>
  <c r="X306" i="54"/>
  <c r="X75" i="54"/>
  <c r="X159" i="54"/>
  <c r="X243" i="54"/>
  <c r="X327" i="54"/>
  <c r="X12" i="54"/>
  <c r="X96" i="54"/>
  <c r="X180" i="54"/>
  <c r="X264" i="54"/>
  <c r="X117" i="54"/>
  <c r="X201" i="54"/>
  <c r="X33" i="54"/>
  <c r="X285" i="54"/>
  <c r="T12" i="54"/>
  <c r="T96" i="54"/>
  <c r="T33" i="54"/>
  <c r="T117" i="54"/>
  <c r="T54" i="54"/>
  <c r="T222" i="54"/>
  <c r="T306" i="54"/>
  <c r="T75" i="54"/>
  <c r="T243" i="54"/>
  <c r="T327" i="54"/>
  <c r="T159" i="54"/>
  <c r="T285" i="54"/>
  <c r="T138" i="54"/>
  <c r="T180" i="54"/>
  <c r="T264" i="54"/>
  <c r="T201" i="54"/>
  <c r="X621" i="54"/>
  <c r="X642" i="54"/>
  <c r="X663" i="54"/>
  <c r="X747" i="54"/>
  <c r="X705" i="54"/>
  <c r="X558" i="54"/>
  <c r="X369" i="54"/>
  <c r="X390" i="54"/>
  <c r="X411" i="54"/>
  <c r="X348" i="54"/>
  <c r="X684" i="54"/>
  <c r="X789" i="54"/>
  <c r="X516" i="54"/>
  <c r="X453" i="54"/>
  <c r="X474" i="54"/>
  <c r="X495" i="54"/>
  <c r="X432" i="54"/>
  <c r="X768" i="54"/>
  <c r="X726" i="54"/>
  <c r="X537" i="54"/>
  <c r="X579" i="54"/>
  <c r="X600" i="54"/>
  <c r="V537" i="54"/>
  <c r="V474" i="54"/>
  <c r="V411" i="54"/>
  <c r="V348" i="54"/>
  <c r="V684" i="54"/>
  <c r="V390" i="54"/>
  <c r="V747" i="54"/>
  <c r="V621" i="54"/>
  <c r="V558" i="54"/>
  <c r="V495" i="54"/>
  <c r="V432" i="54"/>
  <c r="V768" i="54"/>
  <c r="V453" i="54"/>
  <c r="V663" i="54"/>
  <c r="V369" i="54"/>
  <c r="V705" i="54"/>
  <c r="V642" i="54"/>
  <c r="V579" i="54"/>
  <c r="V516" i="54"/>
  <c r="V789" i="54"/>
  <c r="V726" i="54"/>
  <c r="V600" i="54"/>
  <c r="D22" i="53"/>
  <c r="G23" i="53" s="1"/>
  <c r="I85" i="64"/>
  <c r="L85" i="64" s="1"/>
  <c r="I83" i="64"/>
  <c r="L83" i="64" s="1"/>
  <c r="I89" i="64"/>
  <c r="L89" i="64" s="1"/>
  <c r="I86" i="64"/>
  <c r="L86" i="64" s="1"/>
  <c r="I81" i="64"/>
  <c r="L81" i="64" s="1"/>
  <c r="I80" i="64"/>
  <c r="L80" i="64" s="1"/>
  <c r="I88" i="64"/>
  <c r="L88" i="64" s="1"/>
  <c r="I90" i="64"/>
  <c r="L90" i="64" s="1"/>
  <c r="I87" i="64"/>
  <c r="L87" i="64" s="1"/>
  <c r="I82" i="64"/>
  <c r="L82" i="64" s="1"/>
  <c r="I84" i="64"/>
  <c r="L84" i="64" s="1"/>
  <c r="AD130" i="54"/>
  <c r="AH130" i="54" s="1"/>
  <c r="AL130" i="54" s="1"/>
  <c r="AD110" i="54"/>
  <c r="AH110" i="54" s="1"/>
  <c r="AL110" i="54" s="1"/>
  <c r="AD90" i="54"/>
  <c r="AH90" i="54" s="1"/>
  <c r="AL90" i="54" s="1"/>
  <c r="AD70" i="54"/>
  <c r="AH70" i="54" s="1"/>
  <c r="AL70" i="54" s="1"/>
  <c r="AD50" i="54"/>
  <c r="AH50" i="54" s="1"/>
  <c r="AL50" i="54" s="1"/>
  <c r="AD30" i="54"/>
  <c r="AH30" i="54" s="1"/>
  <c r="AL30" i="54" s="1"/>
  <c r="H86" i="64"/>
  <c r="K86" i="64" s="1"/>
  <c r="H89" i="64"/>
  <c r="K89" i="64" s="1"/>
  <c r="H81" i="64"/>
  <c r="K81" i="64" s="1"/>
  <c r="H85" i="64"/>
  <c r="K85" i="64" s="1"/>
  <c r="H90" i="64"/>
  <c r="K90" i="64" s="1"/>
  <c r="H87" i="64"/>
  <c r="K87" i="64" s="1"/>
  <c r="H82" i="64"/>
  <c r="K82" i="64" s="1"/>
  <c r="H88" i="64"/>
  <c r="K88" i="64" s="1"/>
  <c r="H84" i="64"/>
  <c r="K84" i="64" s="1"/>
  <c r="H80" i="64"/>
  <c r="K80" i="64" s="1"/>
  <c r="H83" i="64"/>
  <c r="K83" i="64" s="1"/>
  <c r="AB130" i="54"/>
  <c r="AG130" i="54" s="1"/>
  <c r="AK130" i="54" s="1"/>
  <c r="AB110" i="54"/>
  <c r="AG110" i="54" s="1"/>
  <c r="AK110" i="54" s="1"/>
  <c r="AB90" i="54"/>
  <c r="AG90" i="54" s="1"/>
  <c r="AK90" i="54" s="1"/>
  <c r="AB70" i="54"/>
  <c r="AG70" i="54" s="1"/>
  <c r="AK70" i="54" s="1"/>
  <c r="AB50" i="54"/>
  <c r="AG50" i="54" s="1"/>
  <c r="AK50" i="54" s="1"/>
  <c r="AB30" i="54"/>
  <c r="AG30" i="54" s="1"/>
  <c r="AK30" i="54" s="1"/>
  <c r="G86" i="64"/>
  <c r="J86" i="64" s="1"/>
  <c r="G85" i="64"/>
  <c r="J85" i="64" s="1"/>
  <c r="G84" i="64"/>
  <c r="J84" i="64" s="1"/>
  <c r="G81" i="64"/>
  <c r="J81" i="64" s="1"/>
  <c r="G80" i="64"/>
  <c r="J80" i="64" s="1"/>
  <c r="G90" i="64"/>
  <c r="J90" i="64" s="1"/>
  <c r="G87" i="64"/>
  <c r="J87" i="64" s="1"/>
  <c r="G82" i="64"/>
  <c r="J82" i="64" s="1"/>
  <c r="G88" i="64"/>
  <c r="J88" i="64" s="1"/>
  <c r="G89" i="64"/>
  <c r="J89" i="64" s="1"/>
  <c r="G83" i="64"/>
  <c r="J83" i="64" s="1"/>
  <c r="Z130" i="54"/>
  <c r="AF130" i="54" s="1"/>
  <c r="AJ130" i="54" s="1"/>
  <c r="Z110" i="54"/>
  <c r="AF110" i="54" s="1"/>
  <c r="AJ110" i="54" s="1"/>
  <c r="Z90" i="54"/>
  <c r="AF90" i="54" s="1"/>
  <c r="AJ90" i="54" s="1"/>
  <c r="Z70" i="54"/>
  <c r="AF70" i="54" s="1"/>
  <c r="AJ70" i="54" s="1"/>
  <c r="Z50" i="54"/>
  <c r="AF50" i="54" s="1"/>
  <c r="AJ50" i="54" s="1"/>
  <c r="Z30" i="54"/>
  <c r="AF30" i="54" s="1"/>
  <c r="AJ30" i="54" s="1"/>
  <c r="Z724" i="54"/>
  <c r="AF724" i="54" s="1"/>
  <c r="Z346" i="54"/>
  <c r="AF346" i="54" s="1"/>
  <c r="AD304" i="54"/>
  <c r="AH304" i="54" s="1"/>
  <c r="AD10" i="54"/>
  <c r="AH10" i="54" s="1"/>
  <c r="AL10" i="54" s="1"/>
  <c r="AB304" i="54"/>
  <c r="AG304" i="54" s="1"/>
  <c r="AB10" i="54"/>
  <c r="AG10" i="54" s="1"/>
  <c r="AK10" i="54" s="1"/>
  <c r="N30" i="53"/>
  <c r="CP291" i="65" l="1"/>
  <c r="CP327" i="65"/>
  <c r="CP342" i="65"/>
  <c r="CP292" i="65"/>
  <c r="DC292" i="65" s="1"/>
  <c r="CP271" i="65"/>
  <c r="DC271" i="65" s="1"/>
  <c r="CP273" i="65"/>
  <c r="CZ273" i="65" s="1"/>
  <c r="CP330" i="65"/>
  <c r="CP306" i="65"/>
  <c r="CZ306" i="65" s="1"/>
  <c r="CP331" i="65"/>
  <c r="CZ331" i="65" s="1"/>
  <c r="CP275" i="65"/>
  <c r="CP258" i="65"/>
  <c r="CZ258" i="65" s="1"/>
  <c r="CP341" i="65"/>
  <c r="DC341" i="65" s="1"/>
  <c r="CP308" i="65"/>
  <c r="DC308" i="65" s="1"/>
  <c r="CP287" i="65"/>
  <c r="DC287" i="65" s="1"/>
  <c r="CP260" i="65"/>
  <c r="DC260" i="65" s="1"/>
  <c r="CP339" i="65"/>
  <c r="CP286" i="65"/>
  <c r="CP302" i="65"/>
  <c r="CP332" i="65"/>
  <c r="CZ332" i="65" s="1"/>
  <c r="CP303" i="65"/>
  <c r="DC303" i="65" s="1"/>
  <c r="CP344" i="65"/>
  <c r="CZ344" i="65" s="1"/>
  <c r="CP304" i="65"/>
  <c r="CP305" i="65"/>
  <c r="CZ305" i="65" s="1"/>
  <c r="CP256" i="65"/>
  <c r="CP289" i="65"/>
  <c r="CZ289" i="65" s="1"/>
  <c r="CP343" i="65"/>
  <c r="CZ343" i="65" s="1"/>
  <c r="CP269" i="65"/>
  <c r="CP317" i="65"/>
  <c r="CP290" i="65"/>
  <c r="CZ290" i="65" s="1"/>
  <c r="CP318" i="65"/>
  <c r="CP340" i="65"/>
  <c r="CP276" i="65"/>
  <c r="DC276" i="65" s="1"/>
  <c r="CP301" i="65"/>
  <c r="CP255" i="65"/>
  <c r="DC255" i="65" s="1"/>
  <c r="CP274" i="65"/>
  <c r="CZ274" i="65" s="1"/>
  <c r="CP253" i="65"/>
  <c r="CP307" i="65"/>
  <c r="CP329" i="65"/>
  <c r="DC329" i="65" s="1"/>
  <c r="CP270" i="65"/>
  <c r="CP319" i="65"/>
  <c r="DC319" i="65" s="1"/>
  <c r="CP321" i="65"/>
  <c r="CZ321" i="65" s="1"/>
  <c r="CP257" i="65"/>
  <c r="CZ257" i="65" s="1"/>
  <c r="CP285" i="65"/>
  <c r="CP328" i="65"/>
  <c r="CP259" i="65"/>
  <c r="CP320" i="65"/>
  <c r="CP272" i="65"/>
  <c r="CP288" i="65"/>
  <c r="CP254" i="65"/>
  <c r="CO276" i="65"/>
  <c r="CO259" i="65"/>
  <c r="DC259" i="65" s="1"/>
  <c r="CO291" i="65"/>
  <c r="DC291" i="65" s="1"/>
  <c r="CO332" i="65"/>
  <c r="CO320" i="65"/>
  <c r="CZ320" i="65" s="1"/>
  <c r="CO270" i="65"/>
  <c r="CZ270" i="65" s="1"/>
  <c r="CO253" i="65"/>
  <c r="CO257" i="65"/>
  <c r="CO271" i="65"/>
  <c r="CZ271" i="65" s="1"/>
  <c r="CO339" i="65"/>
  <c r="CO301" i="65"/>
  <c r="CO274" i="65"/>
  <c r="CO321" i="65"/>
  <c r="CO340" i="65"/>
  <c r="CZ340" i="65" s="1"/>
  <c r="CO303" i="65"/>
  <c r="CZ303" i="65" s="1"/>
  <c r="CO307" i="65"/>
  <c r="DC307" i="65" s="1"/>
  <c r="CO330" i="65"/>
  <c r="CZ330" i="65" s="1"/>
  <c r="CO304" i="65"/>
  <c r="CZ304" i="65" s="1"/>
  <c r="CO343" i="65"/>
  <c r="CO285" i="65"/>
  <c r="CO286" i="65"/>
  <c r="CZ286" i="65" s="1"/>
  <c r="CO329" i="65"/>
  <c r="CZ329" i="65" s="1"/>
  <c r="CO275" i="65"/>
  <c r="DC275" i="65" s="1"/>
  <c r="CO292" i="65"/>
  <c r="CO317" i="65"/>
  <c r="CO305" i="65"/>
  <c r="CO273" i="65"/>
  <c r="CO254" i="65"/>
  <c r="CZ254" i="65" s="1"/>
  <c r="CO344" i="65"/>
  <c r="CO272" i="65"/>
  <c r="CZ272" i="65" s="1"/>
  <c r="CO258" i="65"/>
  <c r="CO287" i="65"/>
  <c r="CZ287" i="65" s="1"/>
  <c r="CO256" i="65"/>
  <c r="CZ256" i="65" s="1"/>
  <c r="CO318" i="65"/>
  <c r="CZ318" i="65" s="1"/>
  <c r="CO306" i="65"/>
  <c r="CO255" i="65"/>
  <c r="CZ255" i="65" s="1"/>
  <c r="CO308" i="65"/>
  <c r="CO289" i="65"/>
  <c r="CO327" i="65"/>
  <c r="CO269" i="65"/>
  <c r="CO290" i="65"/>
  <c r="CO288" i="65"/>
  <c r="CZ288" i="65" s="1"/>
  <c r="CO342" i="65"/>
  <c r="CZ342" i="65" s="1"/>
  <c r="CO302" i="65"/>
  <c r="CZ302" i="65" s="1"/>
  <c r="CO260" i="65"/>
  <c r="CO331" i="65"/>
  <c r="CO328" i="65"/>
  <c r="CZ328" i="65" s="1"/>
  <c r="CO319" i="65"/>
  <c r="CZ319" i="65" s="1"/>
  <c r="CO341" i="65"/>
  <c r="CZ341" i="65" s="1"/>
  <c r="CO337" i="65"/>
  <c r="CO261" i="65"/>
  <c r="CO266" i="65"/>
  <c r="CO313" i="65"/>
  <c r="CO268" i="65"/>
  <c r="CO315" i="65"/>
  <c r="DC315" i="65" s="1"/>
  <c r="CO322" i="65"/>
  <c r="CO310" i="65"/>
  <c r="CZ310" i="65" s="1"/>
  <c r="CO296" i="65"/>
  <c r="CZ296" i="65" s="1"/>
  <c r="CO293" i="65"/>
  <c r="CO326" i="65"/>
  <c r="CO279" i="65"/>
  <c r="CZ279" i="65" s="1"/>
  <c r="CO311" i="65"/>
  <c r="CZ311" i="65" s="1"/>
  <c r="CO299" i="65"/>
  <c r="DC299" i="65" s="1"/>
  <c r="CO309" i="65"/>
  <c r="CO325" i="65"/>
  <c r="CZ325" i="65" s="1"/>
  <c r="CO280" i="65"/>
  <c r="CZ280" i="65" s="1"/>
  <c r="CO335" i="65"/>
  <c r="CZ335" i="65" s="1"/>
  <c r="CO334" i="65"/>
  <c r="CZ334" i="65" s="1"/>
  <c r="CO349" i="65"/>
  <c r="CO284" i="65"/>
  <c r="CO348" i="65"/>
  <c r="CZ348" i="65" s="1"/>
  <c r="CO263" i="65"/>
  <c r="CZ263" i="65" s="1"/>
  <c r="CO312" i="65"/>
  <c r="CZ312" i="65" s="1"/>
  <c r="CO278" i="65"/>
  <c r="CZ278" i="65" s="1"/>
  <c r="CO264" i="65"/>
  <c r="CZ264" i="65" s="1"/>
  <c r="CO267" i="65"/>
  <c r="DC267" i="65" s="1"/>
  <c r="CO283" i="65"/>
  <c r="DC283" i="65" s="1"/>
  <c r="CO347" i="65"/>
  <c r="CZ347" i="65" s="1"/>
  <c r="CO324" i="65"/>
  <c r="CZ324" i="65" s="1"/>
  <c r="CO282" i="65"/>
  <c r="CO323" i="65"/>
  <c r="CZ323" i="65" s="1"/>
  <c r="CO314" i="65"/>
  <c r="CO297" i="65"/>
  <c r="CO346" i="65"/>
  <c r="CZ346" i="65" s="1"/>
  <c r="CO336" i="65"/>
  <c r="CZ336" i="65" s="1"/>
  <c r="CO333" i="65"/>
  <c r="CO265" i="65"/>
  <c r="CO350" i="65"/>
  <c r="CO300" i="65"/>
  <c r="CO262" i="65"/>
  <c r="CZ262" i="65" s="1"/>
  <c r="CO345" i="65"/>
  <c r="CO277" i="65"/>
  <c r="CO316" i="65"/>
  <c r="CO298" i="65"/>
  <c r="CO295" i="65"/>
  <c r="CZ295" i="65" s="1"/>
  <c r="CO338" i="65"/>
  <c r="CO281" i="65"/>
  <c r="CO294" i="65"/>
  <c r="CZ294" i="65" s="1"/>
  <c r="CN268" i="65"/>
  <c r="CZ268" i="65" s="1"/>
  <c r="CN280" i="65"/>
  <c r="CN312" i="65"/>
  <c r="CN322" i="65"/>
  <c r="CZ322" i="65" s="1"/>
  <c r="CN335" i="65"/>
  <c r="CN310" i="65"/>
  <c r="CN337" i="65"/>
  <c r="CN323" i="65"/>
  <c r="CN296" i="65"/>
  <c r="CN346" i="65"/>
  <c r="CN277" i="65"/>
  <c r="CZ277" i="65" s="1"/>
  <c r="CN316" i="65"/>
  <c r="CZ316" i="65" s="1"/>
  <c r="CN278" i="65"/>
  <c r="CN266" i="65"/>
  <c r="CN293" i="65"/>
  <c r="CZ293" i="65" s="1"/>
  <c r="CN314" i="65"/>
  <c r="CN279" i="65"/>
  <c r="CN295" i="65"/>
  <c r="CN338" i="65"/>
  <c r="CN309" i="65"/>
  <c r="CZ309" i="65" s="1"/>
  <c r="CN333" i="65"/>
  <c r="CZ333" i="65" s="1"/>
  <c r="CN298" i="65"/>
  <c r="CN349" i="65"/>
  <c r="CN336" i="65"/>
  <c r="CN284" i="65"/>
  <c r="CZ284" i="65" s="1"/>
  <c r="CN348" i="65"/>
  <c r="CN263" i="65"/>
  <c r="CN311" i="65"/>
  <c r="CN294" i="65"/>
  <c r="CN350" i="65"/>
  <c r="CN300" i="65"/>
  <c r="CZ300" i="65" s="1"/>
  <c r="CN281" i="65"/>
  <c r="CN313" i="65"/>
  <c r="CN265" i="65"/>
  <c r="CN283" i="65"/>
  <c r="CZ283" i="65" s="1"/>
  <c r="CN261" i="65"/>
  <c r="CZ261" i="65" s="1"/>
  <c r="CN326" i="65"/>
  <c r="CN299" i="65"/>
  <c r="CZ299" i="65" s="1"/>
  <c r="CN297" i="65"/>
  <c r="CN264" i="65"/>
  <c r="CN267" i="65"/>
  <c r="CZ267" i="65" s="1"/>
  <c r="CN282" i="65"/>
  <c r="CN334" i="65"/>
  <c r="CN325" i="65"/>
  <c r="CN347" i="65"/>
  <c r="CN315" i="65"/>
  <c r="CZ315" i="65" s="1"/>
  <c r="CN262" i="65"/>
  <c r="CN345" i="65"/>
  <c r="CZ345" i="65" s="1"/>
  <c r="CN324" i="65"/>
  <c r="I8" i="65"/>
  <c r="I14" i="65"/>
  <c r="D50" i="53"/>
  <c r="J23" i="53"/>
  <c r="AI8" i="65" s="1"/>
  <c r="F22" i="53"/>
  <c r="E22" i="53"/>
  <c r="H23" i="53" s="1"/>
  <c r="D91" i="64"/>
  <c r="D96" i="64"/>
  <c r="D94" i="64"/>
  <c r="D92" i="64"/>
  <c r="D95" i="64"/>
  <c r="D93" i="64"/>
  <c r="F91" i="64"/>
  <c r="F93" i="64"/>
  <c r="F95" i="64"/>
  <c r="F94" i="64"/>
  <c r="F92" i="64"/>
  <c r="F96" i="64"/>
  <c r="E96" i="64"/>
  <c r="E91" i="64"/>
  <c r="E92" i="64"/>
  <c r="E95" i="64"/>
  <c r="E94" i="64"/>
  <c r="E93" i="64"/>
  <c r="AB724" i="54"/>
  <c r="AG724" i="54" s="1"/>
  <c r="AB346" i="54"/>
  <c r="AG346" i="54" s="1"/>
  <c r="AD346" i="54"/>
  <c r="AH346" i="54" s="1"/>
  <c r="AD724" i="54"/>
  <c r="AH724" i="54" s="1"/>
  <c r="N31" i="53"/>
  <c r="DS24" i="65" l="1"/>
  <c r="DS26" i="65"/>
  <c r="DS19" i="65"/>
  <c r="T76" i="54"/>
  <c r="T160" i="54"/>
  <c r="T13" i="54"/>
  <c r="T97" i="54"/>
  <c r="T34" i="54"/>
  <c r="T202" i="54"/>
  <c r="T286" i="54"/>
  <c r="T55" i="54"/>
  <c r="T223" i="54"/>
  <c r="T307" i="54"/>
  <c r="T265" i="54"/>
  <c r="T118" i="54"/>
  <c r="T244" i="54"/>
  <c r="T328" i="54"/>
  <c r="T139" i="54"/>
  <c r="T181" i="54"/>
  <c r="K14" i="65"/>
  <c r="K8" i="65"/>
  <c r="J8" i="65"/>
  <c r="J14" i="65"/>
  <c r="F50" i="53"/>
  <c r="E50" i="53"/>
  <c r="G51" i="53"/>
  <c r="I51" i="53" s="1"/>
  <c r="M50" i="53"/>
  <c r="N50" i="53" s="1"/>
  <c r="Z768" i="54"/>
  <c r="AF768" i="54" s="1"/>
  <c r="Z789" i="54"/>
  <c r="AF789" i="54" s="1"/>
  <c r="AJ789" i="54" s="1"/>
  <c r="CK278" i="65"/>
  <c r="CK264" i="65"/>
  <c r="CK284" i="65"/>
  <c r="CY284" i="65" s="1"/>
  <c r="CK314" i="65"/>
  <c r="CK338" i="65"/>
  <c r="CK297" i="65"/>
  <c r="CK323" i="65"/>
  <c r="CK281" i="65"/>
  <c r="CK313" i="65"/>
  <c r="CK335" i="65"/>
  <c r="CK267" i="65"/>
  <c r="CY267" i="65" s="1"/>
  <c r="CK337" i="65"/>
  <c r="CK282" i="65"/>
  <c r="CK261" i="65"/>
  <c r="CY261" i="65" s="1"/>
  <c r="CK293" i="65"/>
  <c r="CY293" i="65" s="1"/>
  <c r="CK322" i="65"/>
  <c r="CY322" i="65" s="1"/>
  <c r="CK346" i="65"/>
  <c r="CK299" i="65"/>
  <c r="CY299" i="65" s="1"/>
  <c r="CK325" i="65"/>
  <c r="CK283" i="65"/>
  <c r="CY283" i="65" s="1"/>
  <c r="CK336" i="65"/>
  <c r="CK296" i="65"/>
  <c r="CK315" i="65"/>
  <c r="CY315" i="65" s="1"/>
  <c r="CK279" i="65"/>
  <c r="CK262" i="65"/>
  <c r="CK294" i="65"/>
  <c r="CK268" i="65"/>
  <c r="CY268" i="65" s="1"/>
  <c r="CK300" i="65"/>
  <c r="CY300" i="65" s="1"/>
  <c r="CK326" i="65"/>
  <c r="CK350" i="65"/>
  <c r="CK309" i="65"/>
  <c r="CY309" i="65" s="1"/>
  <c r="CK348" i="65"/>
  <c r="CK295" i="65"/>
  <c r="CK345" i="65"/>
  <c r="CY345" i="65" s="1"/>
  <c r="CK312" i="65"/>
  <c r="CK333" i="65"/>
  <c r="CY333" i="65" s="1"/>
  <c r="CK349" i="65"/>
  <c r="CK266" i="65"/>
  <c r="CK334" i="65"/>
  <c r="CK311" i="65"/>
  <c r="CK298" i="65"/>
  <c r="CK280" i="65"/>
  <c r="CK265" i="65"/>
  <c r="CK277" i="65"/>
  <c r="CY277" i="65" s="1"/>
  <c r="CK316" i="65"/>
  <c r="CY316" i="65" s="1"/>
  <c r="CK324" i="65"/>
  <c r="CK310" i="65"/>
  <c r="CK263" i="65"/>
  <c r="CK347" i="65"/>
  <c r="CK270" i="65"/>
  <c r="CK302" i="65"/>
  <c r="CK275" i="65"/>
  <c r="CY275" i="65" s="1"/>
  <c r="CK330" i="65"/>
  <c r="CK287" i="65"/>
  <c r="CK339" i="65"/>
  <c r="CY339" i="65" s="1"/>
  <c r="CK271" i="65"/>
  <c r="CK320" i="65"/>
  <c r="CK289" i="65"/>
  <c r="CK305" i="65"/>
  <c r="CK253" i="65"/>
  <c r="CY253" i="65" s="1"/>
  <c r="CK340" i="65"/>
  <c r="CK274" i="65"/>
  <c r="CK255" i="65"/>
  <c r="CK291" i="65"/>
  <c r="CY291" i="65" s="1"/>
  <c r="CK342" i="65"/>
  <c r="CK292" i="65"/>
  <c r="CY292" i="65" s="1"/>
  <c r="CK341" i="65"/>
  <c r="CK276" i="65"/>
  <c r="CY276" i="65" s="1"/>
  <c r="CK327" i="65"/>
  <c r="CY327" i="65" s="1"/>
  <c r="CK303" i="65"/>
  <c r="CK319" i="65"/>
  <c r="CK260" i="65"/>
  <c r="CY260" i="65" s="1"/>
  <c r="CK301" i="65"/>
  <c r="CY301" i="65" s="1"/>
  <c r="CK254" i="65"/>
  <c r="CK286" i="65"/>
  <c r="CK257" i="65"/>
  <c r="CK306" i="65"/>
  <c r="CK273" i="65"/>
  <c r="CK307" i="65"/>
  <c r="CY307" i="65" s="1"/>
  <c r="CK256" i="65"/>
  <c r="CK288" i="65"/>
  <c r="CK329" i="65"/>
  <c r="CK321" i="65"/>
  <c r="CK317" i="65"/>
  <c r="CY317" i="65" s="1"/>
  <c r="CK272" i="65"/>
  <c r="CK344" i="65"/>
  <c r="CK259" i="65"/>
  <c r="CY259" i="65" s="1"/>
  <c r="CK269" i="65"/>
  <c r="CY269" i="65" s="1"/>
  <c r="CK331" i="65"/>
  <c r="CK318" i="65"/>
  <c r="CK304" i="65"/>
  <c r="CK308" i="65"/>
  <c r="CY308" i="65" s="1"/>
  <c r="CK258" i="65"/>
  <c r="CK285" i="65"/>
  <c r="CY285" i="65" s="1"/>
  <c r="CK343" i="65"/>
  <c r="CK332" i="65"/>
  <c r="CK328" i="65"/>
  <c r="CK290" i="65"/>
  <c r="K23" i="53"/>
  <c r="O23" i="53" s="1"/>
  <c r="I23" i="53"/>
  <c r="L23" i="53" s="1"/>
  <c r="G93" i="64"/>
  <c r="J93" i="64" s="1"/>
  <c r="G95" i="64"/>
  <c r="J95" i="64" s="1"/>
  <c r="G96" i="64"/>
  <c r="J96" i="64" s="1"/>
  <c r="G92" i="64"/>
  <c r="J92" i="64" s="1"/>
  <c r="G94" i="64"/>
  <c r="J94" i="64" s="1"/>
  <c r="G91" i="64"/>
  <c r="J91" i="64" s="1"/>
  <c r="Z151" i="54"/>
  <c r="AF151" i="54" s="1"/>
  <c r="AJ151" i="54" s="1"/>
  <c r="Z131" i="54"/>
  <c r="AF131" i="54" s="1"/>
  <c r="AJ131" i="54" s="1"/>
  <c r="Z111" i="54"/>
  <c r="AF111" i="54" s="1"/>
  <c r="AJ111" i="54" s="1"/>
  <c r="Z91" i="54"/>
  <c r="AF91" i="54" s="1"/>
  <c r="AJ91" i="54" s="1"/>
  <c r="Z71" i="54"/>
  <c r="AF71" i="54" s="1"/>
  <c r="AJ71" i="54" s="1"/>
  <c r="Z51" i="54"/>
  <c r="AF51" i="54" s="1"/>
  <c r="AJ51" i="54" s="1"/>
  <c r="Z31" i="54"/>
  <c r="AF31" i="54" s="1"/>
  <c r="AJ31" i="54" s="1"/>
  <c r="Z305" i="54"/>
  <c r="AF305" i="54" s="1"/>
  <c r="Z326" i="54"/>
  <c r="AF326" i="54" s="1"/>
  <c r="Z11" i="54"/>
  <c r="AF11" i="54" s="1"/>
  <c r="AJ11" i="54" s="1"/>
  <c r="Z284" i="54"/>
  <c r="AF284" i="54" s="1"/>
  <c r="N32" i="53"/>
  <c r="L51" i="53" l="1"/>
  <c r="AJ14" i="65" s="1"/>
  <c r="AJ8" i="65"/>
  <c r="J51" i="53"/>
  <c r="T391" i="54" s="1"/>
  <c r="X34" i="54"/>
  <c r="X118" i="54"/>
  <c r="X202" i="54"/>
  <c r="X286" i="54"/>
  <c r="X55" i="54"/>
  <c r="X139" i="54"/>
  <c r="X223" i="54"/>
  <c r="X307" i="54"/>
  <c r="X76" i="54"/>
  <c r="X160" i="54"/>
  <c r="X244" i="54"/>
  <c r="X328" i="54"/>
  <c r="X97" i="54"/>
  <c r="X181" i="54"/>
  <c r="X13" i="54"/>
  <c r="X265" i="54"/>
  <c r="CL275" i="65"/>
  <c r="DB275" i="65" s="1"/>
  <c r="CL260" i="65"/>
  <c r="CL303" i="65"/>
  <c r="CY303" i="65" s="1"/>
  <c r="CL331" i="65"/>
  <c r="CL301" i="65"/>
  <c r="CL330" i="65"/>
  <c r="CY330" i="65" s="1"/>
  <c r="CL292" i="65"/>
  <c r="CL341" i="65"/>
  <c r="CY341" i="65" s="1"/>
  <c r="CL340" i="65"/>
  <c r="CY340" i="65" s="1"/>
  <c r="CL304" i="65"/>
  <c r="CY304" i="65" s="1"/>
  <c r="CL308" i="65"/>
  <c r="CL306" i="65"/>
  <c r="CL255" i="65"/>
  <c r="CY255" i="65" s="1"/>
  <c r="CL287" i="65"/>
  <c r="CY287" i="65" s="1"/>
  <c r="CL257" i="65"/>
  <c r="CL307" i="65"/>
  <c r="DB307" i="65" s="1"/>
  <c r="CL339" i="65"/>
  <c r="CL305" i="65"/>
  <c r="CL344" i="65"/>
  <c r="CL302" i="65"/>
  <c r="CY302" i="65" s="1"/>
  <c r="CL270" i="65"/>
  <c r="CY270" i="65" s="1"/>
  <c r="CL274" i="65"/>
  <c r="CL329" i="65"/>
  <c r="CY329" i="65" s="1"/>
  <c r="CL256" i="65"/>
  <c r="CY256" i="65" s="1"/>
  <c r="CL320" i="65"/>
  <c r="CY320" i="65" s="1"/>
  <c r="CL259" i="65"/>
  <c r="DB259" i="65" s="1"/>
  <c r="CL291" i="65"/>
  <c r="DB291" i="65" s="1"/>
  <c r="CL273" i="65"/>
  <c r="CL319" i="65"/>
  <c r="CY319" i="65" s="1"/>
  <c r="CL343" i="65"/>
  <c r="CL321" i="65"/>
  <c r="CL285" i="65"/>
  <c r="CL318" i="65"/>
  <c r="CY318" i="65" s="1"/>
  <c r="CL317" i="65"/>
  <c r="CL276" i="65"/>
  <c r="CL254" i="65"/>
  <c r="CY254" i="65" s="1"/>
  <c r="CL269" i="65"/>
  <c r="CL271" i="65"/>
  <c r="CY271" i="65" s="1"/>
  <c r="CL258" i="65"/>
  <c r="CL342" i="65"/>
  <c r="CY342" i="65" s="1"/>
  <c r="CL253" i="65"/>
  <c r="CL328" i="65"/>
  <c r="CY328" i="65" s="1"/>
  <c r="CL286" i="65"/>
  <c r="CY286" i="65" s="1"/>
  <c r="CL289" i="65"/>
  <c r="CL290" i="65"/>
  <c r="CL272" i="65"/>
  <c r="CY272" i="65" s="1"/>
  <c r="CL327" i="65"/>
  <c r="CL332" i="65"/>
  <c r="CL288" i="65"/>
  <c r="CY288" i="65" s="1"/>
  <c r="V13" i="54"/>
  <c r="V97" i="54"/>
  <c r="V181" i="54"/>
  <c r="V265" i="54"/>
  <c r="V34" i="54"/>
  <c r="V118" i="54"/>
  <c r="V202" i="54"/>
  <c r="V286" i="54"/>
  <c r="V55" i="54"/>
  <c r="V139" i="54"/>
  <c r="V223" i="54"/>
  <c r="V307" i="54"/>
  <c r="V328" i="54"/>
  <c r="V76" i="54"/>
  <c r="V160" i="54"/>
  <c r="V244" i="54"/>
  <c r="H51" i="53"/>
  <c r="K51" i="53" s="1"/>
  <c r="O51" i="53" s="1"/>
  <c r="AB789" i="54"/>
  <c r="AG789" i="54" s="1"/>
  <c r="AK789" i="54" s="1"/>
  <c r="AB768" i="54"/>
  <c r="AG768" i="54" s="1"/>
  <c r="CM276" i="65"/>
  <c r="DB276" i="65" s="1"/>
  <c r="CM253" i="65"/>
  <c r="CM285" i="65"/>
  <c r="CM308" i="65"/>
  <c r="DB308" i="65" s="1"/>
  <c r="CM340" i="65"/>
  <c r="CM275" i="65"/>
  <c r="CM319" i="65"/>
  <c r="DB319" i="65" s="1"/>
  <c r="CM305" i="65"/>
  <c r="CY305" i="65" s="1"/>
  <c r="CM339" i="65"/>
  <c r="CM331" i="65"/>
  <c r="CY331" i="65" s="1"/>
  <c r="CM318" i="65"/>
  <c r="CM327" i="65"/>
  <c r="CM256" i="65"/>
  <c r="CM288" i="65"/>
  <c r="CM255" i="65"/>
  <c r="DB255" i="65" s="1"/>
  <c r="CM287" i="65"/>
  <c r="DB287" i="65" s="1"/>
  <c r="CM320" i="65"/>
  <c r="CM344" i="65"/>
  <c r="CY344" i="65" s="1"/>
  <c r="CM289" i="65"/>
  <c r="CY289" i="65" s="1"/>
  <c r="CM342" i="65"/>
  <c r="CM307" i="65"/>
  <c r="CM257" i="65"/>
  <c r="CY257" i="65" s="1"/>
  <c r="CM286" i="65"/>
  <c r="CM343" i="65"/>
  <c r="CY343" i="65" s="1"/>
  <c r="CM341" i="65"/>
  <c r="DB341" i="65" s="1"/>
  <c r="CM260" i="65"/>
  <c r="DB260" i="65" s="1"/>
  <c r="CM292" i="65"/>
  <c r="DB292" i="65" s="1"/>
  <c r="CM269" i="65"/>
  <c r="CM301" i="65"/>
  <c r="CM328" i="65"/>
  <c r="CM254" i="65"/>
  <c r="CM303" i="65"/>
  <c r="DB303" i="65" s="1"/>
  <c r="CM259" i="65"/>
  <c r="CM321" i="65"/>
  <c r="CY321" i="65" s="1"/>
  <c r="CM274" i="65"/>
  <c r="CY274" i="65" s="1"/>
  <c r="CM302" i="65"/>
  <c r="CM291" i="65"/>
  <c r="CM271" i="65"/>
  <c r="DB271" i="65" s="1"/>
  <c r="CM317" i="65"/>
  <c r="CM290" i="65"/>
  <c r="CY290" i="65" s="1"/>
  <c r="CM304" i="65"/>
  <c r="CM273" i="65"/>
  <c r="CY273" i="65" s="1"/>
  <c r="CM329" i="65"/>
  <c r="DB329" i="65" s="1"/>
  <c r="CM272" i="65"/>
  <c r="CM332" i="65"/>
  <c r="CY332" i="65" s="1"/>
  <c r="CM330" i="65"/>
  <c r="CM258" i="65"/>
  <c r="CY258" i="65" s="1"/>
  <c r="CM270" i="65"/>
  <c r="CM306" i="65"/>
  <c r="CY306" i="65" s="1"/>
  <c r="AD789" i="54"/>
  <c r="AH789" i="54" s="1"/>
  <c r="AL789" i="54" s="1"/>
  <c r="AD768" i="54"/>
  <c r="AH768" i="54" s="1"/>
  <c r="CM264" i="65"/>
  <c r="CM296" i="65"/>
  <c r="CM278" i="65"/>
  <c r="CM324" i="65"/>
  <c r="DB324" i="65" s="1"/>
  <c r="CM277" i="65"/>
  <c r="CM333" i="65"/>
  <c r="CM299" i="65"/>
  <c r="CM346" i="65"/>
  <c r="CM313" i="65"/>
  <c r="CY313" i="65" s="1"/>
  <c r="CM347" i="65"/>
  <c r="DB347" i="65" s="1"/>
  <c r="CM295" i="65"/>
  <c r="DB295" i="65" s="1"/>
  <c r="CM281" i="65"/>
  <c r="CY281" i="65" s="1"/>
  <c r="CM334" i="65"/>
  <c r="CM268" i="65"/>
  <c r="DB268" i="65" s="1"/>
  <c r="CM300" i="65"/>
  <c r="DB300" i="65" s="1"/>
  <c r="CM294" i="65"/>
  <c r="CM336" i="65"/>
  <c r="CM282" i="65"/>
  <c r="CY282" i="65" s="1"/>
  <c r="CM335" i="65"/>
  <c r="DB335" i="65" s="1"/>
  <c r="CM314" i="65"/>
  <c r="CY314" i="65" s="1"/>
  <c r="CM279" i="65"/>
  <c r="DB279" i="65" s="1"/>
  <c r="CM338" i="65"/>
  <c r="CY338" i="65" s="1"/>
  <c r="CM263" i="65"/>
  <c r="DB263" i="65" s="1"/>
  <c r="CM311" i="65"/>
  <c r="DB311" i="65" s="1"/>
  <c r="CM315" i="65"/>
  <c r="CM280" i="65"/>
  <c r="CM265" i="65"/>
  <c r="CY265" i="65" s="1"/>
  <c r="CM312" i="65"/>
  <c r="CM348" i="65"/>
  <c r="CM310" i="65"/>
  <c r="CM349" i="65"/>
  <c r="CY349" i="65" s="1"/>
  <c r="CM323" i="65"/>
  <c r="CM293" i="65"/>
  <c r="CM345" i="65"/>
  <c r="CM283" i="65"/>
  <c r="CM325" i="65"/>
  <c r="CM322" i="65"/>
  <c r="CM284" i="65"/>
  <c r="DB284" i="65" s="1"/>
  <c r="CM326" i="65"/>
  <c r="CY326" i="65" s="1"/>
  <c r="CM267" i="65"/>
  <c r="CM262" i="65"/>
  <c r="CM266" i="65"/>
  <c r="CY266" i="65" s="1"/>
  <c r="CM309" i="65"/>
  <c r="CM316" i="65"/>
  <c r="DB316" i="65" s="1"/>
  <c r="CM337" i="65"/>
  <c r="CY337" i="65" s="1"/>
  <c r="CM350" i="65"/>
  <c r="CY350" i="65" s="1"/>
  <c r="CM261" i="65"/>
  <c r="CM298" i="65"/>
  <c r="CY298" i="65" s="1"/>
  <c r="CM297" i="65"/>
  <c r="CY297" i="65" s="1"/>
  <c r="CL263" i="65"/>
  <c r="CY263" i="65" s="1"/>
  <c r="CL295" i="65"/>
  <c r="CY295" i="65" s="1"/>
  <c r="CL266" i="65"/>
  <c r="CL298" i="65"/>
  <c r="CL335" i="65"/>
  <c r="CY335" i="65" s="1"/>
  <c r="CL294" i="65"/>
  <c r="CY294" i="65" s="1"/>
  <c r="CL346" i="65"/>
  <c r="CY346" i="65" s="1"/>
  <c r="CL316" i="65"/>
  <c r="CL350" i="65"/>
  <c r="CL349" i="65"/>
  <c r="CL293" i="65"/>
  <c r="CL300" i="65"/>
  <c r="CL313" i="65"/>
  <c r="CL279" i="65"/>
  <c r="CY279" i="65" s="1"/>
  <c r="CL262" i="65"/>
  <c r="CY262" i="65" s="1"/>
  <c r="CL282" i="65"/>
  <c r="CL315" i="65"/>
  <c r="DB315" i="65" s="1"/>
  <c r="CL265" i="65"/>
  <c r="CL314" i="65"/>
  <c r="CL297" i="65"/>
  <c r="CL334" i="65"/>
  <c r="CY334" i="65" s="1"/>
  <c r="CL310" i="65"/>
  <c r="CY310" i="65" s="1"/>
  <c r="CL326" i="65"/>
  <c r="CL345" i="65"/>
  <c r="CL336" i="65"/>
  <c r="CY336" i="65" s="1"/>
  <c r="CL283" i="65"/>
  <c r="DB283" i="65" s="1"/>
  <c r="CL296" i="65"/>
  <c r="CY296" i="65" s="1"/>
  <c r="CL268" i="65"/>
  <c r="CL309" i="65"/>
  <c r="CL324" i="65"/>
  <c r="CY324" i="65" s="1"/>
  <c r="CL281" i="65"/>
  <c r="CL267" i="65"/>
  <c r="DB267" i="65" s="1"/>
  <c r="CL278" i="65"/>
  <c r="CY278" i="65" s="1"/>
  <c r="CL299" i="65"/>
  <c r="DB299" i="65" s="1"/>
  <c r="CL311" i="65"/>
  <c r="CY311" i="65" s="1"/>
  <c r="CL312" i="65"/>
  <c r="CY312" i="65" s="1"/>
  <c r="CL325" i="65"/>
  <c r="CY325" i="65" s="1"/>
  <c r="CL277" i="65"/>
  <c r="CL322" i="65"/>
  <c r="CL280" i="65"/>
  <c r="CY280" i="65" s="1"/>
  <c r="CL284" i="65"/>
  <c r="CL264" i="65"/>
  <c r="CY264" i="65" s="1"/>
  <c r="CL323" i="65"/>
  <c r="CY323" i="65" s="1"/>
  <c r="CL337" i="65"/>
  <c r="CL348" i="65"/>
  <c r="CY348" i="65" s="1"/>
  <c r="CL333" i="65"/>
  <c r="CL261" i="65"/>
  <c r="CL347" i="65"/>
  <c r="CY347" i="65" s="1"/>
  <c r="CL338" i="65"/>
  <c r="D23" i="53"/>
  <c r="G24" i="53" s="1"/>
  <c r="H94" i="64"/>
  <c r="K94" i="64" s="1"/>
  <c r="H93" i="64"/>
  <c r="K93" i="64" s="1"/>
  <c r="H91" i="64"/>
  <c r="K91" i="64" s="1"/>
  <c r="H96" i="64"/>
  <c r="K96" i="64" s="1"/>
  <c r="H92" i="64"/>
  <c r="K92" i="64" s="1"/>
  <c r="H95" i="64"/>
  <c r="K95" i="64" s="1"/>
  <c r="AB151" i="54"/>
  <c r="AG151" i="54" s="1"/>
  <c r="AK151" i="54" s="1"/>
  <c r="AB131" i="54"/>
  <c r="AG131" i="54" s="1"/>
  <c r="AK131" i="54" s="1"/>
  <c r="AB111" i="54"/>
  <c r="AG111" i="54" s="1"/>
  <c r="AK111" i="54" s="1"/>
  <c r="AB91" i="54"/>
  <c r="AG91" i="54" s="1"/>
  <c r="AK91" i="54" s="1"/>
  <c r="AB71" i="54"/>
  <c r="AG71" i="54" s="1"/>
  <c r="AK71" i="54" s="1"/>
  <c r="AB51" i="54"/>
  <c r="AG51" i="54" s="1"/>
  <c r="AK51" i="54" s="1"/>
  <c r="AB31" i="54"/>
  <c r="AG31" i="54" s="1"/>
  <c r="AK31" i="54" s="1"/>
  <c r="I91" i="64"/>
  <c r="L91" i="64" s="1"/>
  <c r="I93" i="64"/>
  <c r="L93" i="64" s="1"/>
  <c r="I94" i="64"/>
  <c r="L94" i="64" s="1"/>
  <c r="I96" i="64"/>
  <c r="L96" i="64" s="1"/>
  <c r="I92" i="64"/>
  <c r="L92" i="64" s="1"/>
  <c r="I95" i="64"/>
  <c r="L95" i="64" s="1"/>
  <c r="AD151" i="54"/>
  <c r="AH151" i="54" s="1"/>
  <c r="AL151" i="54" s="1"/>
  <c r="AD131" i="54"/>
  <c r="AH131" i="54" s="1"/>
  <c r="AL131" i="54" s="1"/>
  <c r="AD111" i="54"/>
  <c r="AH111" i="54" s="1"/>
  <c r="AL111" i="54" s="1"/>
  <c r="AD91" i="54"/>
  <c r="AH91" i="54" s="1"/>
  <c r="AL91" i="54" s="1"/>
  <c r="AD71" i="54"/>
  <c r="AH71" i="54" s="1"/>
  <c r="AL71" i="54" s="1"/>
  <c r="AD51" i="54"/>
  <c r="AH51" i="54" s="1"/>
  <c r="AL51" i="54" s="1"/>
  <c r="AD31" i="54"/>
  <c r="AH31" i="54" s="1"/>
  <c r="AL31" i="54" s="1"/>
  <c r="Z746" i="54"/>
  <c r="AF746" i="54" s="1"/>
  <c r="Z704" i="54"/>
  <c r="AF704" i="54" s="1"/>
  <c r="AB11" i="54"/>
  <c r="AG11" i="54" s="1"/>
  <c r="AK11" i="54" s="1"/>
  <c r="AB326" i="54"/>
  <c r="AG326" i="54" s="1"/>
  <c r="AB284" i="54"/>
  <c r="AG284" i="54" s="1"/>
  <c r="AB305" i="54"/>
  <c r="AG305" i="54" s="1"/>
  <c r="AD284" i="54"/>
  <c r="AH284" i="54" s="1"/>
  <c r="AD11" i="54"/>
  <c r="AH11" i="54" s="1"/>
  <c r="AL11" i="54" s="1"/>
  <c r="AD305" i="54"/>
  <c r="AH305" i="54" s="1"/>
  <c r="AD326" i="54"/>
  <c r="AH326" i="54" s="1"/>
  <c r="N33" i="53"/>
  <c r="T664" i="54" l="1"/>
  <c r="T559" i="54"/>
  <c r="T601" i="54"/>
  <c r="T538" i="54"/>
  <c r="T790" i="54"/>
  <c r="T433" i="54"/>
  <c r="T685" i="54"/>
  <c r="T643" i="54"/>
  <c r="T454" i="54"/>
  <c r="T475" i="54"/>
  <c r="T748" i="54"/>
  <c r="T769" i="54"/>
  <c r="T727" i="54"/>
  <c r="T370" i="54"/>
  <c r="T706" i="54"/>
  <c r="T517" i="54"/>
  <c r="T622" i="54"/>
  <c r="T496" i="54"/>
  <c r="T349" i="54"/>
  <c r="T580" i="54"/>
  <c r="T412" i="54"/>
  <c r="AI14" i="65"/>
  <c r="DS23" i="65"/>
  <c r="DS27" i="65"/>
  <c r="DS20" i="65"/>
  <c r="DZ27" i="65"/>
  <c r="DZ20" i="65"/>
  <c r="DZ23" i="65"/>
  <c r="V349" i="54"/>
  <c r="V685" i="54"/>
  <c r="V622" i="54"/>
  <c r="V559" i="54"/>
  <c r="V496" i="54"/>
  <c r="V769" i="54"/>
  <c r="V538" i="54"/>
  <c r="V433" i="54"/>
  <c r="V370" i="54"/>
  <c r="V706" i="54"/>
  <c r="V643" i="54"/>
  <c r="V580" i="54"/>
  <c r="V790" i="54"/>
  <c r="V475" i="54"/>
  <c r="V517" i="54"/>
  <c r="V454" i="54"/>
  <c r="V391" i="54"/>
  <c r="V727" i="54"/>
  <c r="V664" i="54"/>
  <c r="V601" i="54"/>
  <c r="V412" i="54"/>
  <c r="V748" i="54"/>
  <c r="D51" i="53"/>
  <c r="X601" i="54"/>
  <c r="X622" i="54"/>
  <c r="X643" i="54"/>
  <c r="X664" i="54"/>
  <c r="X580" i="54"/>
  <c r="X559" i="54"/>
  <c r="X349" i="54"/>
  <c r="X370" i="54"/>
  <c r="X391" i="54"/>
  <c r="X412" i="54"/>
  <c r="X748" i="54"/>
  <c r="X706" i="54"/>
  <c r="X538" i="54"/>
  <c r="X769" i="54"/>
  <c r="X433" i="54"/>
  <c r="X454" i="54"/>
  <c r="X475" i="54"/>
  <c r="X496" i="54"/>
  <c r="X685" i="54"/>
  <c r="X790" i="54"/>
  <c r="X517" i="54"/>
  <c r="X727" i="54"/>
  <c r="F23" i="53"/>
  <c r="E23" i="53"/>
  <c r="H24" i="53" s="1"/>
  <c r="I24" i="53"/>
  <c r="F99" i="64"/>
  <c r="F101" i="64"/>
  <c r="F98" i="64"/>
  <c r="F97" i="64"/>
  <c r="F100" i="64"/>
  <c r="F102" i="64"/>
  <c r="D101" i="64"/>
  <c r="D99" i="64"/>
  <c r="D100" i="64"/>
  <c r="D97" i="64"/>
  <c r="D98" i="64"/>
  <c r="D102" i="64"/>
  <c r="E101" i="64"/>
  <c r="E99" i="64"/>
  <c r="E100" i="64"/>
  <c r="E102" i="64"/>
  <c r="E98" i="64"/>
  <c r="E97" i="64"/>
  <c r="AB746" i="54"/>
  <c r="AG746" i="54" s="1"/>
  <c r="AB704" i="54"/>
  <c r="AG704" i="54" s="1"/>
  <c r="AD746" i="54"/>
  <c r="AH746" i="54" s="1"/>
  <c r="AD704" i="54"/>
  <c r="AH704" i="54" s="1"/>
  <c r="Z264" i="54"/>
  <c r="AF264" i="54" s="1"/>
  <c r="Z12" i="54"/>
  <c r="AF12" i="54" s="1"/>
  <c r="AJ12" i="54" s="1"/>
  <c r="Z285" i="54"/>
  <c r="AF285" i="54" s="1"/>
  <c r="Z306" i="54"/>
  <c r="AF306" i="54" s="1"/>
  <c r="N34" i="53"/>
  <c r="L24" i="53" l="1"/>
  <c r="DZ26" i="65"/>
  <c r="DZ24" i="65"/>
  <c r="DZ19" i="65"/>
  <c r="J24" i="53"/>
  <c r="G52" i="53"/>
  <c r="I52" i="53" s="1"/>
  <c r="E51" i="53"/>
  <c r="F51" i="53"/>
  <c r="M51" i="53"/>
  <c r="N51" i="53" s="1"/>
  <c r="Z790" i="54"/>
  <c r="AF790" i="54" s="1"/>
  <c r="AJ790" i="54" s="1"/>
  <c r="Z769" i="54"/>
  <c r="AF769" i="54" s="1"/>
  <c r="K24" i="53"/>
  <c r="O24" i="53" s="1"/>
  <c r="H101" i="64"/>
  <c r="K101" i="64" s="1"/>
  <c r="H102" i="64"/>
  <c r="K102" i="64" s="1"/>
  <c r="H98" i="64"/>
  <c r="H97" i="64"/>
  <c r="K97" i="64" s="1"/>
  <c r="H99" i="64"/>
  <c r="K99" i="64" s="1"/>
  <c r="H100" i="64"/>
  <c r="AB172" i="54"/>
  <c r="AG172" i="54" s="1"/>
  <c r="AK172" i="54" s="1"/>
  <c r="AB152" i="54"/>
  <c r="AG152" i="54" s="1"/>
  <c r="AK152" i="54" s="1"/>
  <c r="AB132" i="54"/>
  <c r="AG132" i="54" s="1"/>
  <c r="AK132" i="54" s="1"/>
  <c r="AB112" i="54"/>
  <c r="AG112" i="54" s="1"/>
  <c r="AK112" i="54" s="1"/>
  <c r="AB92" i="54"/>
  <c r="AG92" i="54" s="1"/>
  <c r="AK92" i="54" s="1"/>
  <c r="AB72" i="54"/>
  <c r="AG72" i="54" s="1"/>
  <c r="AK72" i="54" s="1"/>
  <c r="AB52" i="54"/>
  <c r="AG52" i="54" s="1"/>
  <c r="AK52" i="54" s="1"/>
  <c r="AB32" i="54"/>
  <c r="AG32" i="54" s="1"/>
  <c r="AK32" i="54" s="1"/>
  <c r="K98" i="64"/>
  <c r="G97" i="64"/>
  <c r="J97" i="64" s="1"/>
  <c r="G98" i="64"/>
  <c r="J98" i="64" s="1"/>
  <c r="G101" i="64"/>
  <c r="J101" i="64" s="1"/>
  <c r="G100" i="64"/>
  <c r="G102" i="64"/>
  <c r="J102" i="64" s="1"/>
  <c r="G99" i="64"/>
  <c r="J99" i="64" s="1"/>
  <c r="Z172" i="54"/>
  <c r="AF172" i="54" s="1"/>
  <c r="AJ172" i="54" s="1"/>
  <c r="Z152" i="54"/>
  <c r="AF152" i="54" s="1"/>
  <c r="AJ152" i="54" s="1"/>
  <c r="Z132" i="54"/>
  <c r="AF132" i="54" s="1"/>
  <c r="AJ132" i="54" s="1"/>
  <c r="Z112" i="54"/>
  <c r="AF112" i="54" s="1"/>
  <c r="AJ112" i="54" s="1"/>
  <c r="Z92" i="54"/>
  <c r="AF92" i="54" s="1"/>
  <c r="AJ92" i="54" s="1"/>
  <c r="Z72" i="54"/>
  <c r="AF72" i="54" s="1"/>
  <c r="AJ72" i="54" s="1"/>
  <c r="Z52" i="54"/>
  <c r="AF52" i="54" s="1"/>
  <c r="AJ52" i="54" s="1"/>
  <c r="Z32" i="54"/>
  <c r="AF32" i="54" s="1"/>
  <c r="AJ32" i="54" s="1"/>
  <c r="K100" i="64"/>
  <c r="J100" i="64"/>
  <c r="I97" i="64"/>
  <c r="L97" i="64" s="1"/>
  <c r="I98" i="64"/>
  <c r="L98" i="64" s="1"/>
  <c r="I101" i="64"/>
  <c r="L101" i="64" s="1"/>
  <c r="I100" i="64"/>
  <c r="L100" i="64" s="1"/>
  <c r="I99" i="64"/>
  <c r="L99" i="64" s="1"/>
  <c r="I102" i="64"/>
  <c r="L102" i="64" s="1"/>
  <c r="AD172" i="54"/>
  <c r="AH172" i="54" s="1"/>
  <c r="AL172" i="54" s="1"/>
  <c r="AD152" i="54"/>
  <c r="AH152" i="54" s="1"/>
  <c r="AL152" i="54" s="1"/>
  <c r="AD132" i="54"/>
  <c r="AH132" i="54" s="1"/>
  <c r="AL132" i="54" s="1"/>
  <c r="AD112" i="54"/>
  <c r="AH112" i="54" s="1"/>
  <c r="AL112" i="54" s="1"/>
  <c r="AD92" i="54"/>
  <c r="AH92" i="54" s="1"/>
  <c r="AL92" i="54" s="1"/>
  <c r="AD72" i="54"/>
  <c r="AH72" i="54" s="1"/>
  <c r="AL72" i="54" s="1"/>
  <c r="AD52" i="54"/>
  <c r="AH52" i="54" s="1"/>
  <c r="AL52" i="54" s="1"/>
  <c r="AD32" i="54"/>
  <c r="AH32" i="54" s="1"/>
  <c r="AL32" i="54" s="1"/>
  <c r="Z684" i="54"/>
  <c r="AF684" i="54" s="1"/>
  <c r="Z726" i="54"/>
  <c r="AF726" i="54" s="1"/>
  <c r="AB12" i="54"/>
  <c r="AG12" i="54" s="1"/>
  <c r="AK12" i="54" s="1"/>
  <c r="AB285" i="54"/>
  <c r="AG285" i="54" s="1"/>
  <c r="AB264" i="54"/>
  <c r="AG264" i="54" s="1"/>
  <c r="AB306" i="54"/>
  <c r="AG306" i="54" s="1"/>
  <c r="AD264" i="54"/>
  <c r="AH264" i="54" s="1"/>
  <c r="AD285" i="54"/>
  <c r="AH285" i="54" s="1"/>
  <c r="AD306" i="54"/>
  <c r="AH306" i="54" s="1"/>
  <c r="AD12" i="54"/>
  <c r="AH12" i="54" s="1"/>
  <c r="AL12" i="54" s="1"/>
  <c r="L52" i="53" l="1"/>
  <c r="J52" i="53"/>
  <c r="AD769" i="54"/>
  <c r="AH769" i="54" s="1"/>
  <c r="AD790" i="54"/>
  <c r="AH790" i="54" s="1"/>
  <c r="AL790" i="54" s="1"/>
  <c r="H52" i="53"/>
  <c r="K52" i="53" s="1"/>
  <c r="O52" i="53" s="1"/>
  <c r="AB790" i="54"/>
  <c r="AG790" i="54" s="1"/>
  <c r="AK790" i="54" s="1"/>
  <c r="AB769" i="54"/>
  <c r="AG769" i="54" s="1"/>
  <c r="X14" i="54"/>
  <c r="X98" i="54"/>
  <c r="X182" i="54"/>
  <c r="X266" i="54"/>
  <c r="X35" i="54"/>
  <c r="X119" i="54"/>
  <c r="X203" i="54"/>
  <c r="X287" i="54"/>
  <c r="X56" i="54"/>
  <c r="X140" i="54"/>
  <c r="X224" i="54"/>
  <c r="X308" i="54"/>
  <c r="X77" i="54"/>
  <c r="X161" i="54"/>
  <c r="X245" i="54"/>
  <c r="X329" i="54"/>
  <c r="V77" i="54"/>
  <c r="V161" i="54"/>
  <c r="V245" i="54"/>
  <c r="V329" i="54"/>
  <c r="V14" i="54"/>
  <c r="V98" i="54"/>
  <c r="V182" i="54"/>
  <c r="V266" i="54"/>
  <c r="V35" i="54"/>
  <c r="V119" i="54"/>
  <c r="V203" i="54"/>
  <c r="V287" i="54"/>
  <c r="V308" i="54"/>
  <c r="V56" i="54"/>
  <c r="V140" i="54"/>
  <c r="V224" i="54"/>
  <c r="T56" i="54"/>
  <c r="T140" i="54"/>
  <c r="T77" i="54"/>
  <c r="T161" i="54"/>
  <c r="T14" i="54"/>
  <c r="T98" i="54"/>
  <c r="T182" i="54"/>
  <c r="T266" i="54"/>
  <c r="T119" i="54"/>
  <c r="T329" i="54"/>
  <c r="T35" i="54"/>
  <c r="T203" i="54"/>
  <c r="T287" i="54"/>
  <c r="T245" i="54"/>
  <c r="T224" i="54"/>
  <c r="T308" i="54"/>
  <c r="D24" i="53"/>
  <c r="D105" i="64"/>
  <c r="D107" i="64"/>
  <c r="D103" i="64"/>
  <c r="D108" i="64"/>
  <c r="D104" i="64"/>
  <c r="D106" i="64"/>
  <c r="F108" i="64"/>
  <c r="F104" i="64"/>
  <c r="F107" i="64"/>
  <c r="F106" i="64"/>
  <c r="F105" i="64"/>
  <c r="F103" i="64"/>
  <c r="E103" i="64"/>
  <c r="E106" i="64"/>
  <c r="E105" i="64"/>
  <c r="E104" i="64"/>
  <c r="E107" i="64"/>
  <c r="E108" i="64"/>
  <c r="AB684" i="54"/>
  <c r="AG684" i="54" s="1"/>
  <c r="AB726" i="54"/>
  <c r="AG726" i="54" s="1"/>
  <c r="AD684" i="54"/>
  <c r="AH684" i="54" s="1"/>
  <c r="AD726" i="54"/>
  <c r="AH726" i="54" s="1"/>
  <c r="D52" i="53" l="1"/>
  <c r="E52" i="53" s="1"/>
  <c r="G25" i="53"/>
  <c r="I25" i="53" s="1"/>
  <c r="V413" i="54"/>
  <c r="V350" i="54"/>
  <c r="V686" i="54"/>
  <c r="V623" i="54"/>
  <c r="V560" i="54"/>
  <c r="V770" i="54"/>
  <c r="V602" i="54"/>
  <c r="V497" i="54"/>
  <c r="V434" i="54"/>
  <c r="V371" i="54"/>
  <c r="V707" i="54"/>
  <c r="V644" i="54"/>
  <c r="V791" i="54"/>
  <c r="V665" i="54"/>
  <c r="V476" i="54"/>
  <c r="V749" i="54"/>
  <c r="V581" i="54"/>
  <c r="V518" i="54"/>
  <c r="V455" i="54"/>
  <c r="V392" i="54"/>
  <c r="V728" i="54"/>
  <c r="V539" i="54"/>
  <c r="M52" i="53"/>
  <c r="N52" i="53" s="1"/>
  <c r="X665" i="54"/>
  <c r="X602" i="54"/>
  <c r="X623" i="54"/>
  <c r="X707" i="54"/>
  <c r="X749" i="54"/>
  <c r="X539" i="54"/>
  <c r="X413" i="54"/>
  <c r="X350" i="54"/>
  <c r="X371" i="54"/>
  <c r="X392" i="54"/>
  <c r="X791" i="54"/>
  <c r="X686" i="54"/>
  <c r="X518" i="54"/>
  <c r="X644" i="54"/>
  <c r="X497" i="54"/>
  <c r="X434" i="54"/>
  <c r="X455" i="54"/>
  <c r="X476" i="54"/>
  <c r="X728" i="54"/>
  <c r="X770" i="54"/>
  <c r="X581" i="54"/>
  <c r="X560" i="54"/>
  <c r="T350" i="54"/>
  <c r="T455" i="54"/>
  <c r="T560" i="54"/>
  <c r="T665" i="54"/>
  <c r="T770" i="54"/>
  <c r="T371" i="54"/>
  <c r="T791" i="54"/>
  <c r="T434" i="54"/>
  <c r="T539" i="54"/>
  <c r="T644" i="54"/>
  <c r="T749" i="54"/>
  <c r="T623" i="54"/>
  <c r="T497" i="54"/>
  <c r="T476" i="54"/>
  <c r="T686" i="54"/>
  <c r="T413" i="54"/>
  <c r="T518" i="54"/>
  <c r="T392" i="54"/>
  <c r="T728" i="54"/>
  <c r="T602" i="54"/>
  <c r="T707" i="54"/>
  <c r="T581" i="54"/>
  <c r="E24" i="53"/>
  <c r="H25" i="53" s="1"/>
  <c r="F24" i="53"/>
  <c r="G106" i="64"/>
  <c r="J106" i="64" s="1"/>
  <c r="G107" i="64"/>
  <c r="J107" i="64" s="1"/>
  <c r="G108" i="64"/>
  <c r="J108" i="64" s="1"/>
  <c r="G104" i="64"/>
  <c r="J104" i="64" s="1"/>
  <c r="G105" i="64"/>
  <c r="J105" i="64" s="1"/>
  <c r="G103" i="64"/>
  <c r="J103" i="64" s="1"/>
  <c r="Z193" i="54"/>
  <c r="AF193" i="54" s="1"/>
  <c r="AJ193" i="54" s="1"/>
  <c r="Z173" i="54"/>
  <c r="AF173" i="54" s="1"/>
  <c r="AJ173" i="54" s="1"/>
  <c r="Z153" i="54"/>
  <c r="AF153" i="54" s="1"/>
  <c r="AJ153" i="54" s="1"/>
  <c r="Z133" i="54"/>
  <c r="AF133" i="54" s="1"/>
  <c r="AJ133" i="54" s="1"/>
  <c r="Z113" i="54"/>
  <c r="AF113" i="54" s="1"/>
  <c r="AJ113" i="54" s="1"/>
  <c r="Z93" i="54"/>
  <c r="AF93" i="54" s="1"/>
  <c r="AJ93" i="54" s="1"/>
  <c r="Z73" i="54"/>
  <c r="AF73" i="54" s="1"/>
  <c r="AJ73" i="54" s="1"/>
  <c r="Z53" i="54"/>
  <c r="AF53" i="54" s="1"/>
  <c r="AJ53" i="54" s="1"/>
  <c r="Z33" i="54"/>
  <c r="AF33" i="54" s="1"/>
  <c r="AJ33" i="54" s="1"/>
  <c r="Z286" i="54"/>
  <c r="AF286" i="54" s="1"/>
  <c r="Z13" i="54"/>
  <c r="AF13" i="54" s="1"/>
  <c r="AJ13" i="54" s="1"/>
  <c r="Z244" i="54"/>
  <c r="AF244" i="54" s="1"/>
  <c r="Z307" i="54"/>
  <c r="AF307" i="54" s="1"/>
  <c r="Z265" i="54"/>
  <c r="AF265" i="54" s="1"/>
  <c r="F52" i="53" l="1"/>
  <c r="AD791" i="54" s="1"/>
  <c r="AH791" i="54" s="1"/>
  <c r="AL791" i="54" s="1"/>
  <c r="Z770" i="54"/>
  <c r="AF770" i="54" s="1"/>
  <c r="G53" i="53"/>
  <c r="I53" i="53" s="1"/>
  <c r="Z791" i="54"/>
  <c r="AF791" i="54" s="1"/>
  <c r="AJ791" i="54" s="1"/>
  <c r="L25" i="53"/>
  <c r="K25" i="53"/>
  <c r="O25" i="53" s="1"/>
  <c r="J25" i="53"/>
  <c r="H53" i="53"/>
  <c r="K53" i="53" s="1"/>
  <c r="O53" i="53" s="1"/>
  <c r="AB791" i="54"/>
  <c r="AG791" i="54" s="1"/>
  <c r="AK791" i="54" s="1"/>
  <c r="AB770" i="54"/>
  <c r="AG770" i="54" s="1"/>
  <c r="I107" i="64"/>
  <c r="L107" i="64" s="1"/>
  <c r="I105" i="64"/>
  <c r="L105" i="64" s="1"/>
  <c r="I103" i="64"/>
  <c r="L103" i="64" s="1"/>
  <c r="I106" i="64"/>
  <c r="L106" i="64" s="1"/>
  <c r="I108" i="64"/>
  <c r="L108" i="64" s="1"/>
  <c r="I104" i="64"/>
  <c r="L104" i="64" s="1"/>
  <c r="AD193" i="54"/>
  <c r="AH193" i="54" s="1"/>
  <c r="AL193" i="54" s="1"/>
  <c r="AD173" i="54"/>
  <c r="AH173" i="54" s="1"/>
  <c r="AL173" i="54" s="1"/>
  <c r="AD153" i="54"/>
  <c r="AH153" i="54" s="1"/>
  <c r="AL153" i="54" s="1"/>
  <c r="AD133" i="54"/>
  <c r="AH133" i="54" s="1"/>
  <c r="AL133" i="54" s="1"/>
  <c r="AD113" i="54"/>
  <c r="AH113" i="54" s="1"/>
  <c r="AL113" i="54" s="1"/>
  <c r="AD93" i="54"/>
  <c r="AH93" i="54" s="1"/>
  <c r="AL93" i="54" s="1"/>
  <c r="AD73" i="54"/>
  <c r="AH73" i="54" s="1"/>
  <c r="AL73" i="54" s="1"/>
  <c r="AD53" i="54"/>
  <c r="AH53" i="54" s="1"/>
  <c r="AL53" i="54" s="1"/>
  <c r="AD33" i="54"/>
  <c r="AH33" i="54" s="1"/>
  <c r="AL33" i="54" s="1"/>
  <c r="H105" i="64"/>
  <c r="K105" i="64" s="1"/>
  <c r="H107" i="64"/>
  <c r="K107" i="64" s="1"/>
  <c r="H106" i="64"/>
  <c r="K106" i="64" s="1"/>
  <c r="H103" i="64"/>
  <c r="K103" i="64" s="1"/>
  <c r="H108" i="64"/>
  <c r="K108" i="64" s="1"/>
  <c r="H104" i="64"/>
  <c r="K104" i="64" s="1"/>
  <c r="AB193" i="54"/>
  <c r="AG193" i="54" s="1"/>
  <c r="AK193" i="54" s="1"/>
  <c r="AB173" i="54"/>
  <c r="AG173" i="54" s="1"/>
  <c r="AK173" i="54" s="1"/>
  <c r="AB153" i="54"/>
  <c r="AG153" i="54" s="1"/>
  <c r="AK153" i="54" s="1"/>
  <c r="AB133" i="54"/>
  <c r="AG133" i="54" s="1"/>
  <c r="AK133" i="54" s="1"/>
  <c r="AB113" i="54"/>
  <c r="AG113" i="54" s="1"/>
  <c r="AK113" i="54" s="1"/>
  <c r="AB93" i="54"/>
  <c r="AG93" i="54" s="1"/>
  <c r="AK93" i="54" s="1"/>
  <c r="AB73" i="54"/>
  <c r="AG73" i="54" s="1"/>
  <c r="AK73" i="54" s="1"/>
  <c r="AB53" i="54"/>
  <c r="AG53" i="54" s="1"/>
  <c r="AK53" i="54" s="1"/>
  <c r="AB33" i="54"/>
  <c r="AG33" i="54" s="1"/>
  <c r="AK33" i="54" s="1"/>
  <c r="Z706" i="54"/>
  <c r="AF706" i="54" s="1"/>
  <c r="Z664" i="54"/>
  <c r="AF664" i="54" s="1"/>
  <c r="AB244" i="54"/>
  <c r="AG244" i="54" s="1"/>
  <c r="AB13" i="54"/>
  <c r="AG13" i="54" s="1"/>
  <c r="AK13" i="54" s="1"/>
  <c r="AB307" i="54"/>
  <c r="AG307" i="54" s="1"/>
  <c r="AB265" i="54"/>
  <c r="AG265" i="54" s="1"/>
  <c r="AB286" i="54"/>
  <c r="AG286" i="54" s="1"/>
  <c r="AD244" i="54"/>
  <c r="AH244" i="54" s="1"/>
  <c r="AD307" i="54"/>
  <c r="AH307" i="54" s="1"/>
  <c r="AD265" i="54"/>
  <c r="AH265" i="54" s="1"/>
  <c r="AD13" i="54"/>
  <c r="AH13" i="54" s="1"/>
  <c r="AL13" i="54" s="1"/>
  <c r="AD286" i="54"/>
  <c r="AH286" i="54" s="1"/>
  <c r="AD770" i="54" l="1"/>
  <c r="AH770" i="54" s="1"/>
  <c r="L53" i="53"/>
  <c r="X645" i="54" s="1"/>
  <c r="J53" i="53"/>
  <c r="T708" i="54" s="1"/>
  <c r="X582" i="54"/>
  <c r="X414" i="54"/>
  <c r="T540" i="54"/>
  <c r="T519" i="54"/>
  <c r="T750" i="54"/>
  <c r="T666" i="54"/>
  <c r="T645" i="54"/>
  <c r="T729" i="54"/>
  <c r="X435" i="54"/>
  <c r="X519" i="54"/>
  <c r="X708" i="54"/>
  <c r="X540" i="54"/>
  <c r="X771" i="54"/>
  <c r="X729" i="54"/>
  <c r="X477" i="54"/>
  <c r="X393" i="54"/>
  <c r="X687" i="54"/>
  <c r="X372" i="54"/>
  <c r="X624" i="54"/>
  <c r="X603" i="54"/>
  <c r="X351" i="54"/>
  <c r="X666" i="54"/>
  <c r="T393" i="54"/>
  <c r="T792" i="54"/>
  <c r="T603" i="54"/>
  <c r="V309" i="54"/>
  <c r="V330" i="54"/>
  <c r="V267" i="54"/>
  <c r="V204" i="54"/>
  <c r="V183" i="54"/>
  <c r="V57" i="54"/>
  <c r="V78" i="54"/>
  <c r="V15" i="54"/>
  <c r="V288" i="54"/>
  <c r="V225" i="54"/>
  <c r="V141" i="54"/>
  <c r="V162" i="54"/>
  <c r="V99" i="54"/>
  <c r="V36" i="54"/>
  <c r="V246" i="54"/>
  <c r="V120" i="54"/>
  <c r="V561" i="54"/>
  <c r="V498" i="54"/>
  <c r="V435" i="54"/>
  <c r="V372" i="54"/>
  <c r="V708" i="54"/>
  <c r="V351" i="54"/>
  <c r="V771" i="54"/>
  <c r="V645" i="54"/>
  <c r="V582" i="54"/>
  <c r="V519" i="54"/>
  <c r="V456" i="54"/>
  <c r="V792" i="54"/>
  <c r="V414" i="54"/>
  <c r="V624" i="54"/>
  <c r="V393" i="54"/>
  <c r="V729" i="54"/>
  <c r="V666" i="54"/>
  <c r="V603" i="54"/>
  <c r="V540" i="54"/>
  <c r="V750" i="54"/>
  <c r="V477" i="54"/>
  <c r="V687" i="54"/>
  <c r="X78" i="54"/>
  <c r="X162" i="54"/>
  <c r="X246" i="54"/>
  <c r="X330" i="54"/>
  <c r="X15" i="54"/>
  <c r="X99" i="54"/>
  <c r="X183" i="54"/>
  <c r="X267" i="54"/>
  <c r="X36" i="54"/>
  <c r="X120" i="54"/>
  <c r="X204" i="54"/>
  <c r="X288" i="54"/>
  <c r="X57" i="54"/>
  <c r="X309" i="54"/>
  <c r="X141" i="54"/>
  <c r="X225" i="54"/>
  <c r="T36" i="54"/>
  <c r="T120" i="54"/>
  <c r="T57" i="54"/>
  <c r="T141" i="54"/>
  <c r="T78" i="54"/>
  <c r="T162" i="54"/>
  <c r="T246" i="54"/>
  <c r="T330" i="54"/>
  <c r="T15" i="54"/>
  <c r="T183" i="54"/>
  <c r="T267" i="54"/>
  <c r="T99" i="54"/>
  <c r="T204" i="54"/>
  <c r="T288" i="54"/>
  <c r="T225" i="54"/>
  <c r="T309" i="54"/>
  <c r="D25" i="53"/>
  <c r="D113" i="64"/>
  <c r="D110" i="64"/>
  <c r="D114" i="64"/>
  <c r="D112" i="64"/>
  <c r="D111" i="64"/>
  <c r="D109" i="64"/>
  <c r="F109" i="64"/>
  <c r="F110" i="64"/>
  <c r="F113" i="64"/>
  <c r="F111" i="64"/>
  <c r="F114" i="64"/>
  <c r="F112" i="64"/>
  <c r="E112" i="64"/>
  <c r="E111" i="64"/>
  <c r="E113" i="64"/>
  <c r="E109" i="64"/>
  <c r="E114" i="64"/>
  <c r="E110" i="64"/>
  <c r="AD664" i="54"/>
  <c r="AH664" i="54" s="1"/>
  <c r="AD706" i="54"/>
  <c r="AH706" i="54" s="1"/>
  <c r="AB706" i="54"/>
  <c r="AG706" i="54" s="1"/>
  <c r="AB664" i="54"/>
  <c r="AG664" i="54" s="1"/>
  <c r="Z308" i="54"/>
  <c r="AF308" i="54" s="1"/>
  <c r="Z287" i="54"/>
  <c r="AF287" i="54" s="1"/>
  <c r="Z224" i="54"/>
  <c r="AF224" i="54" s="1"/>
  <c r="Z266" i="54"/>
  <c r="AF266" i="54" s="1"/>
  <c r="Z245" i="54"/>
  <c r="AF245" i="54" s="1"/>
  <c r="Z14" i="54"/>
  <c r="AF14" i="54" s="1"/>
  <c r="AJ14" i="54" s="1"/>
  <c r="T687" i="54" l="1"/>
  <c r="T561" i="54"/>
  <c r="T498" i="54"/>
  <c r="T351" i="54"/>
  <c r="T477" i="54"/>
  <c r="T771" i="54"/>
  <c r="X456" i="54"/>
  <c r="X561" i="54"/>
  <c r="X498" i="54"/>
  <c r="T456" i="54"/>
  <c r="T414" i="54"/>
  <c r="T582" i="54"/>
  <c r="X750" i="54"/>
  <c r="X792" i="54"/>
  <c r="T624" i="54"/>
  <c r="T372" i="54"/>
  <c r="T435" i="54"/>
  <c r="D53" i="53"/>
  <c r="M53" i="53" s="1"/>
  <c r="N53" i="53" s="1"/>
  <c r="G26" i="53"/>
  <c r="J26" i="53" s="1"/>
  <c r="E9" i="65" s="1"/>
  <c r="AR9" i="65" s="1"/>
  <c r="EJ29" i="65" s="1"/>
  <c r="E25" i="53"/>
  <c r="H26" i="53" s="1"/>
  <c r="F25" i="53"/>
  <c r="G109" i="64"/>
  <c r="J109" i="64" s="1"/>
  <c r="G110" i="64"/>
  <c r="J110" i="64" s="1"/>
  <c r="G112" i="64"/>
  <c r="J112" i="64" s="1"/>
  <c r="G114" i="64"/>
  <c r="J114" i="64" s="1"/>
  <c r="G111" i="64"/>
  <c r="J111" i="64" s="1"/>
  <c r="G113" i="64"/>
  <c r="J113" i="64" s="1"/>
  <c r="Z214" i="54"/>
  <c r="AF214" i="54" s="1"/>
  <c r="AJ214" i="54" s="1"/>
  <c r="Z194" i="54"/>
  <c r="AF194" i="54" s="1"/>
  <c r="AJ194" i="54" s="1"/>
  <c r="Z174" i="54"/>
  <c r="AF174" i="54" s="1"/>
  <c r="AJ174" i="54" s="1"/>
  <c r="Z154" i="54"/>
  <c r="AF154" i="54" s="1"/>
  <c r="AJ154" i="54" s="1"/>
  <c r="Z134" i="54"/>
  <c r="AF134" i="54" s="1"/>
  <c r="AJ134" i="54" s="1"/>
  <c r="Z114" i="54"/>
  <c r="AF114" i="54" s="1"/>
  <c r="AJ114" i="54" s="1"/>
  <c r="Z94" i="54"/>
  <c r="AF94" i="54" s="1"/>
  <c r="AJ94" i="54" s="1"/>
  <c r="Z74" i="54"/>
  <c r="AF74" i="54" s="1"/>
  <c r="AJ74" i="54" s="1"/>
  <c r="Z54" i="54"/>
  <c r="AF54" i="54" s="1"/>
  <c r="AJ54" i="54" s="1"/>
  <c r="Z34" i="54"/>
  <c r="AF34" i="54" s="1"/>
  <c r="AJ34" i="54" s="1"/>
  <c r="H113" i="64"/>
  <c r="K113" i="64" s="1"/>
  <c r="H109" i="64"/>
  <c r="K109" i="64" s="1"/>
  <c r="H114" i="64"/>
  <c r="K114" i="64" s="1"/>
  <c r="H111" i="64"/>
  <c r="K111" i="64" s="1"/>
  <c r="H110" i="64"/>
  <c r="H112" i="64"/>
  <c r="K112" i="64" s="1"/>
  <c r="AB214" i="54"/>
  <c r="AG214" i="54" s="1"/>
  <c r="AK214" i="54" s="1"/>
  <c r="AB194" i="54"/>
  <c r="AG194" i="54" s="1"/>
  <c r="AK194" i="54" s="1"/>
  <c r="AB174" i="54"/>
  <c r="AG174" i="54" s="1"/>
  <c r="AK174" i="54" s="1"/>
  <c r="AB154" i="54"/>
  <c r="AG154" i="54" s="1"/>
  <c r="AK154" i="54" s="1"/>
  <c r="AB134" i="54"/>
  <c r="AG134" i="54" s="1"/>
  <c r="AK134" i="54" s="1"/>
  <c r="AB114" i="54"/>
  <c r="AG114" i="54" s="1"/>
  <c r="AK114" i="54" s="1"/>
  <c r="AB94" i="54"/>
  <c r="AG94" i="54" s="1"/>
  <c r="AK94" i="54" s="1"/>
  <c r="AB74" i="54"/>
  <c r="AG74" i="54" s="1"/>
  <c r="AK74" i="54" s="1"/>
  <c r="AB54" i="54"/>
  <c r="AG54" i="54" s="1"/>
  <c r="AK54" i="54" s="1"/>
  <c r="AB34" i="54"/>
  <c r="AG34" i="54" s="1"/>
  <c r="AK34" i="54" s="1"/>
  <c r="I109" i="64"/>
  <c r="L109" i="64" s="1"/>
  <c r="I113" i="64"/>
  <c r="L113" i="64" s="1"/>
  <c r="I110" i="64"/>
  <c r="L110" i="64" s="1"/>
  <c r="I112" i="64"/>
  <c r="L112" i="64" s="1"/>
  <c r="I114" i="64"/>
  <c r="L114" i="64" s="1"/>
  <c r="I111" i="64"/>
  <c r="L111" i="64" s="1"/>
  <c r="AD214" i="54"/>
  <c r="AH214" i="54" s="1"/>
  <c r="AL214" i="54" s="1"/>
  <c r="AD194" i="54"/>
  <c r="AH194" i="54" s="1"/>
  <c r="AL194" i="54" s="1"/>
  <c r="AD174" i="54"/>
  <c r="AH174" i="54" s="1"/>
  <c r="AL174" i="54" s="1"/>
  <c r="AD154" i="54"/>
  <c r="AH154" i="54" s="1"/>
  <c r="AL154" i="54" s="1"/>
  <c r="AD134" i="54"/>
  <c r="AH134" i="54" s="1"/>
  <c r="AL134" i="54" s="1"/>
  <c r="AD114" i="54"/>
  <c r="AH114" i="54" s="1"/>
  <c r="AL114" i="54" s="1"/>
  <c r="AD94" i="54"/>
  <c r="AH94" i="54" s="1"/>
  <c r="AL94" i="54" s="1"/>
  <c r="AD74" i="54"/>
  <c r="AH74" i="54" s="1"/>
  <c r="AL74" i="54" s="1"/>
  <c r="AD54" i="54"/>
  <c r="AH54" i="54" s="1"/>
  <c r="AL54" i="54" s="1"/>
  <c r="AD34" i="54"/>
  <c r="AH34" i="54" s="1"/>
  <c r="AL34" i="54" s="1"/>
  <c r="K110" i="64"/>
  <c r="Z686" i="54"/>
  <c r="AF686" i="54" s="1"/>
  <c r="Z644" i="54"/>
  <c r="AF644" i="54" s="1"/>
  <c r="AB224" i="54"/>
  <c r="AG224" i="54" s="1"/>
  <c r="AB14" i="54"/>
  <c r="AG14" i="54" s="1"/>
  <c r="AK14" i="54" s="1"/>
  <c r="AB245" i="54"/>
  <c r="AG245" i="54" s="1"/>
  <c r="AB266" i="54"/>
  <c r="AG266" i="54" s="1"/>
  <c r="AB308" i="54"/>
  <c r="AG308" i="54" s="1"/>
  <c r="AB287" i="54"/>
  <c r="AG287" i="54" s="1"/>
  <c r="AD245" i="54"/>
  <c r="AH245" i="54" s="1"/>
  <c r="AD308" i="54"/>
  <c r="AH308" i="54" s="1"/>
  <c r="AD266" i="54"/>
  <c r="AH266" i="54" s="1"/>
  <c r="AD224" i="54"/>
  <c r="AH224" i="54" s="1"/>
  <c r="AD287" i="54"/>
  <c r="AH287" i="54" s="1"/>
  <c r="AD14" i="54"/>
  <c r="AH14" i="54" s="1"/>
  <c r="AL14" i="54" s="1"/>
  <c r="Z771" i="54" l="1"/>
  <c r="AF771" i="54" s="1"/>
  <c r="E53" i="53"/>
  <c r="AB792" i="54" s="1"/>
  <c r="AG792" i="54" s="1"/>
  <c r="AK792" i="54" s="1"/>
  <c r="G54" i="53"/>
  <c r="I54" i="53" s="1"/>
  <c r="Z792" i="54"/>
  <c r="AF792" i="54" s="1"/>
  <c r="AJ792" i="54" s="1"/>
  <c r="F53" i="53"/>
  <c r="K26" i="53"/>
  <c r="O26" i="53" s="1"/>
  <c r="CN404" i="65"/>
  <c r="CN384" i="65"/>
  <c r="CN415" i="65"/>
  <c r="CZ415" i="65" s="1"/>
  <c r="CN371" i="65"/>
  <c r="CN403" i="65"/>
  <c r="CN355" i="65"/>
  <c r="CN419" i="65"/>
  <c r="CN374" i="65"/>
  <c r="CZ374" i="65" s="1"/>
  <c r="CN417" i="65"/>
  <c r="CN405" i="65"/>
  <c r="CZ405" i="65" s="1"/>
  <c r="CN418" i="65"/>
  <c r="CN354" i="65"/>
  <c r="CN387" i="65"/>
  <c r="CN440" i="65"/>
  <c r="CN416" i="65"/>
  <c r="CN428" i="65"/>
  <c r="CN385" i="65"/>
  <c r="CN426" i="65"/>
  <c r="CN386" i="65"/>
  <c r="CN353" i="65"/>
  <c r="CN373" i="65"/>
  <c r="CZ373" i="65" s="1"/>
  <c r="CN389" i="65"/>
  <c r="CZ389" i="65" s="1"/>
  <c r="CN356" i="65"/>
  <c r="CN357" i="65"/>
  <c r="CZ357" i="65" s="1"/>
  <c r="CN369" i="65"/>
  <c r="CN351" i="65"/>
  <c r="CZ351" i="65" s="1"/>
  <c r="CN400" i="65"/>
  <c r="CN352" i="65"/>
  <c r="CN427" i="65"/>
  <c r="CN402" i="65"/>
  <c r="CN399" i="65"/>
  <c r="CZ399" i="65" s="1"/>
  <c r="CN390" i="65"/>
  <c r="CZ390" i="65" s="1"/>
  <c r="CN437" i="65"/>
  <c r="CZ437" i="65" s="1"/>
  <c r="CN406" i="65"/>
  <c r="CZ406" i="65" s="1"/>
  <c r="CN370" i="65"/>
  <c r="CN358" i="65"/>
  <c r="CZ358" i="65" s="1"/>
  <c r="CN425" i="65"/>
  <c r="CZ425" i="65" s="1"/>
  <c r="CN401" i="65"/>
  <c r="CN429" i="65"/>
  <c r="CN383" i="65"/>
  <c r="CZ383" i="65" s="1"/>
  <c r="CN438" i="65"/>
  <c r="CN442" i="65"/>
  <c r="CN439" i="65"/>
  <c r="CN368" i="65"/>
  <c r="CN367" i="65"/>
  <c r="CZ367" i="65" s="1"/>
  <c r="CN441" i="65"/>
  <c r="CN430" i="65"/>
  <c r="CN372" i="65"/>
  <c r="CN388" i="65"/>
  <c r="T16" i="54"/>
  <c r="T100" i="54"/>
  <c r="T37" i="54"/>
  <c r="T121" i="54"/>
  <c r="T58" i="54"/>
  <c r="T142" i="54"/>
  <c r="T226" i="54"/>
  <c r="T310" i="54"/>
  <c r="T163" i="54"/>
  <c r="T247" i="54"/>
  <c r="T331" i="54"/>
  <c r="T79" i="54"/>
  <c r="T184" i="54"/>
  <c r="T268" i="54"/>
  <c r="T205" i="54"/>
  <c r="T289" i="54"/>
  <c r="I26" i="53"/>
  <c r="L26" i="53" s="1"/>
  <c r="D117" i="64"/>
  <c r="D119" i="64"/>
  <c r="D115" i="64"/>
  <c r="D120" i="64"/>
  <c r="D116" i="64"/>
  <c r="D118" i="64"/>
  <c r="F117" i="64"/>
  <c r="F115" i="64"/>
  <c r="F120" i="64"/>
  <c r="F118" i="64"/>
  <c r="F116" i="64"/>
  <c r="F119" i="64"/>
  <c r="E119" i="64"/>
  <c r="E116" i="64"/>
  <c r="E120" i="64"/>
  <c r="E117" i="64"/>
  <c r="E118" i="64"/>
  <c r="E115" i="64"/>
  <c r="AD686" i="54"/>
  <c r="AH686" i="54" s="1"/>
  <c r="AD644" i="54"/>
  <c r="AH644" i="54" s="1"/>
  <c r="AB644" i="54"/>
  <c r="AG644" i="54" s="1"/>
  <c r="AB686" i="54"/>
  <c r="AG686" i="54" s="1"/>
  <c r="AB771" i="54" l="1"/>
  <c r="AG771" i="54" s="1"/>
  <c r="H54" i="53"/>
  <c r="K54" i="53" s="1"/>
  <c r="O54" i="53" s="1"/>
  <c r="J54" i="53"/>
  <c r="T394" i="54" s="1"/>
  <c r="L54" i="53"/>
  <c r="X667" i="54" s="1"/>
  <c r="AD792" i="54"/>
  <c r="AH792" i="54" s="1"/>
  <c r="AL792" i="54" s="1"/>
  <c r="AD771" i="54"/>
  <c r="AH771" i="54" s="1"/>
  <c r="T583" i="54"/>
  <c r="T457" i="54"/>
  <c r="V37" i="54"/>
  <c r="V58" i="54"/>
  <c r="V79" i="54"/>
  <c r="V268" i="54"/>
  <c r="V331" i="54"/>
  <c r="V121" i="54"/>
  <c r="V142" i="54"/>
  <c r="V163" i="54"/>
  <c r="V184" i="54"/>
  <c r="V310" i="54"/>
  <c r="V205" i="54"/>
  <c r="V226" i="54"/>
  <c r="V247" i="54"/>
  <c r="V16" i="54"/>
  <c r="V289" i="54"/>
  <c r="V100" i="54"/>
  <c r="G9" i="65"/>
  <c r="AT9" i="65" s="1"/>
  <c r="EJ31" i="65" s="1"/>
  <c r="F9" i="65"/>
  <c r="AS9" i="65" s="1"/>
  <c r="EJ30" i="65" s="1"/>
  <c r="V709" i="54"/>
  <c r="V646" i="54"/>
  <c r="V793" i="54"/>
  <c r="V436" i="54"/>
  <c r="V730" i="54"/>
  <c r="V667" i="54"/>
  <c r="V772" i="54"/>
  <c r="V541" i="54"/>
  <c r="V352" i="54"/>
  <c r="V688" i="54"/>
  <c r="V499" i="54"/>
  <c r="X58" i="54"/>
  <c r="X142" i="54"/>
  <c r="X226" i="54"/>
  <c r="X310" i="54"/>
  <c r="X79" i="54"/>
  <c r="X163" i="54"/>
  <c r="X247" i="54"/>
  <c r="X331" i="54"/>
  <c r="X16" i="54"/>
  <c r="X100" i="54"/>
  <c r="X184" i="54"/>
  <c r="X268" i="54"/>
  <c r="X37" i="54"/>
  <c r="X121" i="54"/>
  <c r="X205" i="54"/>
  <c r="X289" i="54"/>
  <c r="D26" i="53"/>
  <c r="G27" i="53" s="1"/>
  <c r="G117" i="64"/>
  <c r="J117" i="64" s="1"/>
  <c r="G115" i="64"/>
  <c r="J115" i="64" s="1"/>
  <c r="G116" i="64"/>
  <c r="J116" i="64" s="1"/>
  <c r="G118" i="64"/>
  <c r="J118" i="64" s="1"/>
  <c r="G120" i="64"/>
  <c r="J120" i="64" s="1"/>
  <c r="G119" i="64"/>
  <c r="J119" i="64" s="1"/>
  <c r="Z235" i="54"/>
  <c r="AF235" i="54" s="1"/>
  <c r="AJ235" i="54" s="1"/>
  <c r="Z215" i="54"/>
  <c r="AF215" i="54" s="1"/>
  <c r="AJ215" i="54" s="1"/>
  <c r="Z195" i="54"/>
  <c r="AF195" i="54" s="1"/>
  <c r="AJ195" i="54" s="1"/>
  <c r="Z175" i="54"/>
  <c r="AF175" i="54" s="1"/>
  <c r="AJ175" i="54" s="1"/>
  <c r="Z155" i="54"/>
  <c r="AF155" i="54" s="1"/>
  <c r="AJ155" i="54" s="1"/>
  <c r="Z135" i="54"/>
  <c r="AF135" i="54" s="1"/>
  <c r="AJ135" i="54" s="1"/>
  <c r="Z115" i="54"/>
  <c r="AF115" i="54" s="1"/>
  <c r="AJ115" i="54" s="1"/>
  <c r="Z95" i="54"/>
  <c r="AF95" i="54" s="1"/>
  <c r="AJ95" i="54" s="1"/>
  <c r="Z75" i="54"/>
  <c r="AF75" i="54" s="1"/>
  <c r="AJ75" i="54" s="1"/>
  <c r="Z55" i="54"/>
  <c r="AF55" i="54" s="1"/>
  <c r="AJ55" i="54" s="1"/>
  <c r="Z35" i="54"/>
  <c r="AF35" i="54" s="1"/>
  <c r="AJ35" i="54" s="1"/>
  <c r="Z288" i="54"/>
  <c r="AF288" i="54" s="1"/>
  <c r="Z15" i="54"/>
  <c r="AF15" i="54" s="1"/>
  <c r="AJ15" i="54" s="1"/>
  <c r="Z267" i="54"/>
  <c r="AF267" i="54" s="1"/>
  <c r="Z246" i="54"/>
  <c r="AF246" i="54" s="1"/>
  <c r="Z225" i="54"/>
  <c r="AF225" i="54" s="1"/>
  <c r="Z309" i="54"/>
  <c r="AF309" i="54" s="1"/>
  <c r="Z204" i="54"/>
  <c r="AF204" i="54" s="1"/>
  <c r="T730" i="54" l="1"/>
  <c r="T688" i="54"/>
  <c r="T562" i="54"/>
  <c r="T415" i="54"/>
  <c r="T436" i="54"/>
  <c r="T646" i="54"/>
  <c r="T751" i="54"/>
  <c r="T499" i="54"/>
  <c r="T520" i="54"/>
  <c r="T604" i="54"/>
  <c r="T478" i="54"/>
  <c r="E15" i="65"/>
  <c r="T772" i="54"/>
  <c r="T709" i="54"/>
  <c r="T373" i="54"/>
  <c r="T625" i="54"/>
  <c r="X373" i="54"/>
  <c r="X751" i="54"/>
  <c r="V562" i="54"/>
  <c r="V415" i="54"/>
  <c r="V751" i="54"/>
  <c r="V394" i="54"/>
  <c r="V520" i="54"/>
  <c r="V373" i="54"/>
  <c r="F15" i="65"/>
  <c r="CO411" i="65" s="1"/>
  <c r="V625" i="54"/>
  <c r="V478" i="54"/>
  <c r="V604" i="54"/>
  <c r="V457" i="54"/>
  <c r="V583" i="54"/>
  <c r="T793" i="54"/>
  <c r="T667" i="54"/>
  <c r="X730" i="54"/>
  <c r="X478" i="54"/>
  <c r="X688" i="54"/>
  <c r="X709" i="54"/>
  <c r="X436" i="54"/>
  <c r="X583" i="54"/>
  <c r="X415" i="54"/>
  <c r="X541" i="54"/>
  <c r="X646" i="54"/>
  <c r="G15" i="65"/>
  <c r="AT15" i="65" s="1"/>
  <c r="EJ67" i="65" s="1"/>
  <c r="X562" i="54"/>
  <c r="X499" i="54"/>
  <c r="X604" i="54"/>
  <c r="X394" i="54"/>
  <c r="X793" i="54"/>
  <c r="X625" i="54"/>
  <c r="X772" i="54"/>
  <c r="X457" i="54"/>
  <c r="X352" i="54"/>
  <c r="X520" i="54"/>
  <c r="T541" i="54"/>
  <c r="T352" i="54"/>
  <c r="CO374" i="65"/>
  <c r="CO438" i="65"/>
  <c r="CZ438" i="65" s="1"/>
  <c r="CO418" i="65"/>
  <c r="CZ418" i="65" s="1"/>
  <c r="CO387" i="65"/>
  <c r="CO354" i="65"/>
  <c r="CZ354" i="65" s="1"/>
  <c r="CO403" i="65"/>
  <c r="CO440" i="65"/>
  <c r="CZ440" i="65" s="1"/>
  <c r="CO399" i="65"/>
  <c r="CO402" i="65"/>
  <c r="CZ402" i="65" s="1"/>
  <c r="CO355" i="65"/>
  <c r="CO419" i="65"/>
  <c r="CO353" i="65"/>
  <c r="CZ353" i="65" s="1"/>
  <c r="CO417" i="65"/>
  <c r="CZ417" i="65" s="1"/>
  <c r="CO367" i="65"/>
  <c r="CO373" i="65"/>
  <c r="DC373" i="65" s="1"/>
  <c r="CO389" i="65"/>
  <c r="DC389" i="65" s="1"/>
  <c r="CO356" i="65"/>
  <c r="CO441" i="65"/>
  <c r="CO442" i="65"/>
  <c r="CO369" i="65"/>
  <c r="CZ369" i="65" s="1"/>
  <c r="CO351" i="65"/>
  <c r="CO404" i="65"/>
  <c r="CO384" i="65"/>
  <c r="CZ384" i="65" s="1"/>
  <c r="CO425" i="65"/>
  <c r="CO428" i="65"/>
  <c r="CZ428" i="65" s="1"/>
  <c r="CO385" i="65"/>
  <c r="CZ385" i="65" s="1"/>
  <c r="CO415" i="65"/>
  <c r="CO371" i="65"/>
  <c r="CO405" i="65"/>
  <c r="DC405" i="65" s="1"/>
  <c r="CO437" i="65"/>
  <c r="CO439" i="65"/>
  <c r="CZ439" i="65" s="1"/>
  <c r="CO429" i="65"/>
  <c r="CO383" i="65"/>
  <c r="CO372" i="65"/>
  <c r="CO388" i="65"/>
  <c r="CO370" i="65"/>
  <c r="CZ370" i="65" s="1"/>
  <c r="CO400" i="65"/>
  <c r="CZ400" i="65" s="1"/>
  <c r="CO401" i="65"/>
  <c r="CZ401" i="65" s="1"/>
  <c r="CO368" i="65"/>
  <c r="CZ368" i="65" s="1"/>
  <c r="CO386" i="65"/>
  <c r="CZ386" i="65" s="1"/>
  <c r="CO427" i="65"/>
  <c r="CZ427" i="65" s="1"/>
  <c r="CO390" i="65"/>
  <c r="CO352" i="65"/>
  <c r="CZ352" i="65" s="1"/>
  <c r="CO430" i="65"/>
  <c r="CO357" i="65"/>
  <c r="DC357" i="65" s="1"/>
  <c r="CO416" i="65"/>
  <c r="CZ416" i="65" s="1"/>
  <c r="CO426" i="65"/>
  <c r="CZ426" i="65" s="1"/>
  <c r="CO358" i="65"/>
  <c r="CO406" i="65"/>
  <c r="CO421" i="65"/>
  <c r="CZ421" i="65" s="1"/>
  <c r="CP419" i="65"/>
  <c r="CZ419" i="65" s="1"/>
  <c r="CP439" i="65"/>
  <c r="DC439" i="65" s="1"/>
  <c r="CP403" i="65"/>
  <c r="CZ403" i="65" s="1"/>
  <c r="CP425" i="65"/>
  <c r="CP416" i="65"/>
  <c r="CP427" i="65"/>
  <c r="DC427" i="65" s="1"/>
  <c r="CP353" i="65"/>
  <c r="DC353" i="65" s="1"/>
  <c r="CP357" i="65"/>
  <c r="CP429" i="65"/>
  <c r="CZ429" i="65" s="1"/>
  <c r="CP404" i="65"/>
  <c r="CZ404" i="65" s="1"/>
  <c r="CP367" i="65"/>
  <c r="CP369" i="65"/>
  <c r="DC369" i="65" s="1"/>
  <c r="CP355" i="65"/>
  <c r="CZ355" i="65" s="1"/>
  <c r="CP399" i="65"/>
  <c r="CP387" i="65"/>
  <c r="CZ387" i="65" s="1"/>
  <c r="CP430" i="65"/>
  <c r="CZ430" i="65" s="1"/>
  <c r="CP440" i="65"/>
  <c r="CP368" i="65"/>
  <c r="CP374" i="65"/>
  <c r="DC374" i="65" s="1"/>
  <c r="CP389" i="65"/>
  <c r="CP426" i="65"/>
  <c r="CP358" i="65"/>
  <c r="DC358" i="65" s="1"/>
  <c r="CP438" i="65"/>
  <c r="CP437" i="65"/>
  <c r="CP383" i="65"/>
  <c r="CP402" i="65"/>
  <c r="CP405" i="65"/>
  <c r="CP390" i="65"/>
  <c r="DC390" i="65" s="1"/>
  <c r="CP415" i="65"/>
  <c r="CP352" i="65"/>
  <c r="CP386" i="65"/>
  <c r="CP442" i="65"/>
  <c r="CZ442" i="65" s="1"/>
  <c r="CP384" i="65"/>
  <c r="CP400" i="65"/>
  <c r="CP370" i="65"/>
  <c r="CP354" i="65"/>
  <c r="CP351" i="65"/>
  <c r="CP372" i="65"/>
  <c r="CZ372" i="65" s="1"/>
  <c r="CP418" i="65"/>
  <c r="CP373" i="65"/>
  <c r="CP385" i="65"/>
  <c r="DC385" i="65" s="1"/>
  <c r="CP406" i="65"/>
  <c r="DC406" i="65" s="1"/>
  <c r="CP371" i="65"/>
  <c r="CZ371" i="65" s="1"/>
  <c r="CP441" i="65"/>
  <c r="CZ441" i="65" s="1"/>
  <c r="CP388" i="65"/>
  <c r="CZ388" i="65" s="1"/>
  <c r="CP428" i="65"/>
  <c r="CP401" i="65"/>
  <c r="DC401" i="65" s="1"/>
  <c r="CP356" i="65"/>
  <c r="CZ356" i="65" s="1"/>
  <c r="CP417" i="65"/>
  <c r="DC417" i="65" s="1"/>
  <c r="I9" i="65"/>
  <c r="D54" i="53"/>
  <c r="I27" i="53"/>
  <c r="E26" i="53"/>
  <c r="H27" i="53" s="1"/>
  <c r="F26" i="53"/>
  <c r="H117" i="64"/>
  <c r="K117" i="64" s="1"/>
  <c r="H119" i="64"/>
  <c r="K119" i="64" s="1"/>
  <c r="H115" i="64"/>
  <c r="K115" i="64" s="1"/>
  <c r="H116" i="64"/>
  <c r="K116" i="64" s="1"/>
  <c r="H118" i="64"/>
  <c r="K118" i="64" s="1"/>
  <c r="H120" i="64"/>
  <c r="K120" i="64" s="1"/>
  <c r="AB235" i="54"/>
  <c r="AG235" i="54" s="1"/>
  <c r="AK235" i="54" s="1"/>
  <c r="AB215" i="54"/>
  <c r="AG215" i="54" s="1"/>
  <c r="AK215" i="54" s="1"/>
  <c r="AB195" i="54"/>
  <c r="AG195" i="54" s="1"/>
  <c r="AK195" i="54" s="1"/>
  <c r="AB175" i="54"/>
  <c r="AG175" i="54" s="1"/>
  <c r="AK175" i="54" s="1"/>
  <c r="AB155" i="54"/>
  <c r="AG155" i="54" s="1"/>
  <c r="AK155" i="54" s="1"/>
  <c r="AB135" i="54"/>
  <c r="AG135" i="54" s="1"/>
  <c r="AK135" i="54" s="1"/>
  <c r="AB115" i="54"/>
  <c r="AG115" i="54" s="1"/>
  <c r="AK115" i="54" s="1"/>
  <c r="AB95" i="54"/>
  <c r="AG95" i="54" s="1"/>
  <c r="AK95" i="54" s="1"/>
  <c r="AB75" i="54"/>
  <c r="AG75" i="54" s="1"/>
  <c r="AK75" i="54" s="1"/>
  <c r="AB55" i="54"/>
  <c r="AG55" i="54" s="1"/>
  <c r="AK55" i="54" s="1"/>
  <c r="AB35" i="54"/>
  <c r="AG35" i="54" s="1"/>
  <c r="AK35" i="54" s="1"/>
  <c r="I117" i="64"/>
  <c r="L117" i="64" s="1"/>
  <c r="I118" i="64"/>
  <c r="L118" i="64" s="1"/>
  <c r="I120" i="64"/>
  <c r="L120" i="64" s="1"/>
  <c r="I119" i="64"/>
  <c r="L119" i="64" s="1"/>
  <c r="I116" i="64"/>
  <c r="L116" i="64" s="1"/>
  <c r="I115" i="64"/>
  <c r="L115" i="64" s="1"/>
  <c r="AD235" i="54"/>
  <c r="AH235" i="54" s="1"/>
  <c r="AL235" i="54" s="1"/>
  <c r="AD215" i="54"/>
  <c r="AH215" i="54" s="1"/>
  <c r="AL215" i="54" s="1"/>
  <c r="AD195" i="54"/>
  <c r="AH195" i="54" s="1"/>
  <c r="AL195" i="54" s="1"/>
  <c r="AD175" i="54"/>
  <c r="AH175" i="54" s="1"/>
  <c r="AL175" i="54" s="1"/>
  <c r="AD155" i="54"/>
  <c r="AH155" i="54" s="1"/>
  <c r="AL155" i="54" s="1"/>
  <c r="AD135" i="54"/>
  <c r="AH135" i="54" s="1"/>
  <c r="AL135" i="54" s="1"/>
  <c r="AD115" i="54"/>
  <c r="AH115" i="54" s="1"/>
  <c r="AL115" i="54" s="1"/>
  <c r="AD95" i="54"/>
  <c r="AH95" i="54" s="1"/>
  <c r="AL95" i="54" s="1"/>
  <c r="AD75" i="54"/>
  <c r="AH75" i="54" s="1"/>
  <c r="AL75" i="54" s="1"/>
  <c r="AD55" i="54"/>
  <c r="AH55" i="54" s="1"/>
  <c r="AL55" i="54" s="1"/>
  <c r="AD35" i="54"/>
  <c r="AH35" i="54" s="1"/>
  <c r="AL35" i="54" s="1"/>
  <c r="Z666" i="54"/>
  <c r="AF666" i="54" s="1"/>
  <c r="Z624" i="54"/>
  <c r="AF624" i="54" s="1"/>
  <c r="AD309" i="54"/>
  <c r="AH309" i="54" s="1"/>
  <c r="AD15" i="54"/>
  <c r="AH15" i="54" s="1"/>
  <c r="AL15" i="54" s="1"/>
  <c r="AD204" i="54"/>
  <c r="AH204" i="54" s="1"/>
  <c r="AD246" i="54"/>
  <c r="AH246" i="54" s="1"/>
  <c r="AD225" i="54"/>
  <c r="AH225" i="54" s="1"/>
  <c r="AD267" i="54"/>
  <c r="AH267" i="54" s="1"/>
  <c r="AD288" i="54"/>
  <c r="AH288" i="54" s="1"/>
  <c r="AB225" i="54"/>
  <c r="AG225" i="54" s="1"/>
  <c r="AB267" i="54"/>
  <c r="AG267" i="54" s="1"/>
  <c r="AB204" i="54"/>
  <c r="AG204" i="54" s="1"/>
  <c r="AB288" i="54"/>
  <c r="AG288" i="54" s="1"/>
  <c r="AB246" i="54"/>
  <c r="AG246" i="54" s="1"/>
  <c r="AB15" i="54"/>
  <c r="AG15" i="54" s="1"/>
  <c r="AK15" i="54" s="1"/>
  <c r="AB309" i="54"/>
  <c r="AG309" i="54" s="1"/>
  <c r="CO413" i="65" l="1"/>
  <c r="DC413" i="65" s="1"/>
  <c r="CO397" i="65"/>
  <c r="DC397" i="65" s="1"/>
  <c r="CO436" i="65"/>
  <c r="CN394" i="65"/>
  <c r="AR15" i="65"/>
  <c r="EJ65" i="65" s="1"/>
  <c r="CO435" i="65"/>
  <c r="AS15" i="65"/>
  <c r="EJ66" i="65" s="1"/>
  <c r="CN433" i="65"/>
  <c r="CO420" i="65"/>
  <c r="CN380" i="65"/>
  <c r="I15" i="65"/>
  <c r="CK397" i="65" s="1"/>
  <c r="CY397" i="65" s="1"/>
  <c r="CN409" i="65"/>
  <c r="CO447" i="65"/>
  <c r="CO424" i="65"/>
  <c r="CO361" i="65"/>
  <c r="CZ361" i="65" s="1"/>
  <c r="CO366" i="65"/>
  <c r="CO379" i="65"/>
  <c r="CO432" i="65"/>
  <c r="CZ432" i="65" s="1"/>
  <c r="CN392" i="65"/>
  <c r="CN361" i="65"/>
  <c r="CN445" i="65"/>
  <c r="CN414" i="65"/>
  <c r="CZ414" i="65" s="1"/>
  <c r="CN382" i="65"/>
  <c r="CZ382" i="65" s="1"/>
  <c r="CN396" i="65"/>
  <c r="CN379" i="65"/>
  <c r="CN366" i="65"/>
  <c r="CZ366" i="65" s="1"/>
  <c r="CN421" i="65"/>
  <c r="CN393" i="65"/>
  <c r="CN422" i="65"/>
  <c r="CN447" i="65"/>
  <c r="CN432" i="65"/>
  <c r="CN391" i="65"/>
  <c r="CZ391" i="65" s="1"/>
  <c r="CN395" i="65"/>
  <c r="CN423" i="65"/>
  <c r="CN444" i="65"/>
  <c r="CN364" i="65"/>
  <c r="CN398" i="65"/>
  <c r="CZ398" i="65" s="1"/>
  <c r="CN412" i="65"/>
  <c r="CN431" i="65"/>
  <c r="CZ431" i="65" s="1"/>
  <c r="CN407" i="65"/>
  <c r="CZ407" i="65" s="1"/>
  <c r="CN376" i="65"/>
  <c r="CN411" i="65"/>
  <c r="CN378" i="65"/>
  <c r="CN413" i="65"/>
  <c r="CZ413" i="65" s="1"/>
  <c r="CN397" i="65"/>
  <c r="CZ397" i="65" s="1"/>
  <c r="CN365" i="65"/>
  <c r="CZ365" i="65" s="1"/>
  <c r="CN420" i="65"/>
  <c r="CZ420" i="65" s="1"/>
  <c r="CN410" i="65"/>
  <c r="CN436" i="65"/>
  <c r="CN435" i="65"/>
  <c r="CN434" i="65"/>
  <c r="CN408" i="65"/>
  <c r="CN446" i="65"/>
  <c r="CN381" i="65"/>
  <c r="CZ381" i="65" s="1"/>
  <c r="CN424" i="65"/>
  <c r="CN363" i="65"/>
  <c r="CN448" i="65"/>
  <c r="CN375" i="65"/>
  <c r="CZ375" i="65" s="1"/>
  <c r="CN377" i="65"/>
  <c r="CN362" i="65"/>
  <c r="CN359" i="65"/>
  <c r="CZ359" i="65" s="1"/>
  <c r="CN360" i="65"/>
  <c r="CN443" i="65"/>
  <c r="CZ443" i="65" s="1"/>
  <c r="CO445" i="65"/>
  <c r="CZ445" i="65" s="1"/>
  <c r="CO382" i="65"/>
  <c r="CO395" i="65"/>
  <c r="CO381" i="65"/>
  <c r="DC381" i="65" s="1"/>
  <c r="CO376" i="65"/>
  <c r="CZ376" i="65" s="1"/>
  <c r="CO359" i="65"/>
  <c r="CO433" i="65"/>
  <c r="CZ433" i="65" s="1"/>
  <c r="CO393" i="65"/>
  <c r="CZ393" i="65" s="1"/>
  <c r="CO378" i="65"/>
  <c r="CZ378" i="65" s="1"/>
  <c r="CO394" i="65"/>
  <c r="CZ394" i="65" s="1"/>
  <c r="CO443" i="65"/>
  <c r="CO408" i="65"/>
  <c r="CZ408" i="65" s="1"/>
  <c r="CO363" i="65"/>
  <c r="CO398" i="65"/>
  <c r="CO423" i="65"/>
  <c r="CZ423" i="65" s="1"/>
  <c r="CO414" i="65"/>
  <c r="CO410" i="65"/>
  <c r="CZ410" i="65" s="1"/>
  <c r="CO365" i="65"/>
  <c r="DC365" i="65" s="1"/>
  <c r="CO412" i="65"/>
  <c r="CO391" i="65"/>
  <c r="CO392" i="65"/>
  <c r="CZ392" i="65" s="1"/>
  <c r="CO431" i="65"/>
  <c r="CO407" i="65"/>
  <c r="CO396" i="65"/>
  <c r="CO409" i="65"/>
  <c r="CZ409" i="65" s="1"/>
  <c r="CO364" i="65"/>
  <c r="CO422" i="65"/>
  <c r="CZ422" i="65" s="1"/>
  <c r="CO360" i="65"/>
  <c r="CZ360" i="65" s="1"/>
  <c r="CO444" i="65"/>
  <c r="CZ444" i="65" s="1"/>
  <c r="CO362" i="65"/>
  <c r="CZ362" i="65" s="1"/>
  <c r="CO446" i="65"/>
  <c r="CZ446" i="65" s="1"/>
  <c r="CO434" i="65"/>
  <c r="CZ434" i="65" s="1"/>
  <c r="CO375" i="65"/>
  <c r="CO377" i="65"/>
  <c r="CZ377" i="65" s="1"/>
  <c r="CO380" i="65"/>
  <c r="CO448" i="65"/>
  <c r="CP413" i="65"/>
  <c r="CP380" i="65"/>
  <c r="CZ380" i="65" s="1"/>
  <c r="CP364" i="65"/>
  <c r="CZ364" i="65" s="1"/>
  <c r="CP422" i="65"/>
  <c r="DC422" i="65" s="1"/>
  <c r="CP360" i="65"/>
  <c r="CP365" i="65"/>
  <c r="CP414" i="65"/>
  <c r="DC414" i="65" s="1"/>
  <c r="CP412" i="65"/>
  <c r="CZ412" i="65" s="1"/>
  <c r="CP420" i="65"/>
  <c r="CP398" i="65"/>
  <c r="DC398" i="65" s="1"/>
  <c r="CP391" i="65"/>
  <c r="CP435" i="65"/>
  <c r="CZ435" i="65" s="1"/>
  <c r="CP366" i="65"/>
  <c r="DC366" i="65" s="1"/>
  <c r="CP409" i="65"/>
  <c r="DC409" i="65" s="1"/>
  <c r="CP382" i="65"/>
  <c r="DC382" i="65" s="1"/>
  <c r="CP375" i="65"/>
  <c r="CP410" i="65"/>
  <c r="CP394" i="65"/>
  <c r="CP448" i="65"/>
  <c r="CZ448" i="65" s="1"/>
  <c r="CP395" i="65"/>
  <c r="CZ395" i="65" s="1"/>
  <c r="CP434" i="65"/>
  <c r="CP411" i="65"/>
  <c r="CZ411" i="65" s="1"/>
  <c r="CP444" i="65"/>
  <c r="CP447" i="65"/>
  <c r="CZ447" i="65" s="1"/>
  <c r="CP377" i="65"/>
  <c r="DC377" i="65" s="1"/>
  <c r="CP436" i="65"/>
  <c r="CZ436" i="65" s="1"/>
  <c r="CP396" i="65"/>
  <c r="CZ396" i="65" s="1"/>
  <c r="CP378" i="65"/>
  <c r="CP431" i="65"/>
  <c r="CP362" i="65"/>
  <c r="CP361" i="65"/>
  <c r="DC361" i="65" s="1"/>
  <c r="CP397" i="65"/>
  <c r="CP376" i="65"/>
  <c r="CP433" i="65"/>
  <c r="DC433" i="65" s="1"/>
  <c r="CP393" i="65"/>
  <c r="DC393" i="65" s="1"/>
  <c r="CP445" i="65"/>
  <c r="DC445" i="65" s="1"/>
  <c r="CP443" i="65"/>
  <c r="CP359" i="65"/>
  <c r="CP432" i="65"/>
  <c r="CP381" i="65"/>
  <c r="CP421" i="65"/>
  <c r="CP423" i="65"/>
  <c r="CP363" i="65"/>
  <c r="CZ363" i="65" s="1"/>
  <c r="CP379" i="65"/>
  <c r="CZ379" i="65" s="1"/>
  <c r="CP424" i="65"/>
  <c r="CZ424" i="65" s="1"/>
  <c r="CP392" i="65"/>
  <c r="CP407" i="65"/>
  <c r="CP446" i="65"/>
  <c r="CP408" i="65"/>
  <c r="L27" i="53"/>
  <c r="AJ9" i="65" s="1"/>
  <c r="J27" i="53"/>
  <c r="AI9" i="65" s="1"/>
  <c r="K9" i="65"/>
  <c r="K15" i="65"/>
  <c r="F54" i="53"/>
  <c r="G55" i="53"/>
  <c r="I55" i="53" s="1"/>
  <c r="E54" i="53"/>
  <c r="M54" i="53"/>
  <c r="N54" i="53" s="1"/>
  <c r="Z793" i="54"/>
  <c r="AF793" i="54" s="1"/>
  <c r="AJ793" i="54" s="1"/>
  <c r="Z772" i="54"/>
  <c r="AF772" i="54" s="1"/>
  <c r="K27" i="53"/>
  <c r="O27" i="53" s="1"/>
  <c r="J9" i="65"/>
  <c r="J15" i="65"/>
  <c r="CK358" i="65"/>
  <c r="CY358" i="65" s="1"/>
  <c r="CK390" i="65"/>
  <c r="CY390" i="65" s="1"/>
  <c r="CK373" i="65"/>
  <c r="CY373" i="65" s="1"/>
  <c r="CK405" i="65"/>
  <c r="CY405" i="65" s="1"/>
  <c r="CK437" i="65"/>
  <c r="CY437" i="65" s="1"/>
  <c r="CK384" i="65"/>
  <c r="CK353" i="65"/>
  <c r="CK430" i="65"/>
  <c r="CK440" i="65"/>
  <c r="CK399" i="65"/>
  <c r="CY399" i="65" s="1"/>
  <c r="CK402" i="65"/>
  <c r="CK403" i="65"/>
  <c r="CK370" i="65"/>
  <c r="CK355" i="65"/>
  <c r="CK387" i="65"/>
  <c r="CK374" i="65"/>
  <c r="CY374" i="65" s="1"/>
  <c r="CK357" i="65"/>
  <c r="CY357" i="65" s="1"/>
  <c r="CK389" i="65"/>
  <c r="CY389" i="65" s="1"/>
  <c r="CK425" i="65"/>
  <c r="CY425" i="65" s="1"/>
  <c r="CK352" i="65"/>
  <c r="CK404" i="65"/>
  <c r="CK385" i="65"/>
  <c r="CK369" i="65"/>
  <c r="CK426" i="65"/>
  <c r="CK427" i="65"/>
  <c r="CK438" i="65"/>
  <c r="CK428" i="65"/>
  <c r="CK401" i="65"/>
  <c r="CK368" i="65"/>
  <c r="CK406" i="65"/>
  <c r="CY406" i="65" s="1"/>
  <c r="CK372" i="65"/>
  <c r="CK356" i="65"/>
  <c r="CK367" i="65"/>
  <c r="CY367" i="65" s="1"/>
  <c r="CK354" i="65"/>
  <c r="CK417" i="65"/>
  <c r="CK400" i="65"/>
  <c r="CK439" i="65"/>
  <c r="CK415" i="65"/>
  <c r="CY415" i="65" s="1"/>
  <c r="CK419" i="65"/>
  <c r="CK371" i="65"/>
  <c r="CK388" i="65"/>
  <c r="CK386" i="65"/>
  <c r="CK429" i="65"/>
  <c r="CK416" i="65"/>
  <c r="CK383" i="65"/>
  <c r="CY383" i="65" s="1"/>
  <c r="CK351" i="65"/>
  <c r="CY351" i="65" s="1"/>
  <c r="CK442" i="65"/>
  <c r="CK441" i="65"/>
  <c r="CK418" i="65"/>
  <c r="F125" i="64"/>
  <c r="F124" i="64"/>
  <c r="F123" i="64"/>
  <c r="F126" i="64"/>
  <c r="F122" i="64"/>
  <c r="F121" i="64"/>
  <c r="D121" i="64"/>
  <c r="D123" i="64"/>
  <c r="D126" i="64"/>
  <c r="D122" i="64"/>
  <c r="D124" i="64"/>
  <c r="D125" i="64"/>
  <c r="E123" i="64"/>
  <c r="E124" i="64"/>
  <c r="E122" i="64"/>
  <c r="E125" i="64"/>
  <c r="E121" i="64"/>
  <c r="E126" i="64"/>
  <c r="AD666" i="54"/>
  <c r="AH666" i="54" s="1"/>
  <c r="AD624" i="54"/>
  <c r="AH624" i="54" s="1"/>
  <c r="AB666" i="54"/>
  <c r="AG666" i="54" s="1"/>
  <c r="AB624" i="54"/>
  <c r="AG624" i="54" s="1"/>
  <c r="CK379" i="65" l="1"/>
  <c r="CK443" i="65"/>
  <c r="CY443" i="65" s="1"/>
  <c r="CK409" i="65"/>
  <c r="CK359" i="65"/>
  <c r="CY359" i="65" s="1"/>
  <c r="CK360" i="65"/>
  <c r="CK448" i="65"/>
  <c r="CK446" i="65"/>
  <c r="CK447" i="65"/>
  <c r="CK366" i="65"/>
  <c r="CY366" i="65" s="1"/>
  <c r="CK420" i="65"/>
  <c r="CY420" i="65" s="1"/>
  <c r="CK422" i="65"/>
  <c r="CK398" i="65"/>
  <c r="CY398" i="65" s="1"/>
  <c r="CK432" i="65"/>
  <c r="CK363" i="65"/>
  <c r="CK375" i="65"/>
  <c r="CY375" i="65" s="1"/>
  <c r="CK395" i="65"/>
  <c r="CK410" i="65"/>
  <c r="CK396" i="65"/>
  <c r="CK376" i="65"/>
  <c r="CK435" i="65"/>
  <c r="CK394" i="65"/>
  <c r="CK378" i="65"/>
  <c r="CK391" i="65"/>
  <c r="CY391" i="65" s="1"/>
  <c r="CK381" i="65"/>
  <c r="CY381" i="65" s="1"/>
  <c r="CK382" i="65"/>
  <c r="CY382" i="65" s="1"/>
  <c r="CK431" i="65"/>
  <c r="CY431" i="65" s="1"/>
  <c r="CK408" i="65"/>
  <c r="CK393" i="65"/>
  <c r="CK434" i="65"/>
  <c r="CK361" i="65"/>
  <c r="CK362" i="65"/>
  <c r="CK377" i="65"/>
  <c r="CK407" i="65"/>
  <c r="CY407" i="65" s="1"/>
  <c r="CK392" i="65"/>
  <c r="CK413" i="65"/>
  <c r="CY413" i="65" s="1"/>
  <c r="CK414" i="65"/>
  <c r="CY414" i="65" s="1"/>
  <c r="CK433" i="65"/>
  <c r="CK444" i="65"/>
  <c r="CK380" i="65"/>
  <c r="CK436" i="65"/>
  <c r="CK445" i="65"/>
  <c r="CK423" i="65"/>
  <c r="CK421" i="65"/>
  <c r="CK411" i="65"/>
  <c r="CK412" i="65"/>
  <c r="CK364" i="65"/>
  <c r="CK365" i="65"/>
  <c r="CY365" i="65" s="1"/>
  <c r="CK424" i="65"/>
  <c r="L55" i="53"/>
  <c r="AJ15" i="65" s="1"/>
  <c r="J55" i="53"/>
  <c r="AI15" i="65" s="1"/>
  <c r="DS29" i="65"/>
  <c r="DS34" i="65"/>
  <c r="DS37" i="65"/>
  <c r="DS33" i="65"/>
  <c r="DS30" i="65"/>
  <c r="DS36" i="65"/>
  <c r="X38" i="54"/>
  <c r="X122" i="54"/>
  <c r="X206" i="54"/>
  <c r="X290" i="54"/>
  <c r="X59" i="54"/>
  <c r="X143" i="54"/>
  <c r="X227" i="54"/>
  <c r="X311" i="54"/>
  <c r="X80" i="54"/>
  <c r="X164" i="54"/>
  <c r="X248" i="54"/>
  <c r="X332" i="54"/>
  <c r="X17" i="54"/>
  <c r="X269" i="54"/>
  <c r="X101" i="54"/>
  <c r="X185" i="54"/>
  <c r="CL351" i="65"/>
  <c r="CL383" i="65"/>
  <c r="CL385" i="65"/>
  <c r="CY385" i="65" s="1"/>
  <c r="CL426" i="65"/>
  <c r="CY426" i="65" s="1"/>
  <c r="CL357" i="65"/>
  <c r="DB357" i="65" s="1"/>
  <c r="CL405" i="65"/>
  <c r="DB405" i="65" s="1"/>
  <c r="CL388" i="65"/>
  <c r="CL437" i="65"/>
  <c r="CL352" i="65"/>
  <c r="CY352" i="65" s="1"/>
  <c r="CL354" i="65"/>
  <c r="CY354" i="65" s="1"/>
  <c r="CL425" i="65"/>
  <c r="CL372" i="65"/>
  <c r="CL384" i="65"/>
  <c r="CY384" i="65" s="1"/>
  <c r="CL355" i="65"/>
  <c r="CL387" i="65"/>
  <c r="CL402" i="65"/>
  <c r="CY402" i="65" s="1"/>
  <c r="CL430" i="65"/>
  <c r="CL373" i="65"/>
  <c r="DB373" i="65" s="1"/>
  <c r="CL417" i="65"/>
  <c r="CY417" i="65" s="1"/>
  <c r="CL403" i="65"/>
  <c r="CL399" i="65"/>
  <c r="CL400" i="65"/>
  <c r="CY400" i="65" s="1"/>
  <c r="CL368" i="65"/>
  <c r="CY368" i="65" s="1"/>
  <c r="CL439" i="65"/>
  <c r="CY439" i="65" s="1"/>
  <c r="CL390" i="65"/>
  <c r="CL367" i="65"/>
  <c r="CL353" i="65"/>
  <c r="CY353" i="65" s="1"/>
  <c r="CL406" i="65"/>
  <c r="CL438" i="65"/>
  <c r="CY438" i="65" s="1"/>
  <c r="CL389" i="65"/>
  <c r="DB389" i="65" s="1"/>
  <c r="CL356" i="65"/>
  <c r="CL419" i="65"/>
  <c r="CL415" i="65"/>
  <c r="CL416" i="65"/>
  <c r="CY416" i="65" s="1"/>
  <c r="CL386" i="65"/>
  <c r="CY386" i="65" s="1"/>
  <c r="CL441" i="65"/>
  <c r="CL427" i="65"/>
  <c r="CY427" i="65" s="1"/>
  <c r="CL418" i="65"/>
  <c r="CY418" i="65" s="1"/>
  <c r="CL428" i="65"/>
  <c r="CY428" i="65" s="1"/>
  <c r="CL358" i="65"/>
  <c r="CL442" i="65"/>
  <c r="CL429" i="65"/>
  <c r="CL370" i="65"/>
  <c r="CY370" i="65" s="1"/>
  <c r="CL371" i="65"/>
  <c r="CL401" i="65"/>
  <c r="CY401" i="65" s="1"/>
  <c r="CL440" i="65"/>
  <c r="CY440" i="65" s="1"/>
  <c r="CL404" i="65"/>
  <c r="CL369" i="65"/>
  <c r="CY369" i="65" s="1"/>
  <c r="CL374" i="65"/>
  <c r="AD772" i="54"/>
  <c r="AH772" i="54" s="1"/>
  <c r="AD793" i="54"/>
  <c r="AH793" i="54" s="1"/>
  <c r="AL793" i="54" s="1"/>
  <c r="V17" i="54"/>
  <c r="V101" i="54"/>
  <c r="V185" i="54"/>
  <c r="V269" i="54"/>
  <c r="V38" i="54"/>
  <c r="V122" i="54"/>
  <c r="V206" i="54"/>
  <c r="V290" i="54"/>
  <c r="V59" i="54"/>
  <c r="V143" i="54"/>
  <c r="V227" i="54"/>
  <c r="V311" i="54"/>
  <c r="V248" i="54"/>
  <c r="V332" i="54"/>
  <c r="V80" i="54"/>
  <c r="V164" i="54"/>
  <c r="CM360" i="65"/>
  <c r="CM392" i="65"/>
  <c r="CM407" i="65"/>
  <c r="CM364" i="65"/>
  <c r="CY364" i="65" s="1"/>
  <c r="CM365" i="65"/>
  <c r="CM411" i="65"/>
  <c r="CY411" i="65" s="1"/>
  <c r="CM376" i="65"/>
  <c r="CM381" i="65"/>
  <c r="CM423" i="65"/>
  <c r="CM431" i="65"/>
  <c r="CM362" i="65"/>
  <c r="CM410" i="65"/>
  <c r="CM377" i="65"/>
  <c r="DB377" i="65" s="1"/>
  <c r="CM361" i="65"/>
  <c r="DB361" i="65" s="1"/>
  <c r="CM359" i="65"/>
  <c r="CM375" i="65"/>
  <c r="CM446" i="65"/>
  <c r="CM434" i="65"/>
  <c r="CM413" i="65"/>
  <c r="CM435" i="65"/>
  <c r="CY435" i="65" s="1"/>
  <c r="CM378" i="65"/>
  <c r="CM414" i="65"/>
  <c r="DB414" i="65" s="1"/>
  <c r="CM408" i="65"/>
  <c r="CM393" i="65"/>
  <c r="DB393" i="65" s="1"/>
  <c r="CM366" i="65"/>
  <c r="DB366" i="65" s="1"/>
  <c r="CM382" i="65"/>
  <c r="DB382" i="65" s="1"/>
  <c r="CM379" i="65"/>
  <c r="CY379" i="65" s="1"/>
  <c r="CM448" i="65"/>
  <c r="CY448" i="65" s="1"/>
  <c r="CM445" i="65"/>
  <c r="DB445" i="65" s="1"/>
  <c r="CM380" i="65"/>
  <c r="CY380" i="65" s="1"/>
  <c r="CM443" i="65"/>
  <c r="CM394" i="65"/>
  <c r="CM422" i="65"/>
  <c r="DB422" i="65" s="1"/>
  <c r="CM424" i="65"/>
  <c r="CY424" i="65" s="1"/>
  <c r="CM420" i="65"/>
  <c r="CM421" i="65"/>
  <c r="CM409" i="65"/>
  <c r="DB409" i="65" s="1"/>
  <c r="CM396" i="65"/>
  <c r="CY396" i="65" s="1"/>
  <c r="CM391" i="65"/>
  <c r="CM395" i="65"/>
  <c r="CY395" i="65" s="1"/>
  <c r="CM433" i="65"/>
  <c r="DB433" i="65" s="1"/>
  <c r="CM412" i="65"/>
  <c r="CY412" i="65" s="1"/>
  <c r="CM447" i="65"/>
  <c r="CY447" i="65" s="1"/>
  <c r="CM432" i="65"/>
  <c r="CM397" i="65"/>
  <c r="CM398" i="65"/>
  <c r="DB398" i="65" s="1"/>
  <c r="CM436" i="65"/>
  <c r="CY436" i="65" s="1"/>
  <c r="CM363" i="65"/>
  <c r="CY363" i="65" s="1"/>
  <c r="CM444" i="65"/>
  <c r="T500" i="54"/>
  <c r="T374" i="54"/>
  <c r="T752" i="54"/>
  <c r="T773" i="54"/>
  <c r="H55" i="53"/>
  <c r="K55" i="53" s="1"/>
  <c r="O55" i="53" s="1"/>
  <c r="AB772" i="54"/>
  <c r="AG772" i="54" s="1"/>
  <c r="AB793" i="54"/>
  <c r="AG793" i="54" s="1"/>
  <c r="AK793" i="54" s="1"/>
  <c r="CM356" i="65"/>
  <c r="CY356" i="65" s="1"/>
  <c r="CM368" i="65"/>
  <c r="CM372" i="65"/>
  <c r="CY372" i="65" s="1"/>
  <c r="CM358" i="65"/>
  <c r="DB358" i="65" s="1"/>
  <c r="CM390" i="65"/>
  <c r="DB390" i="65" s="1"/>
  <c r="CM419" i="65"/>
  <c r="CY419" i="65" s="1"/>
  <c r="CM355" i="65"/>
  <c r="CY355" i="65" s="1"/>
  <c r="CM384" i="65"/>
  <c r="CM374" i="65"/>
  <c r="DB374" i="65" s="1"/>
  <c r="CM415" i="65"/>
  <c r="CM369" i="65"/>
  <c r="DB369" i="65" s="1"/>
  <c r="CM402" i="65"/>
  <c r="CM400" i="65"/>
  <c r="CM442" i="65"/>
  <c r="CY442" i="65" s="1"/>
  <c r="CM373" i="65"/>
  <c r="CM389" i="65"/>
  <c r="CM430" i="65"/>
  <c r="CY430" i="65" s="1"/>
  <c r="CM438" i="65"/>
  <c r="CM388" i="65"/>
  <c r="CY388" i="65" s="1"/>
  <c r="CM383" i="65"/>
  <c r="CM427" i="65"/>
  <c r="DB427" i="65" s="1"/>
  <c r="CM371" i="65"/>
  <c r="CY371" i="65" s="1"/>
  <c r="CM406" i="65"/>
  <c r="DB406" i="65" s="1"/>
  <c r="CM416" i="65"/>
  <c r="CM354" i="65"/>
  <c r="CM405" i="65"/>
  <c r="CM401" i="65"/>
  <c r="DB401" i="65" s="1"/>
  <c r="CM437" i="65"/>
  <c r="CM351" i="65"/>
  <c r="CM399" i="65"/>
  <c r="CM439" i="65"/>
  <c r="DB439" i="65" s="1"/>
  <c r="CM385" i="65"/>
  <c r="DB385" i="65" s="1"/>
  <c r="CM418" i="65"/>
  <c r="CM426" i="65"/>
  <c r="CM404" i="65"/>
  <c r="CY404" i="65" s="1"/>
  <c r="CM429" i="65"/>
  <c r="CY429" i="65" s="1"/>
  <c r="CM417" i="65"/>
  <c r="DB417" i="65" s="1"/>
  <c r="CM386" i="65"/>
  <c r="CM352" i="65"/>
  <c r="CM367" i="65"/>
  <c r="CM403" i="65"/>
  <c r="CY403" i="65" s="1"/>
  <c r="CM353" i="65"/>
  <c r="DB353" i="65" s="1"/>
  <c r="CM387" i="65"/>
  <c r="CY387" i="65" s="1"/>
  <c r="CM370" i="65"/>
  <c r="CM428" i="65"/>
  <c r="CM440" i="65"/>
  <c r="CM441" i="65"/>
  <c r="CY441" i="65" s="1"/>
  <c r="CM425" i="65"/>
  <c r="CM357" i="65"/>
  <c r="CL375" i="65"/>
  <c r="CL362" i="65"/>
  <c r="CY362" i="65" s="1"/>
  <c r="CL394" i="65"/>
  <c r="CY394" i="65" s="1"/>
  <c r="CL422" i="65"/>
  <c r="CY422" i="65" s="1"/>
  <c r="CL366" i="65"/>
  <c r="CL409" i="65"/>
  <c r="CY409" i="65" s="1"/>
  <c r="CL395" i="65"/>
  <c r="CL436" i="65"/>
  <c r="CL361" i="65"/>
  <c r="CY361" i="65" s="1"/>
  <c r="CL420" i="65"/>
  <c r="CL407" i="65"/>
  <c r="CL408" i="65"/>
  <c r="CY408" i="65" s="1"/>
  <c r="CL379" i="65"/>
  <c r="CL398" i="65"/>
  <c r="CL380" i="65"/>
  <c r="CL411" i="65"/>
  <c r="CL393" i="65"/>
  <c r="CY393" i="65" s="1"/>
  <c r="CL423" i="65"/>
  <c r="CY423" i="65" s="1"/>
  <c r="CL376" i="65"/>
  <c r="CY376" i="65" s="1"/>
  <c r="CL434" i="65"/>
  <c r="CY434" i="65" s="1"/>
  <c r="CL413" i="65"/>
  <c r="DB413" i="65" s="1"/>
  <c r="CL443" i="65"/>
  <c r="CL432" i="65"/>
  <c r="CY432" i="65" s="1"/>
  <c r="CL424" i="65"/>
  <c r="CL359" i="65"/>
  <c r="CL391" i="65"/>
  <c r="CL378" i="65"/>
  <c r="CY378" i="65" s="1"/>
  <c r="CL410" i="65"/>
  <c r="CY410" i="65" s="1"/>
  <c r="CL446" i="65"/>
  <c r="CY446" i="65" s="1"/>
  <c r="CL382" i="65"/>
  <c r="CL421" i="65"/>
  <c r="CY421" i="65" s="1"/>
  <c r="CL435" i="65"/>
  <c r="CL433" i="65"/>
  <c r="CY433" i="65" s="1"/>
  <c r="CL396" i="65"/>
  <c r="CL448" i="65"/>
  <c r="CL445" i="65"/>
  <c r="CY445" i="65" s="1"/>
  <c r="CL431" i="65"/>
  <c r="CL414" i="65"/>
  <c r="CL444" i="65"/>
  <c r="CY444" i="65" s="1"/>
  <c r="CL377" i="65"/>
  <c r="CY377" i="65" s="1"/>
  <c r="CL365" i="65"/>
  <c r="DB365" i="65" s="1"/>
  <c r="CL363" i="65"/>
  <c r="CL364" i="65"/>
  <c r="CL447" i="65"/>
  <c r="CL392" i="65"/>
  <c r="CY392" i="65" s="1"/>
  <c r="CL360" i="65"/>
  <c r="CY360" i="65" s="1"/>
  <c r="CL397" i="65"/>
  <c r="DB397" i="65" s="1"/>
  <c r="CL412" i="65"/>
  <c r="CL381" i="65"/>
  <c r="DB381" i="65" s="1"/>
  <c r="T80" i="54"/>
  <c r="T164" i="54"/>
  <c r="T17" i="54"/>
  <c r="T101" i="54"/>
  <c r="T38" i="54"/>
  <c r="T122" i="54"/>
  <c r="T206" i="54"/>
  <c r="T290" i="54"/>
  <c r="T143" i="54"/>
  <c r="T227" i="54"/>
  <c r="T311" i="54"/>
  <c r="T185" i="54"/>
  <c r="T59" i="54"/>
  <c r="T248" i="54"/>
  <c r="T332" i="54"/>
  <c r="T269" i="54"/>
  <c r="D27" i="53"/>
  <c r="G121" i="64"/>
  <c r="J121" i="64" s="1"/>
  <c r="G125" i="64"/>
  <c r="J125" i="64" s="1"/>
  <c r="G122" i="64"/>
  <c r="J122" i="64" s="1"/>
  <c r="G123" i="64"/>
  <c r="J123" i="64" s="1"/>
  <c r="G124" i="64"/>
  <c r="J124" i="64" s="1"/>
  <c r="G126" i="64"/>
  <c r="J126" i="64" s="1"/>
  <c r="Z256" i="54"/>
  <c r="AF256" i="54" s="1"/>
  <c r="AJ256" i="54" s="1"/>
  <c r="Z236" i="54"/>
  <c r="AF236" i="54" s="1"/>
  <c r="AJ236" i="54" s="1"/>
  <c r="Z216" i="54"/>
  <c r="AF216" i="54" s="1"/>
  <c r="AJ216" i="54" s="1"/>
  <c r="Z196" i="54"/>
  <c r="AF196" i="54" s="1"/>
  <c r="AJ196" i="54" s="1"/>
  <c r="Z176" i="54"/>
  <c r="AF176" i="54" s="1"/>
  <c r="AJ176" i="54" s="1"/>
  <c r="Z156" i="54"/>
  <c r="AF156" i="54" s="1"/>
  <c r="AJ156" i="54" s="1"/>
  <c r="Z136" i="54"/>
  <c r="AF136" i="54" s="1"/>
  <c r="AJ136" i="54" s="1"/>
  <c r="Z116" i="54"/>
  <c r="AF116" i="54" s="1"/>
  <c r="AJ116" i="54" s="1"/>
  <c r="Z96" i="54"/>
  <c r="AF96" i="54" s="1"/>
  <c r="AJ96" i="54" s="1"/>
  <c r="Z76" i="54"/>
  <c r="AF76" i="54" s="1"/>
  <c r="AJ76" i="54" s="1"/>
  <c r="Z56" i="54"/>
  <c r="AF56" i="54" s="1"/>
  <c r="AJ56" i="54" s="1"/>
  <c r="Z36" i="54"/>
  <c r="AF36" i="54" s="1"/>
  <c r="AJ36" i="54" s="1"/>
  <c r="Z247" i="54"/>
  <c r="AF247" i="54" s="1"/>
  <c r="Z268" i="54"/>
  <c r="AF268" i="54" s="1"/>
  <c r="Z184" i="54"/>
  <c r="AF184" i="54" s="1"/>
  <c r="Z205" i="54"/>
  <c r="AF205" i="54" s="1"/>
  <c r="Z16" i="54"/>
  <c r="AF16" i="54" s="1"/>
  <c r="AJ16" i="54" s="1"/>
  <c r="Z310" i="54"/>
  <c r="AF310" i="54" s="1"/>
  <c r="Z289" i="54"/>
  <c r="AF289" i="54" s="1"/>
  <c r="Z226" i="54"/>
  <c r="AF226" i="54" s="1"/>
  <c r="T668" i="54" l="1"/>
  <c r="T794" i="54"/>
  <c r="T395" i="54"/>
  <c r="T731" i="54"/>
  <c r="T458" i="54"/>
  <c r="T689" i="54"/>
  <c r="T542" i="54"/>
  <c r="T626" i="54"/>
  <c r="T647" i="54"/>
  <c r="T353" i="54"/>
  <c r="T584" i="54"/>
  <c r="T605" i="54"/>
  <c r="T416" i="54"/>
  <c r="T563" i="54"/>
  <c r="T437" i="54"/>
  <c r="T479" i="54"/>
  <c r="T710" i="54"/>
  <c r="T521" i="54"/>
  <c r="D55" i="53"/>
  <c r="G56" i="53" s="1"/>
  <c r="I56" i="53" s="1"/>
  <c r="G28" i="53"/>
  <c r="I28" i="53" s="1"/>
  <c r="DZ30" i="65"/>
  <c r="DZ36" i="65"/>
  <c r="DZ33" i="65"/>
  <c r="DZ34" i="65"/>
  <c r="DZ29" i="65"/>
  <c r="DZ37" i="65"/>
  <c r="F55" i="53"/>
  <c r="Z773" i="54"/>
  <c r="AF773" i="54" s="1"/>
  <c r="V353" i="54"/>
  <c r="V689" i="54"/>
  <c r="V626" i="54"/>
  <c r="V563" i="54"/>
  <c r="V500" i="54"/>
  <c r="V773" i="54"/>
  <c r="V605" i="54"/>
  <c r="V416" i="54"/>
  <c r="V437" i="54"/>
  <c r="V374" i="54"/>
  <c r="V710" i="54"/>
  <c r="V647" i="54"/>
  <c r="V584" i="54"/>
  <c r="V794" i="54"/>
  <c r="V542" i="54"/>
  <c r="V521" i="54"/>
  <c r="V458" i="54"/>
  <c r="V395" i="54"/>
  <c r="V731" i="54"/>
  <c r="V668" i="54"/>
  <c r="V479" i="54"/>
  <c r="V752" i="54"/>
  <c r="X605" i="54"/>
  <c r="X626" i="54"/>
  <c r="X647" i="54"/>
  <c r="X731" i="54"/>
  <c r="X773" i="54"/>
  <c r="X521" i="54"/>
  <c r="X584" i="54"/>
  <c r="X353" i="54"/>
  <c r="X374" i="54"/>
  <c r="X395" i="54"/>
  <c r="X416" i="54"/>
  <c r="X752" i="54"/>
  <c r="X710" i="54"/>
  <c r="X563" i="54"/>
  <c r="X437" i="54"/>
  <c r="X458" i="54"/>
  <c r="X479" i="54"/>
  <c r="X500" i="54"/>
  <c r="X668" i="54"/>
  <c r="X794" i="54"/>
  <c r="X542" i="54"/>
  <c r="X689" i="54"/>
  <c r="F27" i="53"/>
  <c r="E27" i="53"/>
  <c r="H28" i="53" s="1"/>
  <c r="H124" i="64"/>
  <c r="K124" i="64" s="1"/>
  <c r="H126" i="64"/>
  <c r="K126" i="64" s="1"/>
  <c r="H121" i="64"/>
  <c r="K121" i="64" s="1"/>
  <c r="H125" i="64"/>
  <c r="K125" i="64" s="1"/>
  <c r="H122" i="64"/>
  <c r="K122" i="64" s="1"/>
  <c r="H123" i="64"/>
  <c r="K123" i="64" s="1"/>
  <c r="AB256" i="54"/>
  <c r="AG256" i="54" s="1"/>
  <c r="AK256" i="54" s="1"/>
  <c r="AB236" i="54"/>
  <c r="AG236" i="54" s="1"/>
  <c r="AK236" i="54" s="1"/>
  <c r="AB216" i="54"/>
  <c r="AG216" i="54" s="1"/>
  <c r="AK216" i="54" s="1"/>
  <c r="AB196" i="54"/>
  <c r="AG196" i="54" s="1"/>
  <c r="AK196" i="54" s="1"/>
  <c r="AB176" i="54"/>
  <c r="AG176" i="54" s="1"/>
  <c r="AK176" i="54" s="1"/>
  <c r="AB156" i="54"/>
  <c r="AG156" i="54" s="1"/>
  <c r="AK156" i="54" s="1"/>
  <c r="AB136" i="54"/>
  <c r="AG136" i="54" s="1"/>
  <c r="AK136" i="54" s="1"/>
  <c r="AB116" i="54"/>
  <c r="AG116" i="54" s="1"/>
  <c r="AK116" i="54" s="1"/>
  <c r="AB96" i="54"/>
  <c r="AG96" i="54" s="1"/>
  <c r="AK96" i="54" s="1"/>
  <c r="AB76" i="54"/>
  <c r="AG76" i="54" s="1"/>
  <c r="AK76" i="54" s="1"/>
  <c r="AB56" i="54"/>
  <c r="AG56" i="54" s="1"/>
  <c r="AK56" i="54" s="1"/>
  <c r="AB36" i="54"/>
  <c r="AG36" i="54" s="1"/>
  <c r="AK36" i="54" s="1"/>
  <c r="I121" i="64"/>
  <c r="L121" i="64" s="1"/>
  <c r="I126" i="64"/>
  <c r="L126" i="64" s="1"/>
  <c r="I125" i="64"/>
  <c r="L125" i="64" s="1"/>
  <c r="I124" i="64"/>
  <c r="L124" i="64" s="1"/>
  <c r="I123" i="64"/>
  <c r="L123" i="64" s="1"/>
  <c r="I122" i="64"/>
  <c r="L122" i="64" s="1"/>
  <c r="AD256" i="54"/>
  <c r="AH256" i="54" s="1"/>
  <c r="AL256" i="54" s="1"/>
  <c r="AD236" i="54"/>
  <c r="AH236" i="54" s="1"/>
  <c r="AL236" i="54" s="1"/>
  <c r="AD216" i="54"/>
  <c r="AH216" i="54" s="1"/>
  <c r="AL216" i="54" s="1"/>
  <c r="AD196" i="54"/>
  <c r="AH196" i="54" s="1"/>
  <c r="AL196" i="54" s="1"/>
  <c r="AD176" i="54"/>
  <c r="AH176" i="54" s="1"/>
  <c r="AL176" i="54" s="1"/>
  <c r="AD156" i="54"/>
  <c r="AH156" i="54" s="1"/>
  <c r="AL156" i="54" s="1"/>
  <c r="AD136" i="54"/>
  <c r="AH136" i="54" s="1"/>
  <c r="AL136" i="54" s="1"/>
  <c r="AD116" i="54"/>
  <c r="AH116" i="54" s="1"/>
  <c r="AL116" i="54" s="1"/>
  <c r="AD96" i="54"/>
  <c r="AH96" i="54" s="1"/>
  <c r="AL96" i="54" s="1"/>
  <c r="AD76" i="54"/>
  <c r="AH76" i="54" s="1"/>
  <c r="AL76" i="54" s="1"/>
  <c r="AD56" i="54"/>
  <c r="AH56" i="54" s="1"/>
  <c r="AL56" i="54" s="1"/>
  <c r="AD36" i="54"/>
  <c r="AH36" i="54" s="1"/>
  <c r="AL36" i="54" s="1"/>
  <c r="Z646" i="54"/>
  <c r="AF646" i="54" s="1"/>
  <c r="Z604" i="54"/>
  <c r="AF604" i="54" s="1"/>
  <c r="AB247" i="54"/>
  <c r="AG247" i="54" s="1"/>
  <c r="AB16" i="54"/>
  <c r="AG16" i="54" s="1"/>
  <c r="AK16" i="54" s="1"/>
  <c r="AB226" i="54"/>
  <c r="AG226" i="54" s="1"/>
  <c r="AB268" i="54"/>
  <c r="AG268" i="54" s="1"/>
  <c r="AB205" i="54"/>
  <c r="AG205" i="54" s="1"/>
  <c r="AB184" i="54"/>
  <c r="AG184" i="54" s="1"/>
  <c r="AB310" i="54"/>
  <c r="AG310" i="54" s="1"/>
  <c r="AB289" i="54"/>
  <c r="AG289" i="54" s="1"/>
  <c r="AD268" i="54"/>
  <c r="AH268" i="54" s="1"/>
  <c r="AD247" i="54"/>
  <c r="AH247" i="54" s="1"/>
  <c r="AD289" i="54"/>
  <c r="AH289" i="54" s="1"/>
  <c r="AD16" i="54"/>
  <c r="AH16" i="54" s="1"/>
  <c r="AL16" i="54" s="1"/>
  <c r="AD226" i="54"/>
  <c r="AH226" i="54" s="1"/>
  <c r="AD205" i="54"/>
  <c r="AH205" i="54" s="1"/>
  <c r="AD184" i="54"/>
  <c r="AH184" i="54" s="1"/>
  <c r="AD310" i="54"/>
  <c r="AH310" i="54" s="1"/>
  <c r="Z794" i="54" l="1"/>
  <c r="AF794" i="54" s="1"/>
  <c r="AJ794" i="54" s="1"/>
  <c r="M55" i="53"/>
  <c r="N55" i="53" s="1"/>
  <c r="E55" i="53"/>
  <c r="H56" i="53" s="1"/>
  <c r="K56" i="53" s="1"/>
  <c r="O56" i="53" s="1"/>
  <c r="L28" i="53"/>
  <c r="J56" i="53"/>
  <c r="L56" i="53"/>
  <c r="X375" i="54" s="1"/>
  <c r="AB794" i="54"/>
  <c r="AG794" i="54" s="1"/>
  <c r="AK794" i="54" s="1"/>
  <c r="J28" i="53"/>
  <c r="AD773" i="54"/>
  <c r="AH773" i="54" s="1"/>
  <c r="AD794" i="54"/>
  <c r="AH794" i="54" s="1"/>
  <c r="AL794" i="54" s="1"/>
  <c r="K28" i="53"/>
  <c r="O28" i="53" s="1"/>
  <c r="F131" i="64"/>
  <c r="F129" i="64"/>
  <c r="F127" i="64"/>
  <c r="F130" i="64"/>
  <c r="F132" i="64"/>
  <c r="F128" i="64"/>
  <c r="D129" i="64"/>
  <c r="D131" i="64"/>
  <c r="D127" i="64"/>
  <c r="D130" i="64"/>
  <c r="D132" i="64"/>
  <c r="D128" i="64"/>
  <c r="E128" i="64"/>
  <c r="E127" i="64"/>
  <c r="E130" i="64"/>
  <c r="E131" i="64"/>
  <c r="E129" i="64"/>
  <c r="E132" i="64"/>
  <c r="AB646" i="54"/>
  <c r="AG646" i="54" s="1"/>
  <c r="AB604" i="54"/>
  <c r="AG604" i="54" s="1"/>
  <c r="AD646" i="54"/>
  <c r="AH646" i="54" s="1"/>
  <c r="AD604" i="54"/>
  <c r="AH604" i="54" s="1"/>
  <c r="Z290" i="54"/>
  <c r="AF290" i="54" s="1"/>
  <c r="Z227" i="54"/>
  <c r="AF227" i="54" s="1"/>
  <c r="Z248" i="54"/>
  <c r="AF248" i="54" s="1"/>
  <c r="Z164" i="54"/>
  <c r="AF164" i="54" s="1"/>
  <c r="Z185" i="54"/>
  <c r="AF185" i="54" s="1"/>
  <c r="Z206" i="54"/>
  <c r="AF206" i="54" s="1"/>
  <c r="Z269" i="54"/>
  <c r="AF269" i="54" s="1"/>
  <c r="Z17" i="54"/>
  <c r="AF17" i="54" s="1"/>
  <c r="AJ17" i="54" s="1"/>
  <c r="Z311" i="54"/>
  <c r="AF311" i="54" s="1"/>
  <c r="AB773" i="54" l="1"/>
  <c r="AG773" i="54" s="1"/>
  <c r="X354" i="54"/>
  <c r="X774" i="54"/>
  <c r="X753" i="54"/>
  <c r="X501" i="54"/>
  <c r="X690" i="54"/>
  <c r="X543" i="54"/>
  <c r="X732" i="54"/>
  <c r="X606" i="54"/>
  <c r="X522" i="54"/>
  <c r="X585" i="54"/>
  <c r="X417" i="54"/>
  <c r="X459" i="54"/>
  <c r="X669" i="54"/>
  <c r="X648" i="54"/>
  <c r="X711" i="54"/>
  <c r="X627" i="54"/>
  <c r="X438" i="54"/>
  <c r="X564" i="54"/>
  <c r="X480" i="54"/>
  <c r="X795" i="54"/>
  <c r="X396" i="54"/>
  <c r="V81" i="54"/>
  <c r="V165" i="54"/>
  <c r="V249" i="54"/>
  <c r="V333" i="54"/>
  <c r="V18" i="54"/>
  <c r="V102" i="54"/>
  <c r="V186" i="54"/>
  <c r="V270" i="54"/>
  <c r="V39" i="54"/>
  <c r="V123" i="54"/>
  <c r="V207" i="54"/>
  <c r="V291" i="54"/>
  <c r="V228" i="54"/>
  <c r="V312" i="54"/>
  <c r="V60" i="54"/>
  <c r="V144" i="54"/>
  <c r="T60" i="54"/>
  <c r="T144" i="54"/>
  <c r="T81" i="54"/>
  <c r="T165" i="54"/>
  <c r="T18" i="54"/>
  <c r="T102" i="54"/>
  <c r="T186" i="54"/>
  <c r="T270" i="54"/>
  <c r="T123" i="54"/>
  <c r="T207" i="54"/>
  <c r="T291" i="54"/>
  <c r="T39" i="54"/>
  <c r="T228" i="54"/>
  <c r="T312" i="54"/>
  <c r="T249" i="54"/>
  <c r="T333" i="54"/>
  <c r="V417" i="54"/>
  <c r="V354" i="54"/>
  <c r="V690" i="54"/>
  <c r="V627" i="54"/>
  <c r="V564" i="54"/>
  <c r="V774" i="54"/>
  <c r="V606" i="54"/>
  <c r="V501" i="54"/>
  <c r="V438" i="54"/>
  <c r="V375" i="54"/>
  <c r="V711" i="54"/>
  <c r="V648" i="54"/>
  <c r="V795" i="54"/>
  <c r="V543" i="54"/>
  <c r="V585" i="54"/>
  <c r="V522" i="54"/>
  <c r="V459" i="54"/>
  <c r="V396" i="54"/>
  <c r="V732" i="54"/>
  <c r="V669" i="54"/>
  <c r="V480" i="54"/>
  <c r="V753" i="54"/>
  <c r="T354" i="54"/>
  <c r="T459" i="54"/>
  <c r="T564" i="54"/>
  <c r="T669" i="54"/>
  <c r="T774" i="54"/>
  <c r="T480" i="54"/>
  <c r="T690" i="54"/>
  <c r="T438" i="54"/>
  <c r="T543" i="54"/>
  <c r="T648" i="54"/>
  <c r="T753" i="54"/>
  <c r="T627" i="54"/>
  <c r="T417" i="54"/>
  <c r="T522" i="54"/>
  <c r="T396" i="54"/>
  <c r="T732" i="54"/>
  <c r="T606" i="54"/>
  <c r="T711" i="54"/>
  <c r="T501" i="54"/>
  <c r="T375" i="54"/>
  <c r="T585" i="54"/>
  <c r="T795" i="54"/>
  <c r="X18" i="54"/>
  <c r="X102" i="54"/>
  <c r="X186" i="54"/>
  <c r="X270" i="54"/>
  <c r="X39" i="54"/>
  <c r="X123" i="54"/>
  <c r="X207" i="54"/>
  <c r="X291" i="54"/>
  <c r="X60" i="54"/>
  <c r="X144" i="54"/>
  <c r="X228" i="54"/>
  <c r="X312" i="54"/>
  <c r="X333" i="54"/>
  <c r="X81" i="54"/>
  <c r="X165" i="54"/>
  <c r="X249" i="54"/>
  <c r="D28" i="53"/>
  <c r="H131" i="64"/>
  <c r="K131" i="64" s="1"/>
  <c r="H129" i="64"/>
  <c r="K129" i="64" s="1"/>
  <c r="H130" i="64"/>
  <c r="K130" i="64" s="1"/>
  <c r="H132" i="64"/>
  <c r="K132" i="64" s="1"/>
  <c r="H128" i="64"/>
  <c r="K128" i="64" s="1"/>
  <c r="H127" i="64"/>
  <c r="K127" i="64" s="1"/>
  <c r="AB277" i="54"/>
  <c r="AG277" i="54" s="1"/>
  <c r="AK277" i="54" s="1"/>
  <c r="AB257" i="54"/>
  <c r="AG257" i="54" s="1"/>
  <c r="AK257" i="54" s="1"/>
  <c r="AB237" i="54"/>
  <c r="AG237" i="54" s="1"/>
  <c r="AK237" i="54" s="1"/>
  <c r="AB217" i="54"/>
  <c r="AG217" i="54" s="1"/>
  <c r="AK217" i="54" s="1"/>
  <c r="AB197" i="54"/>
  <c r="AG197" i="54" s="1"/>
  <c r="AK197" i="54" s="1"/>
  <c r="AB177" i="54"/>
  <c r="AG177" i="54" s="1"/>
  <c r="AK177" i="54" s="1"/>
  <c r="AB157" i="54"/>
  <c r="AG157" i="54" s="1"/>
  <c r="AK157" i="54" s="1"/>
  <c r="AB137" i="54"/>
  <c r="AG137" i="54" s="1"/>
  <c r="AK137" i="54" s="1"/>
  <c r="AB117" i="54"/>
  <c r="AG117" i="54" s="1"/>
  <c r="AK117" i="54" s="1"/>
  <c r="AB97" i="54"/>
  <c r="AG97" i="54" s="1"/>
  <c r="AK97" i="54" s="1"/>
  <c r="AB77" i="54"/>
  <c r="AG77" i="54" s="1"/>
  <c r="AK77" i="54" s="1"/>
  <c r="AB57" i="54"/>
  <c r="AG57" i="54" s="1"/>
  <c r="AK57" i="54" s="1"/>
  <c r="AB37" i="54"/>
  <c r="AG37" i="54" s="1"/>
  <c r="AK37" i="54" s="1"/>
  <c r="I127" i="64"/>
  <c r="L127" i="64" s="1"/>
  <c r="I129" i="64"/>
  <c r="L129" i="64" s="1"/>
  <c r="I132" i="64"/>
  <c r="L132" i="64" s="1"/>
  <c r="I128" i="64"/>
  <c r="L128" i="64" s="1"/>
  <c r="I130" i="64"/>
  <c r="L130" i="64" s="1"/>
  <c r="I131" i="64"/>
  <c r="L131" i="64" s="1"/>
  <c r="AD277" i="54"/>
  <c r="AH277" i="54" s="1"/>
  <c r="AL277" i="54" s="1"/>
  <c r="AD257" i="54"/>
  <c r="AH257" i="54" s="1"/>
  <c r="AL257" i="54" s="1"/>
  <c r="AD237" i="54"/>
  <c r="AH237" i="54" s="1"/>
  <c r="AL237" i="54" s="1"/>
  <c r="AD217" i="54"/>
  <c r="AH217" i="54" s="1"/>
  <c r="AL217" i="54" s="1"/>
  <c r="AD197" i="54"/>
  <c r="AH197" i="54" s="1"/>
  <c r="AL197" i="54" s="1"/>
  <c r="AD177" i="54"/>
  <c r="AH177" i="54" s="1"/>
  <c r="AL177" i="54" s="1"/>
  <c r="AD157" i="54"/>
  <c r="AH157" i="54" s="1"/>
  <c r="AL157" i="54" s="1"/>
  <c r="AD137" i="54"/>
  <c r="AH137" i="54" s="1"/>
  <c r="AL137" i="54" s="1"/>
  <c r="AD117" i="54"/>
  <c r="AH117" i="54" s="1"/>
  <c r="AL117" i="54" s="1"/>
  <c r="AD97" i="54"/>
  <c r="AH97" i="54" s="1"/>
  <c r="AL97" i="54" s="1"/>
  <c r="AD77" i="54"/>
  <c r="AH77" i="54" s="1"/>
  <c r="AL77" i="54" s="1"/>
  <c r="AD57" i="54"/>
  <c r="AH57" i="54" s="1"/>
  <c r="AL57" i="54" s="1"/>
  <c r="AD37" i="54"/>
  <c r="AH37" i="54" s="1"/>
  <c r="AL37" i="54" s="1"/>
  <c r="G129" i="64"/>
  <c r="J129" i="64" s="1"/>
  <c r="G127" i="64"/>
  <c r="J127" i="64" s="1"/>
  <c r="G130" i="64"/>
  <c r="J130" i="64" s="1"/>
  <c r="G132" i="64"/>
  <c r="J132" i="64" s="1"/>
  <c r="G128" i="64"/>
  <c r="J128" i="64" s="1"/>
  <c r="G131" i="64"/>
  <c r="J131" i="64" s="1"/>
  <c r="Z277" i="54"/>
  <c r="AF277" i="54" s="1"/>
  <c r="AJ277" i="54" s="1"/>
  <c r="Z257" i="54"/>
  <c r="AF257" i="54" s="1"/>
  <c r="AJ257" i="54" s="1"/>
  <c r="Z237" i="54"/>
  <c r="AF237" i="54" s="1"/>
  <c r="AJ237" i="54" s="1"/>
  <c r="Z217" i="54"/>
  <c r="AF217" i="54" s="1"/>
  <c r="AJ217" i="54" s="1"/>
  <c r="Z197" i="54"/>
  <c r="AF197" i="54" s="1"/>
  <c r="AJ197" i="54" s="1"/>
  <c r="Z177" i="54"/>
  <c r="AF177" i="54" s="1"/>
  <c r="AJ177" i="54" s="1"/>
  <c r="Z157" i="54"/>
  <c r="AF157" i="54" s="1"/>
  <c r="AJ157" i="54" s="1"/>
  <c r="Z137" i="54"/>
  <c r="AF137" i="54" s="1"/>
  <c r="AJ137" i="54" s="1"/>
  <c r="Z117" i="54"/>
  <c r="AF117" i="54" s="1"/>
  <c r="AJ117" i="54" s="1"/>
  <c r="Z97" i="54"/>
  <c r="AF97" i="54" s="1"/>
  <c r="AJ97" i="54" s="1"/>
  <c r="Z77" i="54"/>
  <c r="AF77" i="54" s="1"/>
  <c r="AJ77" i="54" s="1"/>
  <c r="Z57" i="54"/>
  <c r="AF57" i="54" s="1"/>
  <c r="AJ57" i="54" s="1"/>
  <c r="Z37" i="54"/>
  <c r="AF37" i="54" s="1"/>
  <c r="AJ37" i="54" s="1"/>
  <c r="Z584" i="54"/>
  <c r="AF584" i="54" s="1"/>
  <c r="Z626" i="54"/>
  <c r="AF626" i="54" s="1"/>
  <c r="AB290" i="54"/>
  <c r="AG290" i="54" s="1"/>
  <c r="AB248" i="54"/>
  <c r="AG248" i="54" s="1"/>
  <c r="AB206" i="54"/>
  <c r="AG206" i="54" s="1"/>
  <c r="AB164" i="54"/>
  <c r="AG164" i="54" s="1"/>
  <c r="AB311" i="54"/>
  <c r="AG311" i="54" s="1"/>
  <c r="AB269" i="54"/>
  <c r="AG269" i="54" s="1"/>
  <c r="AB227" i="54"/>
  <c r="AG227" i="54" s="1"/>
  <c r="AB17" i="54"/>
  <c r="AG17" i="54" s="1"/>
  <c r="AK17" i="54" s="1"/>
  <c r="AB185" i="54"/>
  <c r="AG185" i="54" s="1"/>
  <c r="AD227" i="54"/>
  <c r="AH227" i="54" s="1"/>
  <c r="AD206" i="54"/>
  <c r="AH206" i="54" s="1"/>
  <c r="AD185" i="54"/>
  <c r="AH185" i="54" s="1"/>
  <c r="AD311" i="54"/>
  <c r="AH311" i="54" s="1"/>
  <c r="AD269" i="54"/>
  <c r="AH269" i="54" s="1"/>
  <c r="AD248" i="54"/>
  <c r="AH248" i="54" s="1"/>
  <c r="AD17" i="54"/>
  <c r="AH17" i="54" s="1"/>
  <c r="AL17" i="54" s="1"/>
  <c r="AD290" i="54"/>
  <c r="AH290" i="54" s="1"/>
  <c r="AD164" i="54"/>
  <c r="AH164" i="54" s="1"/>
  <c r="D56" i="53" l="1"/>
  <c r="M56" i="53" s="1"/>
  <c r="N56" i="53" s="1"/>
  <c r="G29" i="53"/>
  <c r="J29" i="53" s="1"/>
  <c r="F28" i="53"/>
  <c r="E28" i="53"/>
  <c r="H29" i="53" s="1"/>
  <c r="F133" i="64"/>
  <c r="F138" i="64"/>
  <c r="F136" i="64"/>
  <c r="F137" i="64"/>
  <c r="F134" i="64"/>
  <c r="F135" i="64"/>
  <c r="D137" i="64"/>
  <c r="D135" i="64"/>
  <c r="D133" i="64"/>
  <c r="D138" i="64"/>
  <c r="D136" i="64"/>
  <c r="D134" i="64"/>
  <c r="E135" i="64"/>
  <c r="E133" i="64"/>
  <c r="E137" i="64"/>
  <c r="E138" i="64"/>
  <c r="E136" i="64"/>
  <c r="E134" i="64"/>
  <c r="AD584" i="54"/>
  <c r="AH584" i="54" s="1"/>
  <c r="AD626" i="54"/>
  <c r="AH626" i="54" s="1"/>
  <c r="AB584" i="54"/>
  <c r="AG584" i="54" s="1"/>
  <c r="AB626" i="54"/>
  <c r="AG626" i="54" s="1"/>
  <c r="Z774" i="54" l="1"/>
  <c r="AF774" i="54" s="1"/>
  <c r="Z795" i="54"/>
  <c r="AF795" i="54" s="1"/>
  <c r="AJ795" i="54" s="1"/>
  <c r="F56" i="53"/>
  <c r="AD795" i="54" s="1"/>
  <c r="AH795" i="54" s="1"/>
  <c r="AL795" i="54" s="1"/>
  <c r="G57" i="53"/>
  <c r="I57" i="53" s="1"/>
  <c r="E56" i="53"/>
  <c r="AB795" i="54" s="1"/>
  <c r="AG795" i="54" s="1"/>
  <c r="AK795" i="54" s="1"/>
  <c r="K29" i="53"/>
  <c r="O29" i="53" s="1"/>
  <c r="T40" i="54"/>
  <c r="T124" i="54"/>
  <c r="T61" i="54"/>
  <c r="T145" i="54"/>
  <c r="T82" i="54"/>
  <c r="T250" i="54"/>
  <c r="T334" i="54"/>
  <c r="T229" i="54"/>
  <c r="T313" i="54"/>
  <c r="T187" i="54"/>
  <c r="T271" i="54"/>
  <c r="T19" i="54"/>
  <c r="T166" i="54"/>
  <c r="T208" i="54"/>
  <c r="T292" i="54"/>
  <c r="T103" i="54"/>
  <c r="AD774" i="54"/>
  <c r="AH774" i="54" s="1"/>
  <c r="I29" i="53"/>
  <c r="L29" i="53" s="1"/>
  <c r="G138" i="64"/>
  <c r="J138" i="64" s="1"/>
  <c r="G135" i="64"/>
  <c r="G137" i="64"/>
  <c r="J137" i="64" s="1"/>
  <c r="G136" i="64"/>
  <c r="J136" i="64" s="1"/>
  <c r="G134" i="64"/>
  <c r="G133" i="64"/>
  <c r="J133" i="64" s="1"/>
  <c r="Z298" i="54"/>
  <c r="AF298" i="54" s="1"/>
  <c r="AJ298" i="54" s="1"/>
  <c r="Z278" i="54"/>
  <c r="AF278" i="54" s="1"/>
  <c r="AJ278" i="54" s="1"/>
  <c r="Z258" i="54"/>
  <c r="AF258" i="54" s="1"/>
  <c r="AJ258" i="54" s="1"/>
  <c r="Z238" i="54"/>
  <c r="AF238" i="54" s="1"/>
  <c r="AJ238" i="54" s="1"/>
  <c r="Z218" i="54"/>
  <c r="AF218" i="54" s="1"/>
  <c r="AJ218" i="54" s="1"/>
  <c r="Z198" i="54"/>
  <c r="AF198" i="54" s="1"/>
  <c r="AJ198" i="54" s="1"/>
  <c r="Z178" i="54"/>
  <c r="AF178" i="54" s="1"/>
  <c r="AJ178" i="54" s="1"/>
  <c r="Z158" i="54"/>
  <c r="AF158" i="54" s="1"/>
  <c r="AJ158" i="54" s="1"/>
  <c r="Z138" i="54"/>
  <c r="AF138" i="54" s="1"/>
  <c r="AJ138" i="54" s="1"/>
  <c r="Z118" i="54"/>
  <c r="AF118" i="54" s="1"/>
  <c r="AJ118" i="54" s="1"/>
  <c r="Z98" i="54"/>
  <c r="AF98" i="54" s="1"/>
  <c r="AJ98" i="54" s="1"/>
  <c r="Z78" i="54"/>
  <c r="AF78" i="54" s="1"/>
  <c r="AJ78" i="54" s="1"/>
  <c r="Z58" i="54"/>
  <c r="AF58" i="54" s="1"/>
  <c r="AJ58" i="54" s="1"/>
  <c r="Z38" i="54"/>
  <c r="AF38" i="54" s="1"/>
  <c r="AJ38" i="54" s="1"/>
  <c r="J134" i="64"/>
  <c r="J135" i="64"/>
  <c r="Z207" i="54"/>
  <c r="AF207" i="54" s="1"/>
  <c r="Z270" i="54"/>
  <c r="AF270" i="54" s="1"/>
  <c r="Z144" i="54"/>
  <c r="AF144" i="54" s="1"/>
  <c r="Z291" i="54"/>
  <c r="AF291" i="54" s="1"/>
  <c r="Z18" i="54"/>
  <c r="AF18" i="54" s="1"/>
  <c r="AJ18" i="54" s="1"/>
  <c r="Z228" i="54"/>
  <c r="AF228" i="54" s="1"/>
  <c r="Z165" i="54"/>
  <c r="AF165" i="54" s="1"/>
  <c r="Z186" i="54"/>
  <c r="AF186" i="54" s="1"/>
  <c r="Z312" i="54"/>
  <c r="AF312" i="54" s="1"/>
  <c r="Z249" i="54"/>
  <c r="AF249" i="54" s="1"/>
  <c r="H57" i="53" l="1"/>
  <c r="K57" i="53" s="1"/>
  <c r="O57" i="53" s="1"/>
  <c r="AB774" i="54"/>
  <c r="AG774" i="54" s="1"/>
  <c r="L57" i="53"/>
  <c r="X670" i="54" s="1"/>
  <c r="J57" i="53"/>
  <c r="T439" i="54" s="1"/>
  <c r="V145" i="54"/>
  <c r="V166" i="54"/>
  <c r="V103" i="54"/>
  <c r="V292" i="54"/>
  <c r="V229" i="54"/>
  <c r="V250" i="54"/>
  <c r="V187" i="54"/>
  <c r="V40" i="54"/>
  <c r="V313" i="54"/>
  <c r="V334" i="54"/>
  <c r="V271" i="54"/>
  <c r="V124" i="54"/>
  <c r="V61" i="54"/>
  <c r="V82" i="54"/>
  <c r="V19" i="54"/>
  <c r="V208" i="54"/>
  <c r="V397" i="54"/>
  <c r="V733" i="54"/>
  <c r="V670" i="54"/>
  <c r="V607" i="54"/>
  <c r="V544" i="54"/>
  <c r="V754" i="54"/>
  <c r="V523" i="54"/>
  <c r="V481" i="54"/>
  <c r="V418" i="54"/>
  <c r="V355" i="54"/>
  <c r="V691" i="54"/>
  <c r="V628" i="54"/>
  <c r="V775" i="54"/>
  <c r="V586" i="54"/>
  <c r="V796" i="54"/>
  <c r="V565" i="54"/>
  <c r="V502" i="54"/>
  <c r="V439" i="54"/>
  <c r="V376" i="54"/>
  <c r="V712" i="54"/>
  <c r="V649" i="54"/>
  <c r="V460" i="54"/>
  <c r="X649" i="54"/>
  <c r="X502" i="54"/>
  <c r="X82" i="54"/>
  <c r="X166" i="54"/>
  <c r="X250" i="54"/>
  <c r="X334" i="54"/>
  <c r="X19" i="54"/>
  <c r="X103" i="54"/>
  <c r="X187" i="54"/>
  <c r="X271" i="54"/>
  <c r="X40" i="54"/>
  <c r="X124" i="54"/>
  <c r="X208" i="54"/>
  <c r="X292" i="54"/>
  <c r="X313" i="54"/>
  <c r="X229" i="54"/>
  <c r="X61" i="54"/>
  <c r="X145" i="54"/>
  <c r="D29" i="53"/>
  <c r="G30" i="53" s="1"/>
  <c r="I138" i="64"/>
  <c r="L138" i="64" s="1"/>
  <c r="I137" i="64"/>
  <c r="L137" i="64" s="1"/>
  <c r="I136" i="64"/>
  <c r="L136" i="64" s="1"/>
  <c r="I133" i="64"/>
  <c r="L133" i="64" s="1"/>
  <c r="I135" i="64"/>
  <c r="L135" i="64" s="1"/>
  <c r="I134" i="64"/>
  <c r="L134" i="64" s="1"/>
  <c r="AD298" i="54"/>
  <c r="AH298" i="54" s="1"/>
  <c r="AL298" i="54" s="1"/>
  <c r="AD278" i="54"/>
  <c r="AH278" i="54" s="1"/>
  <c r="AL278" i="54" s="1"/>
  <c r="AD258" i="54"/>
  <c r="AH258" i="54" s="1"/>
  <c r="AL258" i="54" s="1"/>
  <c r="AD238" i="54"/>
  <c r="AH238" i="54" s="1"/>
  <c r="AL238" i="54" s="1"/>
  <c r="AD218" i="54"/>
  <c r="AH218" i="54" s="1"/>
  <c r="AL218" i="54" s="1"/>
  <c r="AD198" i="54"/>
  <c r="AH198" i="54" s="1"/>
  <c r="AL198" i="54" s="1"/>
  <c r="AD178" i="54"/>
  <c r="AH178" i="54" s="1"/>
  <c r="AL178" i="54" s="1"/>
  <c r="AD158" i="54"/>
  <c r="AH158" i="54" s="1"/>
  <c r="AL158" i="54" s="1"/>
  <c r="AD138" i="54"/>
  <c r="AH138" i="54" s="1"/>
  <c r="AL138" i="54" s="1"/>
  <c r="AD118" i="54"/>
  <c r="AH118" i="54" s="1"/>
  <c r="AL118" i="54" s="1"/>
  <c r="AD98" i="54"/>
  <c r="AH98" i="54" s="1"/>
  <c r="AL98" i="54" s="1"/>
  <c r="AD78" i="54"/>
  <c r="AH78" i="54" s="1"/>
  <c r="AL78" i="54" s="1"/>
  <c r="AD58" i="54"/>
  <c r="AH58" i="54" s="1"/>
  <c r="AL58" i="54" s="1"/>
  <c r="AD38" i="54"/>
  <c r="AH38" i="54" s="1"/>
  <c r="AL38" i="54" s="1"/>
  <c r="H133" i="64"/>
  <c r="K133" i="64" s="1"/>
  <c r="H137" i="64"/>
  <c r="K137" i="64" s="1"/>
  <c r="H138" i="64"/>
  <c r="K138" i="64" s="1"/>
  <c r="H135" i="64"/>
  <c r="K135" i="64" s="1"/>
  <c r="H136" i="64"/>
  <c r="K136" i="64" s="1"/>
  <c r="H134" i="64"/>
  <c r="K134" i="64" s="1"/>
  <c r="AB298" i="54"/>
  <c r="AG298" i="54" s="1"/>
  <c r="AK298" i="54" s="1"/>
  <c r="AB278" i="54"/>
  <c r="AG278" i="54" s="1"/>
  <c r="AK278" i="54" s="1"/>
  <c r="AB258" i="54"/>
  <c r="AG258" i="54" s="1"/>
  <c r="AK258" i="54" s="1"/>
  <c r="AB238" i="54"/>
  <c r="AG238" i="54" s="1"/>
  <c r="AK238" i="54" s="1"/>
  <c r="AB218" i="54"/>
  <c r="AG218" i="54" s="1"/>
  <c r="AK218" i="54" s="1"/>
  <c r="AB198" i="54"/>
  <c r="AG198" i="54" s="1"/>
  <c r="AK198" i="54" s="1"/>
  <c r="AB178" i="54"/>
  <c r="AG178" i="54" s="1"/>
  <c r="AK178" i="54" s="1"/>
  <c r="AB158" i="54"/>
  <c r="AG158" i="54" s="1"/>
  <c r="AK158" i="54" s="1"/>
  <c r="AB138" i="54"/>
  <c r="AG138" i="54" s="1"/>
  <c r="AK138" i="54" s="1"/>
  <c r="AB118" i="54"/>
  <c r="AG118" i="54" s="1"/>
  <c r="AK118" i="54" s="1"/>
  <c r="AB98" i="54"/>
  <c r="AG98" i="54" s="1"/>
  <c r="AK98" i="54" s="1"/>
  <c r="AB78" i="54"/>
  <c r="AG78" i="54" s="1"/>
  <c r="AK78" i="54" s="1"/>
  <c r="AB58" i="54"/>
  <c r="AG58" i="54" s="1"/>
  <c r="AK58" i="54" s="1"/>
  <c r="AB38" i="54"/>
  <c r="AG38" i="54" s="1"/>
  <c r="AK38" i="54" s="1"/>
  <c r="Z606" i="54"/>
  <c r="AF606" i="54" s="1"/>
  <c r="Z564" i="54"/>
  <c r="AF564" i="54" s="1"/>
  <c r="AB312" i="54"/>
  <c r="AG312" i="54" s="1"/>
  <c r="AB207" i="54"/>
  <c r="AG207" i="54" s="1"/>
  <c r="AB165" i="54"/>
  <c r="AG165" i="54" s="1"/>
  <c r="AB186" i="54"/>
  <c r="AG186" i="54" s="1"/>
  <c r="AB144" i="54"/>
  <c r="AG144" i="54" s="1"/>
  <c r="AB291" i="54"/>
  <c r="AG291" i="54" s="1"/>
  <c r="AB249" i="54"/>
  <c r="AG249" i="54" s="1"/>
  <c r="AB18" i="54"/>
  <c r="AG18" i="54" s="1"/>
  <c r="AK18" i="54" s="1"/>
  <c r="AB228" i="54"/>
  <c r="AG228" i="54" s="1"/>
  <c r="AB270" i="54"/>
  <c r="AG270" i="54" s="1"/>
  <c r="AD18" i="54"/>
  <c r="AH18" i="54" s="1"/>
  <c r="AL18" i="54" s="1"/>
  <c r="AD312" i="54"/>
  <c r="AH312" i="54" s="1"/>
  <c r="AD249" i="54"/>
  <c r="AH249" i="54" s="1"/>
  <c r="AD207" i="54"/>
  <c r="AH207" i="54" s="1"/>
  <c r="AD270" i="54"/>
  <c r="AH270" i="54" s="1"/>
  <c r="AD228" i="54"/>
  <c r="AH228" i="54" s="1"/>
  <c r="AD186" i="54"/>
  <c r="AH186" i="54" s="1"/>
  <c r="AD144" i="54"/>
  <c r="AH144" i="54" s="1"/>
  <c r="AD165" i="54"/>
  <c r="AH165" i="54" s="1"/>
  <c r="AD291" i="54"/>
  <c r="AH291" i="54" s="1"/>
  <c r="X775" i="54" l="1"/>
  <c r="X628" i="54"/>
  <c r="X376" i="54"/>
  <c r="X397" i="54"/>
  <c r="X481" i="54"/>
  <c r="X712" i="54"/>
  <c r="X754" i="54"/>
  <c r="X733" i="54"/>
  <c r="X796" i="54"/>
  <c r="X460" i="54"/>
  <c r="X544" i="54"/>
  <c r="X355" i="54"/>
  <c r="X586" i="54"/>
  <c r="X607" i="54"/>
  <c r="X523" i="54"/>
  <c r="X439" i="54"/>
  <c r="X565" i="54"/>
  <c r="X418" i="54"/>
  <c r="X691" i="54"/>
  <c r="T460" i="54"/>
  <c r="T628" i="54"/>
  <c r="T775" i="54"/>
  <c r="T712" i="54"/>
  <c r="T397" i="54"/>
  <c r="T481" i="54"/>
  <c r="T670" i="54"/>
  <c r="T733" i="54"/>
  <c r="T544" i="54"/>
  <c r="T565" i="54"/>
  <c r="T796" i="54"/>
  <c r="T523" i="54"/>
  <c r="T376" i="54"/>
  <c r="T586" i="54"/>
  <c r="T754" i="54"/>
  <c r="T649" i="54"/>
  <c r="T607" i="54"/>
  <c r="T355" i="54"/>
  <c r="T691" i="54"/>
  <c r="T418" i="54"/>
  <c r="T502" i="54"/>
  <c r="D57" i="53"/>
  <c r="J30" i="53"/>
  <c r="E10" i="65" s="1"/>
  <c r="AR10" i="65" s="1"/>
  <c r="EJ35" i="65" s="1"/>
  <c r="E29" i="53"/>
  <c r="H30" i="53" s="1"/>
  <c r="F29" i="53"/>
  <c r="F140" i="64"/>
  <c r="F141" i="64"/>
  <c r="F139" i="64"/>
  <c r="F143" i="64"/>
  <c r="F142" i="64"/>
  <c r="F144" i="64"/>
  <c r="D139" i="64"/>
  <c r="D142" i="64"/>
  <c r="D144" i="64"/>
  <c r="D140" i="64"/>
  <c r="D143" i="64"/>
  <c r="D141" i="64"/>
  <c r="E144" i="64"/>
  <c r="E143" i="64"/>
  <c r="E140" i="64"/>
  <c r="E141" i="64"/>
  <c r="E142" i="64"/>
  <c r="E139" i="64"/>
  <c r="AD564" i="54"/>
  <c r="AH564" i="54" s="1"/>
  <c r="AD606" i="54"/>
  <c r="AH606" i="54" s="1"/>
  <c r="AB564" i="54"/>
  <c r="AG564" i="54" s="1"/>
  <c r="AB606" i="54"/>
  <c r="AG606" i="54" s="1"/>
  <c r="K30" i="53" l="1"/>
  <c r="O30" i="53" s="1"/>
  <c r="CN501" i="65"/>
  <c r="CN449" i="65"/>
  <c r="CZ449" i="65" s="1"/>
  <c r="CN467" i="65"/>
  <c r="CN499" i="65"/>
  <c r="CN481" i="65"/>
  <c r="CZ481" i="65" s="1"/>
  <c r="CN482" i="65"/>
  <c r="CN539" i="65"/>
  <c r="CN455" i="65"/>
  <c r="CZ455" i="65" s="1"/>
  <c r="CN483" i="65"/>
  <c r="CN502" i="65"/>
  <c r="CN515" i="65"/>
  <c r="CN469" i="65"/>
  <c r="CN523" i="65"/>
  <c r="CZ523" i="65" s="1"/>
  <c r="CN465" i="65"/>
  <c r="CZ465" i="65" s="1"/>
  <c r="CN540" i="65"/>
  <c r="CN524" i="65"/>
  <c r="CN537" i="65"/>
  <c r="CN472" i="65"/>
  <c r="CZ472" i="65" s="1"/>
  <c r="CN484" i="65"/>
  <c r="CN485" i="65"/>
  <c r="CN528" i="65"/>
  <c r="CN525" i="65"/>
  <c r="CN536" i="65"/>
  <c r="CN503" i="65"/>
  <c r="CZ503" i="65" s="1"/>
  <c r="CN538" i="65"/>
  <c r="CN466" i="65"/>
  <c r="CN450" i="65"/>
  <c r="CN452" i="65"/>
  <c r="CN516" i="65"/>
  <c r="CN513" i="65"/>
  <c r="CZ513" i="65" s="1"/>
  <c r="CN517" i="65"/>
  <c r="CN454" i="65"/>
  <c r="CN527" i="65"/>
  <c r="CN504" i="65"/>
  <c r="CZ504" i="65" s="1"/>
  <c r="CN456" i="65"/>
  <c r="CZ456" i="65" s="1"/>
  <c r="CN486" i="65"/>
  <c r="CN451" i="65"/>
  <c r="CN497" i="65"/>
  <c r="CZ497" i="65" s="1"/>
  <c r="CN535" i="65"/>
  <c r="CZ535" i="65" s="1"/>
  <c r="CN453" i="65"/>
  <c r="CN500" i="65"/>
  <c r="CN470" i="65"/>
  <c r="CN487" i="65"/>
  <c r="CZ487" i="65" s="1"/>
  <c r="CN488" i="65"/>
  <c r="CZ488" i="65" s="1"/>
  <c r="CN514" i="65"/>
  <c r="CN471" i="65"/>
  <c r="CZ471" i="65" s="1"/>
  <c r="CN468" i="65"/>
  <c r="CN526" i="65"/>
  <c r="CN498" i="65"/>
  <c r="T20" i="54"/>
  <c r="T104" i="54"/>
  <c r="T41" i="54"/>
  <c r="T125" i="54"/>
  <c r="T62" i="54"/>
  <c r="T230" i="54"/>
  <c r="T314" i="54"/>
  <c r="T83" i="54"/>
  <c r="T209" i="54"/>
  <c r="T251" i="54"/>
  <c r="T335" i="54"/>
  <c r="T293" i="54"/>
  <c r="T146" i="54"/>
  <c r="T188" i="54"/>
  <c r="T272" i="54"/>
  <c r="T167" i="54"/>
  <c r="F57" i="53"/>
  <c r="G58" i="53"/>
  <c r="I58" i="53" s="1"/>
  <c r="E57" i="53"/>
  <c r="M57" i="53"/>
  <c r="N57" i="53" s="1"/>
  <c r="Z775" i="54"/>
  <c r="AF775" i="54" s="1"/>
  <c r="Z796" i="54"/>
  <c r="AF796" i="54" s="1"/>
  <c r="AJ796" i="54" s="1"/>
  <c r="I30" i="53"/>
  <c r="L30" i="53" s="1"/>
  <c r="G141" i="64"/>
  <c r="J141" i="64" s="1"/>
  <c r="G144" i="64"/>
  <c r="G140" i="64"/>
  <c r="J140" i="64" s="1"/>
  <c r="G142" i="64"/>
  <c r="J142" i="64" s="1"/>
  <c r="G139" i="64"/>
  <c r="J139" i="64" s="1"/>
  <c r="G143" i="64"/>
  <c r="J143" i="64" s="1"/>
  <c r="Z319" i="54"/>
  <c r="AF319" i="54" s="1"/>
  <c r="AJ319" i="54" s="1"/>
  <c r="Z299" i="54"/>
  <c r="AF299" i="54" s="1"/>
  <c r="AJ299" i="54" s="1"/>
  <c r="Z279" i="54"/>
  <c r="AF279" i="54" s="1"/>
  <c r="AJ279" i="54" s="1"/>
  <c r="Z259" i="54"/>
  <c r="AF259" i="54" s="1"/>
  <c r="AJ259" i="54" s="1"/>
  <c r="Z239" i="54"/>
  <c r="AF239" i="54" s="1"/>
  <c r="AJ239" i="54" s="1"/>
  <c r="Z219" i="54"/>
  <c r="AF219" i="54" s="1"/>
  <c r="AJ219" i="54" s="1"/>
  <c r="Z199" i="54"/>
  <c r="AF199" i="54" s="1"/>
  <c r="AJ199" i="54" s="1"/>
  <c r="Z179" i="54"/>
  <c r="AF179" i="54" s="1"/>
  <c r="AJ179" i="54" s="1"/>
  <c r="Z159" i="54"/>
  <c r="AF159" i="54" s="1"/>
  <c r="AJ159" i="54" s="1"/>
  <c r="Z139" i="54"/>
  <c r="AF139" i="54" s="1"/>
  <c r="AJ139" i="54" s="1"/>
  <c r="Z119" i="54"/>
  <c r="AF119" i="54" s="1"/>
  <c r="AJ119" i="54" s="1"/>
  <c r="Z99" i="54"/>
  <c r="AF99" i="54" s="1"/>
  <c r="AJ99" i="54" s="1"/>
  <c r="Z79" i="54"/>
  <c r="AF79" i="54" s="1"/>
  <c r="AJ79" i="54" s="1"/>
  <c r="Z59" i="54"/>
  <c r="AF59" i="54" s="1"/>
  <c r="AJ59" i="54" s="1"/>
  <c r="Z39" i="54"/>
  <c r="AF39" i="54" s="1"/>
  <c r="AJ39" i="54" s="1"/>
  <c r="J144" i="64"/>
  <c r="Z208" i="54"/>
  <c r="AF208" i="54" s="1"/>
  <c r="Z271" i="54"/>
  <c r="AF271" i="54" s="1"/>
  <c r="Z166" i="54"/>
  <c r="AF166" i="54" s="1"/>
  <c r="Z145" i="54"/>
  <c r="AF145" i="54" s="1"/>
  <c r="Z19" i="54"/>
  <c r="AF19" i="54" s="1"/>
  <c r="AJ19" i="54" s="1"/>
  <c r="Z250" i="54"/>
  <c r="AF250" i="54" s="1"/>
  <c r="Z229" i="54"/>
  <c r="AF229" i="54" s="1"/>
  <c r="Z292" i="54"/>
  <c r="AF292" i="54" s="1"/>
  <c r="Z313" i="54"/>
  <c r="AF313" i="54" s="1"/>
  <c r="Z124" i="54"/>
  <c r="AF124" i="54" s="1"/>
  <c r="Z187" i="54"/>
  <c r="AF187" i="54" s="1"/>
  <c r="L58" i="53" l="1"/>
  <c r="G16" i="65" s="1"/>
  <c r="AT16" i="65" s="1"/>
  <c r="EJ73" i="65" s="1"/>
  <c r="G10" i="65"/>
  <c r="AT10" i="65" s="1"/>
  <c r="EJ37" i="65" s="1"/>
  <c r="F10" i="65"/>
  <c r="AS10" i="65" s="1"/>
  <c r="EJ36" i="65" s="1"/>
  <c r="V125" i="54"/>
  <c r="V146" i="54"/>
  <c r="V167" i="54"/>
  <c r="V272" i="54"/>
  <c r="V209" i="54"/>
  <c r="V230" i="54"/>
  <c r="V251" i="54"/>
  <c r="V20" i="54"/>
  <c r="V293" i="54"/>
  <c r="V314" i="54"/>
  <c r="V335" i="54"/>
  <c r="V104" i="54"/>
  <c r="V41" i="54"/>
  <c r="V62" i="54"/>
  <c r="V83" i="54"/>
  <c r="V188" i="54"/>
  <c r="J58" i="53"/>
  <c r="AD775" i="54"/>
  <c r="AH775" i="54" s="1"/>
  <c r="AD796" i="54"/>
  <c r="AH796" i="54" s="1"/>
  <c r="AL796" i="54" s="1"/>
  <c r="X62" i="54"/>
  <c r="X146" i="54"/>
  <c r="X230" i="54"/>
  <c r="X314" i="54"/>
  <c r="X83" i="54"/>
  <c r="X167" i="54"/>
  <c r="X251" i="54"/>
  <c r="X335" i="54"/>
  <c r="X20" i="54"/>
  <c r="X104" i="54"/>
  <c r="X188" i="54"/>
  <c r="X272" i="54"/>
  <c r="X293" i="54"/>
  <c r="X41" i="54"/>
  <c r="X125" i="54"/>
  <c r="X209" i="54"/>
  <c r="H58" i="53"/>
  <c r="K58" i="53" s="1"/>
  <c r="O58" i="53" s="1"/>
  <c r="AB775" i="54"/>
  <c r="AG775" i="54" s="1"/>
  <c r="AB796" i="54"/>
  <c r="AG796" i="54" s="1"/>
  <c r="AK796" i="54" s="1"/>
  <c r="D30" i="53"/>
  <c r="G31" i="53" s="1"/>
  <c r="I141" i="64"/>
  <c r="L141" i="64" s="1"/>
  <c r="I143" i="64"/>
  <c r="L143" i="64" s="1"/>
  <c r="I142" i="64"/>
  <c r="L142" i="64" s="1"/>
  <c r="I140" i="64"/>
  <c r="L140" i="64" s="1"/>
  <c r="I144" i="64"/>
  <c r="L144" i="64" s="1"/>
  <c r="I139" i="64"/>
  <c r="L139" i="64" s="1"/>
  <c r="AD319" i="54"/>
  <c r="AH319" i="54" s="1"/>
  <c r="AL319" i="54" s="1"/>
  <c r="AD299" i="54"/>
  <c r="AH299" i="54" s="1"/>
  <c r="AL299" i="54" s="1"/>
  <c r="AD279" i="54"/>
  <c r="AH279" i="54" s="1"/>
  <c r="AL279" i="54" s="1"/>
  <c r="AD259" i="54"/>
  <c r="AH259" i="54" s="1"/>
  <c r="AL259" i="54" s="1"/>
  <c r="AD239" i="54"/>
  <c r="AH239" i="54" s="1"/>
  <c r="AL239" i="54" s="1"/>
  <c r="AD219" i="54"/>
  <c r="AH219" i="54" s="1"/>
  <c r="AL219" i="54" s="1"/>
  <c r="AD199" i="54"/>
  <c r="AH199" i="54" s="1"/>
  <c r="AL199" i="54" s="1"/>
  <c r="AD179" i="54"/>
  <c r="AH179" i="54" s="1"/>
  <c r="AL179" i="54" s="1"/>
  <c r="AD159" i="54"/>
  <c r="AH159" i="54" s="1"/>
  <c r="AL159" i="54" s="1"/>
  <c r="AD139" i="54"/>
  <c r="AH139" i="54" s="1"/>
  <c r="AL139" i="54" s="1"/>
  <c r="AD119" i="54"/>
  <c r="AH119" i="54" s="1"/>
  <c r="AL119" i="54" s="1"/>
  <c r="AD99" i="54"/>
  <c r="AH99" i="54" s="1"/>
  <c r="AL99" i="54" s="1"/>
  <c r="AD79" i="54"/>
  <c r="AH79" i="54" s="1"/>
  <c r="AL79" i="54" s="1"/>
  <c r="AD59" i="54"/>
  <c r="AH59" i="54" s="1"/>
  <c r="AL59" i="54" s="1"/>
  <c r="AD39" i="54"/>
  <c r="AH39" i="54" s="1"/>
  <c r="AL39" i="54" s="1"/>
  <c r="H141" i="64"/>
  <c r="K141" i="64" s="1"/>
  <c r="H143" i="64"/>
  <c r="K143" i="64" s="1"/>
  <c r="H142" i="64"/>
  <c r="K142" i="64" s="1"/>
  <c r="H140" i="64"/>
  <c r="K140" i="64" s="1"/>
  <c r="H144" i="64"/>
  <c r="K144" i="64" s="1"/>
  <c r="H139" i="64"/>
  <c r="K139" i="64" s="1"/>
  <c r="AB319" i="54"/>
  <c r="AG319" i="54" s="1"/>
  <c r="AK319" i="54" s="1"/>
  <c r="AB299" i="54"/>
  <c r="AG299" i="54" s="1"/>
  <c r="AK299" i="54" s="1"/>
  <c r="AB279" i="54"/>
  <c r="AG279" i="54" s="1"/>
  <c r="AK279" i="54" s="1"/>
  <c r="AB259" i="54"/>
  <c r="AG259" i="54" s="1"/>
  <c r="AK259" i="54" s="1"/>
  <c r="AB239" i="54"/>
  <c r="AG239" i="54" s="1"/>
  <c r="AK239" i="54" s="1"/>
  <c r="AB219" i="54"/>
  <c r="AG219" i="54" s="1"/>
  <c r="AK219" i="54" s="1"/>
  <c r="AB199" i="54"/>
  <c r="AG199" i="54" s="1"/>
  <c r="AK199" i="54" s="1"/>
  <c r="AB179" i="54"/>
  <c r="AG179" i="54" s="1"/>
  <c r="AK179" i="54" s="1"/>
  <c r="AB159" i="54"/>
  <c r="AG159" i="54" s="1"/>
  <c r="AK159" i="54" s="1"/>
  <c r="AB139" i="54"/>
  <c r="AG139" i="54" s="1"/>
  <c r="AK139" i="54" s="1"/>
  <c r="AB119" i="54"/>
  <c r="AG119" i="54" s="1"/>
  <c r="AK119" i="54" s="1"/>
  <c r="AB99" i="54"/>
  <c r="AG99" i="54" s="1"/>
  <c r="AK99" i="54" s="1"/>
  <c r="AB79" i="54"/>
  <c r="AG79" i="54" s="1"/>
  <c r="AK79" i="54" s="1"/>
  <c r="AB59" i="54"/>
  <c r="AG59" i="54" s="1"/>
  <c r="AK59" i="54" s="1"/>
  <c r="AB39" i="54"/>
  <c r="AG39" i="54" s="1"/>
  <c r="AK39" i="54" s="1"/>
  <c r="Z544" i="54"/>
  <c r="AF544" i="54" s="1"/>
  <c r="Z586" i="54"/>
  <c r="AF586" i="54" s="1"/>
  <c r="AD145" i="54"/>
  <c r="AH145" i="54" s="1"/>
  <c r="AD208" i="54"/>
  <c r="AH208" i="54" s="1"/>
  <c r="AD271" i="54"/>
  <c r="AH271" i="54" s="1"/>
  <c r="AD229" i="54"/>
  <c r="AH229" i="54" s="1"/>
  <c r="AD166" i="54"/>
  <c r="AH166" i="54" s="1"/>
  <c r="AD19" i="54"/>
  <c r="AH19" i="54" s="1"/>
  <c r="AL19" i="54" s="1"/>
  <c r="AD313" i="54"/>
  <c r="AH313" i="54" s="1"/>
  <c r="AD124" i="54"/>
  <c r="AH124" i="54" s="1"/>
  <c r="AD187" i="54"/>
  <c r="AH187" i="54" s="1"/>
  <c r="AD250" i="54"/>
  <c r="AH250" i="54" s="1"/>
  <c r="AD292" i="54"/>
  <c r="AH292" i="54" s="1"/>
  <c r="AB124" i="54"/>
  <c r="AG124" i="54" s="1"/>
  <c r="AB145" i="54"/>
  <c r="AG145" i="54" s="1"/>
  <c r="AB19" i="54"/>
  <c r="AG19" i="54" s="1"/>
  <c r="AK19" i="54" s="1"/>
  <c r="AB229" i="54"/>
  <c r="AG229" i="54" s="1"/>
  <c r="AB313" i="54"/>
  <c r="AG313" i="54" s="1"/>
  <c r="AB271" i="54"/>
  <c r="AG271" i="54" s="1"/>
  <c r="AB292" i="54"/>
  <c r="AG292" i="54" s="1"/>
  <c r="AB166" i="54"/>
  <c r="AG166" i="54" s="1"/>
  <c r="AB187" i="54"/>
  <c r="AG187" i="54" s="1"/>
  <c r="AB250" i="54"/>
  <c r="AG250" i="54" s="1"/>
  <c r="AB208" i="54"/>
  <c r="AG208" i="54" s="1"/>
  <c r="F16" i="65" l="1"/>
  <c r="AS16" i="65" s="1"/>
  <c r="EJ72" i="65" s="1"/>
  <c r="CO449" i="65"/>
  <c r="CO467" i="65"/>
  <c r="CZ467" i="65" s="1"/>
  <c r="CO499" i="65"/>
  <c r="CZ499" i="65" s="1"/>
  <c r="CO481" i="65"/>
  <c r="CO482" i="65"/>
  <c r="CZ482" i="65" s="1"/>
  <c r="CO455" i="65"/>
  <c r="DC455" i="65" s="1"/>
  <c r="CO468" i="65"/>
  <c r="CZ468" i="65" s="1"/>
  <c r="CO501" i="65"/>
  <c r="CO451" i="65"/>
  <c r="CZ451" i="65" s="1"/>
  <c r="CO515" i="65"/>
  <c r="CZ515" i="65" s="1"/>
  <c r="CO484" i="65"/>
  <c r="CZ484" i="65" s="1"/>
  <c r="CO485" i="65"/>
  <c r="CO497" i="65"/>
  <c r="CO526" i="65"/>
  <c r="CZ526" i="65" s="1"/>
  <c r="CO503" i="65"/>
  <c r="DC503" i="65" s="1"/>
  <c r="CO453" i="65"/>
  <c r="CO538" i="65"/>
  <c r="CZ538" i="65" s="1"/>
  <c r="CO502" i="65"/>
  <c r="CO469" i="65"/>
  <c r="CO465" i="65"/>
  <c r="CO488" i="65"/>
  <c r="CO517" i="65"/>
  <c r="CO535" i="65"/>
  <c r="CO525" i="65"/>
  <c r="CZ525" i="65" s="1"/>
  <c r="CO500" i="65"/>
  <c r="CZ500" i="65" s="1"/>
  <c r="CO470" i="65"/>
  <c r="CO456" i="65"/>
  <c r="CO466" i="65"/>
  <c r="CZ466" i="65" s="1"/>
  <c r="CO528" i="65"/>
  <c r="CO537" i="65"/>
  <c r="CZ537" i="65" s="1"/>
  <c r="CO540" i="65"/>
  <c r="CO536" i="65"/>
  <c r="CZ536" i="65" s="1"/>
  <c r="CO472" i="65"/>
  <c r="CO450" i="65"/>
  <c r="CZ450" i="65" s="1"/>
  <c r="CO504" i="65"/>
  <c r="CO516" i="65"/>
  <c r="CZ516" i="65" s="1"/>
  <c r="CO498" i="65"/>
  <c r="CZ498" i="65" s="1"/>
  <c r="CO486" i="65"/>
  <c r="CO483" i="65"/>
  <c r="CZ483" i="65" s="1"/>
  <c r="CO471" i="65"/>
  <c r="DC471" i="65" s="1"/>
  <c r="CO523" i="65"/>
  <c r="CO452" i="65"/>
  <c r="CZ452" i="65" s="1"/>
  <c r="CO513" i="65"/>
  <c r="CO514" i="65"/>
  <c r="CZ514" i="65" s="1"/>
  <c r="CO539" i="65"/>
  <c r="CO454" i="65"/>
  <c r="CO524" i="65"/>
  <c r="CZ524" i="65" s="1"/>
  <c r="CO487" i="65"/>
  <c r="DC487" i="65" s="1"/>
  <c r="CO527" i="65"/>
  <c r="CP512" i="65"/>
  <c r="DC512" i="65" s="1"/>
  <c r="CP460" i="65"/>
  <c r="CP463" i="65"/>
  <c r="CP489" i="65"/>
  <c r="CP520" i="65"/>
  <c r="DC520" i="65" s="1"/>
  <c r="CP519" i="65"/>
  <c r="CP495" i="65"/>
  <c r="CP477" i="65"/>
  <c r="CZ477" i="65" s="1"/>
  <c r="CP476" i="65"/>
  <c r="CP478" i="65"/>
  <c r="CZ478" i="65" s="1"/>
  <c r="CP543" i="65"/>
  <c r="DC543" i="65" s="1"/>
  <c r="CP522" i="65"/>
  <c r="CZ522" i="65" s="1"/>
  <c r="CP530" i="65"/>
  <c r="CP542" i="65"/>
  <c r="CP474" i="65"/>
  <c r="CP508" i="65"/>
  <c r="CP493" i="65"/>
  <c r="CZ493" i="65" s="1"/>
  <c r="CP521" i="65"/>
  <c r="CP533" i="65"/>
  <c r="CZ533" i="65" s="1"/>
  <c r="CP458" i="65"/>
  <c r="CP480" i="65"/>
  <c r="DC480" i="65" s="1"/>
  <c r="CP461" i="65"/>
  <c r="CZ461" i="65" s="1"/>
  <c r="CP496" i="65"/>
  <c r="DC496" i="65" s="1"/>
  <c r="CP531" i="65"/>
  <c r="DC531" i="65" s="1"/>
  <c r="CP518" i="65"/>
  <c r="CP505" i="65"/>
  <c r="CP541" i="65"/>
  <c r="CP534" i="65"/>
  <c r="CZ534" i="65" s="1"/>
  <c r="CP479" i="65"/>
  <c r="CP457" i="65"/>
  <c r="CP544" i="65"/>
  <c r="CP462" i="65"/>
  <c r="CZ462" i="65" s="1"/>
  <c r="CP510" i="65"/>
  <c r="CZ510" i="65" s="1"/>
  <c r="CP490" i="65"/>
  <c r="CP532" i="65"/>
  <c r="CP507" i="65"/>
  <c r="DC507" i="65" s="1"/>
  <c r="CP506" i="65"/>
  <c r="CP492" i="65"/>
  <c r="CP509" i="65"/>
  <c r="CZ509" i="65" s="1"/>
  <c r="CP475" i="65"/>
  <c r="DC475" i="65" s="1"/>
  <c r="CP473" i="65"/>
  <c r="CP545" i="65"/>
  <c r="CZ545" i="65" s="1"/>
  <c r="CP491" i="65"/>
  <c r="DC491" i="65" s="1"/>
  <c r="CP464" i="65"/>
  <c r="DC464" i="65" s="1"/>
  <c r="CP529" i="65"/>
  <c r="CP459" i="65"/>
  <c r="DC459" i="65" s="1"/>
  <c r="CP511" i="65"/>
  <c r="CP494" i="65"/>
  <c r="CZ494" i="65" s="1"/>
  <c r="CP454" i="65"/>
  <c r="CZ454" i="65" s="1"/>
  <c r="CP472" i="65"/>
  <c r="DC472" i="65" s="1"/>
  <c r="CP504" i="65"/>
  <c r="DC504" i="65" s="1"/>
  <c r="CP501" i="65"/>
  <c r="CZ501" i="65" s="1"/>
  <c r="CP523" i="65"/>
  <c r="CP526" i="65"/>
  <c r="CP471" i="65"/>
  <c r="CP515" i="65"/>
  <c r="DC515" i="65" s="1"/>
  <c r="CP536" i="65"/>
  <c r="CP516" i="65"/>
  <c r="CP499" i="65"/>
  <c r="DC499" i="65" s="1"/>
  <c r="CP540" i="65"/>
  <c r="CZ540" i="65" s="1"/>
  <c r="CP467" i="65"/>
  <c r="DC467" i="65" s="1"/>
  <c r="CP451" i="65"/>
  <c r="DC451" i="65" s="1"/>
  <c r="CP470" i="65"/>
  <c r="CZ470" i="65" s="1"/>
  <c r="CP465" i="65"/>
  <c r="CP503" i="65"/>
  <c r="CP498" i="65"/>
  <c r="CP513" i="65"/>
  <c r="CP484" i="65"/>
  <c r="CP535" i="65"/>
  <c r="CP452" i="65"/>
  <c r="CP502" i="65"/>
  <c r="CZ502" i="65" s="1"/>
  <c r="CP488" i="65"/>
  <c r="DC488" i="65" s="1"/>
  <c r="CP456" i="65"/>
  <c r="DC456" i="65" s="1"/>
  <c r="CP482" i="65"/>
  <c r="CP453" i="65"/>
  <c r="CZ453" i="65" s="1"/>
  <c r="CP481" i="65"/>
  <c r="CP466" i="65"/>
  <c r="CP537" i="65"/>
  <c r="DC537" i="65" s="1"/>
  <c r="CP517" i="65"/>
  <c r="CZ517" i="65" s="1"/>
  <c r="CP455" i="65"/>
  <c r="CP528" i="65"/>
  <c r="CZ528" i="65" s="1"/>
  <c r="CP538" i="65"/>
  <c r="CP486" i="65"/>
  <c r="CZ486" i="65" s="1"/>
  <c r="CP469" i="65"/>
  <c r="CZ469" i="65" s="1"/>
  <c r="CP485" i="65"/>
  <c r="CZ485" i="65" s="1"/>
  <c r="CP524" i="65"/>
  <c r="CP468" i="65"/>
  <c r="CP497" i="65"/>
  <c r="CP500" i="65"/>
  <c r="CP449" i="65"/>
  <c r="CP487" i="65"/>
  <c r="CP450" i="65"/>
  <c r="CP525" i="65"/>
  <c r="DC525" i="65" s="1"/>
  <c r="CP527" i="65"/>
  <c r="CZ527" i="65" s="1"/>
  <c r="CP539" i="65"/>
  <c r="CZ539" i="65" s="1"/>
  <c r="CP514" i="65"/>
  <c r="CP483" i="65"/>
  <c r="DC483" i="65" s="1"/>
  <c r="E16" i="65"/>
  <c r="V377" i="54"/>
  <c r="V713" i="54"/>
  <c r="V650" i="54"/>
  <c r="V587" i="54"/>
  <c r="V524" i="54"/>
  <c r="V797" i="54"/>
  <c r="V503" i="54"/>
  <c r="V461" i="54"/>
  <c r="V398" i="54"/>
  <c r="V734" i="54"/>
  <c r="V671" i="54"/>
  <c r="V608" i="54"/>
  <c r="V755" i="54"/>
  <c r="V776" i="54"/>
  <c r="V545" i="54"/>
  <c r="V482" i="54"/>
  <c r="V419" i="54"/>
  <c r="V356" i="54"/>
  <c r="V692" i="54"/>
  <c r="V629" i="54"/>
  <c r="V566" i="54"/>
  <c r="V440" i="54"/>
  <c r="X629" i="54"/>
  <c r="X650" i="54"/>
  <c r="X356" i="54"/>
  <c r="X671" i="54"/>
  <c r="X713" i="54"/>
  <c r="X587" i="54"/>
  <c r="X377" i="54"/>
  <c r="X398" i="54"/>
  <c r="X419" i="54"/>
  <c r="X440" i="54"/>
  <c r="X755" i="54"/>
  <c r="X797" i="54"/>
  <c r="X566" i="54"/>
  <c r="X776" i="54"/>
  <c r="X461" i="54"/>
  <c r="X482" i="54"/>
  <c r="X503" i="54"/>
  <c r="X524" i="54"/>
  <c r="X692" i="54"/>
  <c r="X734" i="54"/>
  <c r="X545" i="54"/>
  <c r="X608" i="54"/>
  <c r="I10" i="65"/>
  <c r="D58" i="53"/>
  <c r="T545" i="54"/>
  <c r="T419" i="54"/>
  <c r="T524" i="54"/>
  <c r="T629" i="54"/>
  <c r="T734" i="54"/>
  <c r="T566" i="54"/>
  <c r="T650" i="54"/>
  <c r="T398" i="54"/>
  <c r="T503" i="54"/>
  <c r="T608" i="54"/>
  <c r="T713" i="54"/>
  <c r="T587" i="54"/>
  <c r="T776" i="54"/>
  <c r="T377" i="54"/>
  <c r="T482" i="54"/>
  <c r="T356" i="54"/>
  <c r="T692" i="54"/>
  <c r="T797" i="54"/>
  <c r="T671" i="54"/>
  <c r="T461" i="54"/>
  <c r="T440" i="54"/>
  <c r="T755" i="54"/>
  <c r="E30" i="53"/>
  <c r="H31" i="53" s="1"/>
  <c r="I31" i="53"/>
  <c r="F30" i="53"/>
  <c r="D145" i="64"/>
  <c r="D147" i="64"/>
  <c r="D149" i="64"/>
  <c r="D146" i="64"/>
  <c r="D148" i="64"/>
  <c r="D150" i="64"/>
  <c r="F147" i="64"/>
  <c r="F149" i="64"/>
  <c r="F145" i="64"/>
  <c r="F150" i="64"/>
  <c r="F146" i="64"/>
  <c r="F148" i="64"/>
  <c r="E145" i="64"/>
  <c r="E149" i="64"/>
  <c r="E147" i="64"/>
  <c r="E148" i="64"/>
  <c r="E150" i="64"/>
  <c r="E146" i="64"/>
  <c r="AD544" i="54"/>
  <c r="AH544" i="54" s="1"/>
  <c r="AD586" i="54"/>
  <c r="AH586" i="54" s="1"/>
  <c r="AB586" i="54"/>
  <c r="AG586" i="54" s="1"/>
  <c r="AB544" i="54"/>
  <c r="AG544" i="54" s="1"/>
  <c r="Z20" i="54"/>
  <c r="AF20" i="54" s="1"/>
  <c r="AJ20" i="54" s="1"/>
  <c r="Z230" i="54"/>
  <c r="AF230" i="54" s="1"/>
  <c r="Z188" i="54"/>
  <c r="AF188" i="54" s="1"/>
  <c r="Z251" i="54"/>
  <c r="AF251" i="54" s="1"/>
  <c r="Z146" i="54"/>
  <c r="AF146" i="54" s="1"/>
  <c r="Z125" i="54"/>
  <c r="AF125" i="54" s="1"/>
  <c r="Z104" i="54"/>
  <c r="AF104" i="54" s="1"/>
  <c r="Z293" i="54"/>
  <c r="AF293" i="54" s="1"/>
  <c r="Z272" i="54"/>
  <c r="AF272" i="54" s="1"/>
  <c r="Z167" i="54"/>
  <c r="AF167" i="54" s="1"/>
  <c r="Z314" i="54"/>
  <c r="AF314" i="54" s="1"/>
  <c r="Z209" i="54"/>
  <c r="AF209" i="54" s="1"/>
  <c r="I16" i="65" l="1"/>
  <c r="CK489" i="65" s="1"/>
  <c r="CY489" i="65" s="1"/>
  <c r="AR16" i="65"/>
  <c r="EJ71" i="65" s="1"/>
  <c r="L31" i="53"/>
  <c r="AJ10" i="65" s="1"/>
  <c r="CO512" i="65"/>
  <c r="CO495" i="65"/>
  <c r="DC495" i="65" s="1"/>
  <c r="CO460" i="65"/>
  <c r="CZ460" i="65" s="1"/>
  <c r="CO489" i="65"/>
  <c r="CO474" i="65"/>
  <c r="CZ474" i="65" s="1"/>
  <c r="CO508" i="65"/>
  <c r="CZ508" i="65" s="1"/>
  <c r="CO505" i="65"/>
  <c r="CO506" i="65"/>
  <c r="CZ506" i="65" s="1"/>
  <c r="CO492" i="65"/>
  <c r="CZ492" i="65" s="1"/>
  <c r="CO534" i="65"/>
  <c r="CO510" i="65"/>
  <c r="CO520" i="65"/>
  <c r="CZ520" i="65" s="1"/>
  <c r="CO544" i="65"/>
  <c r="CZ544" i="65" s="1"/>
  <c r="CO522" i="65"/>
  <c r="CO530" i="65"/>
  <c r="CZ530" i="65" s="1"/>
  <c r="CO542" i="65"/>
  <c r="CZ542" i="65" s="1"/>
  <c r="CO529" i="65"/>
  <c r="CO493" i="65"/>
  <c r="CO519" i="65"/>
  <c r="CZ519" i="65" s="1"/>
  <c r="CO464" i="65"/>
  <c r="CO476" i="65"/>
  <c r="CZ476" i="65" s="1"/>
  <c r="CO461" i="65"/>
  <c r="CO518" i="65"/>
  <c r="CO545" i="65"/>
  <c r="CO507" i="65"/>
  <c r="CZ507" i="65" s="1"/>
  <c r="CO521" i="65"/>
  <c r="CZ521" i="65" s="1"/>
  <c r="CO477" i="65"/>
  <c r="CO511" i="65"/>
  <c r="DC511" i="65" s="1"/>
  <c r="CO457" i="65"/>
  <c r="CO475" i="65"/>
  <c r="CZ475" i="65" s="1"/>
  <c r="CO494" i="65"/>
  <c r="CO463" i="65"/>
  <c r="DC463" i="65" s="1"/>
  <c r="CO462" i="65"/>
  <c r="CO480" i="65"/>
  <c r="CO490" i="65"/>
  <c r="CZ490" i="65" s="1"/>
  <c r="CO532" i="65"/>
  <c r="CZ532" i="65" s="1"/>
  <c r="CO459" i="65"/>
  <c r="CZ459" i="65" s="1"/>
  <c r="CO533" i="65"/>
  <c r="CO478" i="65"/>
  <c r="CO541" i="65"/>
  <c r="CO531" i="65"/>
  <c r="CZ531" i="65" s="1"/>
  <c r="CO479" i="65"/>
  <c r="DC479" i="65" s="1"/>
  <c r="CO543" i="65"/>
  <c r="CZ543" i="65" s="1"/>
  <c r="CO496" i="65"/>
  <c r="CO509" i="65"/>
  <c r="CO473" i="65"/>
  <c r="CO491" i="65"/>
  <c r="CZ491" i="65" s="1"/>
  <c r="CO458" i="65"/>
  <c r="CZ458" i="65" s="1"/>
  <c r="CN460" i="65"/>
  <c r="CN474" i="65"/>
  <c r="CN512" i="65"/>
  <c r="CZ512" i="65" s="1"/>
  <c r="CN463" i="65"/>
  <c r="CZ463" i="65" s="1"/>
  <c r="CN520" i="65"/>
  <c r="CN521" i="65"/>
  <c r="CN533" i="65"/>
  <c r="CN461" i="65"/>
  <c r="CN518" i="65"/>
  <c r="CZ518" i="65" s="1"/>
  <c r="CN529" i="65"/>
  <c r="CZ529" i="65" s="1"/>
  <c r="CN532" i="65"/>
  <c r="CN462" i="65"/>
  <c r="CN464" i="65"/>
  <c r="CZ464" i="65" s="1"/>
  <c r="CN476" i="65"/>
  <c r="CN478" i="65"/>
  <c r="CN541" i="65"/>
  <c r="CZ541" i="65" s="1"/>
  <c r="CN543" i="65"/>
  <c r="CN510" i="65"/>
  <c r="CN490" i="65"/>
  <c r="CN545" i="65"/>
  <c r="CN495" i="65"/>
  <c r="CZ495" i="65" s="1"/>
  <c r="CN508" i="65"/>
  <c r="CN544" i="65"/>
  <c r="CN477" i="65"/>
  <c r="CN492" i="65"/>
  <c r="CN511" i="65"/>
  <c r="CZ511" i="65" s="1"/>
  <c r="CN509" i="65"/>
  <c r="CN475" i="65"/>
  <c r="CN491" i="65"/>
  <c r="CN494" i="65"/>
  <c r="CN506" i="65"/>
  <c r="CN480" i="65"/>
  <c r="CZ480" i="65" s="1"/>
  <c r="CN522" i="65"/>
  <c r="CN473" i="65"/>
  <c r="CZ473" i="65" s="1"/>
  <c r="CN519" i="65"/>
  <c r="CN531" i="65"/>
  <c r="CN479" i="65"/>
  <c r="CZ479" i="65" s="1"/>
  <c r="CN507" i="65"/>
  <c r="CN489" i="65"/>
  <c r="CZ489" i="65" s="1"/>
  <c r="CN493" i="65"/>
  <c r="CN505" i="65"/>
  <c r="CZ505" i="65" s="1"/>
  <c r="CN458" i="65"/>
  <c r="CN530" i="65"/>
  <c r="CN542" i="65"/>
  <c r="CN496" i="65"/>
  <c r="CZ496" i="65" s="1"/>
  <c r="CN457" i="65"/>
  <c r="CZ457" i="65" s="1"/>
  <c r="CN459" i="65"/>
  <c r="CN534" i="65"/>
  <c r="E58" i="53"/>
  <c r="F58" i="53"/>
  <c r="G59" i="53"/>
  <c r="J59" i="53" s="1"/>
  <c r="M58" i="53"/>
  <c r="N58" i="53" s="1"/>
  <c r="Z797" i="54"/>
  <c r="AF797" i="54" s="1"/>
  <c r="AJ797" i="54" s="1"/>
  <c r="Z776" i="54"/>
  <c r="AF776" i="54" s="1"/>
  <c r="K10" i="65"/>
  <c r="K16" i="65"/>
  <c r="CK469" i="65"/>
  <c r="CK485" i="65"/>
  <c r="CK517" i="65"/>
  <c r="CK540" i="65"/>
  <c r="CK499" i="65"/>
  <c r="CK451" i="65"/>
  <c r="CK538" i="65"/>
  <c r="CK468" i="65"/>
  <c r="CK504" i="65"/>
  <c r="CY504" i="65" s="1"/>
  <c r="CK456" i="65"/>
  <c r="CY456" i="65" s="1"/>
  <c r="CK527" i="65"/>
  <c r="CK502" i="65"/>
  <c r="CK449" i="65"/>
  <c r="CY449" i="65" s="1"/>
  <c r="CK497" i="65"/>
  <c r="CY497" i="65" s="1"/>
  <c r="CK454" i="65"/>
  <c r="CK482" i="65"/>
  <c r="CK484" i="65"/>
  <c r="CK472" i="65"/>
  <c r="CY472" i="65" s="1"/>
  <c r="CK526" i="65"/>
  <c r="CK455" i="65"/>
  <c r="CY455" i="65" s="1"/>
  <c r="CK525" i="65"/>
  <c r="CK515" i="65"/>
  <c r="CK450" i="65"/>
  <c r="CK516" i="65"/>
  <c r="CK535" i="65"/>
  <c r="CY535" i="65" s="1"/>
  <c r="CK453" i="65"/>
  <c r="CK471" i="65"/>
  <c r="CY471" i="65" s="1"/>
  <c r="CK501" i="65"/>
  <c r="CK537" i="65"/>
  <c r="CK470" i="65"/>
  <c r="CK523" i="65"/>
  <c r="CY523" i="65" s="1"/>
  <c r="CK498" i="65"/>
  <c r="CK452" i="65"/>
  <c r="CK488" i="65"/>
  <c r="CY488" i="65" s="1"/>
  <c r="CK524" i="65"/>
  <c r="CK487" i="65"/>
  <c r="CY487" i="65" s="1"/>
  <c r="CK467" i="65"/>
  <c r="CK528" i="65"/>
  <c r="CK466" i="65"/>
  <c r="CK486" i="65"/>
  <c r="CK503" i="65"/>
  <c r="CY503" i="65" s="1"/>
  <c r="CK465" i="65"/>
  <c r="CY465" i="65" s="1"/>
  <c r="CK483" i="65"/>
  <c r="CK500" i="65"/>
  <c r="CK513" i="65"/>
  <c r="CY513" i="65" s="1"/>
  <c r="CK481" i="65"/>
  <c r="CY481" i="65" s="1"/>
  <c r="CK539" i="65"/>
  <c r="CK536" i="65"/>
  <c r="CK514" i="65"/>
  <c r="CK477" i="65"/>
  <c r="CK507" i="65"/>
  <c r="CK463" i="65"/>
  <c r="CY463" i="65" s="1"/>
  <c r="CK457" i="65"/>
  <c r="CY457" i="65" s="1"/>
  <c r="CK520" i="65"/>
  <c r="CK508" i="65"/>
  <c r="CK461" i="65"/>
  <c r="CK532" i="65"/>
  <c r="CK512" i="65"/>
  <c r="CY512" i="65" s="1"/>
  <c r="CK509" i="65"/>
  <c r="CK541" i="65"/>
  <c r="CY541" i="65" s="1"/>
  <c r="CK473" i="65"/>
  <c r="CY473" i="65" s="1"/>
  <c r="J10" i="65"/>
  <c r="J16" i="65"/>
  <c r="J31" i="53"/>
  <c r="H145" i="64"/>
  <c r="K145" i="64" s="1"/>
  <c r="H150" i="64"/>
  <c r="K150" i="64" s="1"/>
  <c r="H149" i="64"/>
  <c r="K149" i="64" s="1"/>
  <c r="H146" i="64"/>
  <c r="K146" i="64" s="1"/>
  <c r="H148" i="64"/>
  <c r="K148" i="64" s="1"/>
  <c r="H147" i="64"/>
  <c r="K147" i="64" s="1"/>
  <c r="AB320" i="54"/>
  <c r="AG320" i="54" s="1"/>
  <c r="AK320" i="54" s="1"/>
  <c r="AB300" i="54"/>
  <c r="AG300" i="54" s="1"/>
  <c r="AK300" i="54" s="1"/>
  <c r="AB280" i="54"/>
  <c r="AG280" i="54" s="1"/>
  <c r="AK280" i="54" s="1"/>
  <c r="AB260" i="54"/>
  <c r="AG260" i="54" s="1"/>
  <c r="AK260" i="54" s="1"/>
  <c r="AB240" i="54"/>
  <c r="AG240" i="54" s="1"/>
  <c r="AK240" i="54" s="1"/>
  <c r="AB220" i="54"/>
  <c r="AG220" i="54" s="1"/>
  <c r="AK220" i="54" s="1"/>
  <c r="AB200" i="54"/>
  <c r="AG200" i="54" s="1"/>
  <c r="AK200" i="54" s="1"/>
  <c r="AB180" i="54"/>
  <c r="AG180" i="54" s="1"/>
  <c r="AK180" i="54" s="1"/>
  <c r="AB160" i="54"/>
  <c r="AG160" i="54" s="1"/>
  <c r="AK160" i="54" s="1"/>
  <c r="AB140" i="54"/>
  <c r="AG140" i="54" s="1"/>
  <c r="AK140" i="54" s="1"/>
  <c r="AB120" i="54"/>
  <c r="AG120" i="54" s="1"/>
  <c r="AK120" i="54" s="1"/>
  <c r="AB100" i="54"/>
  <c r="AG100" i="54" s="1"/>
  <c r="AK100" i="54" s="1"/>
  <c r="AB80" i="54"/>
  <c r="AG80" i="54" s="1"/>
  <c r="AK80" i="54" s="1"/>
  <c r="AB60" i="54"/>
  <c r="AG60" i="54" s="1"/>
  <c r="AK60" i="54" s="1"/>
  <c r="AB40" i="54"/>
  <c r="AG40" i="54" s="1"/>
  <c r="AK40" i="54" s="1"/>
  <c r="I145" i="64"/>
  <c r="L145" i="64" s="1"/>
  <c r="I150" i="64"/>
  <c r="L150" i="64" s="1"/>
  <c r="I149" i="64"/>
  <c r="L149" i="64" s="1"/>
  <c r="I147" i="64"/>
  <c r="L147" i="64" s="1"/>
  <c r="I148" i="64"/>
  <c r="L148" i="64" s="1"/>
  <c r="I146" i="64"/>
  <c r="L146" i="64" s="1"/>
  <c r="AD320" i="54"/>
  <c r="AH320" i="54" s="1"/>
  <c r="AL320" i="54" s="1"/>
  <c r="AD300" i="54"/>
  <c r="AH300" i="54" s="1"/>
  <c r="AL300" i="54" s="1"/>
  <c r="AD280" i="54"/>
  <c r="AH280" i="54" s="1"/>
  <c r="AL280" i="54" s="1"/>
  <c r="AD260" i="54"/>
  <c r="AH260" i="54" s="1"/>
  <c r="AL260" i="54" s="1"/>
  <c r="AD240" i="54"/>
  <c r="AH240" i="54" s="1"/>
  <c r="AL240" i="54" s="1"/>
  <c r="AD220" i="54"/>
  <c r="AH220" i="54" s="1"/>
  <c r="AL220" i="54" s="1"/>
  <c r="AD200" i="54"/>
  <c r="AH200" i="54" s="1"/>
  <c r="AL200" i="54" s="1"/>
  <c r="AD180" i="54"/>
  <c r="AH180" i="54" s="1"/>
  <c r="AL180" i="54" s="1"/>
  <c r="AD160" i="54"/>
  <c r="AH160" i="54" s="1"/>
  <c r="AL160" i="54" s="1"/>
  <c r="AD140" i="54"/>
  <c r="AH140" i="54" s="1"/>
  <c r="AL140" i="54" s="1"/>
  <c r="AD120" i="54"/>
  <c r="AH120" i="54" s="1"/>
  <c r="AL120" i="54" s="1"/>
  <c r="AD100" i="54"/>
  <c r="AH100" i="54" s="1"/>
  <c r="AL100" i="54" s="1"/>
  <c r="AD80" i="54"/>
  <c r="AH80" i="54" s="1"/>
  <c r="AL80" i="54" s="1"/>
  <c r="AD60" i="54"/>
  <c r="AH60" i="54" s="1"/>
  <c r="AL60" i="54" s="1"/>
  <c r="AD40" i="54"/>
  <c r="AH40" i="54" s="1"/>
  <c r="AL40" i="54" s="1"/>
  <c r="G150" i="64"/>
  <c r="J150" i="64" s="1"/>
  <c r="G145" i="64"/>
  <c r="J145" i="64" s="1"/>
  <c r="G149" i="64"/>
  <c r="J149" i="64" s="1"/>
  <c r="G146" i="64"/>
  <c r="J146" i="64" s="1"/>
  <c r="G148" i="64"/>
  <c r="J148" i="64" s="1"/>
  <c r="G147" i="64"/>
  <c r="J147" i="64" s="1"/>
  <c r="Z320" i="54"/>
  <c r="AF320" i="54" s="1"/>
  <c r="AJ320" i="54" s="1"/>
  <c r="Z300" i="54"/>
  <c r="AF300" i="54" s="1"/>
  <c r="AJ300" i="54" s="1"/>
  <c r="Z280" i="54"/>
  <c r="AF280" i="54" s="1"/>
  <c r="AJ280" i="54" s="1"/>
  <c r="Z260" i="54"/>
  <c r="AF260" i="54" s="1"/>
  <c r="AJ260" i="54" s="1"/>
  <c r="Z240" i="54"/>
  <c r="AF240" i="54" s="1"/>
  <c r="AJ240" i="54" s="1"/>
  <c r="Z220" i="54"/>
  <c r="AF220" i="54" s="1"/>
  <c r="AJ220" i="54" s="1"/>
  <c r="Z200" i="54"/>
  <c r="AF200" i="54" s="1"/>
  <c r="AJ200" i="54" s="1"/>
  <c r="Z180" i="54"/>
  <c r="AF180" i="54" s="1"/>
  <c r="AJ180" i="54" s="1"/>
  <c r="Z160" i="54"/>
  <c r="AF160" i="54" s="1"/>
  <c r="AJ160" i="54" s="1"/>
  <c r="Z140" i="54"/>
  <c r="AF140" i="54" s="1"/>
  <c r="AJ140" i="54" s="1"/>
  <c r="Z120" i="54"/>
  <c r="AF120" i="54" s="1"/>
  <c r="AJ120" i="54" s="1"/>
  <c r="Z100" i="54"/>
  <c r="AF100" i="54" s="1"/>
  <c r="AJ100" i="54" s="1"/>
  <c r="Z80" i="54"/>
  <c r="AF80" i="54" s="1"/>
  <c r="AJ80" i="54" s="1"/>
  <c r="Z60" i="54"/>
  <c r="AF60" i="54" s="1"/>
  <c r="AJ60" i="54" s="1"/>
  <c r="Z40" i="54"/>
  <c r="AF40" i="54" s="1"/>
  <c r="AJ40" i="54" s="1"/>
  <c r="Z566" i="54"/>
  <c r="AF566" i="54" s="1"/>
  <c r="Z524" i="54"/>
  <c r="AF524" i="54" s="1"/>
  <c r="AB188" i="54"/>
  <c r="AG188" i="54" s="1"/>
  <c r="AB104" i="54"/>
  <c r="AG104" i="54" s="1"/>
  <c r="AB314" i="54"/>
  <c r="AG314" i="54" s="1"/>
  <c r="AB293" i="54"/>
  <c r="AG293" i="54" s="1"/>
  <c r="AB251" i="54"/>
  <c r="AG251" i="54" s="1"/>
  <c r="AB167" i="54"/>
  <c r="AG167" i="54" s="1"/>
  <c r="AB272" i="54"/>
  <c r="AG272" i="54" s="1"/>
  <c r="AB209" i="54"/>
  <c r="AG209" i="54" s="1"/>
  <c r="AB230" i="54"/>
  <c r="AG230" i="54" s="1"/>
  <c r="AB146" i="54"/>
  <c r="AG146" i="54" s="1"/>
  <c r="AB125" i="54"/>
  <c r="AG125" i="54" s="1"/>
  <c r="AB20" i="54"/>
  <c r="AG20" i="54" s="1"/>
  <c r="AK20" i="54" s="1"/>
  <c r="AD251" i="54"/>
  <c r="AH251" i="54" s="1"/>
  <c r="AD167" i="54"/>
  <c r="AH167" i="54" s="1"/>
  <c r="AD20" i="54"/>
  <c r="AH20" i="54" s="1"/>
  <c r="AL20" i="54" s="1"/>
  <c r="AD125" i="54"/>
  <c r="AH125" i="54" s="1"/>
  <c r="AD188" i="54"/>
  <c r="AH188" i="54" s="1"/>
  <c r="AD146" i="54"/>
  <c r="AH146" i="54" s="1"/>
  <c r="AD272" i="54"/>
  <c r="AH272" i="54" s="1"/>
  <c r="AD314" i="54"/>
  <c r="AH314" i="54" s="1"/>
  <c r="AD230" i="54"/>
  <c r="AH230" i="54" s="1"/>
  <c r="AD209" i="54"/>
  <c r="AH209" i="54" s="1"/>
  <c r="AD293" i="54"/>
  <c r="AH293" i="54" s="1"/>
  <c r="AD104" i="54"/>
  <c r="AH104" i="54" s="1"/>
  <c r="CK511" i="65" l="1"/>
  <c r="CY511" i="65" s="1"/>
  <c r="CK476" i="65"/>
  <c r="CK478" i="65"/>
  <c r="CK518" i="65"/>
  <c r="CY518" i="65" s="1"/>
  <c r="CK480" i="65"/>
  <c r="CY480" i="65" s="1"/>
  <c r="CK533" i="65"/>
  <c r="CK510" i="65"/>
  <c r="CK475" i="65"/>
  <c r="CK529" i="65"/>
  <c r="CY529" i="65" s="1"/>
  <c r="CK542" i="65"/>
  <c r="CK496" i="65"/>
  <c r="CY496" i="65" s="1"/>
  <c r="CK545" i="65"/>
  <c r="CK544" i="65"/>
  <c r="CK534" i="65"/>
  <c r="CK474" i="65"/>
  <c r="CK460" i="65"/>
  <c r="CK522" i="65"/>
  <c r="CK505" i="65"/>
  <c r="CY505" i="65" s="1"/>
  <c r="CK543" i="65"/>
  <c r="CK506" i="65"/>
  <c r="CK493" i="65"/>
  <c r="CK494" i="65"/>
  <c r="CK459" i="65"/>
  <c r="CK521" i="65"/>
  <c r="CK491" i="65"/>
  <c r="CK492" i="65"/>
  <c r="CK530" i="65"/>
  <c r="CK495" i="65"/>
  <c r="CY495" i="65" s="1"/>
  <c r="CK458" i="65"/>
  <c r="CK464" i="65"/>
  <c r="CY464" i="65" s="1"/>
  <c r="CK479" i="65"/>
  <c r="CY479" i="65" s="1"/>
  <c r="CK531" i="65"/>
  <c r="CK462" i="65"/>
  <c r="CK519" i="65"/>
  <c r="CK490" i="65"/>
  <c r="AI16" i="65"/>
  <c r="D31" i="53"/>
  <c r="F31" i="53" s="1"/>
  <c r="AI10" i="65"/>
  <c r="DS40" i="65"/>
  <c r="DS43" i="65"/>
  <c r="DS47" i="65"/>
  <c r="K31" i="53"/>
  <c r="CL478" i="65"/>
  <c r="CL494" i="65"/>
  <c r="CL522" i="65"/>
  <c r="CL545" i="65"/>
  <c r="CL496" i="65"/>
  <c r="CL479" i="65"/>
  <c r="DB479" i="65" s="1"/>
  <c r="CL543" i="65"/>
  <c r="CY543" i="65" s="1"/>
  <c r="CL489" i="65"/>
  <c r="CL521" i="65"/>
  <c r="CY521" i="65" s="1"/>
  <c r="CL459" i="65"/>
  <c r="CY459" i="65" s="1"/>
  <c r="CL532" i="65"/>
  <c r="CY532" i="65" s="1"/>
  <c r="CL531" i="65"/>
  <c r="CY531" i="65" s="1"/>
  <c r="CL462" i="65"/>
  <c r="CL476" i="65"/>
  <c r="CY476" i="65" s="1"/>
  <c r="CL510" i="65"/>
  <c r="CL534" i="65"/>
  <c r="CL477" i="65"/>
  <c r="CL520" i="65"/>
  <c r="CY520" i="65" s="1"/>
  <c r="CL511" i="65"/>
  <c r="DB511" i="65" s="1"/>
  <c r="CL464" i="65"/>
  <c r="CL505" i="65"/>
  <c r="CL533" i="65"/>
  <c r="CL492" i="65"/>
  <c r="CY492" i="65" s="1"/>
  <c r="CL491" i="65"/>
  <c r="CY491" i="65" s="1"/>
  <c r="CL474" i="65"/>
  <c r="CY474" i="65" s="1"/>
  <c r="CL518" i="65"/>
  <c r="CL480" i="65"/>
  <c r="CL519" i="65"/>
  <c r="CY519" i="65" s="1"/>
  <c r="CL509" i="65"/>
  <c r="CL508" i="65"/>
  <c r="CY508" i="65" s="1"/>
  <c r="CL461" i="65"/>
  <c r="CL475" i="65"/>
  <c r="CY475" i="65" s="1"/>
  <c r="CL460" i="65"/>
  <c r="CY460" i="65" s="1"/>
  <c r="CL530" i="65"/>
  <c r="CY530" i="65" s="1"/>
  <c r="CL512" i="65"/>
  <c r="CL457" i="65"/>
  <c r="CL529" i="65"/>
  <c r="CL463" i="65"/>
  <c r="DB463" i="65" s="1"/>
  <c r="CL458" i="65"/>
  <c r="CY458" i="65" s="1"/>
  <c r="CL495" i="65"/>
  <c r="DB495" i="65" s="1"/>
  <c r="CL490" i="65"/>
  <c r="CY490" i="65" s="1"/>
  <c r="CL542" i="65"/>
  <c r="CY542" i="65" s="1"/>
  <c r="CL544" i="65"/>
  <c r="CY544" i="65" s="1"/>
  <c r="CL473" i="65"/>
  <c r="CL541" i="65"/>
  <c r="CL507" i="65"/>
  <c r="CY507" i="65" s="1"/>
  <c r="CL506" i="65"/>
  <c r="CY506" i="65" s="1"/>
  <c r="CL493" i="65"/>
  <c r="CM463" i="65"/>
  <c r="CM479" i="65"/>
  <c r="CM511" i="65"/>
  <c r="CM522" i="65"/>
  <c r="CY522" i="65" s="1"/>
  <c r="CM457" i="65"/>
  <c r="CM533" i="65"/>
  <c r="CY533" i="65" s="1"/>
  <c r="CM508" i="65"/>
  <c r="CM476" i="65"/>
  <c r="CM506" i="65"/>
  <c r="CM489" i="65"/>
  <c r="CM545" i="65"/>
  <c r="CY545" i="65" s="1"/>
  <c r="CM512" i="65"/>
  <c r="DB512" i="65" s="1"/>
  <c r="CM475" i="65"/>
  <c r="DB475" i="65" s="1"/>
  <c r="CM491" i="65"/>
  <c r="DB491" i="65" s="1"/>
  <c r="CM519" i="65"/>
  <c r="CM530" i="65"/>
  <c r="CM473" i="65"/>
  <c r="CM541" i="65"/>
  <c r="CM532" i="65"/>
  <c r="CM478" i="65"/>
  <c r="CY478" i="65" s="1"/>
  <c r="CM510" i="65"/>
  <c r="CY510" i="65" s="1"/>
  <c r="CM505" i="65"/>
  <c r="CM477" i="65"/>
  <c r="CY477" i="65" s="1"/>
  <c r="CM520" i="65"/>
  <c r="DB520" i="65" s="1"/>
  <c r="CM458" i="65"/>
  <c r="CM495" i="65"/>
  <c r="CM531" i="65"/>
  <c r="DB531" i="65" s="1"/>
  <c r="CM534" i="65"/>
  <c r="CY534" i="65" s="1"/>
  <c r="CM493" i="65"/>
  <c r="CY493" i="65" s="1"/>
  <c r="CM461" i="65"/>
  <c r="CY461" i="65" s="1"/>
  <c r="CM460" i="65"/>
  <c r="CM490" i="65"/>
  <c r="CM518" i="65"/>
  <c r="CM521" i="65"/>
  <c r="CM480" i="65"/>
  <c r="DB480" i="65" s="1"/>
  <c r="CM544" i="65"/>
  <c r="CM543" i="65"/>
  <c r="DB543" i="65" s="1"/>
  <c r="CM462" i="65"/>
  <c r="CY462" i="65" s="1"/>
  <c r="CM496" i="65"/>
  <c r="DB496" i="65" s="1"/>
  <c r="CM459" i="65"/>
  <c r="DB459" i="65" s="1"/>
  <c r="CM542" i="65"/>
  <c r="CM494" i="65"/>
  <c r="CY494" i="65" s="1"/>
  <c r="CM474" i="65"/>
  <c r="CM509" i="65"/>
  <c r="CY509" i="65" s="1"/>
  <c r="CM464" i="65"/>
  <c r="DB464" i="65" s="1"/>
  <c r="CM529" i="65"/>
  <c r="CM507" i="65"/>
  <c r="DB507" i="65" s="1"/>
  <c r="CM492" i="65"/>
  <c r="CL454" i="65"/>
  <c r="CL453" i="65"/>
  <c r="CL486" i="65"/>
  <c r="CL526" i="65"/>
  <c r="CY526" i="65" s="1"/>
  <c r="CL537" i="65"/>
  <c r="CY537" i="65" s="1"/>
  <c r="CL536" i="65"/>
  <c r="CY536" i="65" s="1"/>
  <c r="CL503" i="65"/>
  <c r="DB503" i="65" s="1"/>
  <c r="CL471" i="65"/>
  <c r="DB471" i="65" s="1"/>
  <c r="CL501" i="65"/>
  <c r="CL484" i="65"/>
  <c r="CY484" i="65" s="1"/>
  <c r="CL540" i="65"/>
  <c r="CL499" i="65"/>
  <c r="CY499" i="65" s="1"/>
  <c r="CL466" i="65"/>
  <c r="CY466" i="65" s="1"/>
  <c r="CL467" i="65"/>
  <c r="CY467" i="65" s="1"/>
  <c r="CL498" i="65"/>
  <c r="CY498" i="65" s="1"/>
  <c r="CL538" i="65"/>
  <c r="CY538" i="65" s="1"/>
  <c r="CL488" i="65"/>
  <c r="CL465" i="65"/>
  <c r="CL527" i="65"/>
  <c r="CL481" i="65"/>
  <c r="CL513" i="65"/>
  <c r="CL500" i="65"/>
  <c r="CY500" i="65" s="1"/>
  <c r="CL449" i="65"/>
  <c r="CL515" i="65"/>
  <c r="CY515" i="65" s="1"/>
  <c r="CL470" i="65"/>
  <c r="CL469" i="65"/>
  <c r="CL502" i="65"/>
  <c r="CL517" i="65"/>
  <c r="CL504" i="65"/>
  <c r="CL472" i="65"/>
  <c r="CL535" i="65"/>
  <c r="CL485" i="65"/>
  <c r="CL452" i="65"/>
  <c r="CY452" i="65" s="1"/>
  <c r="CL516" i="65"/>
  <c r="CY516" i="65" s="1"/>
  <c r="CL456" i="65"/>
  <c r="CL523" i="65"/>
  <c r="CL514" i="65"/>
  <c r="CY514" i="65" s="1"/>
  <c r="CL455" i="65"/>
  <c r="DB455" i="65" s="1"/>
  <c r="CL483" i="65"/>
  <c r="CY483" i="65" s="1"/>
  <c r="CL450" i="65"/>
  <c r="CY450" i="65" s="1"/>
  <c r="CL525" i="65"/>
  <c r="CY525" i="65" s="1"/>
  <c r="CL497" i="65"/>
  <c r="CL539" i="65"/>
  <c r="CL451" i="65"/>
  <c r="CY451" i="65" s="1"/>
  <c r="CL528" i="65"/>
  <c r="CL468" i="65"/>
  <c r="CY468" i="65" s="1"/>
  <c r="CL482" i="65"/>
  <c r="CY482" i="65" s="1"/>
  <c r="CL487" i="65"/>
  <c r="DB487" i="65" s="1"/>
  <c r="CL524" i="65"/>
  <c r="CY524" i="65" s="1"/>
  <c r="CM467" i="65"/>
  <c r="DB467" i="65" s="1"/>
  <c r="CM465" i="65"/>
  <c r="CM499" i="65"/>
  <c r="DB499" i="65" s="1"/>
  <c r="CM527" i="65"/>
  <c r="CY527" i="65" s="1"/>
  <c r="CM450" i="65"/>
  <c r="CM517" i="65"/>
  <c r="CY517" i="65" s="1"/>
  <c r="CM484" i="65"/>
  <c r="CM540" i="65"/>
  <c r="CY540" i="65" s="1"/>
  <c r="CM486" i="65"/>
  <c r="CY486" i="65" s="1"/>
  <c r="CM538" i="65"/>
  <c r="CM537" i="65"/>
  <c r="DB537" i="65" s="1"/>
  <c r="CM504" i="65"/>
  <c r="DB504" i="65" s="1"/>
  <c r="CM471" i="65"/>
  <c r="CM472" i="65"/>
  <c r="DB472" i="65" s="1"/>
  <c r="CM503" i="65"/>
  <c r="CM535" i="65"/>
  <c r="CM466" i="65"/>
  <c r="CM525" i="65"/>
  <c r="DB525" i="65" s="1"/>
  <c r="CM500" i="65"/>
  <c r="CM453" i="65"/>
  <c r="CY453" i="65" s="1"/>
  <c r="CM498" i="65"/>
  <c r="CM481" i="65"/>
  <c r="CM452" i="65"/>
  <c r="CM528" i="65"/>
  <c r="CY528" i="65" s="1"/>
  <c r="CM451" i="65"/>
  <c r="DB451" i="65" s="1"/>
  <c r="CM449" i="65"/>
  <c r="CM483" i="65"/>
  <c r="DB483" i="65" s="1"/>
  <c r="CM515" i="65"/>
  <c r="DB515" i="65" s="1"/>
  <c r="CM539" i="65"/>
  <c r="CY539" i="65" s="1"/>
  <c r="CM485" i="65"/>
  <c r="CY485" i="65" s="1"/>
  <c r="CM454" i="65"/>
  <c r="CY454" i="65" s="1"/>
  <c r="CM516" i="65"/>
  <c r="CM469" i="65"/>
  <c r="CY469" i="65" s="1"/>
  <c r="CM502" i="65"/>
  <c r="CY502" i="65" s="1"/>
  <c r="CM497" i="65"/>
  <c r="CM470" i="65"/>
  <c r="CY470" i="65" s="1"/>
  <c r="CM536" i="65"/>
  <c r="CM523" i="65"/>
  <c r="CM524" i="65"/>
  <c r="CM488" i="65"/>
  <c r="DB488" i="65" s="1"/>
  <c r="CM455" i="65"/>
  <c r="CM514" i="65"/>
  <c r="CM482" i="65"/>
  <c r="CM456" i="65"/>
  <c r="DB456" i="65" s="1"/>
  <c r="CM501" i="65"/>
  <c r="CY501" i="65" s="1"/>
  <c r="CM526" i="65"/>
  <c r="CM468" i="65"/>
  <c r="CM513" i="65"/>
  <c r="CM487" i="65"/>
  <c r="I59" i="53"/>
  <c r="L59" i="53" s="1"/>
  <c r="X42" i="54"/>
  <c r="X126" i="54"/>
  <c r="X210" i="54"/>
  <c r="X294" i="54"/>
  <c r="X63" i="54"/>
  <c r="X147" i="54"/>
  <c r="X231" i="54"/>
  <c r="X315" i="54"/>
  <c r="X84" i="54"/>
  <c r="X168" i="54"/>
  <c r="X252" i="54"/>
  <c r="X336" i="54"/>
  <c r="X273" i="54"/>
  <c r="X21" i="54"/>
  <c r="X189" i="54"/>
  <c r="X105" i="54"/>
  <c r="V42" i="54"/>
  <c r="AD797" i="54"/>
  <c r="AH797" i="54" s="1"/>
  <c r="AL797" i="54" s="1"/>
  <c r="AD776" i="54"/>
  <c r="AH776" i="54" s="1"/>
  <c r="T84" i="54"/>
  <c r="T168" i="54"/>
  <c r="T21" i="54"/>
  <c r="T105" i="54"/>
  <c r="T42" i="54"/>
  <c r="T210" i="54"/>
  <c r="T294" i="54"/>
  <c r="T63" i="54"/>
  <c r="T147" i="54"/>
  <c r="T231" i="54"/>
  <c r="T315" i="54"/>
  <c r="T273" i="54"/>
  <c r="T126" i="54"/>
  <c r="T252" i="54"/>
  <c r="T336" i="54"/>
  <c r="T189" i="54"/>
  <c r="H59" i="53"/>
  <c r="K59" i="53" s="1"/>
  <c r="O59" i="53" s="1"/>
  <c r="AB797" i="54"/>
  <c r="AG797" i="54" s="1"/>
  <c r="AK797" i="54" s="1"/>
  <c r="AB776" i="54"/>
  <c r="AG776" i="54" s="1"/>
  <c r="F152" i="64"/>
  <c r="F155" i="64"/>
  <c r="F156" i="64"/>
  <c r="F154" i="64"/>
  <c r="F153" i="64"/>
  <c r="F151" i="64"/>
  <c r="D155" i="64"/>
  <c r="D153" i="64"/>
  <c r="D156" i="64"/>
  <c r="D151" i="64"/>
  <c r="D152" i="64"/>
  <c r="D154" i="64"/>
  <c r="AD524" i="54"/>
  <c r="AH524" i="54" s="1"/>
  <c r="AD566" i="54"/>
  <c r="AH566" i="54" s="1"/>
  <c r="AB524" i="54"/>
  <c r="AG524" i="54" s="1"/>
  <c r="AB566" i="54"/>
  <c r="AG566" i="54" s="1"/>
  <c r="V189" i="54" l="1"/>
  <c r="O31" i="53"/>
  <c r="E153" i="64"/>
  <c r="V252" i="54"/>
  <c r="E31" i="53"/>
  <c r="V126" i="54"/>
  <c r="E155" i="64"/>
  <c r="V168" i="54"/>
  <c r="D59" i="53"/>
  <c r="G60" i="53" s="1"/>
  <c r="G32" i="53"/>
  <c r="I32" i="53" s="1"/>
  <c r="L32" i="53" s="1"/>
  <c r="E156" i="64"/>
  <c r="V147" i="54"/>
  <c r="V105" i="54"/>
  <c r="E151" i="64"/>
  <c r="V63" i="54"/>
  <c r="V21" i="54"/>
  <c r="Z798" i="54"/>
  <c r="AF798" i="54" s="1"/>
  <c r="AJ798" i="54" s="1"/>
  <c r="V84" i="54"/>
  <c r="V315" i="54"/>
  <c r="V294" i="54"/>
  <c r="V273" i="54"/>
  <c r="E152" i="64"/>
  <c r="E154" i="64"/>
  <c r="V336" i="54"/>
  <c r="V231" i="54"/>
  <c r="V210" i="54"/>
  <c r="AJ16" i="65"/>
  <c r="DS46" i="65"/>
  <c r="DS44" i="65"/>
  <c r="DS39" i="65"/>
  <c r="DZ44" i="65"/>
  <c r="DZ39" i="65"/>
  <c r="DZ46" i="65"/>
  <c r="V525" i="54"/>
  <c r="V462" i="54"/>
  <c r="V399" i="54"/>
  <c r="V735" i="54"/>
  <c r="V672" i="54"/>
  <c r="V714" i="54"/>
  <c r="V798" i="54"/>
  <c r="V609" i="54"/>
  <c r="V546" i="54"/>
  <c r="V483" i="54"/>
  <c r="V420" i="54"/>
  <c r="V756" i="54"/>
  <c r="V441" i="54"/>
  <c r="V651" i="54"/>
  <c r="V357" i="54"/>
  <c r="V693" i="54"/>
  <c r="V630" i="54"/>
  <c r="V567" i="54"/>
  <c r="V504" i="54"/>
  <c r="V777" i="54"/>
  <c r="V378" i="54"/>
  <c r="V588" i="54"/>
  <c r="T357" i="54"/>
  <c r="T462" i="54"/>
  <c r="T420" i="54"/>
  <c r="T756" i="54"/>
  <c r="T777" i="54"/>
  <c r="T651" i="54"/>
  <c r="T693" i="54"/>
  <c r="T441" i="54"/>
  <c r="T546" i="54"/>
  <c r="T504" i="54"/>
  <c r="T567" i="54"/>
  <c r="T630" i="54"/>
  <c r="T735" i="54"/>
  <c r="T672" i="54"/>
  <c r="T525" i="54"/>
  <c r="T399" i="54"/>
  <c r="T588" i="54"/>
  <c r="T609" i="54"/>
  <c r="T714" i="54"/>
  <c r="T378" i="54"/>
  <c r="T483" i="54"/>
  <c r="T798" i="54"/>
  <c r="X609" i="54"/>
  <c r="X630" i="54"/>
  <c r="X651" i="54"/>
  <c r="X588" i="54"/>
  <c r="X777" i="54"/>
  <c r="X567" i="54"/>
  <c r="X357" i="54"/>
  <c r="X378" i="54"/>
  <c r="X399" i="54"/>
  <c r="X420" i="54"/>
  <c r="X672" i="54"/>
  <c r="X714" i="54"/>
  <c r="X525" i="54"/>
  <c r="X735" i="54"/>
  <c r="X441" i="54"/>
  <c r="X462" i="54"/>
  <c r="X483" i="54"/>
  <c r="X504" i="54"/>
  <c r="X756" i="54"/>
  <c r="X798" i="54"/>
  <c r="X546" i="54"/>
  <c r="X693" i="54"/>
  <c r="G153" i="64"/>
  <c r="J153" i="64" s="1"/>
  <c r="G151" i="64"/>
  <c r="J151" i="64" s="1"/>
  <c r="G154" i="64"/>
  <c r="J154" i="64" s="1"/>
  <c r="G156" i="64"/>
  <c r="J156" i="64" s="1"/>
  <c r="G155" i="64"/>
  <c r="J155" i="64" s="1"/>
  <c r="G152" i="64"/>
  <c r="J152" i="64" s="1"/>
  <c r="Z321" i="54"/>
  <c r="AF321" i="54" s="1"/>
  <c r="AJ321" i="54" s="1"/>
  <c r="Z301" i="54"/>
  <c r="AF301" i="54" s="1"/>
  <c r="AJ301" i="54" s="1"/>
  <c r="Z281" i="54"/>
  <c r="AF281" i="54" s="1"/>
  <c r="AJ281" i="54" s="1"/>
  <c r="Z261" i="54"/>
  <c r="AF261" i="54" s="1"/>
  <c r="AJ261" i="54" s="1"/>
  <c r="Z241" i="54"/>
  <c r="AF241" i="54" s="1"/>
  <c r="AJ241" i="54" s="1"/>
  <c r="Z221" i="54"/>
  <c r="AF221" i="54" s="1"/>
  <c r="AJ221" i="54" s="1"/>
  <c r="Z201" i="54"/>
  <c r="AF201" i="54" s="1"/>
  <c r="AJ201" i="54" s="1"/>
  <c r="Z181" i="54"/>
  <c r="AF181" i="54" s="1"/>
  <c r="AJ181" i="54" s="1"/>
  <c r="Z161" i="54"/>
  <c r="AF161" i="54" s="1"/>
  <c r="AJ161" i="54" s="1"/>
  <c r="Z141" i="54"/>
  <c r="AF141" i="54" s="1"/>
  <c r="AJ141" i="54" s="1"/>
  <c r="Z121" i="54"/>
  <c r="AF121" i="54" s="1"/>
  <c r="AJ121" i="54" s="1"/>
  <c r="Z101" i="54"/>
  <c r="AF101" i="54" s="1"/>
  <c r="AJ101" i="54" s="1"/>
  <c r="Z81" i="54"/>
  <c r="AF81" i="54" s="1"/>
  <c r="AJ81" i="54" s="1"/>
  <c r="Z61" i="54"/>
  <c r="AF61" i="54" s="1"/>
  <c r="AJ61" i="54" s="1"/>
  <c r="Z41" i="54"/>
  <c r="AF41" i="54" s="1"/>
  <c r="AJ41" i="54" s="1"/>
  <c r="Z84" i="54"/>
  <c r="AF84" i="54" s="1"/>
  <c r="Z210" i="54"/>
  <c r="AF210" i="54" s="1"/>
  <c r="Z105" i="54"/>
  <c r="AF105" i="54" s="1"/>
  <c r="Z189" i="54"/>
  <c r="AF189" i="54" s="1"/>
  <c r="Z168" i="54"/>
  <c r="AF168" i="54" s="1"/>
  <c r="Z21" i="54"/>
  <c r="AF21" i="54" s="1"/>
  <c r="AJ21" i="54" s="1"/>
  <c r="Z126" i="54"/>
  <c r="AF126" i="54" s="1"/>
  <c r="Z294" i="54"/>
  <c r="AF294" i="54" s="1"/>
  <c r="Z147" i="54"/>
  <c r="AF147" i="54" s="1"/>
  <c r="Z315" i="54"/>
  <c r="AF315" i="54" s="1"/>
  <c r="Z273" i="54"/>
  <c r="AF273" i="54" s="1"/>
  <c r="Z231" i="54"/>
  <c r="AF231" i="54" s="1"/>
  <c r="Z252" i="54"/>
  <c r="AF252" i="54" s="1"/>
  <c r="H32" i="53" l="1"/>
  <c r="K32" i="53" s="1"/>
  <c r="F59" i="53"/>
  <c r="AD777" i="54" s="1"/>
  <c r="AH777" i="54" s="1"/>
  <c r="I60" i="53"/>
  <c r="J60" i="53"/>
  <c r="T463" i="54" s="1"/>
  <c r="Z777" i="54"/>
  <c r="AF777" i="54" s="1"/>
  <c r="J32" i="53"/>
  <c r="T169" i="54" s="1"/>
  <c r="E59" i="53"/>
  <c r="M59" i="53"/>
  <c r="N59" i="53" s="1"/>
  <c r="DZ47" i="65"/>
  <c r="DZ43" i="65"/>
  <c r="DZ40" i="65"/>
  <c r="X22" i="54"/>
  <c r="X106" i="54"/>
  <c r="X190" i="54"/>
  <c r="X274" i="54"/>
  <c r="X43" i="54"/>
  <c r="X127" i="54"/>
  <c r="X211" i="54"/>
  <c r="X295" i="54"/>
  <c r="X64" i="54"/>
  <c r="X148" i="54"/>
  <c r="X232" i="54"/>
  <c r="X316" i="54"/>
  <c r="X253" i="54"/>
  <c r="X337" i="54"/>
  <c r="X85" i="54"/>
  <c r="X169" i="54"/>
  <c r="T64" i="54"/>
  <c r="T148" i="54"/>
  <c r="T85" i="54"/>
  <c r="T106" i="54"/>
  <c r="T190" i="54"/>
  <c r="T337" i="54"/>
  <c r="T295" i="54"/>
  <c r="T253" i="54"/>
  <c r="T232" i="54"/>
  <c r="T316" i="54"/>
  <c r="D32" i="53"/>
  <c r="I152" i="64"/>
  <c r="L152" i="64" s="1"/>
  <c r="I153" i="64"/>
  <c r="L153" i="64" s="1"/>
  <c r="I151" i="64"/>
  <c r="L151" i="64" s="1"/>
  <c r="I156" i="64"/>
  <c r="L156" i="64" s="1"/>
  <c r="I154" i="64"/>
  <c r="L154" i="64" s="1"/>
  <c r="I155" i="64"/>
  <c r="L155" i="64" s="1"/>
  <c r="AD321" i="54"/>
  <c r="AH321" i="54" s="1"/>
  <c r="AL321" i="54" s="1"/>
  <c r="AD301" i="54"/>
  <c r="AH301" i="54" s="1"/>
  <c r="AL301" i="54" s="1"/>
  <c r="AD281" i="54"/>
  <c r="AH281" i="54" s="1"/>
  <c r="AL281" i="54" s="1"/>
  <c r="AD261" i="54"/>
  <c r="AH261" i="54" s="1"/>
  <c r="AL261" i="54" s="1"/>
  <c r="AD241" i="54"/>
  <c r="AH241" i="54" s="1"/>
  <c r="AL241" i="54" s="1"/>
  <c r="AD221" i="54"/>
  <c r="AH221" i="54" s="1"/>
  <c r="AL221" i="54" s="1"/>
  <c r="AD201" i="54"/>
  <c r="AH201" i="54" s="1"/>
  <c r="AL201" i="54" s="1"/>
  <c r="AD181" i="54"/>
  <c r="AH181" i="54" s="1"/>
  <c r="AL181" i="54" s="1"/>
  <c r="AD161" i="54"/>
  <c r="AH161" i="54" s="1"/>
  <c r="AL161" i="54" s="1"/>
  <c r="AD141" i="54"/>
  <c r="AH141" i="54" s="1"/>
  <c r="AL141" i="54" s="1"/>
  <c r="AD121" i="54"/>
  <c r="AH121" i="54" s="1"/>
  <c r="AL121" i="54" s="1"/>
  <c r="AD101" i="54"/>
  <c r="AH101" i="54" s="1"/>
  <c r="AL101" i="54" s="1"/>
  <c r="AD81" i="54"/>
  <c r="AH81" i="54" s="1"/>
  <c r="AL81" i="54" s="1"/>
  <c r="AD61" i="54"/>
  <c r="AH61" i="54" s="1"/>
  <c r="AL61" i="54" s="1"/>
  <c r="AD41" i="54"/>
  <c r="AH41" i="54" s="1"/>
  <c r="AL41" i="54" s="1"/>
  <c r="H153" i="64"/>
  <c r="K153" i="64" s="1"/>
  <c r="H155" i="64"/>
  <c r="K155" i="64" s="1"/>
  <c r="H152" i="64"/>
  <c r="K152" i="64" s="1"/>
  <c r="H156" i="64"/>
  <c r="K156" i="64" s="1"/>
  <c r="H151" i="64"/>
  <c r="K151" i="64" s="1"/>
  <c r="H154" i="64"/>
  <c r="K154" i="64" s="1"/>
  <c r="AB321" i="54"/>
  <c r="AG321" i="54" s="1"/>
  <c r="AK321" i="54" s="1"/>
  <c r="AB301" i="54"/>
  <c r="AG301" i="54" s="1"/>
  <c r="AK301" i="54" s="1"/>
  <c r="AB281" i="54"/>
  <c r="AG281" i="54" s="1"/>
  <c r="AK281" i="54" s="1"/>
  <c r="AB261" i="54"/>
  <c r="AG261" i="54" s="1"/>
  <c r="AK261" i="54" s="1"/>
  <c r="AB241" i="54"/>
  <c r="AG241" i="54" s="1"/>
  <c r="AK241" i="54" s="1"/>
  <c r="AB221" i="54"/>
  <c r="AG221" i="54" s="1"/>
  <c r="AK221" i="54" s="1"/>
  <c r="AB201" i="54"/>
  <c r="AG201" i="54" s="1"/>
  <c r="AK201" i="54" s="1"/>
  <c r="AB181" i="54"/>
  <c r="AG181" i="54" s="1"/>
  <c r="AK181" i="54" s="1"/>
  <c r="AB161" i="54"/>
  <c r="AG161" i="54" s="1"/>
  <c r="AK161" i="54" s="1"/>
  <c r="AB141" i="54"/>
  <c r="AG141" i="54" s="1"/>
  <c r="AK141" i="54" s="1"/>
  <c r="AB121" i="54"/>
  <c r="AG121" i="54" s="1"/>
  <c r="AK121" i="54" s="1"/>
  <c r="AB101" i="54"/>
  <c r="AG101" i="54" s="1"/>
  <c r="AK101" i="54" s="1"/>
  <c r="AB81" i="54"/>
  <c r="AG81" i="54" s="1"/>
  <c r="AK81" i="54" s="1"/>
  <c r="AB61" i="54"/>
  <c r="AG61" i="54" s="1"/>
  <c r="AK61" i="54" s="1"/>
  <c r="AB41" i="54"/>
  <c r="AG41" i="54" s="1"/>
  <c r="AK41" i="54" s="1"/>
  <c r="Z504" i="54"/>
  <c r="AF504" i="54" s="1"/>
  <c r="Z546" i="54"/>
  <c r="AF546" i="54" s="1"/>
  <c r="AB105" i="54"/>
  <c r="AG105" i="54" s="1"/>
  <c r="AB252" i="54"/>
  <c r="AG252" i="54" s="1"/>
  <c r="AB126" i="54"/>
  <c r="AG126" i="54" s="1"/>
  <c r="AB315" i="54"/>
  <c r="AG315" i="54" s="1"/>
  <c r="AB84" i="54"/>
  <c r="AG84" i="54" s="1"/>
  <c r="AB210" i="54"/>
  <c r="AG210" i="54" s="1"/>
  <c r="AB294" i="54"/>
  <c r="AG294" i="54" s="1"/>
  <c r="AB189" i="54"/>
  <c r="AG189" i="54" s="1"/>
  <c r="AB168" i="54"/>
  <c r="AG168" i="54" s="1"/>
  <c r="AB231" i="54"/>
  <c r="AG231" i="54" s="1"/>
  <c r="AB147" i="54"/>
  <c r="AG147" i="54" s="1"/>
  <c r="AB21" i="54"/>
  <c r="AG21" i="54" s="1"/>
  <c r="AK21" i="54" s="1"/>
  <c r="AB273" i="54"/>
  <c r="AG273" i="54" s="1"/>
  <c r="AD273" i="54"/>
  <c r="AH273" i="54" s="1"/>
  <c r="AD210" i="54"/>
  <c r="AH210" i="54" s="1"/>
  <c r="AD252" i="54"/>
  <c r="AH252" i="54" s="1"/>
  <c r="AD84" i="54"/>
  <c r="AH84" i="54" s="1"/>
  <c r="AD189" i="54"/>
  <c r="AH189" i="54" s="1"/>
  <c r="AD231" i="54"/>
  <c r="AH231" i="54" s="1"/>
  <c r="AD126" i="54"/>
  <c r="AH126" i="54" s="1"/>
  <c r="AD294" i="54"/>
  <c r="AH294" i="54" s="1"/>
  <c r="AD147" i="54"/>
  <c r="AH147" i="54" s="1"/>
  <c r="AD21" i="54"/>
  <c r="AH21" i="54" s="1"/>
  <c r="AL21" i="54" s="1"/>
  <c r="AD168" i="54"/>
  <c r="AH168" i="54" s="1"/>
  <c r="AD315" i="54"/>
  <c r="AH315" i="54" s="1"/>
  <c r="AD105" i="54"/>
  <c r="AH105" i="54" s="1"/>
  <c r="AD798" i="54" l="1"/>
  <c r="AH798" i="54" s="1"/>
  <c r="AL798" i="54" s="1"/>
  <c r="T211" i="54"/>
  <c r="T22" i="54"/>
  <c r="O32" i="53"/>
  <c r="V253" i="54"/>
  <c r="V190" i="54"/>
  <c r="V211" i="54"/>
  <c r="V316" i="54"/>
  <c r="V106" i="54"/>
  <c r="V232" i="54"/>
  <c r="V337" i="54"/>
  <c r="V274" i="54"/>
  <c r="V295" i="54"/>
  <c r="V64" i="54"/>
  <c r="V169" i="54"/>
  <c r="V127" i="54"/>
  <c r="V85" i="54"/>
  <c r="V22" i="54"/>
  <c r="V43" i="54"/>
  <c r="V148" i="54"/>
  <c r="L60" i="53"/>
  <c r="X631" i="54" s="1"/>
  <c r="T421" i="54"/>
  <c r="T526" i="54"/>
  <c r="T442" i="54"/>
  <c r="T694" i="54"/>
  <c r="T715" i="54"/>
  <c r="T631" i="54"/>
  <c r="T673" i="54"/>
  <c r="T610" i="54"/>
  <c r="T757" i="54"/>
  <c r="T568" i="54"/>
  <c r="T799" i="54"/>
  <c r="T589" i="54"/>
  <c r="T379" i="54"/>
  <c r="T484" i="54"/>
  <c r="T400" i="54"/>
  <c r="T505" i="54"/>
  <c r="T547" i="54"/>
  <c r="T778" i="54"/>
  <c r="T358" i="54"/>
  <c r="T127" i="54"/>
  <c r="T43" i="54"/>
  <c r="T274" i="54"/>
  <c r="T736" i="54"/>
  <c r="T652" i="54"/>
  <c r="D60" i="53"/>
  <c r="F60" i="53" s="1"/>
  <c r="G33" i="53"/>
  <c r="I33" i="53" s="1"/>
  <c r="AB798" i="54"/>
  <c r="AG798" i="54" s="1"/>
  <c r="AK798" i="54" s="1"/>
  <c r="H60" i="53"/>
  <c r="K60" i="53" s="1"/>
  <c r="O60" i="53" s="1"/>
  <c r="AB777" i="54"/>
  <c r="AG777" i="54" s="1"/>
  <c r="F32" i="53"/>
  <c r="E32" i="53"/>
  <c r="H33" i="53" s="1"/>
  <c r="D161" i="64"/>
  <c r="D157" i="64"/>
  <c r="D159" i="64"/>
  <c r="D160" i="64"/>
  <c r="D158" i="64"/>
  <c r="D162" i="64"/>
  <c r="F161" i="64"/>
  <c r="F157" i="64"/>
  <c r="F162" i="64"/>
  <c r="F158" i="64"/>
  <c r="F159" i="64"/>
  <c r="F160" i="64"/>
  <c r="E160" i="64"/>
  <c r="E158" i="64"/>
  <c r="E161" i="64"/>
  <c r="E157" i="64"/>
  <c r="E162" i="64"/>
  <c r="E159" i="64"/>
  <c r="AB504" i="54"/>
  <c r="AG504" i="54" s="1"/>
  <c r="AB546" i="54"/>
  <c r="AG546" i="54" s="1"/>
  <c r="AD546" i="54"/>
  <c r="AH546" i="54" s="1"/>
  <c r="AD504" i="54"/>
  <c r="AH504" i="54" s="1"/>
  <c r="Z85" i="54"/>
  <c r="AF85" i="54" s="1"/>
  <c r="Z316" i="54"/>
  <c r="AF316" i="54" s="1"/>
  <c r="Z22" i="54"/>
  <c r="AF22" i="54" s="1"/>
  <c r="AJ22" i="54" s="1"/>
  <c r="Z106" i="54"/>
  <c r="AF106" i="54" s="1"/>
  <c r="Z169" i="54"/>
  <c r="AF169" i="54" s="1"/>
  <c r="Z274" i="54"/>
  <c r="AF274" i="54" s="1"/>
  <c r="Z148" i="54"/>
  <c r="AF148" i="54" s="1"/>
  <c r="Z232" i="54"/>
  <c r="AF232" i="54" s="1"/>
  <c r="Z253" i="54"/>
  <c r="AF253" i="54" s="1"/>
  <c r="Z295" i="54"/>
  <c r="AF295" i="54" s="1"/>
  <c r="Z211" i="54"/>
  <c r="AF211" i="54" s="1"/>
  <c r="Z127" i="54"/>
  <c r="AF127" i="54" s="1"/>
  <c r="Z64" i="54"/>
  <c r="AF64" i="54" s="1"/>
  <c r="Z190" i="54"/>
  <c r="AF190" i="54" s="1"/>
  <c r="X421" i="54" l="1"/>
  <c r="X778" i="54"/>
  <c r="X715" i="54"/>
  <c r="X736" i="54"/>
  <c r="X358" i="54"/>
  <c r="X484" i="54"/>
  <c r="X463" i="54"/>
  <c r="X610" i="54"/>
  <c r="X379" i="54"/>
  <c r="X505" i="54"/>
  <c r="X442" i="54"/>
  <c r="X673" i="54"/>
  <c r="X568" i="54"/>
  <c r="X757" i="54"/>
  <c r="X547" i="54"/>
  <c r="X799" i="54"/>
  <c r="X526" i="54"/>
  <c r="X400" i="54"/>
  <c r="X652" i="54"/>
  <c r="X694" i="54"/>
  <c r="X589" i="54"/>
  <c r="G61" i="53"/>
  <c r="I61" i="53" s="1"/>
  <c r="Z778" i="54"/>
  <c r="AF778" i="54" s="1"/>
  <c r="Z799" i="54"/>
  <c r="AF799" i="54" s="1"/>
  <c r="AJ799" i="54" s="1"/>
  <c r="E60" i="53"/>
  <c r="AB778" i="54" s="1"/>
  <c r="AG778" i="54" s="1"/>
  <c r="M60" i="53"/>
  <c r="N60" i="53" s="1"/>
  <c r="V358" i="54"/>
  <c r="V778" i="54"/>
  <c r="V505" i="54"/>
  <c r="V652" i="54"/>
  <c r="V526" i="54"/>
  <c r="V673" i="54"/>
  <c r="V694" i="54"/>
  <c r="V442" i="54"/>
  <c r="V799" i="54"/>
  <c r="V463" i="54"/>
  <c r="V484" i="54"/>
  <c r="V421" i="54"/>
  <c r="V715" i="54"/>
  <c r="V631" i="54"/>
  <c r="V547" i="54"/>
  <c r="V379" i="54"/>
  <c r="V610" i="54"/>
  <c r="V400" i="54"/>
  <c r="V568" i="54"/>
  <c r="V757" i="54"/>
  <c r="V589" i="54"/>
  <c r="V736" i="54"/>
  <c r="L33" i="53"/>
  <c r="L61" i="53"/>
  <c r="K33" i="53"/>
  <c r="O33" i="53" s="1"/>
  <c r="J33" i="53"/>
  <c r="AD799" i="54"/>
  <c r="AH799" i="54" s="1"/>
  <c r="AL799" i="54" s="1"/>
  <c r="AD778" i="54"/>
  <c r="AH778" i="54" s="1"/>
  <c r="I161" i="64"/>
  <c r="L161" i="64" s="1"/>
  <c r="I162" i="64"/>
  <c r="I157" i="64"/>
  <c r="L157" i="64" s="1"/>
  <c r="I158" i="64"/>
  <c r="L158" i="64" s="1"/>
  <c r="I160" i="64"/>
  <c r="L160" i="64" s="1"/>
  <c r="I159" i="64"/>
  <c r="L159" i="64" s="1"/>
  <c r="AD322" i="54"/>
  <c r="AH322" i="54" s="1"/>
  <c r="AL322" i="54" s="1"/>
  <c r="AD302" i="54"/>
  <c r="AH302" i="54" s="1"/>
  <c r="AL302" i="54" s="1"/>
  <c r="AD282" i="54"/>
  <c r="AH282" i="54" s="1"/>
  <c r="AL282" i="54" s="1"/>
  <c r="AD262" i="54"/>
  <c r="AH262" i="54" s="1"/>
  <c r="AL262" i="54" s="1"/>
  <c r="AD242" i="54"/>
  <c r="AH242" i="54" s="1"/>
  <c r="AL242" i="54" s="1"/>
  <c r="AD222" i="54"/>
  <c r="AH222" i="54" s="1"/>
  <c r="AL222" i="54" s="1"/>
  <c r="AD202" i="54"/>
  <c r="AH202" i="54" s="1"/>
  <c r="AL202" i="54" s="1"/>
  <c r="AD182" i="54"/>
  <c r="AH182" i="54" s="1"/>
  <c r="AL182" i="54" s="1"/>
  <c r="AD162" i="54"/>
  <c r="AH162" i="54" s="1"/>
  <c r="AL162" i="54" s="1"/>
  <c r="AD142" i="54"/>
  <c r="AH142" i="54" s="1"/>
  <c r="AL142" i="54" s="1"/>
  <c r="AD122" i="54"/>
  <c r="AH122" i="54" s="1"/>
  <c r="AL122" i="54" s="1"/>
  <c r="AD102" i="54"/>
  <c r="AH102" i="54" s="1"/>
  <c r="AL102" i="54" s="1"/>
  <c r="AD82" i="54"/>
  <c r="AH82" i="54" s="1"/>
  <c r="AL82" i="54" s="1"/>
  <c r="AD62" i="54"/>
  <c r="AH62" i="54" s="1"/>
  <c r="AL62" i="54" s="1"/>
  <c r="AD42" i="54"/>
  <c r="AH42" i="54" s="1"/>
  <c r="AL42" i="54" s="1"/>
  <c r="L162" i="64"/>
  <c r="H159" i="64"/>
  <c r="K159" i="64" s="1"/>
  <c r="H157" i="64"/>
  <c r="K157" i="64" s="1"/>
  <c r="H161" i="64"/>
  <c r="K161" i="64" s="1"/>
  <c r="H158" i="64"/>
  <c r="K158" i="64" s="1"/>
  <c r="H162" i="64"/>
  <c r="K162" i="64" s="1"/>
  <c r="H160" i="64"/>
  <c r="K160" i="64" s="1"/>
  <c r="AB322" i="54"/>
  <c r="AG322" i="54" s="1"/>
  <c r="AK322" i="54" s="1"/>
  <c r="AB302" i="54"/>
  <c r="AG302" i="54" s="1"/>
  <c r="AK302" i="54" s="1"/>
  <c r="AB282" i="54"/>
  <c r="AG282" i="54" s="1"/>
  <c r="AK282" i="54" s="1"/>
  <c r="AB262" i="54"/>
  <c r="AG262" i="54" s="1"/>
  <c r="AK262" i="54" s="1"/>
  <c r="AB242" i="54"/>
  <c r="AG242" i="54" s="1"/>
  <c r="AK242" i="54" s="1"/>
  <c r="AB222" i="54"/>
  <c r="AG222" i="54" s="1"/>
  <c r="AK222" i="54" s="1"/>
  <c r="AB202" i="54"/>
  <c r="AG202" i="54" s="1"/>
  <c r="AK202" i="54" s="1"/>
  <c r="AB182" i="54"/>
  <c r="AG182" i="54" s="1"/>
  <c r="AK182" i="54" s="1"/>
  <c r="AB162" i="54"/>
  <c r="AG162" i="54" s="1"/>
  <c r="AK162" i="54" s="1"/>
  <c r="AB142" i="54"/>
  <c r="AG142" i="54" s="1"/>
  <c r="AK142" i="54" s="1"/>
  <c r="AB122" i="54"/>
  <c r="AG122" i="54" s="1"/>
  <c r="AK122" i="54" s="1"/>
  <c r="AB102" i="54"/>
  <c r="AG102" i="54" s="1"/>
  <c r="AK102" i="54" s="1"/>
  <c r="AB82" i="54"/>
  <c r="AG82" i="54" s="1"/>
  <c r="AK82" i="54" s="1"/>
  <c r="AB62" i="54"/>
  <c r="AG62" i="54" s="1"/>
  <c r="AK62" i="54" s="1"/>
  <c r="AB42" i="54"/>
  <c r="AG42" i="54" s="1"/>
  <c r="AK42" i="54" s="1"/>
  <c r="G159" i="64"/>
  <c r="J159" i="64" s="1"/>
  <c r="G161" i="64"/>
  <c r="J161" i="64" s="1"/>
  <c r="G157" i="64"/>
  <c r="J157" i="64" s="1"/>
  <c r="G162" i="64"/>
  <c r="J162" i="64" s="1"/>
  <c r="G158" i="64"/>
  <c r="J158" i="64" s="1"/>
  <c r="G160" i="64"/>
  <c r="J160" i="64" s="1"/>
  <c r="Z322" i="54"/>
  <c r="AF322" i="54" s="1"/>
  <c r="AJ322" i="54" s="1"/>
  <c r="Z302" i="54"/>
  <c r="AF302" i="54" s="1"/>
  <c r="AJ302" i="54" s="1"/>
  <c r="Z282" i="54"/>
  <c r="AF282" i="54" s="1"/>
  <c r="AJ282" i="54" s="1"/>
  <c r="Z262" i="54"/>
  <c r="AF262" i="54" s="1"/>
  <c r="AJ262" i="54" s="1"/>
  <c r="Z242" i="54"/>
  <c r="AF242" i="54" s="1"/>
  <c r="AJ242" i="54" s="1"/>
  <c r="Z222" i="54"/>
  <c r="AF222" i="54" s="1"/>
  <c r="AJ222" i="54" s="1"/>
  <c r="Z202" i="54"/>
  <c r="AF202" i="54" s="1"/>
  <c r="AJ202" i="54" s="1"/>
  <c r="Z182" i="54"/>
  <c r="AF182" i="54" s="1"/>
  <c r="AJ182" i="54" s="1"/>
  <c r="Z162" i="54"/>
  <c r="AF162" i="54" s="1"/>
  <c r="AJ162" i="54" s="1"/>
  <c r="Z142" i="54"/>
  <c r="AF142" i="54" s="1"/>
  <c r="AJ142" i="54" s="1"/>
  <c r="Z122" i="54"/>
  <c r="AF122" i="54" s="1"/>
  <c r="AJ122" i="54" s="1"/>
  <c r="Z102" i="54"/>
  <c r="AF102" i="54" s="1"/>
  <c r="AJ102" i="54" s="1"/>
  <c r="Z82" i="54"/>
  <c r="AF82" i="54" s="1"/>
  <c r="AJ82" i="54" s="1"/>
  <c r="Z62" i="54"/>
  <c r="AF62" i="54" s="1"/>
  <c r="AJ62" i="54" s="1"/>
  <c r="Z42" i="54"/>
  <c r="AF42" i="54" s="1"/>
  <c r="AJ42" i="54" s="1"/>
  <c r="Z526" i="54"/>
  <c r="AF526" i="54" s="1"/>
  <c r="Z484" i="54"/>
  <c r="AF484" i="54" s="1"/>
  <c r="AD211" i="54"/>
  <c r="AH211" i="54" s="1"/>
  <c r="AD127" i="54"/>
  <c r="AH127" i="54" s="1"/>
  <c r="AD316" i="54"/>
  <c r="AH316" i="54" s="1"/>
  <c r="AD106" i="54"/>
  <c r="AH106" i="54" s="1"/>
  <c r="AD22" i="54"/>
  <c r="AH22" i="54" s="1"/>
  <c r="AL22" i="54" s="1"/>
  <c r="AD232" i="54"/>
  <c r="AH232" i="54" s="1"/>
  <c r="AD190" i="54"/>
  <c r="AH190" i="54" s="1"/>
  <c r="AD85" i="54"/>
  <c r="AH85" i="54" s="1"/>
  <c r="AD148" i="54"/>
  <c r="AH148" i="54" s="1"/>
  <c r="AD295" i="54"/>
  <c r="AH295" i="54" s="1"/>
  <c r="AD253" i="54"/>
  <c r="AH253" i="54" s="1"/>
  <c r="AD274" i="54"/>
  <c r="AH274" i="54" s="1"/>
  <c r="AD64" i="54"/>
  <c r="AH64" i="54" s="1"/>
  <c r="AD169" i="54"/>
  <c r="AH169" i="54" s="1"/>
  <c r="AB316" i="54"/>
  <c r="AG316" i="54" s="1"/>
  <c r="AB253" i="54"/>
  <c r="AG253" i="54" s="1"/>
  <c r="AB190" i="54"/>
  <c r="AG190" i="54" s="1"/>
  <c r="AB169" i="54"/>
  <c r="AG169" i="54" s="1"/>
  <c r="AB211" i="54"/>
  <c r="AG211" i="54" s="1"/>
  <c r="AB295" i="54"/>
  <c r="AG295" i="54" s="1"/>
  <c r="AB274" i="54"/>
  <c r="AG274" i="54" s="1"/>
  <c r="AB85" i="54"/>
  <c r="AG85" i="54" s="1"/>
  <c r="AB106" i="54"/>
  <c r="AG106" i="54" s="1"/>
  <c r="AB22" i="54"/>
  <c r="AG22" i="54" s="1"/>
  <c r="AK22" i="54" s="1"/>
  <c r="AB148" i="54"/>
  <c r="AG148" i="54" s="1"/>
  <c r="AB232" i="54"/>
  <c r="AG232" i="54" s="1"/>
  <c r="AB64" i="54"/>
  <c r="AG64" i="54" s="1"/>
  <c r="AB127" i="54"/>
  <c r="AG127" i="54" s="1"/>
  <c r="J61" i="53" l="1"/>
  <c r="H61" i="53"/>
  <c r="K61" i="53" s="1"/>
  <c r="O61" i="53" s="1"/>
  <c r="AB799" i="54"/>
  <c r="AG799" i="54" s="1"/>
  <c r="AK799" i="54" s="1"/>
  <c r="V149" i="54"/>
  <c r="V107" i="54"/>
  <c r="V212" i="54"/>
  <c r="V170" i="54"/>
  <c r="V128" i="54"/>
  <c r="V23" i="54"/>
  <c r="V86" i="54"/>
  <c r="V65" i="54"/>
  <c r="V44" i="54"/>
  <c r="V275" i="54"/>
  <c r="V338" i="54"/>
  <c r="V317" i="54"/>
  <c r="V296" i="54"/>
  <c r="V191" i="54"/>
  <c r="V254" i="54"/>
  <c r="V233" i="54"/>
  <c r="V632" i="54"/>
  <c r="V716" i="54"/>
  <c r="V548" i="54"/>
  <c r="V464" i="54"/>
  <c r="V800" i="54"/>
  <c r="X86" i="54"/>
  <c r="X170" i="54"/>
  <c r="X254" i="54"/>
  <c r="X338" i="54"/>
  <c r="X23" i="54"/>
  <c r="X107" i="54"/>
  <c r="X191" i="54"/>
  <c r="X275" i="54"/>
  <c r="X44" i="54"/>
  <c r="X128" i="54"/>
  <c r="X212" i="54"/>
  <c r="X296" i="54"/>
  <c r="X233" i="54"/>
  <c r="X317" i="54"/>
  <c r="X65" i="54"/>
  <c r="X149" i="54"/>
  <c r="X485" i="54"/>
  <c r="X506" i="54"/>
  <c r="X527" i="54"/>
  <c r="X548" i="54"/>
  <c r="X716" i="54"/>
  <c r="X758" i="54"/>
  <c r="X569" i="54"/>
  <c r="X590" i="54"/>
  <c r="X611" i="54"/>
  <c r="X695" i="54"/>
  <c r="X800" i="54"/>
  <c r="X653" i="54"/>
  <c r="X359" i="54"/>
  <c r="X380" i="54"/>
  <c r="X779" i="54"/>
  <c r="X737" i="54"/>
  <c r="X401" i="54"/>
  <c r="X422" i="54"/>
  <c r="X443" i="54"/>
  <c r="X464" i="54"/>
  <c r="X632" i="54"/>
  <c r="X674" i="54"/>
  <c r="T569" i="54"/>
  <c r="T443" i="54"/>
  <c r="T548" i="54"/>
  <c r="T653" i="54"/>
  <c r="T758" i="54"/>
  <c r="T485" i="54"/>
  <c r="T800" i="54"/>
  <c r="T422" i="54"/>
  <c r="T527" i="54"/>
  <c r="T632" i="54"/>
  <c r="T737" i="54"/>
  <c r="T611" i="54"/>
  <c r="T359" i="54"/>
  <c r="T674" i="54"/>
  <c r="T401" i="54"/>
  <c r="T506" i="54"/>
  <c r="T380" i="54"/>
  <c r="T716" i="54"/>
  <c r="T590" i="54"/>
  <c r="T695" i="54"/>
  <c r="T464" i="54"/>
  <c r="T779" i="54"/>
  <c r="T44" i="54"/>
  <c r="T128" i="54"/>
  <c r="T65" i="54"/>
  <c r="T149" i="54"/>
  <c r="T86" i="54"/>
  <c r="T107" i="54"/>
  <c r="T170" i="54"/>
  <c r="T254" i="54"/>
  <c r="T338" i="54"/>
  <c r="T191" i="54"/>
  <c r="T275" i="54"/>
  <c r="T23" i="54"/>
  <c r="T212" i="54"/>
  <c r="T296" i="54"/>
  <c r="T233" i="54"/>
  <c r="T317" i="54"/>
  <c r="D33" i="53"/>
  <c r="D171" i="64"/>
  <c r="D167" i="64"/>
  <c r="D163" i="64"/>
  <c r="D169" i="64"/>
  <c r="D165" i="64"/>
  <c r="D173" i="64"/>
  <c r="D168" i="64"/>
  <c r="D164" i="64"/>
  <c r="D172" i="64"/>
  <c r="D166" i="64"/>
  <c r="D170" i="64"/>
  <c r="F165" i="64"/>
  <c r="F173" i="64"/>
  <c r="F169" i="64"/>
  <c r="F166" i="64"/>
  <c r="F163" i="64"/>
  <c r="F170" i="64"/>
  <c r="F167" i="64"/>
  <c r="F172" i="64"/>
  <c r="F164" i="64"/>
  <c r="F171" i="64"/>
  <c r="F168" i="64"/>
  <c r="E164" i="64"/>
  <c r="E168" i="64"/>
  <c r="E172" i="64"/>
  <c r="E170" i="64"/>
  <c r="E163" i="64"/>
  <c r="E169" i="64"/>
  <c r="E167" i="64"/>
  <c r="E173" i="64"/>
  <c r="E166" i="64"/>
  <c r="E171" i="64"/>
  <c r="E165" i="64"/>
  <c r="AB526" i="54"/>
  <c r="AG526" i="54" s="1"/>
  <c r="AB484" i="54"/>
  <c r="AG484" i="54" s="1"/>
  <c r="AD526" i="54"/>
  <c r="AH526" i="54" s="1"/>
  <c r="AD484" i="54"/>
  <c r="AH484" i="54" s="1"/>
  <c r="V611" i="54" l="1"/>
  <c r="V653" i="54"/>
  <c r="V569" i="54"/>
  <c r="V506" i="54"/>
  <c r="V401" i="54"/>
  <c r="V590" i="54"/>
  <c r="V380" i="54"/>
  <c r="V695" i="54"/>
  <c r="V779" i="54"/>
  <c r="V485" i="54"/>
  <c r="V359" i="54"/>
  <c r="V737" i="54"/>
  <c r="V527" i="54"/>
  <c r="V674" i="54"/>
  <c r="V443" i="54"/>
  <c r="V758" i="54"/>
  <c r="V422" i="54"/>
  <c r="D61" i="53"/>
  <c r="G62" i="53" s="1"/>
  <c r="I62" i="53" s="1"/>
  <c r="G34" i="53"/>
  <c r="I34" i="53" s="1"/>
  <c r="E33" i="53"/>
  <c r="H34" i="53" s="1"/>
  <c r="F33" i="53"/>
  <c r="G173" i="64"/>
  <c r="J173" i="64" s="1"/>
  <c r="G169" i="64"/>
  <c r="J169" i="64" s="1"/>
  <c r="G165" i="64"/>
  <c r="J165" i="64" s="1"/>
  <c r="G172" i="64"/>
  <c r="J172" i="64" s="1"/>
  <c r="G164" i="64"/>
  <c r="J164" i="64" s="1"/>
  <c r="G170" i="64"/>
  <c r="J170" i="64" s="1"/>
  <c r="G171" i="64"/>
  <c r="J171" i="64" s="1"/>
  <c r="G168" i="64"/>
  <c r="J168" i="64" s="1"/>
  <c r="G166" i="64"/>
  <c r="J166" i="64" s="1"/>
  <c r="G163" i="64"/>
  <c r="J163" i="64" s="1"/>
  <c r="G167" i="64"/>
  <c r="J167" i="64" s="1"/>
  <c r="Z323" i="54"/>
  <c r="AF323" i="54" s="1"/>
  <c r="AJ323" i="54" s="1"/>
  <c r="AJ324" i="54" s="1"/>
  <c r="Z303" i="54"/>
  <c r="AF303" i="54" s="1"/>
  <c r="AJ303" i="54" s="1"/>
  <c r="AJ304" i="54" s="1"/>
  <c r="AJ305" i="54" s="1"/>
  <c r="AJ306" i="54" s="1"/>
  <c r="AJ307" i="54" s="1"/>
  <c r="AJ308" i="54" s="1"/>
  <c r="AJ309" i="54" s="1"/>
  <c r="AJ310" i="54" s="1"/>
  <c r="AJ311" i="54" s="1"/>
  <c r="AJ312" i="54" s="1"/>
  <c r="AJ313" i="54" s="1"/>
  <c r="AJ314" i="54" s="1"/>
  <c r="AJ315" i="54" s="1"/>
  <c r="AJ316" i="54" s="1"/>
  <c r="Z283" i="54"/>
  <c r="AF283" i="54" s="1"/>
  <c r="AJ283" i="54" s="1"/>
  <c r="AJ284" i="54" s="1"/>
  <c r="AJ285" i="54" s="1"/>
  <c r="AJ286" i="54" s="1"/>
  <c r="AJ287" i="54" s="1"/>
  <c r="AJ288" i="54" s="1"/>
  <c r="AJ289" i="54" s="1"/>
  <c r="AJ290" i="54" s="1"/>
  <c r="AJ291" i="54" s="1"/>
  <c r="AJ292" i="54" s="1"/>
  <c r="AJ293" i="54" s="1"/>
  <c r="AJ294" i="54" s="1"/>
  <c r="AJ295" i="54" s="1"/>
  <c r="Z263" i="54"/>
  <c r="AF263" i="54" s="1"/>
  <c r="AJ263" i="54" s="1"/>
  <c r="AJ264" i="54" s="1"/>
  <c r="AJ265" i="54" s="1"/>
  <c r="AJ266" i="54" s="1"/>
  <c r="AJ267" i="54" s="1"/>
  <c r="AJ268" i="54" s="1"/>
  <c r="AJ269" i="54" s="1"/>
  <c r="AJ270" i="54" s="1"/>
  <c r="AJ271" i="54" s="1"/>
  <c r="AJ272" i="54" s="1"/>
  <c r="AJ273" i="54" s="1"/>
  <c r="AJ274" i="54" s="1"/>
  <c r="Z243" i="54"/>
  <c r="AF243" i="54" s="1"/>
  <c r="AJ243" i="54" s="1"/>
  <c r="AJ244" i="54" s="1"/>
  <c r="AJ245" i="54" s="1"/>
  <c r="AJ246" i="54" s="1"/>
  <c r="AJ247" i="54" s="1"/>
  <c r="AJ248" i="54" s="1"/>
  <c r="AJ249" i="54" s="1"/>
  <c r="AJ250" i="54" s="1"/>
  <c r="AJ251" i="54" s="1"/>
  <c r="AJ252" i="54" s="1"/>
  <c r="AJ253" i="54" s="1"/>
  <c r="Z223" i="54"/>
  <c r="AF223" i="54" s="1"/>
  <c r="AJ223" i="54" s="1"/>
  <c r="AJ224" i="54" s="1"/>
  <c r="AJ225" i="54" s="1"/>
  <c r="AJ226" i="54" s="1"/>
  <c r="AJ227" i="54" s="1"/>
  <c r="AJ228" i="54" s="1"/>
  <c r="AJ229" i="54" s="1"/>
  <c r="AJ230" i="54" s="1"/>
  <c r="AJ231" i="54" s="1"/>
  <c r="AJ232" i="54" s="1"/>
  <c r="Z203" i="54"/>
  <c r="AF203" i="54" s="1"/>
  <c r="AJ203" i="54" s="1"/>
  <c r="AJ204" i="54" s="1"/>
  <c r="AJ205" i="54" s="1"/>
  <c r="AJ206" i="54" s="1"/>
  <c r="AJ207" i="54" s="1"/>
  <c r="AJ208" i="54" s="1"/>
  <c r="AJ209" i="54" s="1"/>
  <c r="AJ210" i="54" s="1"/>
  <c r="AJ211" i="54" s="1"/>
  <c r="Z183" i="54"/>
  <c r="AF183" i="54" s="1"/>
  <c r="AJ183" i="54" s="1"/>
  <c r="AJ184" i="54" s="1"/>
  <c r="AJ185" i="54" s="1"/>
  <c r="AJ186" i="54" s="1"/>
  <c r="AJ187" i="54" s="1"/>
  <c r="AJ188" i="54" s="1"/>
  <c r="AJ189" i="54" s="1"/>
  <c r="AJ190" i="54" s="1"/>
  <c r="Z163" i="54"/>
  <c r="AF163" i="54" s="1"/>
  <c r="AJ163" i="54" s="1"/>
  <c r="AJ164" i="54" s="1"/>
  <c r="AJ165" i="54" s="1"/>
  <c r="AJ166" i="54" s="1"/>
  <c r="AJ167" i="54" s="1"/>
  <c r="AJ168" i="54" s="1"/>
  <c r="AJ169" i="54" s="1"/>
  <c r="Z143" i="54"/>
  <c r="AF143" i="54" s="1"/>
  <c r="AJ143" i="54" s="1"/>
  <c r="AJ144" i="54" s="1"/>
  <c r="AJ145" i="54" s="1"/>
  <c r="AJ146" i="54" s="1"/>
  <c r="AJ147" i="54" s="1"/>
  <c r="AJ148" i="54" s="1"/>
  <c r="Z123" i="54"/>
  <c r="AF123" i="54" s="1"/>
  <c r="AJ123" i="54" s="1"/>
  <c r="AJ124" i="54" s="1"/>
  <c r="AJ125" i="54" s="1"/>
  <c r="AJ126" i="54" s="1"/>
  <c r="AJ127" i="54" s="1"/>
  <c r="Z103" i="54"/>
  <c r="AF103" i="54" s="1"/>
  <c r="AJ103" i="54" s="1"/>
  <c r="AJ104" i="54" s="1"/>
  <c r="AJ105" i="54" s="1"/>
  <c r="AJ106" i="54" s="1"/>
  <c r="Z83" i="54"/>
  <c r="AF83" i="54" s="1"/>
  <c r="AJ83" i="54" s="1"/>
  <c r="AJ84" i="54" s="1"/>
  <c r="AJ85" i="54" s="1"/>
  <c r="Z63" i="54"/>
  <c r="AF63" i="54" s="1"/>
  <c r="AJ63" i="54" s="1"/>
  <c r="AJ64" i="54" s="1"/>
  <c r="Z43" i="54"/>
  <c r="AF43" i="54" s="1"/>
  <c r="AJ43" i="54" s="1"/>
  <c r="Z275" i="54"/>
  <c r="AF275" i="54" s="1"/>
  <c r="Z44" i="54"/>
  <c r="AF44" i="54" s="1"/>
  <c r="Z149" i="54"/>
  <c r="AF149" i="54" s="1"/>
  <c r="Z191" i="54"/>
  <c r="AF191" i="54" s="1"/>
  <c r="Z128" i="54"/>
  <c r="AF128" i="54" s="1"/>
  <c r="Z107" i="54"/>
  <c r="AF107" i="54" s="1"/>
  <c r="Z254" i="54"/>
  <c r="AF254" i="54" s="1"/>
  <c r="Z317" i="54"/>
  <c r="AF317" i="54" s="1"/>
  <c r="Z233" i="54"/>
  <c r="AF233" i="54" s="1"/>
  <c r="Z170" i="54"/>
  <c r="AF170" i="54" s="1"/>
  <c r="Z65" i="54"/>
  <c r="AF65" i="54" s="1"/>
  <c r="Z296" i="54"/>
  <c r="AF296" i="54" s="1"/>
  <c r="Z23" i="54"/>
  <c r="AF23" i="54" s="1"/>
  <c r="AJ23" i="54" s="1"/>
  <c r="Z212" i="54"/>
  <c r="AF212" i="54" s="1"/>
  <c r="Z86" i="54"/>
  <c r="AF86" i="54" s="1"/>
  <c r="Z800" i="54" l="1"/>
  <c r="AF800" i="54" s="1"/>
  <c r="AJ800" i="54" s="1"/>
  <c r="M61" i="53"/>
  <c r="N61" i="53" s="1"/>
  <c r="F61" i="53"/>
  <c r="AD779" i="54" s="1"/>
  <c r="AH779" i="54" s="1"/>
  <c r="E61" i="53"/>
  <c r="H62" i="53" s="1"/>
  <c r="K62" i="53" s="1"/>
  <c r="O62" i="53" s="1"/>
  <c r="Z779" i="54"/>
  <c r="AF779" i="54" s="1"/>
  <c r="L34" i="53"/>
  <c r="K34" i="53"/>
  <c r="J62" i="53"/>
  <c r="J34" i="53"/>
  <c r="AJ44" i="54"/>
  <c r="AJ65" i="54"/>
  <c r="AJ149" i="54"/>
  <c r="AJ233" i="54"/>
  <c r="AJ317" i="54"/>
  <c r="AJ86" i="54"/>
  <c r="AJ170" i="54"/>
  <c r="AJ254" i="54"/>
  <c r="AJ107" i="54"/>
  <c r="AJ191" i="54"/>
  <c r="AJ275" i="54"/>
  <c r="AJ128" i="54"/>
  <c r="AJ212" i="54"/>
  <c r="AJ296" i="54"/>
  <c r="I169" i="64"/>
  <c r="L169" i="64" s="1"/>
  <c r="I168" i="64"/>
  <c r="L168" i="64" s="1"/>
  <c r="I173" i="64"/>
  <c r="L173" i="64" s="1"/>
  <c r="I165" i="64"/>
  <c r="L165" i="64" s="1"/>
  <c r="I166" i="64"/>
  <c r="L166" i="64" s="1"/>
  <c r="I167" i="64"/>
  <c r="L167" i="64" s="1"/>
  <c r="I172" i="64"/>
  <c r="L172" i="64" s="1"/>
  <c r="I164" i="64"/>
  <c r="L164" i="64" s="1"/>
  <c r="I171" i="64"/>
  <c r="L171" i="64" s="1"/>
  <c r="I163" i="64"/>
  <c r="L163" i="64" s="1"/>
  <c r="I170" i="64"/>
  <c r="L170" i="64" s="1"/>
  <c r="AD323" i="54"/>
  <c r="AH323" i="54" s="1"/>
  <c r="AL323" i="54" s="1"/>
  <c r="AL324" i="54" s="1"/>
  <c r="AD303" i="54"/>
  <c r="AH303" i="54" s="1"/>
  <c r="AL303" i="54" s="1"/>
  <c r="AL304" i="54" s="1"/>
  <c r="AL305" i="54" s="1"/>
  <c r="AL306" i="54" s="1"/>
  <c r="AL307" i="54" s="1"/>
  <c r="AL308" i="54" s="1"/>
  <c r="AL309" i="54" s="1"/>
  <c r="AL310" i="54" s="1"/>
  <c r="AL311" i="54" s="1"/>
  <c r="AL312" i="54" s="1"/>
  <c r="AL313" i="54" s="1"/>
  <c r="AL314" i="54" s="1"/>
  <c r="AL315" i="54" s="1"/>
  <c r="AL316" i="54" s="1"/>
  <c r="AD283" i="54"/>
  <c r="AH283" i="54" s="1"/>
  <c r="AL283" i="54" s="1"/>
  <c r="AL284" i="54" s="1"/>
  <c r="AL285" i="54" s="1"/>
  <c r="AL286" i="54" s="1"/>
  <c r="AL287" i="54" s="1"/>
  <c r="AL288" i="54" s="1"/>
  <c r="AL289" i="54" s="1"/>
  <c r="AL290" i="54" s="1"/>
  <c r="AL291" i="54" s="1"/>
  <c r="AL292" i="54" s="1"/>
  <c r="AL293" i="54" s="1"/>
  <c r="AL294" i="54" s="1"/>
  <c r="AL295" i="54" s="1"/>
  <c r="AD263" i="54"/>
  <c r="AH263" i="54" s="1"/>
  <c r="AL263" i="54" s="1"/>
  <c r="AL264" i="54" s="1"/>
  <c r="AL265" i="54" s="1"/>
  <c r="AL266" i="54" s="1"/>
  <c r="AL267" i="54" s="1"/>
  <c r="AL268" i="54" s="1"/>
  <c r="AL269" i="54" s="1"/>
  <c r="AL270" i="54" s="1"/>
  <c r="AL271" i="54" s="1"/>
  <c r="AL272" i="54" s="1"/>
  <c r="AL273" i="54" s="1"/>
  <c r="AL274" i="54" s="1"/>
  <c r="AD243" i="54"/>
  <c r="AH243" i="54" s="1"/>
  <c r="AL243" i="54" s="1"/>
  <c r="AL244" i="54" s="1"/>
  <c r="AL245" i="54" s="1"/>
  <c r="AL246" i="54" s="1"/>
  <c r="AL247" i="54" s="1"/>
  <c r="AL248" i="54" s="1"/>
  <c r="AL249" i="54" s="1"/>
  <c r="AL250" i="54" s="1"/>
  <c r="AL251" i="54" s="1"/>
  <c r="AL252" i="54" s="1"/>
  <c r="AL253" i="54" s="1"/>
  <c r="AD223" i="54"/>
  <c r="AH223" i="54" s="1"/>
  <c r="AL223" i="54" s="1"/>
  <c r="AL224" i="54" s="1"/>
  <c r="AL225" i="54" s="1"/>
  <c r="AL226" i="54" s="1"/>
  <c r="AL227" i="54" s="1"/>
  <c r="AL228" i="54" s="1"/>
  <c r="AL229" i="54" s="1"/>
  <c r="AL230" i="54" s="1"/>
  <c r="AL231" i="54" s="1"/>
  <c r="AL232" i="54" s="1"/>
  <c r="AD203" i="54"/>
  <c r="AH203" i="54" s="1"/>
  <c r="AL203" i="54" s="1"/>
  <c r="AL204" i="54" s="1"/>
  <c r="AL205" i="54" s="1"/>
  <c r="AL206" i="54" s="1"/>
  <c r="AL207" i="54" s="1"/>
  <c r="AL208" i="54" s="1"/>
  <c r="AL209" i="54" s="1"/>
  <c r="AL210" i="54" s="1"/>
  <c r="AL211" i="54" s="1"/>
  <c r="AD183" i="54"/>
  <c r="AH183" i="54" s="1"/>
  <c r="AL183" i="54" s="1"/>
  <c r="AL184" i="54" s="1"/>
  <c r="AL185" i="54" s="1"/>
  <c r="AL186" i="54" s="1"/>
  <c r="AL187" i="54" s="1"/>
  <c r="AL188" i="54" s="1"/>
  <c r="AL189" i="54" s="1"/>
  <c r="AL190" i="54" s="1"/>
  <c r="AD163" i="54"/>
  <c r="AH163" i="54" s="1"/>
  <c r="AL163" i="54" s="1"/>
  <c r="AL164" i="54" s="1"/>
  <c r="AL165" i="54" s="1"/>
  <c r="AL166" i="54" s="1"/>
  <c r="AL167" i="54" s="1"/>
  <c r="AL168" i="54" s="1"/>
  <c r="AL169" i="54" s="1"/>
  <c r="AD143" i="54"/>
  <c r="AH143" i="54" s="1"/>
  <c r="AL143" i="54" s="1"/>
  <c r="AL144" i="54" s="1"/>
  <c r="AL145" i="54" s="1"/>
  <c r="AL146" i="54" s="1"/>
  <c r="AL147" i="54" s="1"/>
  <c r="AL148" i="54" s="1"/>
  <c r="AD123" i="54"/>
  <c r="AH123" i="54" s="1"/>
  <c r="AL123" i="54" s="1"/>
  <c r="AL124" i="54" s="1"/>
  <c r="AL125" i="54" s="1"/>
  <c r="AL126" i="54" s="1"/>
  <c r="AL127" i="54" s="1"/>
  <c r="AD103" i="54"/>
  <c r="AH103" i="54" s="1"/>
  <c r="AL103" i="54" s="1"/>
  <c r="AL104" i="54" s="1"/>
  <c r="AL105" i="54" s="1"/>
  <c r="AL106" i="54" s="1"/>
  <c r="AD83" i="54"/>
  <c r="AH83" i="54" s="1"/>
  <c r="AL83" i="54" s="1"/>
  <c r="AL84" i="54" s="1"/>
  <c r="AL85" i="54" s="1"/>
  <c r="AD63" i="54"/>
  <c r="AH63" i="54" s="1"/>
  <c r="AL63" i="54" s="1"/>
  <c r="AL64" i="54" s="1"/>
  <c r="AD43" i="54"/>
  <c r="AH43" i="54" s="1"/>
  <c r="AL43" i="54" s="1"/>
  <c r="H172" i="64"/>
  <c r="K172" i="64" s="1"/>
  <c r="H173" i="64"/>
  <c r="K173" i="64" s="1"/>
  <c r="H165" i="64"/>
  <c r="K165" i="64" s="1"/>
  <c r="H171" i="64"/>
  <c r="K171" i="64" s="1"/>
  <c r="H167" i="64"/>
  <c r="K167" i="64" s="1"/>
  <c r="H169" i="64"/>
  <c r="K169" i="64" s="1"/>
  <c r="H166" i="64"/>
  <c r="K166" i="64" s="1"/>
  <c r="H164" i="64"/>
  <c r="K164" i="64" s="1"/>
  <c r="H163" i="64"/>
  <c r="K163" i="64" s="1"/>
  <c r="H168" i="64"/>
  <c r="K168" i="64" s="1"/>
  <c r="H170" i="64"/>
  <c r="K170" i="64" s="1"/>
  <c r="AB323" i="54"/>
  <c r="AG323" i="54" s="1"/>
  <c r="AK323" i="54" s="1"/>
  <c r="AK324" i="54" s="1"/>
  <c r="AB303" i="54"/>
  <c r="AG303" i="54" s="1"/>
  <c r="AK303" i="54" s="1"/>
  <c r="AK304" i="54" s="1"/>
  <c r="AK305" i="54" s="1"/>
  <c r="AK306" i="54" s="1"/>
  <c r="AK307" i="54" s="1"/>
  <c r="AK308" i="54" s="1"/>
  <c r="AK309" i="54" s="1"/>
  <c r="AK310" i="54" s="1"/>
  <c r="AK311" i="54" s="1"/>
  <c r="AK312" i="54" s="1"/>
  <c r="AK313" i="54" s="1"/>
  <c r="AK314" i="54" s="1"/>
  <c r="AK315" i="54" s="1"/>
  <c r="AK316" i="54" s="1"/>
  <c r="AB283" i="54"/>
  <c r="AG283" i="54" s="1"/>
  <c r="AK283" i="54" s="1"/>
  <c r="AK284" i="54" s="1"/>
  <c r="AK285" i="54" s="1"/>
  <c r="AK286" i="54" s="1"/>
  <c r="AK287" i="54" s="1"/>
  <c r="AK288" i="54" s="1"/>
  <c r="AK289" i="54" s="1"/>
  <c r="AK290" i="54" s="1"/>
  <c r="AK291" i="54" s="1"/>
  <c r="AK292" i="54" s="1"/>
  <c r="AK293" i="54" s="1"/>
  <c r="AK294" i="54" s="1"/>
  <c r="AK295" i="54" s="1"/>
  <c r="AB263" i="54"/>
  <c r="AG263" i="54" s="1"/>
  <c r="AK263" i="54" s="1"/>
  <c r="AK264" i="54" s="1"/>
  <c r="AK265" i="54" s="1"/>
  <c r="AK266" i="54" s="1"/>
  <c r="AK267" i="54" s="1"/>
  <c r="AK268" i="54" s="1"/>
  <c r="AK269" i="54" s="1"/>
  <c r="AK270" i="54" s="1"/>
  <c r="AK271" i="54" s="1"/>
  <c r="AK272" i="54" s="1"/>
  <c r="AK273" i="54" s="1"/>
  <c r="AK274" i="54" s="1"/>
  <c r="AB243" i="54"/>
  <c r="AG243" i="54" s="1"/>
  <c r="AK243" i="54" s="1"/>
  <c r="AK244" i="54" s="1"/>
  <c r="AK245" i="54" s="1"/>
  <c r="AK246" i="54" s="1"/>
  <c r="AK247" i="54" s="1"/>
  <c r="AK248" i="54" s="1"/>
  <c r="AK249" i="54" s="1"/>
  <c r="AK250" i="54" s="1"/>
  <c r="AK251" i="54" s="1"/>
  <c r="AK252" i="54" s="1"/>
  <c r="AK253" i="54" s="1"/>
  <c r="AB223" i="54"/>
  <c r="AG223" i="54" s="1"/>
  <c r="AK223" i="54" s="1"/>
  <c r="AK224" i="54" s="1"/>
  <c r="AK225" i="54" s="1"/>
  <c r="AK226" i="54" s="1"/>
  <c r="AK227" i="54" s="1"/>
  <c r="AK228" i="54" s="1"/>
  <c r="AK229" i="54" s="1"/>
  <c r="AK230" i="54" s="1"/>
  <c r="AK231" i="54" s="1"/>
  <c r="AK232" i="54" s="1"/>
  <c r="AB203" i="54"/>
  <c r="AG203" i="54" s="1"/>
  <c r="AK203" i="54" s="1"/>
  <c r="AK204" i="54" s="1"/>
  <c r="AK205" i="54" s="1"/>
  <c r="AK206" i="54" s="1"/>
  <c r="AK207" i="54" s="1"/>
  <c r="AK208" i="54" s="1"/>
  <c r="AK209" i="54" s="1"/>
  <c r="AK210" i="54" s="1"/>
  <c r="AK211" i="54" s="1"/>
  <c r="AB183" i="54"/>
  <c r="AG183" i="54" s="1"/>
  <c r="AK183" i="54" s="1"/>
  <c r="AK184" i="54" s="1"/>
  <c r="AK185" i="54" s="1"/>
  <c r="AK186" i="54" s="1"/>
  <c r="AK187" i="54" s="1"/>
  <c r="AK188" i="54" s="1"/>
  <c r="AK189" i="54" s="1"/>
  <c r="AK190" i="54" s="1"/>
  <c r="AB163" i="54"/>
  <c r="AG163" i="54" s="1"/>
  <c r="AK163" i="54" s="1"/>
  <c r="AK164" i="54" s="1"/>
  <c r="AK165" i="54" s="1"/>
  <c r="AK166" i="54" s="1"/>
  <c r="AK167" i="54" s="1"/>
  <c r="AK168" i="54" s="1"/>
  <c r="AK169" i="54" s="1"/>
  <c r="AB143" i="54"/>
  <c r="AG143" i="54" s="1"/>
  <c r="AK143" i="54" s="1"/>
  <c r="AK144" i="54" s="1"/>
  <c r="AK145" i="54" s="1"/>
  <c r="AK146" i="54" s="1"/>
  <c r="AK147" i="54" s="1"/>
  <c r="AK148" i="54" s="1"/>
  <c r="AB123" i="54"/>
  <c r="AG123" i="54" s="1"/>
  <c r="AK123" i="54" s="1"/>
  <c r="AK124" i="54" s="1"/>
  <c r="AK125" i="54" s="1"/>
  <c r="AK126" i="54" s="1"/>
  <c r="AK127" i="54" s="1"/>
  <c r="AB103" i="54"/>
  <c r="AG103" i="54" s="1"/>
  <c r="AK103" i="54" s="1"/>
  <c r="AK104" i="54" s="1"/>
  <c r="AK105" i="54" s="1"/>
  <c r="AK106" i="54" s="1"/>
  <c r="AB83" i="54"/>
  <c r="AG83" i="54" s="1"/>
  <c r="AK83" i="54" s="1"/>
  <c r="AK84" i="54" s="1"/>
  <c r="AK85" i="54" s="1"/>
  <c r="AB63" i="54"/>
  <c r="AG63" i="54" s="1"/>
  <c r="AK63" i="54" s="1"/>
  <c r="AK64" i="54" s="1"/>
  <c r="AB43" i="54"/>
  <c r="AG43" i="54" s="1"/>
  <c r="AK43" i="54" s="1"/>
  <c r="Z506" i="54"/>
  <c r="AF506" i="54" s="1"/>
  <c r="Z464" i="54"/>
  <c r="AF464" i="54" s="1"/>
  <c r="AD296" i="54"/>
  <c r="AH296" i="54" s="1"/>
  <c r="AD23" i="54"/>
  <c r="AH23" i="54" s="1"/>
  <c r="AL23" i="54" s="1"/>
  <c r="AD128" i="54"/>
  <c r="AH128" i="54" s="1"/>
  <c r="AD212" i="54"/>
  <c r="AH212" i="54" s="1"/>
  <c r="AD86" i="54"/>
  <c r="AH86" i="54" s="1"/>
  <c r="AD317" i="54"/>
  <c r="AH317" i="54" s="1"/>
  <c r="AD44" i="54"/>
  <c r="AH44" i="54" s="1"/>
  <c r="AD149" i="54"/>
  <c r="AH149" i="54" s="1"/>
  <c r="AD233" i="54"/>
  <c r="AH233" i="54" s="1"/>
  <c r="AD275" i="54"/>
  <c r="AH275" i="54" s="1"/>
  <c r="AD107" i="54"/>
  <c r="AH107" i="54" s="1"/>
  <c r="AD65" i="54"/>
  <c r="AH65" i="54" s="1"/>
  <c r="AD170" i="54"/>
  <c r="AH170" i="54" s="1"/>
  <c r="AD254" i="54"/>
  <c r="AH254" i="54" s="1"/>
  <c r="AD191" i="54"/>
  <c r="AH191" i="54" s="1"/>
  <c r="AB44" i="54"/>
  <c r="AG44" i="54" s="1"/>
  <c r="AB107" i="54"/>
  <c r="AG107" i="54" s="1"/>
  <c r="AB191" i="54"/>
  <c r="AG191" i="54" s="1"/>
  <c r="AB275" i="54"/>
  <c r="AG275" i="54" s="1"/>
  <c r="AB296" i="54"/>
  <c r="AG296" i="54" s="1"/>
  <c r="AB128" i="54"/>
  <c r="AG128" i="54" s="1"/>
  <c r="AB233" i="54"/>
  <c r="AG233" i="54" s="1"/>
  <c r="AB86" i="54"/>
  <c r="AG86" i="54" s="1"/>
  <c r="AB149" i="54"/>
  <c r="AG149" i="54" s="1"/>
  <c r="AB170" i="54"/>
  <c r="AG170" i="54" s="1"/>
  <c r="AB23" i="54"/>
  <c r="AG23" i="54" s="1"/>
  <c r="AK23" i="54" s="1"/>
  <c r="AB65" i="54"/>
  <c r="AG65" i="54" s="1"/>
  <c r="AB254" i="54"/>
  <c r="AG254" i="54" s="1"/>
  <c r="AB317" i="54"/>
  <c r="AG317" i="54" s="1"/>
  <c r="AB212" i="54"/>
  <c r="AG212" i="54" s="1"/>
  <c r="L62" i="53" l="1"/>
  <c r="AB800" i="54"/>
  <c r="AG800" i="54" s="1"/>
  <c r="AK800" i="54" s="1"/>
  <c r="AB779" i="54"/>
  <c r="AG779" i="54" s="1"/>
  <c r="AD800" i="54"/>
  <c r="AH800" i="54" s="1"/>
  <c r="AL800" i="54" s="1"/>
  <c r="V213" i="54"/>
  <c r="O34" i="53"/>
  <c r="V171" i="54"/>
  <c r="V150" i="54"/>
  <c r="V129" i="54"/>
  <c r="V24" i="54"/>
  <c r="V108" i="54"/>
  <c r="V87" i="54"/>
  <c r="V66" i="54"/>
  <c r="V45" i="54"/>
  <c r="V276" i="54"/>
  <c r="V339" i="54"/>
  <c r="V318" i="54"/>
  <c r="V297" i="54"/>
  <c r="V192" i="54"/>
  <c r="V255" i="54"/>
  <c r="V234" i="54"/>
  <c r="V381" i="54"/>
  <c r="V717" i="54"/>
  <c r="V654" i="54"/>
  <c r="V675" i="54"/>
  <c r="V612" i="54"/>
  <c r="V738" i="54"/>
  <c r="V465" i="54"/>
  <c r="V402" i="54"/>
  <c r="V423" i="54"/>
  <c r="V360" i="54"/>
  <c r="V696" i="54"/>
  <c r="V759" i="54"/>
  <c r="V549" i="54"/>
  <c r="V486" i="54"/>
  <c r="V507" i="54"/>
  <c r="V444" i="54"/>
  <c r="V780" i="54"/>
  <c r="V633" i="54"/>
  <c r="V570" i="54"/>
  <c r="V591" i="54"/>
  <c r="V528" i="54"/>
  <c r="V801" i="54"/>
  <c r="X381" i="54"/>
  <c r="X402" i="54"/>
  <c r="X423" i="54"/>
  <c r="X444" i="54"/>
  <c r="X612" i="54"/>
  <c r="X801" i="54"/>
  <c r="X570" i="54"/>
  <c r="X465" i="54"/>
  <c r="X486" i="54"/>
  <c r="X507" i="54"/>
  <c r="X528" i="54"/>
  <c r="X696" i="54"/>
  <c r="X738" i="54"/>
  <c r="X549" i="54"/>
  <c r="X591" i="54"/>
  <c r="X675" i="54"/>
  <c r="X633" i="54"/>
  <c r="X654" i="54"/>
  <c r="X360" i="54"/>
  <c r="X759" i="54"/>
  <c r="X717" i="54"/>
  <c r="X780" i="54"/>
  <c r="X66" i="54"/>
  <c r="X150" i="54"/>
  <c r="X234" i="54"/>
  <c r="X318" i="54"/>
  <c r="X87" i="54"/>
  <c r="X171" i="54"/>
  <c r="X255" i="54"/>
  <c r="X339" i="54"/>
  <c r="X24" i="54"/>
  <c r="X108" i="54"/>
  <c r="X192" i="54"/>
  <c r="X276" i="54"/>
  <c r="X213" i="54"/>
  <c r="X297" i="54"/>
  <c r="X45" i="54"/>
  <c r="X129" i="54"/>
  <c r="T24" i="54"/>
  <c r="T108" i="54"/>
  <c r="T45" i="54"/>
  <c r="T129" i="54"/>
  <c r="T66" i="54"/>
  <c r="T87" i="54"/>
  <c r="T150" i="54"/>
  <c r="T234" i="54"/>
  <c r="T318" i="54"/>
  <c r="T171" i="54"/>
  <c r="T255" i="54"/>
  <c r="T339" i="54"/>
  <c r="T192" i="54"/>
  <c r="T276" i="54"/>
  <c r="T213" i="54"/>
  <c r="T297" i="54"/>
  <c r="T402" i="54"/>
  <c r="T360" i="54"/>
  <c r="T696" i="54"/>
  <c r="T801" i="54"/>
  <c r="T591" i="54"/>
  <c r="T381" i="54"/>
  <c r="T486" i="54"/>
  <c r="T444" i="54"/>
  <c r="T780" i="54"/>
  <c r="T570" i="54"/>
  <c r="T675" i="54"/>
  <c r="T465" i="54"/>
  <c r="T423" i="54"/>
  <c r="T528" i="54"/>
  <c r="T633" i="54"/>
  <c r="T654" i="54"/>
  <c r="T759" i="54"/>
  <c r="T549" i="54"/>
  <c r="T507" i="54"/>
  <c r="T612" i="54"/>
  <c r="T717" i="54"/>
  <c r="T738" i="54"/>
  <c r="AK44" i="54"/>
  <c r="AK128" i="54"/>
  <c r="AK212" i="54"/>
  <c r="AK296" i="54"/>
  <c r="AL86" i="54"/>
  <c r="AL170" i="54"/>
  <c r="AL254" i="54"/>
  <c r="AK65" i="54"/>
  <c r="AK149" i="54"/>
  <c r="AK233" i="54"/>
  <c r="AK317" i="54"/>
  <c r="AL107" i="54"/>
  <c r="AL191" i="54"/>
  <c r="AL275" i="54"/>
  <c r="AK86" i="54"/>
  <c r="AK170" i="54"/>
  <c r="AK254" i="54"/>
  <c r="AL44" i="54"/>
  <c r="AL128" i="54"/>
  <c r="AL212" i="54"/>
  <c r="AL296" i="54"/>
  <c r="AK107" i="54"/>
  <c r="AK191" i="54"/>
  <c r="AK275" i="54"/>
  <c r="AL65" i="54"/>
  <c r="AL149" i="54"/>
  <c r="AL233" i="54"/>
  <c r="AL317" i="54"/>
  <c r="D34" i="53"/>
  <c r="AB464" i="54"/>
  <c r="AG464" i="54" s="1"/>
  <c r="AB506" i="54"/>
  <c r="AG506" i="54" s="1"/>
  <c r="AD464" i="54"/>
  <c r="AH464" i="54" s="1"/>
  <c r="AD506" i="54"/>
  <c r="AH506" i="54" s="1"/>
  <c r="J35" i="53" l="1"/>
  <c r="B69" i="53" s="1"/>
  <c r="B79" i="53" s="1"/>
  <c r="D62" i="53"/>
  <c r="J63" i="53" s="1"/>
  <c r="N69" i="53" s="1"/>
  <c r="Z24" i="54"/>
  <c r="AF24" i="54" s="1"/>
  <c r="AJ24" i="54" s="1"/>
  <c r="Z150" i="54"/>
  <c r="AF150" i="54" s="1"/>
  <c r="AJ150" i="54" s="1"/>
  <c r="Z255" i="54"/>
  <c r="AF255" i="54" s="1"/>
  <c r="AJ255" i="54" s="1"/>
  <c r="Z318" i="54"/>
  <c r="AF318" i="54" s="1"/>
  <c r="AJ318" i="54" s="1"/>
  <c r="Z129" i="54"/>
  <c r="AF129" i="54" s="1"/>
  <c r="AJ129" i="54" s="1"/>
  <c r="Z234" i="54"/>
  <c r="AF234" i="54" s="1"/>
  <c r="AJ234" i="54" s="1"/>
  <c r="Z276" i="54"/>
  <c r="AF276" i="54" s="1"/>
  <c r="AJ276" i="54" s="1"/>
  <c r="Z66" i="54"/>
  <c r="AF66" i="54" s="1"/>
  <c r="AJ66" i="54" s="1"/>
  <c r="Z213" i="54"/>
  <c r="AF213" i="54" s="1"/>
  <c r="AJ213" i="54" s="1"/>
  <c r="Z171" i="54"/>
  <c r="AF171" i="54" s="1"/>
  <c r="AJ171" i="54" s="1"/>
  <c r="Z87" i="54"/>
  <c r="AF87" i="54" s="1"/>
  <c r="AJ87" i="54" s="1"/>
  <c r="Z108" i="54"/>
  <c r="AF108" i="54" s="1"/>
  <c r="AJ108" i="54" s="1"/>
  <c r="Z45" i="54"/>
  <c r="AF45" i="54" s="1"/>
  <c r="AJ45" i="54" s="1"/>
  <c r="Z192" i="54"/>
  <c r="AF192" i="54" s="1"/>
  <c r="AJ192" i="54" s="1"/>
  <c r="Z297" i="54"/>
  <c r="AF297" i="54" s="1"/>
  <c r="AJ297" i="54" s="1"/>
  <c r="F34" i="53"/>
  <c r="E34" i="53"/>
  <c r="N81" i="53" l="1"/>
  <c r="H69" i="53"/>
  <c r="H81" i="53" s="1"/>
  <c r="E62" i="53"/>
  <c r="K63" i="53" s="1"/>
  <c r="F62" i="53"/>
  <c r="L63" i="53" s="1"/>
  <c r="P69" i="53" s="1"/>
  <c r="M62" i="53"/>
  <c r="N62" i="53" s="1"/>
  <c r="Z780" i="54"/>
  <c r="AF780" i="54" s="1"/>
  <c r="Z801" i="54"/>
  <c r="AF801" i="54" s="1"/>
  <c r="AJ801" i="54" s="1"/>
  <c r="Z486" i="54"/>
  <c r="AF486" i="54" s="1"/>
  <c r="Z444" i="54"/>
  <c r="AF444" i="54" s="1"/>
  <c r="K35" i="53"/>
  <c r="O35" i="53" s="1"/>
  <c r="AB87" i="54"/>
  <c r="AG87" i="54" s="1"/>
  <c r="AK87" i="54" s="1"/>
  <c r="AB45" i="54"/>
  <c r="AG45" i="54" s="1"/>
  <c r="AK45" i="54" s="1"/>
  <c r="AB234" i="54"/>
  <c r="AG234" i="54" s="1"/>
  <c r="AK234" i="54" s="1"/>
  <c r="AB129" i="54"/>
  <c r="AG129" i="54" s="1"/>
  <c r="AK129" i="54" s="1"/>
  <c r="AB318" i="54"/>
  <c r="AG318" i="54" s="1"/>
  <c r="AK318" i="54" s="1"/>
  <c r="AB108" i="54"/>
  <c r="AG108" i="54" s="1"/>
  <c r="AK108" i="54" s="1"/>
  <c r="AB171" i="54"/>
  <c r="AG171" i="54" s="1"/>
  <c r="AK171" i="54" s="1"/>
  <c r="AB297" i="54"/>
  <c r="AG297" i="54" s="1"/>
  <c r="AK297" i="54" s="1"/>
  <c r="AB213" i="54"/>
  <c r="AG213" i="54" s="1"/>
  <c r="AK213" i="54" s="1"/>
  <c r="AB192" i="54"/>
  <c r="AG192" i="54" s="1"/>
  <c r="AK192" i="54" s="1"/>
  <c r="AB255" i="54"/>
  <c r="AG255" i="54" s="1"/>
  <c r="AK255" i="54" s="1"/>
  <c r="AB150" i="54"/>
  <c r="AG150" i="54" s="1"/>
  <c r="AK150" i="54" s="1"/>
  <c r="AB66" i="54"/>
  <c r="AG66" i="54" s="1"/>
  <c r="AK66" i="54" s="1"/>
  <c r="AB276" i="54"/>
  <c r="AG276" i="54" s="1"/>
  <c r="AK276" i="54" s="1"/>
  <c r="AB24" i="54"/>
  <c r="AG24" i="54" s="1"/>
  <c r="AK24" i="54" s="1"/>
  <c r="L35" i="53"/>
  <c r="D69" i="53" s="1"/>
  <c r="P81" i="53" s="1"/>
  <c r="AD171" i="54"/>
  <c r="AH171" i="54" s="1"/>
  <c r="AL171" i="54" s="1"/>
  <c r="AD276" i="54"/>
  <c r="AH276" i="54" s="1"/>
  <c r="AL276" i="54" s="1"/>
  <c r="AD297" i="54"/>
  <c r="AH297" i="54" s="1"/>
  <c r="AL297" i="54" s="1"/>
  <c r="AD66" i="54"/>
  <c r="AH66" i="54" s="1"/>
  <c r="AL66" i="54" s="1"/>
  <c r="AD255" i="54"/>
  <c r="AH255" i="54" s="1"/>
  <c r="AL255" i="54" s="1"/>
  <c r="AD24" i="54"/>
  <c r="AH24" i="54" s="1"/>
  <c r="AL24" i="54" s="1"/>
  <c r="AD150" i="54"/>
  <c r="AH150" i="54" s="1"/>
  <c r="AL150" i="54" s="1"/>
  <c r="AD45" i="54"/>
  <c r="AH45" i="54" s="1"/>
  <c r="AL45" i="54" s="1"/>
  <c r="AD108" i="54"/>
  <c r="AH108" i="54" s="1"/>
  <c r="AL108" i="54" s="1"/>
  <c r="AD129" i="54"/>
  <c r="AH129" i="54" s="1"/>
  <c r="AL129" i="54" s="1"/>
  <c r="AD234" i="54"/>
  <c r="AH234" i="54" s="1"/>
  <c r="AL234" i="54" s="1"/>
  <c r="AD87" i="54"/>
  <c r="AH87" i="54" s="1"/>
  <c r="AL87" i="54" s="1"/>
  <c r="AD192" i="54"/>
  <c r="AH192" i="54" s="1"/>
  <c r="AL192" i="54" s="1"/>
  <c r="AD213" i="54"/>
  <c r="AH213" i="54" s="1"/>
  <c r="AL213" i="54" s="1"/>
  <c r="AD318" i="54"/>
  <c r="AH318" i="54" s="1"/>
  <c r="AL318" i="54" s="1"/>
  <c r="H80" i="53"/>
  <c r="O69" i="53" l="1"/>
  <c r="O63" i="53"/>
  <c r="D79" i="53"/>
  <c r="J69" i="53"/>
  <c r="J80" i="53" s="1"/>
  <c r="C69" i="53"/>
  <c r="I69" i="53" s="1"/>
  <c r="AD780" i="54"/>
  <c r="AH780" i="54" s="1"/>
  <c r="AD801" i="54"/>
  <c r="AH801" i="54" s="1"/>
  <c r="AL801" i="54" s="1"/>
  <c r="AD486" i="54"/>
  <c r="AH486" i="54" s="1"/>
  <c r="AD444" i="54"/>
  <c r="AH444" i="54" s="1"/>
  <c r="AB780" i="54"/>
  <c r="AG780" i="54" s="1"/>
  <c r="AB801" i="54"/>
  <c r="AG801" i="54" s="1"/>
  <c r="AK801" i="54" s="1"/>
  <c r="AB486" i="54"/>
  <c r="AG486" i="54" s="1"/>
  <c r="AB444" i="54"/>
  <c r="AG444" i="54" s="1"/>
  <c r="E4" i="63"/>
  <c r="C79" i="53" l="1"/>
  <c r="O81" i="53"/>
  <c r="J81" i="53"/>
  <c r="G4" i="63" s="1"/>
  <c r="I80" i="53"/>
  <c r="I81" i="53"/>
  <c r="AB343" i="63"/>
  <c r="AB484" i="63"/>
  <c r="AB76" i="63"/>
  <c r="AB604" i="63"/>
  <c r="AB645" i="63"/>
  <c r="AB75" i="63"/>
  <c r="AB555" i="63"/>
  <c r="AB847" i="63"/>
  <c r="AB890" i="63"/>
  <c r="AB392" i="63"/>
  <c r="AB101" i="63"/>
  <c r="AB623" i="63"/>
  <c r="AB388" i="63"/>
  <c r="AB573" i="63"/>
  <c r="AB628" i="63"/>
  <c r="AB360" i="63"/>
  <c r="AB387" i="63"/>
  <c r="AB489" i="63"/>
  <c r="AB98" i="63"/>
  <c r="AB407" i="63"/>
  <c r="AB322" i="63"/>
  <c r="AB669" i="63"/>
  <c r="AB568" i="63"/>
  <c r="AB127" i="63"/>
  <c r="AB653" i="63"/>
  <c r="AB750" i="63"/>
  <c r="AB731" i="63"/>
  <c r="AB835" i="63"/>
  <c r="AB831" i="63"/>
  <c r="AB871" i="63"/>
  <c r="AB78" i="63"/>
  <c r="AB201" i="63"/>
  <c r="AB621" i="63"/>
  <c r="AB70" i="63"/>
  <c r="AB205" i="63"/>
  <c r="AB739" i="63"/>
  <c r="AB773" i="63"/>
  <c r="AB480" i="63"/>
  <c r="AB561" i="63"/>
  <c r="AB476" i="63"/>
  <c r="AB95" i="63"/>
  <c r="AB485" i="63"/>
  <c r="AB337" i="63"/>
  <c r="AB863" i="63"/>
  <c r="AB728" i="63"/>
  <c r="AB845" i="63"/>
  <c r="AB656" i="63"/>
  <c r="AB516" i="63"/>
  <c r="AB853" i="63"/>
  <c r="AB533" i="63"/>
  <c r="AB679" i="63"/>
  <c r="AB519" i="63"/>
  <c r="AB68" i="63"/>
  <c r="AB740" i="63"/>
  <c r="AB518" i="63"/>
  <c r="AB59" i="63"/>
  <c r="AB373" i="63"/>
  <c r="AB642" i="63"/>
  <c r="AB84" i="63"/>
  <c r="AB855" i="63"/>
  <c r="AB123" i="63"/>
  <c r="AB345" i="63"/>
  <c r="AB601" i="63"/>
  <c r="AB475" i="63"/>
  <c r="AB562" i="63"/>
  <c r="AB403" i="63"/>
  <c r="AB648" i="63"/>
  <c r="AB289" i="63"/>
  <c r="AB517" i="63"/>
  <c r="AB382" i="63"/>
  <c r="AB365" i="63"/>
  <c r="AB317" i="63"/>
  <c r="AB128" i="63"/>
  <c r="AB837" i="63"/>
  <c r="AB110" i="63"/>
  <c r="AB333" i="63"/>
  <c r="AB297" i="63"/>
  <c r="AB350" i="63"/>
  <c r="AB860" i="63"/>
  <c r="AB803" i="63"/>
  <c r="AB213" i="63"/>
  <c r="AB384" i="63"/>
  <c r="AB57" i="63"/>
  <c r="AB678" i="63"/>
  <c r="AB295" i="63"/>
  <c r="AB351" i="63"/>
  <c r="AB856" i="63"/>
  <c r="AB300" i="63"/>
  <c r="AB697" i="63"/>
  <c r="AB885" i="63"/>
  <c r="AB687" i="63"/>
  <c r="AB671" i="63"/>
  <c r="AB778" i="63"/>
  <c r="AB88" i="63"/>
  <c r="AB490" i="63"/>
  <c r="AB787" i="63"/>
  <c r="AB471" i="63"/>
  <c r="AB600" i="63"/>
  <c r="AB609" i="63"/>
  <c r="AB514" i="63"/>
  <c r="AB325" i="63"/>
  <c r="AB310" i="63"/>
  <c r="AB90" i="63"/>
  <c r="AB759" i="63"/>
  <c r="AB344" i="63"/>
  <c r="AB690" i="63"/>
  <c r="AB266" i="63"/>
  <c r="AB877" i="63"/>
  <c r="AB147" i="63"/>
  <c r="AB112" i="63"/>
  <c r="AB829" i="63"/>
  <c r="AB281" i="63"/>
  <c r="AB676" i="63"/>
  <c r="AB650" i="63"/>
  <c r="AB72" i="63"/>
  <c r="AB567" i="63"/>
  <c r="AB649" i="63"/>
  <c r="AB89" i="63"/>
  <c r="AB572" i="63"/>
  <c r="AB841" i="63"/>
  <c r="AB532" i="63"/>
  <c r="AB663" i="63"/>
  <c r="AB626" i="63"/>
  <c r="AB80" i="63"/>
  <c r="AB836" i="63"/>
  <c r="AB664" i="63"/>
  <c r="AB168" i="63"/>
  <c r="AB115" i="63"/>
  <c r="AB888" i="63"/>
  <c r="AB688" i="63"/>
  <c r="AB791" i="63"/>
  <c r="AB288" i="63"/>
  <c r="AB400" i="63"/>
  <c r="AB326" i="63"/>
  <c r="AB745" i="63"/>
  <c r="AB124" i="63"/>
  <c r="AB558" i="63"/>
  <c r="AB564" i="63"/>
  <c r="AB122" i="63"/>
  <c r="AB767" i="63"/>
  <c r="AB832" i="63"/>
  <c r="AB356" i="63"/>
  <c r="AB338" i="63"/>
  <c r="AB367" i="63"/>
  <c r="AB729" i="63"/>
  <c r="AB861" i="63"/>
  <c r="AB486" i="63"/>
  <c r="AB607" i="63"/>
  <c r="AB643" i="63"/>
  <c r="AB126" i="63"/>
  <c r="AB285" i="63"/>
  <c r="AB848" i="63"/>
  <c r="AB531" i="63"/>
  <c r="AB563" i="63"/>
  <c r="AB862" i="63"/>
  <c r="AB696" i="63"/>
  <c r="AB753" i="63"/>
  <c r="AB865" i="63"/>
  <c r="AB62" i="63"/>
  <c r="AB798" i="63"/>
  <c r="AB782" i="63"/>
  <c r="AB176" i="63"/>
  <c r="AB386" i="63"/>
  <c r="AB744" i="63"/>
  <c r="AB630" i="63"/>
  <c r="AB117" i="63"/>
  <c r="AB329" i="63"/>
  <c r="AB806" i="63"/>
  <c r="AB304" i="63"/>
  <c r="AB150" i="63"/>
  <c r="AB280" i="63"/>
  <c r="AB217" i="63"/>
  <c r="AB575" i="63"/>
  <c r="AB574" i="63"/>
  <c r="AB335" i="63"/>
  <c r="AB833" i="63"/>
  <c r="AB520" i="63"/>
  <c r="AB850" i="63"/>
  <c r="AB828" i="63"/>
  <c r="AB513" i="63"/>
  <c r="AB868" i="63"/>
  <c r="AB298" i="63"/>
  <c r="AB107" i="63"/>
  <c r="AB661" i="63"/>
  <c r="AB755" i="63"/>
  <c r="AB362" i="63"/>
  <c r="AB876" i="63"/>
  <c r="AB284" i="63"/>
  <c r="AB399" i="63"/>
  <c r="AB216" i="63"/>
  <c r="AB286" i="63"/>
  <c r="AB794" i="63"/>
  <c r="AB644" i="63"/>
  <c r="AB478" i="63"/>
  <c r="AB383" i="63"/>
  <c r="AB327" i="63"/>
  <c r="AB879" i="63"/>
  <c r="AB355" i="63"/>
  <c r="AB857" i="63"/>
  <c r="AB166" i="63"/>
  <c r="AB526" i="63"/>
  <c r="AB881" i="63"/>
  <c r="AB682" i="63"/>
  <c r="AB784" i="63"/>
  <c r="AB336" i="63"/>
  <c r="AB872" i="63"/>
  <c r="AB114" i="63"/>
  <c r="AB768" i="63"/>
  <c r="AB402" i="63"/>
  <c r="AB104" i="63"/>
  <c r="AB639" i="63"/>
  <c r="AB394" i="63"/>
  <c r="AB393" i="63"/>
  <c r="AB624" i="63"/>
  <c r="AB73" i="63"/>
  <c r="AB481" i="63"/>
  <c r="AB665" i="63"/>
  <c r="AB157" i="63"/>
  <c r="AB270" i="63"/>
  <c r="AB880" i="63"/>
  <c r="AB302" i="63"/>
  <c r="AB262" i="63"/>
  <c r="AB882" i="63"/>
  <c r="AB277" i="63"/>
  <c r="AB307" i="63"/>
  <c r="AB331" i="63"/>
  <c r="AB154" i="63"/>
  <c r="AB775" i="63"/>
  <c r="AB771" i="63"/>
  <c r="AB105" i="63"/>
  <c r="AB762" i="63"/>
  <c r="AB347" i="63"/>
  <c r="AB65" i="63"/>
  <c r="AB747" i="63"/>
  <c r="AB151" i="63"/>
  <c r="AB111" i="63"/>
  <c r="AB878" i="63"/>
  <c r="AB283" i="63"/>
  <c r="AB637" i="63"/>
  <c r="AB569" i="63"/>
  <c r="AB342" i="63"/>
  <c r="AB109" i="63"/>
  <c r="AB64" i="63"/>
  <c r="AB741" i="63"/>
  <c r="AB742" i="63"/>
  <c r="AB121" i="63"/>
  <c r="AB654" i="63"/>
  <c r="AB290" i="63"/>
  <c r="AB263" i="63"/>
  <c r="E9" i="63"/>
  <c r="AB269" i="63"/>
  <c r="AB206" i="63"/>
  <c r="AB622" i="63"/>
  <c r="AB66" i="63"/>
  <c r="AB210" i="63"/>
  <c r="AB370" i="63"/>
  <c r="AB700" i="63"/>
  <c r="AB268" i="63"/>
  <c r="AB324" i="63"/>
  <c r="AB152" i="63"/>
  <c r="AB776" i="63"/>
  <c r="AB691" i="63"/>
  <c r="AB169" i="63"/>
  <c r="AB779" i="63"/>
  <c r="AB279" i="63"/>
  <c r="AB404" i="63"/>
  <c r="AB616" i="63"/>
  <c r="AB334" i="63"/>
  <c r="AB149" i="63"/>
  <c r="AB647" i="63"/>
  <c r="E10" i="63"/>
  <c r="AB785" i="63"/>
  <c r="AB67" i="63"/>
  <c r="AB752" i="63"/>
  <c r="AB727" i="63"/>
  <c r="AB61" i="63"/>
  <c r="AB319" i="63"/>
  <c r="AB788" i="63"/>
  <c r="AB780" i="63"/>
  <c r="AB165" i="63"/>
  <c r="AB684" i="63"/>
  <c r="AB303" i="63"/>
  <c r="AB796" i="63"/>
  <c r="AB274" i="63"/>
  <c r="AB313" i="63"/>
  <c r="AB406" i="63"/>
  <c r="AB198" i="63"/>
  <c r="AB737" i="63"/>
  <c r="AB328" i="63"/>
  <c r="AB685" i="63"/>
  <c r="AB627" i="63"/>
  <c r="AB763" i="63"/>
  <c r="AB751" i="63"/>
  <c r="AB389" i="63"/>
  <c r="AB368" i="63"/>
  <c r="AB264" i="63"/>
  <c r="AB390" i="63"/>
  <c r="AB487" i="63"/>
  <c r="AB632" i="63"/>
  <c r="AB634" i="63"/>
  <c r="AB797" i="63"/>
  <c r="AB287" i="63"/>
  <c r="AB215" i="63"/>
  <c r="AB96" i="63"/>
  <c r="AB401" i="63"/>
  <c r="AB633" i="63"/>
  <c r="AB81" i="63"/>
  <c r="AB346" i="63"/>
  <c r="AB376" i="63"/>
  <c r="AB666" i="63"/>
  <c r="AB174" i="63"/>
  <c r="AB748" i="63"/>
  <c r="AB377" i="63"/>
  <c r="AB91" i="63"/>
  <c r="AB397" i="63"/>
  <c r="AB100" i="63"/>
  <c r="AB321" i="63"/>
  <c r="AB173" i="63"/>
  <c r="AB795" i="63"/>
  <c r="AB636" i="63"/>
  <c r="AB102" i="63"/>
  <c r="AB63" i="63"/>
  <c r="AB610" i="63"/>
  <c r="AB208" i="63"/>
  <c r="AB674" i="63"/>
  <c r="AB560" i="63"/>
  <c r="AB120" i="63"/>
  <c r="AB603" i="63"/>
  <c r="AB159" i="63"/>
  <c r="AB272" i="63"/>
  <c r="AB849" i="63"/>
  <c r="AB804" i="63"/>
  <c r="AB646" i="63"/>
  <c r="AB672" i="63"/>
  <c r="AB864" i="63"/>
  <c r="AB332" i="63"/>
  <c r="AB693" i="63"/>
  <c r="AB125" i="63"/>
  <c r="AB556" i="63"/>
  <c r="AB683" i="63"/>
  <c r="AB790" i="63"/>
  <c r="AB757" i="63"/>
  <c r="AB800" i="63"/>
  <c r="AB629" i="63"/>
  <c r="AB834" i="63"/>
  <c r="AB667" i="63"/>
  <c r="AB214" i="63"/>
  <c r="AB381" i="63"/>
  <c r="AB364" i="63"/>
  <c r="AB606" i="63"/>
  <c r="AB725" i="63"/>
  <c r="AB570" i="63"/>
  <c r="AB689" i="63"/>
  <c r="AB108" i="63"/>
  <c r="AB657" i="63"/>
  <c r="AB830" i="63"/>
  <c r="AB99" i="63"/>
  <c r="AB838" i="63"/>
  <c r="AB167" i="63"/>
  <c r="AB529" i="63"/>
  <c r="AB163" i="63"/>
  <c r="AB267" i="63"/>
  <c r="AB766" i="63"/>
  <c r="AB155" i="63"/>
  <c r="AB792" i="63"/>
  <c r="AB743" i="63"/>
  <c r="AB843" i="63"/>
  <c r="AB732" i="63"/>
  <c r="AB129" i="63"/>
  <c r="AB651" i="63"/>
  <c r="AB85" i="63"/>
  <c r="AB83" i="63"/>
  <c r="AB483" i="63"/>
  <c r="AB884" i="63"/>
  <c r="AB521" i="63"/>
  <c r="AB608" i="63"/>
  <c r="AB296" i="63"/>
  <c r="AB60" i="63"/>
  <c r="AB571" i="63"/>
  <c r="AB523" i="63"/>
  <c r="AB801" i="63"/>
  <c r="AB528" i="63"/>
  <c r="AB491" i="63"/>
  <c r="AB261" i="63"/>
  <c r="AB802" i="63"/>
  <c r="AB738" i="63"/>
  <c r="E11" i="63"/>
  <c r="AB793" i="63"/>
  <c r="AB866" i="63"/>
  <c r="AB887" i="63"/>
  <c r="AB357" i="63"/>
  <c r="AB348" i="63"/>
  <c r="AB374" i="63"/>
  <c r="AB361" i="63"/>
  <c r="AB599" i="63"/>
  <c r="AB638" i="63"/>
  <c r="AB316" i="63"/>
  <c r="AB199" i="63"/>
  <c r="AB172" i="63"/>
  <c r="AB618" i="63"/>
  <c r="AB354" i="63"/>
  <c r="AB883" i="63"/>
  <c r="AB472" i="63"/>
  <c r="AB118" i="63"/>
  <c r="AB301" i="63"/>
  <c r="AB305" i="63"/>
  <c r="AB615" i="63"/>
  <c r="AB870" i="63"/>
  <c r="AB769" i="63"/>
  <c r="AB162" i="63"/>
  <c r="AB359" i="63"/>
  <c r="AB695" i="63"/>
  <c r="AB378" i="63"/>
  <c r="AB680" i="63"/>
  <c r="AB805" i="63"/>
  <c r="AB398" i="63"/>
  <c r="AB625" i="63"/>
  <c r="AB212" i="63"/>
  <c r="AB391" i="63"/>
  <c r="AB597" i="63"/>
  <c r="AB71" i="63"/>
  <c r="AB340" i="63"/>
  <c r="AB858" i="63"/>
  <c r="AB726" i="63"/>
  <c r="AB566" i="63"/>
  <c r="AB291" i="63"/>
  <c r="AB116" i="63"/>
  <c r="AB889" i="63"/>
  <c r="AB405" i="63"/>
  <c r="AB613" i="63"/>
  <c r="AB677" i="63"/>
  <c r="AB170" i="63"/>
  <c r="AB660" i="63"/>
  <c r="AB758" i="63"/>
  <c r="AB265" i="63"/>
  <c r="AB760" i="63"/>
  <c r="AB278" i="63"/>
  <c r="AB312" i="63"/>
  <c r="AB148" i="63"/>
  <c r="AB93" i="63"/>
  <c r="AB733" i="63"/>
  <c r="AB851" i="63"/>
  <c r="AB339" i="63"/>
  <c r="AB617" i="63"/>
  <c r="AB474" i="63"/>
  <c r="AB318" i="63"/>
  <c r="AB859" i="63"/>
  <c r="AB525" i="63"/>
  <c r="AB846" i="63"/>
  <c r="AB175" i="63"/>
  <c r="AB789" i="63"/>
  <c r="AB869" i="63"/>
  <c r="AB777" i="63"/>
  <c r="AB746" i="63"/>
  <c r="AB698" i="63"/>
  <c r="AB765" i="63"/>
  <c r="AB207" i="63"/>
  <c r="AB106" i="63"/>
  <c r="AB119" i="63"/>
  <c r="AB873" i="63"/>
  <c r="AB786" i="63"/>
  <c r="AB306" i="63"/>
  <c r="AB203" i="63"/>
  <c r="AB314" i="63"/>
  <c r="AB293" i="63"/>
  <c r="AB271" i="63"/>
  <c r="AB79" i="63"/>
  <c r="AB844" i="63"/>
  <c r="AB92" i="63"/>
  <c r="AB692" i="63"/>
  <c r="AB282" i="63"/>
  <c r="AB273" i="63"/>
  <c r="AB94" i="63"/>
  <c r="AB86" i="63"/>
  <c r="AB366" i="63"/>
  <c r="AB734" i="63"/>
  <c r="AB559" i="63"/>
  <c r="AB605" i="63"/>
  <c r="AB867" i="63"/>
  <c r="AB699" i="63"/>
  <c r="AB113" i="63"/>
  <c r="AB749" i="63"/>
  <c r="AB309" i="63"/>
  <c r="AB602" i="63"/>
  <c r="AB764" i="63"/>
  <c r="AB655" i="63"/>
  <c r="AB161" i="63"/>
  <c r="AB886" i="63"/>
  <c r="AB614" i="63"/>
  <c r="AB515" i="63"/>
  <c r="AB772" i="63"/>
  <c r="AB482" i="63"/>
  <c r="AB323" i="63"/>
  <c r="AB358" i="63"/>
  <c r="AB308" i="63"/>
  <c r="AB473" i="63"/>
  <c r="AB488" i="63"/>
  <c r="AB635" i="63"/>
  <c r="AB524" i="63"/>
  <c r="AB852" i="63"/>
  <c r="AB735" i="63"/>
  <c r="AB670" i="63"/>
  <c r="AB686" i="63"/>
  <c r="AB701" i="63"/>
  <c r="AB754" i="63"/>
  <c r="AB396" i="63"/>
  <c r="AB640" i="63"/>
  <c r="AB530" i="63"/>
  <c r="AB379" i="63"/>
  <c r="AB761" i="63"/>
  <c r="AB276" i="63"/>
  <c r="AB311" i="63"/>
  <c r="AB320" i="63"/>
  <c r="AB723" i="63"/>
  <c r="AB330" i="63"/>
  <c r="AB477" i="63"/>
  <c r="AB209" i="63"/>
  <c r="AB619" i="63"/>
  <c r="AB58" i="63"/>
  <c r="AB82" i="63"/>
  <c r="AB565" i="63"/>
  <c r="AB522" i="63"/>
  <c r="AB662" i="63"/>
  <c r="AB756" i="63"/>
  <c r="AB527" i="63"/>
  <c r="AB839" i="63"/>
  <c r="AB681" i="63"/>
  <c r="AB781" i="63"/>
  <c r="AB153" i="63"/>
  <c r="AB97" i="63"/>
  <c r="AB375" i="63"/>
  <c r="AB131" i="63"/>
  <c r="AB673" i="63"/>
  <c r="AB349" i="63"/>
  <c r="AB675" i="63"/>
  <c r="AB275" i="63"/>
  <c r="AB598" i="63"/>
  <c r="AB299" i="63"/>
  <c r="AB658" i="63"/>
  <c r="AB659" i="63"/>
  <c r="AB294" i="63"/>
  <c r="AB69" i="63"/>
  <c r="AB87" i="63"/>
  <c r="AB292" i="63"/>
  <c r="AB652" i="63"/>
  <c r="AB204" i="63"/>
  <c r="AB611" i="63"/>
  <c r="AB341" i="63"/>
  <c r="AB854" i="63"/>
  <c r="AB218" i="63"/>
  <c r="AB202" i="63"/>
  <c r="AB668" i="63"/>
  <c r="AB369" i="63"/>
  <c r="AB395" i="63"/>
  <c r="AB557" i="63"/>
  <c r="AB774" i="63"/>
  <c r="AB840" i="63"/>
  <c r="AB74" i="63"/>
  <c r="AB363" i="63"/>
  <c r="AB171" i="63"/>
  <c r="AB103" i="63"/>
  <c r="AB352" i="63"/>
  <c r="AB77" i="63"/>
  <c r="AB641" i="63"/>
  <c r="AB200" i="63"/>
  <c r="AB694" i="63"/>
  <c r="AB799" i="63"/>
  <c r="AB385" i="63"/>
  <c r="AB875" i="63"/>
  <c r="AB770" i="63"/>
  <c r="AB164" i="63"/>
  <c r="AB372" i="63"/>
  <c r="AB736" i="63"/>
  <c r="AB380" i="63"/>
  <c r="AB874" i="63"/>
  <c r="AB353" i="63"/>
  <c r="AB842" i="63"/>
  <c r="AB160" i="63"/>
  <c r="AB783" i="63"/>
  <c r="AB631" i="63"/>
  <c r="AB612" i="63"/>
  <c r="AB315" i="63"/>
  <c r="AB479" i="63"/>
  <c r="AB730" i="63"/>
  <c r="AB724" i="63"/>
  <c r="AB371" i="63"/>
  <c r="AB130" i="63"/>
  <c r="AB620" i="63"/>
  <c r="AB158" i="63"/>
  <c r="AB211" i="63"/>
  <c r="AB156" i="63"/>
  <c r="AF118" i="63" l="1"/>
  <c r="AF149" i="63"/>
  <c r="AD433" i="63"/>
  <c r="AD59" i="63"/>
  <c r="AD90" i="63"/>
  <c r="AD136" i="63"/>
  <c r="AD182" i="63"/>
  <c r="AF125" i="63"/>
  <c r="AF156" i="63"/>
  <c r="AD446" i="63"/>
  <c r="AD66" i="63"/>
  <c r="AD97" i="63"/>
  <c r="AD143" i="63"/>
  <c r="AF124" i="63"/>
  <c r="AD444" i="63"/>
  <c r="AD96" i="63"/>
  <c r="AD187" i="63"/>
  <c r="AD203" i="63"/>
  <c r="AD219" i="63"/>
  <c r="AD235" i="63"/>
  <c r="AD251" i="63"/>
  <c r="AD267" i="63"/>
  <c r="AD304" i="63"/>
  <c r="AD321" i="63"/>
  <c r="AD358" i="63"/>
  <c r="AD374" i="63"/>
  <c r="AD436" i="63"/>
  <c r="AD640" i="63"/>
  <c r="AD712" i="63"/>
  <c r="AD742" i="63"/>
  <c r="AD855" i="63"/>
  <c r="AD884" i="63"/>
  <c r="AD467" i="63"/>
  <c r="AD504" i="63"/>
  <c r="AD583" i="63"/>
  <c r="AD644" i="63"/>
  <c r="AD720" i="63"/>
  <c r="AD818" i="63"/>
  <c r="AD874" i="63"/>
  <c r="AF601" i="63"/>
  <c r="AF674" i="63"/>
  <c r="AF158" i="63"/>
  <c r="AD68" i="63"/>
  <c r="AD145" i="63"/>
  <c r="AD196" i="63"/>
  <c r="AD212" i="63"/>
  <c r="AD228" i="63"/>
  <c r="AD244" i="63"/>
  <c r="AD260" i="63"/>
  <c r="AD276" i="63"/>
  <c r="AD314" i="63"/>
  <c r="AD351" i="63"/>
  <c r="AD367" i="63"/>
  <c r="AD383" i="63"/>
  <c r="AD456" i="63"/>
  <c r="AD657" i="63"/>
  <c r="AD729" i="63"/>
  <c r="AD821" i="63"/>
  <c r="AD871" i="63"/>
  <c r="AD460" i="63"/>
  <c r="AD497" i="63"/>
  <c r="AD576" i="63"/>
  <c r="AD592" i="63"/>
  <c r="AD704" i="63"/>
  <c r="AD739" i="63"/>
  <c r="AD859" i="63"/>
  <c r="AF391" i="63"/>
  <c r="AF661" i="63"/>
  <c r="AF775" i="63"/>
  <c r="AF842" i="63"/>
  <c r="AF520" i="63"/>
  <c r="AF602" i="63"/>
  <c r="AF151" i="63"/>
  <c r="AD61" i="63"/>
  <c r="AD138" i="63"/>
  <c r="AD193" i="63"/>
  <c r="AD209" i="63"/>
  <c r="AD225" i="63"/>
  <c r="AD241" i="63"/>
  <c r="AD257" i="63"/>
  <c r="AD273" i="63"/>
  <c r="AD310" i="63"/>
  <c r="AD348" i="63"/>
  <c r="AD364" i="63"/>
  <c r="AD380" i="63"/>
  <c r="AF122" i="63"/>
  <c r="AF153" i="63"/>
  <c r="AD440" i="63"/>
  <c r="AD63" i="63"/>
  <c r="AD94" i="63"/>
  <c r="AD140" i="63"/>
  <c r="AD186" i="63"/>
  <c r="AF129" i="63"/>
  <c r="AF160" i="63"/>
  <c r="AD453" i="63"/>
  <c r="AD70" i="63"/>
  <c r="AD101" i="63"/>
  <c r="AD177" i="63"/>
  <c r="AF147" i="63"/>
  <c r="AD459" i="63"/>
  <c r="AD134" i="63"/>
  <c r="AD191" i="63"/>
  <c r="AD207" i="63"/>
  <c r="AD223" i="63"/>
  <c r="AD239" i="63"/>
  <c r="AD255" i="63"/>
  <c r="AD271" i="63"/>
  <c r="AD308" i="63"/>
  <c r="AD346" i="63"/>
  <c r="AD362" i="63"/>
  <c r="AD378" i="63"/>
  <c r="AD445" i="63"/>
  <c r="AD647" i="63"/>
  <c r="AD719" i="63"/>
  <c r="AD812" i="63"/>
  <c r="AD862" i="63"/>
  <c r="AF388" i="63"/>
  <c r="AD492" i="63"/>
  <c r="AD508" i="63"/>
  <c r="AD587" i="63"/>
  <c r="AD652" i="63"/>
  <c r="AD728" i="63"/>
  <c r="AD826" i="63"/>
  <c r="AD883" i="63"/>
  <c r="AF608" i="63"/>
  <c r="AF119" i="63"/>
  <c r="AD435" i="63"/>
  <c r="AD91" i="63"/>
  <c r="AD183" i="63"/>
  <c r="AD200" i="63"/>
  <c r="AD216" i="63"/>
  <c r="AD232" i="63"/>
  <c r="AD248" i="63"/>
  <c r="AD264" i="63"/>
  <c r="AD280" i="63"/>
  <c r="AD318" i="63"/>
  <c r="AD355" i="63"/>
  <c r="AD371" i="63"/>
  <c r="AD430" i="63"/>
  <c r="AF397" i="63"/>
  <c r="AD706" i="63"/>
  <c r="AD736" i="63"/>
  <c r="AD849" i="63"/>
  <c r="AD878" i="63"/>
  <c r="AD464" i="63"/>
  <c r="AD501" i="63"/>
  <c r="AD580" i="63"/>
  <c r="AD596" i="63"/>
  <c r="AD713" i="63"/>
  <c r="AD811" i="63"/>
  <c r="AD867" i="63"/>
  <c r="AF407" i="63"/>
  <c r="AF668" i="63"/>
  <c r="AF781" i="63"/>
  <c r="AF390" i="63"/>
  <c r="AF524" i="63"/>
  <c r="AF611" i="63"/>
  <c r="AF159" i="63"/>
  <c r="AD69" i="63"/>
  <c r="AD146" i="63"/>
  <c r="AD197" i="63"/>
  <c r="AD213" i="63"/>
  <c r="AD229" i="63"/>
  <c r="AD245" i="63"/>
  <c r="AD261" i="63"/>
  <c r="AD277" i="63"/>
  <c r="AD315" i="63"/>
  <c r="AD352" i="63"/>
  <c r="AD368" i="63"/>
  <c r="AF126" i="63"/>
  <c r="AF157" i="63"/>
  <c r="AD448" i="63"/>
  <c r="AD67" i="63"/>
  <c r="AD98" i="63"/>
  <c r="AD144" i="63"/>
  <c r="AF117" i="63"/>
  <c r="AF148" i="63"/>
  <c r="AD431" i="63"/>
  <c r="AD58" i="63"/>
  <c r="AD89" i="63"/>
  <c r="AD135" i="63"/>
  <c r="AD181" i="63"/>
  <c r="AF155" i="63"/>
  <c r="AD65" i="63"/>
  <c r="AD142" i="63"/>
  <c r="AD195" i="63"/>
  <c r="AD211" i="63"/>
  <c r="AD227" i="63"/>
  <c r="AD243" i="63"/>
  <c r="AD259" i="63"/>
  <c r="AD275" i="63"/>
  <c r="AD313" i="63"/>
  <c r="AD350" i="63"/>
  <c r="AD366" i="63"/>
  <c r="AD382" i="63"/>
  <c r="AD454" i="63"/>
  <c r="AD655" i="63"/>
  <c r="AD727" i="63"/>
  <c r="AD819" i="63"/>
  <c r="AD869" i="63"/>
  <c r="AF404" i="63"/>
  <c r="AD496" i="63"/>
  <c r="AD512" i="63"/>
  <c r="AD591" i="63"/>
  <c r="AD702" i="63"/>
  <c r="AD737" i="63"/>
  <c r="AD857" i="63"/>
  <c r="AF387" i="63"/>
  <c r="AF616" i="63"/>
  <c r="AF127" i="63"/>
  <c r="AD450" i="63"/>
  <c r="AD99" i="63"/>
  <c r="AD188" i="63"/>
  <c r="AD204" i="63"/>
  <c r="AD220" i="63"/>
  <c r="AD236" i="63"/>
  <c r="AD252" i="63"/>
  <c r="AD268" i="63"/>
  <c r="AD305" i="63"/>
  <c r="AD322" i="63"/>
  <c r="AD359" i="63"/>
  <c r="AD375" i="63"/>
  <c r="AD439" i="63"/>
  <c r="AD642" i="63"/>
  <c r="AD714" i="63"/>
  <c r="AD743" i="63"/>
  <c r="AD856" i="63"/>
  <c r="AD886" i="63"/>
  <c r="AD468" i="63"/>
  <c r="AD505" i="63"/>
  <c r="AD584" i="63"/>
  <c r="AD646" i="63"/>
  <c r="AD722" i="63"/>
  <c r="AD820" i="63"/>
  <c r="AD876" i="63"/>
  <c r="AF603" i="63"/>
  <c r="AF676" i="63"/>
  <c r="AF785" i="63"/>
  <c r="AF406" i="63"/>
  <c r="AF528" i="63"/>
  <c r="AF120" i="63"/>
  <c r="AD437" i="63"/>
  <c r="AD92" i="63"/>
  <c r="AD184" i="63"/>
  <c r="AD201" i="63"/>
  <c r="AD217" i="63"/>
  <c r="AD233" i="63"/>
  <c r="AD249" i="63"/>
  <c r="AD265" i="63"/>
  <c r="AD281" i="63"/>
  <c r="AD319" i="63"/>
  <c r="AD356" i="63"/>
  <c r="AD372" i="63"/>
  <c r="AF130" i="63"/>
  <c r="AF161" i="63"/>
  <c r="AD455" i="63"/>
  <c r="AD71" i="63"/>
  <c r="AD132" i="63"/>
  <c r="AD178" i="63"/>
  <c r="AF121" i="63"/>
  <c r="AF152" i="63"/>
  <c r="AD438" i="63"/>
  <c r="AD62" i="63"/>
  <c r="AD93" i="63"/>
  <c r="AD139" i="63"/>
  <c r="AD57" i="63"/>
  <c r="AD429" i="63"/>
  <c r="AD88" i="63"/>
  <c r="AD180" i="63"/>
  <c r="AD199" i="63"/>
  <c r="AD215" i="63"/>
  <c r="AD231" i="63"/>
  <c r="AD247" i="63"/>
  <c r="AD263" i="63"/>
  <c r="AD279" i="63"/>
  <c r="AD317" i="63"/>
  <c r="AD354" i="63"/>
  <c r="AD370" i="63"/>
  <c r="AD386" i="63"/>
  <c r="AF393" i="63"/>
  <c r="AD705" i="63"/>
  <c r="AD734" i="63"/>
  <c r="AD827" i="63"/>
  <c r="AD877" i="63"/>
  <c r="AD463" i="63"/>
  <c r="AD500" i="63"/>
  <c r="AD579" i="63"/>
  <c r="AD595" i="63"/>
  <c r="AD711" i="63"/>
  <c r="AD809" i="63"/>
  <c r="AD865" i="63"/>
  <c r="AF403" i="63"/>
  <c r="AF667" i="63"/>
  <c r="AF150" i="63"/>
  <c r="AD60" i="63"/>
  <c r="AD137" i="63"/>
  <c r="AD192" i="63"/>
  <c r="AD208" i="63"/>
  <c r="AD224" i="63"/>
  <c r="AD240" i="63"/>
  <c r="AD256" i="63"/>
  <c r="AD272" i="63"/>
  <c r="AD309" i="63"/>
  <c r="AD347" i="63"/>
  <c r="AD363" i="63"/>
  <c r="AD379" i="63"/>
  <c r="AD447" i="63"/>
  <c r="AD649" i="63"/>
  <c r="AD721" i="63"/>
  <c r="AD813" i="63"/>
  <c r="AD864" i="63"/>
  <c r="AF392" i="63"/>
  <c r="AD493" i="63"/>
  <c r="AD509" i="63"/>
  <c r="AD588" i="63"/>
  <c r="AD654" i="63"/>
  <c r="AD731" i="63"/>
  <c r="AD850" i="63"/>
  <c r="AD885" i="63"/>
  <c r="AF610" i="63"/>
  <c r="AF767" i="63"/>
  <c r="AF833" i="63"/>
  <c r="AF516" i="63"/>
  <c r="AF532" i="63"/>
  <c r="AF128" i="63"/>
  <c r="AD451" i="63"/>
  <c r="AD100" i="63"/>
  <c r="AD189" i="63"/>
  <c r="AD205" i="63"/>
  <c r="AD221" i="63"/>
  <c r="AD237" i="63"/>
  <c r="AD253" i="63"/>
  <c r="AD269" i="63"/>
  <c r="AD306" i="63"/>
  <c r="AD323" i="63"/>
  <c r="AD360" i="63"/>
  <c r="AD376" i="63"/>
  <c r="AD441" i="63"/>
  <c r="AD643" i="63"/>
  <c r="AD715" i="63"/>
  <c r="AD808" i="63"/>
  <c r="AD858" i="63"/>
  <c r="AD888" i="63"/>
  <c r="AD469" i="63"/>
  <c r="AD506" i="63"/>
  <c r="AD585" i="63"/>
  <c r="AD648" i="63"/>
  <c r="AD724" i="63"/>
  <c r="AD822" i="63"/>
  <c r="AD879" i="63"/>
  <c r="AF604" i="63"/>
  <c r="AF678" i="63"/>
  <c r="AF828" i="63"/>
  <c r="AF513" i="63"/>
  <c r="AF529" i="63"/>
  <c r="AF662" i="63"/>
  <c r="AD194" i="63"/>
  <c r="AD258" i="63"/>
  <c r="AD365" i="63"/>
  <c r="AD725" i="63"/>
  <c r="AD495" i="63"/>
  <c r="AD735" i="63"/>
  <c r="AF765" i="63"/>
  <c r="AF515" i="63"/>
  <c r="AF664" i="63"/>
  <c r="AF831" i="63"/>
  <c r="AB421" i="63"/>
  <c r="AB411" i="63"/>
  <c r="AD198" i="63"/>
  <c r="AD262" i="63"/>
  <c r="AD369" i="63"/>
  <c r="AD732" i="63"/>
  <c r="AD499" i="63"/>
  <c r="AD807" i="63"/>
  <c r="AF771" i="63"/>
  <c r="AF518" i="63"/>
  <c r="AF666" i="63"/>
  <c r="AF834" i="63"/>
  <c r="AB412" i="63"/>
  <c r="AF123" i="63"/>
  <c r="AD202" i="63"/>
  <c r="AD266" i="63"/>
  <c r="AD373" i="63"/>
  <c r="AD740" i="63"/>
  <c r="AD503" i="63"/>
  <c r="AD816" i="63"/>
  <c r="AF773" i="63"/>
  <c r="AF519" i="63"/>
  <c r="AF669" i="63"/>
  <c r="AF835" i="63"/>
  <c r="AB419" i="63"/>
  <c r="AD133" i="63"/>
  <c r="AD890" i="63"/>
  <c r="AF607" i="63"/>
  <c r="AD190" i="63"/>
  <c r="AD470" i="63"/>
  <c r="AF660" i="63"/>
  <c r="AD457" i="63"/>
  <c r="AF830" i="63"/>
  <c r="AD206" i="63"/>
  <c r="AD507" i="63"/>
  <c r="AF671" i="63"/>
  <c r="AD860" i="63"/>
  <c r="AD449" i="63"/>
  <c r="AD651" i="63"/>
  <c r="AD723" i="63"/>
  <c r="AD815" i="63"/>
  <c r="AD866" i="63"/>
  <c r="AF396" i="63"/>
  <c r="AD494" i="63"/>
  <c r="AD510" i="63"/>
  <c r="AD589" i="63"/>
  <c r="AD656" i="63"/>
  <c r="AD733" i="63"/>
  <c r="AD852" i="63"/>
  <c r="AD887" i="63"/>
  <c r="AF612" i="63"/>
  <c r="AF769" i="63"/>
  <c r="AF836" i="63"/>
  <c r="AF517" i="63"/>
  <c r="AF533" i="63"/>
  <c r="AF154" i="63"/>
  <c r="AD210" i="63"/>
  <c r="AD274" i="63"/>
  <c r="AD381" i="63"/>
  <c r="AD817" i="63"/>
  <c r="AD511" i="63"/>
  <c r="AD854" i="63"/>
  <c r="AF780" i="63"/>
  <c r="AF523" i="63"/>
  <c r="AF673" i="63"/>
  <c r="AF839" i="63"/>
  <c r="AB409" i="63"/>
  <c r="AD312" i="63"/>
  <c r="AD214" i="63"/>
  <c r="AD278" i="63"/>
  <c r="AD385" i="63"/>
  <c r="AD825" i="63"/>
  <c r="AD578" i="63"/>
  <c r="AD863" i="63"/>
  <c r="AF783" i="63"/>
  <c r="AF526" i="63"/>
  <c r="AF675" i="63"/>
  <c r="AF841" i="63"/>
  <c r="AB408" i="63"/>
  <c r="AD442" i="63"/>
  <c r="AD218" i="63"/>
  <c r="AD303" i="63"/>
  <c r="AD434" i="63"/>
  <c r="AD853" i="63"/>
  <c r="AD582" i="63"/>
  <c r="AD872" i="63"/>
  <c r="AF784" i="63"/>
  <c r="AF527" i="63"/>
  <c r="AF677" i="63"/>
  <c r="AF843" i="63"/>
  <c r="AB413" i="63"/>
  <c r="AD238" i="63"/>
  <c r="AD650" i="63"/>
  <c r="AF772" i="63"/>
  <c r="AD254" i="63"/>
  <c r="AD726" i="63"/>
  <c r="AF829" i="63"/>
  <c r="AD222" i="63"/>
  <c r="AF679" i="63"/>
  <c r="AD270" i="63"/>
  <c r="AD824" i="63"/>
  <c r="AF837" i="63"/>
  <c r="AD881" i="63"/>
  <c r="AD384" i="63"/>
  <c r="AD458" i="63"/>
  <c r="AD659" i="63"/>
  <c r="AD730" i="63"/>
  <c r="AD823" i="63"/>
  <c r="AD873" i="63"/>
  <c r="AD461" i="63"/>
  <c r="AD498" i="63"/>
  <c r="AD577" i="63"/>
  <c r="AD593" i="63"/>
  <c r="AD707" i="63"/>
  <c r="AD741" i="63"/>
  <c r="AD861" i="63"/>
  <c r="AF395" i="63"/>
  <c r="AF663" i="63"/>
  <c r="AF777" i="63"/>
  <c r="AF844" i="63"/>
  <c r="AF521" i="63"/>
  <c r="AF605" i="63"/>
  <c r="AD64" i="63"/>
  <c r="AD226" i="63"/>
  <c r="AD311" i="63"/>
  <c r="AD452" i="63"/>
  <c r="AD868" i="63"/>
  <c r="AD590" i="63"/>
  <c r="AD889" i="63"/>
  <c r="AF832" i="63"/>
  <c r="AF531" i="63"/>
  <c r="AF766" i="63"/>
  <c r="AF848" i="63"/>
  <c r="AB422" i="63"/>
  <c r="AD87" i="63"/>
  <c r="AD230" i="63"/>
  <c r="AD316" i="63"/>
  <c r="AF389" i="63"/>
  <c r="AD875" i="63"/>
  <c r="AD594" i="63"/>
  <c r="AF399" i="63"/>
  <c r="AF838" i="63"/>
  <c r="AF598" i="63"/>
  <c r="AF768" i="63"/>
  <c r="G10" i="63"/>
  <c r="AB424" i="63"/>
  <c r="AD95" i="63"/>
  <c r="AD234" i="63"/>
  <c r="AD320" i="63"/>
  <c r="AF405" i="63"/>
  <c r="AD882" i="63"/>
  <c r="AD641" i="63"/>
  <c r="AF599" i="63"/>
  <c r="AF840" i="63"/>
  <c r="AF600" i="63"/>
  <c r="AF770" i="63"/>
  <c r="G9" i="63"/>
  <c r="AB417" i="63"/>
  <c r="AD345" i="63"/>
  <c r="AF606" i="63"/>
  <c r="G11" i="63"/>
  <c r="AD361" i="63"/>
  <c r="AF680" i="63"/>
  <c r="AB426" i="63"/>
  <c r="AD443" i="63"/>
  <c r="AB428" i="63"/>
  <c r="AD377" i="63"/>
  <c r="AF779" i="63"/>
  <c r="AB418" i="63"/>
  <c r="AF530" i="63"/>
  <c r="AD432" i="63"/>
  <c r="AF401" i="63"/>
  <c r="AD708" i="63"/>
  <c r="AD738" i="63"/>
  <c r="AD851" i="63"/>
  <c r="AD880" i="63"/>
  <c r="AD465" i="63"/>
  <c r="AD502" i="63"/>
  <c r="AD581" i="63"/>
  <c r="AD639" i="63"/>
  <c r="AD716" i="63"/>
  <c r="AD814" i="63"/>
  <c r="AD870" i="63"/>
  <c r="AF597" i="63"/>
  <c r="AF670" i="63"/>
  <c r="AF782" i="63"/>
  <c r="AF394" i="63"/>
  <c r="AF525" i="63"/>
  <c r="AF613" i="63"/>
  <c r="AD141" i="63"/>
  <c r="AD242" i="63"/>
  <c r="AD349" i="63"/>
  <c r="AD653" i="63"/>
  <c r="AF400" i="63"/>
  <c r="AD658" i="63"/>
  <c r="AF614" i="63"/>
  <c r="AF847" i="63"/>
  <c r="AF609" i="63"/>
  <c r="AF774" i="63"/>
  <c r="AB416" i="63"/>
  <c r="AB423" i="63"/>
  <c r="AD179" i="63"/>
  <c r="AD246" i="63"/>
  <c r="AD353" i="63"/>
  <c r="AD703" i="63"/>
  <c r="AD462" i="63"/>
  <c r="AD709" i="63"/>
  <c r="AF665" i="63"/>
  <c r="AF398" i="63"/>
  <c r="AF615" i="63"/>
  <c r="AF776" i="63"/>
  <c r="AB427" i="63"/>
  <c r="AB414" i="63"/>
  <c r="AD185" i="63"/>
  <c r="AD250" i="63"/>
  <c r="AD357" i="63"/>
  <c r="AD710" i="63"/>
  <c r="AD466" i="63"/>
  <c r="AD718" i="63"/>
  <c r="AF672" i="63"/>
  <c r="AF402" i="63"/>
  <c r="AF617" i="63"/>
  <c r="AF778" i="63"/>
  <c r="AB415" i="63"/>
  <c r="AB425" i="63"/>
  <c r="AD645" i="63"/>
  <c r="AF845" i="63"/>
  <c r="AB420" i="63"/>
  <c r="AD717" i="63"/>
  <c r="AF514" i="63"/>
  <c r="AB410" i="63"/>
  <c r="AD586" i="63"/>
  <c r="AF131" i="63"/>
  <c r="AD810" i="63"/>
  <c r="AF522" i="63"/>
  <c r="AD307" i="63"/>
  <c r="AF846" i="63"/>
  <c r="F4" i="63"/>
  <c r="AD72" i="63" l="1"/>
  <c r="AD103" i="63"/>
  <c r="AD119" i="63"/>
  <c r="AD150" i="63"/>
  <c r="AD166" i="63"/>
  <c r="AD329" i="63"/>
  <c r="AD387" i="63"/>
  <c r="AD404" i="63"/>
  <c r="AD662" i="63"/>
  <c r="AD692" i="63"/>
  <c r="AD764" i="63"/>
  <c r="AD795" i="63"/>
  <c r="AD845" i="63"/>
  <c r="AD485" i="63"/>
  <c r="AD522" i="63"/>
  <c r="AD559" i="63"/>
  <c r="AD597" i="63"/>
  <c r="AD613" i="63"/>
  <c r="AD660" i="63"/>
  <c r="AD695" i="63"/>
  <c r="AD771" i="63"/>
  <c r="AD805" i="63"/>
  <c r="AB512" i="63"/>
  <c r="AB440" i="63"/>
  <c r="AB258" i="63"/>
  <c r="AB433" i="63"/>
  <c r="AB580" i="63"/>
  <c r="AB706" i="63"/>
  <c r="AB189" i="63"/>
  <c r="AB547" i="63"/>
  <c r="AB194" i="63"/>
  <c r="AB254" i="63"/>
  <c r="AB454" i="63"/>
  <c r="AB144" i="63"/>
  <c r="AB240" i="63"/>
  <c r="AB825" i="63"/>
  <c r="AD73" i="63"/>
  <c r="AD104" i="63"/>
  <c r="AD120" i="63"/>
  <c r="AD151" i="63"/>
  <c r="AD167" i="63"/>
  <c r="AD330" i="63"/>
  <c r="AD388" i="63"/>
  <c r="AD405" i="63"/>
  <c r="AD664" i="63"/>
  <c r="AD694" i="63"/>
  <c r="AD766" i="63"/>
  <c r="AD797" i="63"/>
  <c r="AD847" i="63"/>
  <c r="AD486" i="63"/>
  <c r="AD523" i="63"/>
  <c r="AD560" i="63"/>
  <c r="AD598" i="63"/>
  <c r="AD614" i="63"/>
  <c r="AD663" i="63"/>
  <c r="AD698" i="63"/>
  <c r="AD773" i="63"/>
  <c r="AD829" i="63"/>
  <c r="AB501" i="63"/>
  <c r="AB712" i="63"/>
  <c r="AB247" i="63"/>
  <c r="AB721" i="63"/>
  <c r="AB195" i="63"/>
  <c r="AB709" i="63"/>
  <c r="AB452" i="63"/>
  <c r="AD403" i="63"/>
  <c r="AD102" i="63"/>
  <c r="AD118" i="63"/>
  <c r="AD149" i="63"/>
  <c r="AD165" i="63"/>
  <c r="AD328" i="63"/>
  <c r="AD344" i="63"/>
  <c r="AD402" i="63"/>
  <c r="AD661" i="63"/>
  <c r="AD690" i="63"/>
  <c r="AD762" i="63"/>
  <c r="AD793" i="63"/>
  <c r="AD76" i="63"/>
  <c r="AD107" i="63"/>
  <c r="AD123" i="63"/>
  <c r="AD154" i="63"/>
  <c r="AD170" i="63"/>
  <c r="AD333" i="63"/>
  <c r="AD391" i="63"/>
  <c r="AD569" i="63"/>
  <c r="AD670" i="63"/>
  <c r="AD699" i="63"/>
  <c r="AD772" i="63"/>
  <c r="AD803" i="63"/>
  <c r="AD473" i="63"/>
  <c r="AD489" i="63"/>
  <c r="AD526" i="63"/>
  <c r="AD563" i="63"/>
  <c r="AD601" i="63"/>
  <c r="AD618" i="63"/>
  <c r="AD669" i="63"/>
  <c r="AD746" i="63"/>
  <c r="AD779" i="63"/>
  <c r="AD835" i="63"/>
  <c r="AB584" i="63"/>
  <c r="AB554" i="63"/>
  <c r="AB241" i="63"/>
  <c r="AB503" i="63"/>
  <c r="AB250" i="63"/>
  <c r="AB594" i="63"/>
  <c r="AB255" i="63"/>
  <c r="AB587" i="63"/>
  <c r="AB235" i="63"/>
  <c r="AB143" i="63"/>
  <c r="AB504" i="63"/>
  <c r="AB441" i="63"/>
  <c r="AB451" i="63"/>
  <c r="AB137" i="63"/>
  <c r="AD77" i="63"/>
  <c r="AD108" i="63"/>
  <c r="AD124" i="63"/>
  <c r="AD155" i="63"/>
  <c r="AD171" i="63"/>
  <c r="AD334" i="63"/>
  <c r="AD392" i="63"/>
  <c r="AD616" i="63"/>
  <c r="AD672" i="63"/>
  <c r="AD701" i="63"/>
  <c r="AD774" i="63"/>
  <c r="AD804" i="63"/>
  <c r="AD474" i="63"/>
  <c r="AD490" i="63"/>
  <c r="AD527" i="63"/>
  <c r="AD564" i="63"/>
  <c r="AD602" i="63"/>
  <c r="AD619" i="63"/>
  <c r="AD671" i="63"/>
  <c r="AD748" i="63"/>
  <c r="AD781" i="63"/>
  <c r="AD837" i="63"/>
  <c r="AB437" i="63"/>
  <c r="AB590" i="63"/>
  <c r="AB436" i="63"/>
  <c r="AB500" i="63"/>
  <c r="AB457" i="63"/>
  <c r="AB538" i="63"/>
  <c r="AB226" i="63"/>
  <c r="AD75" i="63"/>
  <c r="AD106" i="63"/>
  <c r="AD122" i="63"/>
  <c r="AD153" i="63"/>
  <c r="AD169" i="63"/>
  <c r="AD332" i="63"/>
  <c r="AD390" i="63"/>
  <c r="AD407" i="63"/>
  <c r="AD668" i="63"/>
  <c r="AD697" i="63"/>
  <c r="AD770" i="63"/>
  <c r="AD801" i="63"/>
  <c r="AD80" i="63"/>
  <c r="AD111" i="63"/>
  <c r="AD127" i="63"/>
  <c r="AD158" i="63"/>
  <c r="AD174" i="63"/>
  <c r="AD337" i="63"/>
  <c r="AD395" i="63"/>
  <c r="AD626" i="63"/>
  <c r="AD678" i="63"/>
  <c r="AD749" i="63"/>
  <c r="AD780" i="63"/>
  <c r="AD830" i="63"/>
  <c r="AD477" i="63"/>
  <c r="AD514" i="63"/>
  <c r="AD530" i="63"/>
  <c r="AD567" i="63"/>
  <c r="AD605" i="63"/>
  <c r="AD623" i="63"/>
  <c r="AD677" i="63"/>
  <c r="AD754" i="63"/>
  <c r="AD788" i="63"/>
  <c r="AD844" i="63"/>
  <c r="AB225" i="63"/>
  <c r="AB539" i="63"/>
  <c r="AB543" i="63"/>
  <c r="AB583" i="63"/>
  <c r="AB190" i="63"/>
  <c r="AB551" i="63"/>
  <c r="AB493" i="63"/>
  <c r="AB442" i="63"/>
  <c r="AB435" i="63"/>
  <c r="AB133" i="63"/>
  <c r="AB498" i="63"/>
  <c r="AB815" i="63"/>
  <c r="AB822" i="63"/>
  <c r="AB710" i="63"/>
  <c r="AD81" i="63"/>
  <c r="AD112" i="63"/>
  <c r="AD128" i="63"/>
  <c r="AD159" i="63"/>
  <c r="AD175" i="63"/>
  <c r="AD338" i="63"/>
  <c r="AD396" i="63"/>
  <c r="AD628" i="63"/>
  <c r="AD679" i="63"/>
  <c r="AD751" i="63"/>
  <c r="AD782" i="63"/>
  <c r="AD832" i="63"/>
  <c r="AD478" i="63"/>
  <c r="AD515" i="63"/>
  <c r="AD531" i="63"/>
  <c r="AD568" i="63"/>
  <c r="AD606" i="63"/>
  <c r="AD625" i="63"/>
  <c r="AD680" i="63"/>
  <c r="AD756" i="63"/>
  <c r="AD790" i="63"/>
  <c r="AD846" i="63"/>
  <c r="AB817" i="63"/>
  <c r="AB228" i="63"/>
  <c r="AB537" i="63"/>
  <c r="AB593" i="63"/>
  <c r="AB467" i="63"/>
  <c r="AB826" i="63"/>
  <c r="AB507" i="63"/>
  <c r="AD79" i="63"/>
  <c r="AD110" i="63"/>
  <c r="AD126" i="63"/>
  <c r="AD157" i="63"/>
  <c r="AD173" i="63"/>
  <c r="AD336" i="63"/>
  <c r="AD394" i="63"/>
  <c r="AD624" i="63"/>
  <c r="AD676" i="63"/>
  <c r="AD747" i="63"/>
  <c r="AD778" i="63"/>
  <c r="AD84" i="63"/>
  <c r="AD115" i="63"/>
  <c r="AD131" i="63"/>
  <c r="AD162" i="63"/>
  <c r="AD325" i="63"/>
  <c r="AD341" i="63"/>
  <c r="AD399" i="63"/>
  <c r="AD634" i="63"/>
  <c r="AD685" i="63"/>
  <c r="AD757" i="63"/>
  <c r="AD787" i="63"/>
  <c r="AD838" i="63"/>
  <c r="AD481" i="63"/>
  <c r="AD518" i="63"/>
  <c r="AD555" i="63"/>
  <c r="AD572" i="63"/>
  <c r="AD609" i="63"/>
  <c r="AD631" i="63"/>
  <c r="AD686" i="63"/>
  <c r="AD763" i="63"/>
  <c r="AD796" i="63"/>
  <c r="F11" i="63"/>
  <c r="AB230" i="63"/>
  <c r="AB188" i="63"/>
  <c r="AB810" i="63"/>
  <c r="AB177" i="63"/>
  <c r="AB239" i="63"/>
  <c r="AB178" i="63"/>
  <c r="AB187" i="63"/>
  <c r="AB251" i="63"/>
  <c r="AB460" i="63"/>
  <c r="AB720" i="63"/>
  <c r="AB236" i="63"/>
  <c r="AB243" i="63"/>
  <c r="AB443" i="63"/>
  <c r="AB718" i="63"/>
  <c r="AD85" i="63"/>
  <c r="AD116" i="63"/>
  <c r="AD147" i="63"/>
  <c r="AD163" i="63"/>
  <c r="AD326" i="63"/>
  <c r="AD342" i="63"/>
  <c r="AD400" i="63"/>
  <c r="AD636" i="63"/>
  <c r="AD687" i="63"/>
  <c r="AD758" i="63"/>
  <c r="AD789" i="63"/>
  <c r="AD840" i="63"/>
  <c r="AD482" i="63"/>
  <c r="AD519" i="63"/>
  <c r="AD556" i="63"/>
  <c r="AD573" i="63"/>
  <c r="AD610" i="63"/>
  <c r="AD633" i="63"/>
  <c r="AD688" i="63"/>
  <c r="AD765" i="63"/>
  <c r="AD798" i="63"/>
  <c r="AB502" i="63"/>
  <c r="AB592" i="63"/>
  <c r="AB470" i="63"/>
  <c r="AB234" i="63"/>
  <c r="AB809" i="63"/>
  <c r="AB581" i="63"/>
  <c r="AB238" i="63"/>
  <c r="AB253" i="63"/>
  <c r="AD83" i="63"/>
  <c r="AD114" i="63"/>
  <c r="AD130" i="63"/>
  <c r="AD161" i="63"/>
  <c r="AD324" i="63"/>
  <c r="AD340" i="63"/>
  <c r="AD398" i="63"/>
  <c r="AD632" i="63"/>
  <c r="AD683" i="63"/>
  <c r="AD755" i="63"/>
  <c r="AD786" i="63"/>
  <c r="AD843" i="63"/>
  <c r="AD484" i="63"/>
  <c r="AD521" i="63"/>
  <c r="AD558" i="63"/>
  <c r="AD575" i="63"/>
  <c r="AD612" i="63"/>
  <c r="AD637" i="63"/>
  <c r="AD693" i="63"/>
  <c r="AD769" i="63"/>
  <c r="AD802" i="63"/>
  <c r="AB499" i="63"/>
  <c r="AB429" i="63"/>
  <c r="AB719" i="63"/>
  <c r="AB185" i="63"/>
  <c r="AB139" i="63"/>
  <c r="AB446" i="63"/>
  <c r="AB588" i="63"/>
  <c r="AB821" i="63"/>
  <c r="AB136" i="63"/>
  <c r="AB713" i="63"/>
  <c r="AB221" i="63"/>
  <c r="AB535" i="63"/>
  <c r="AB179" i="63"/>
  <c r="AB546" i="63"/>
  <c r="F10" i="63"/>
  <c r="AD164" i="63"/>
  <c r="AD638" i="63"/>
  <c r="AD841" i="63"/>
  <c r="AD574" i="63"/>
  <c r="AD767" i="63"/>
  <c r="AB439" i="63"/>
  <c r="AB134" i="63"/>
  <c r="AB579" i="63"/>
  <c r="AB511" i="63"/>
  <c r="AB245" i="63"/>
  <c r="AD105" i="63"/>
  <c r="AD331" i="63"/>
  <c r="AD696" i="63"/>
  <c r="AD487" i="63"/>
  <c r="AD615" i="63"/>
  <c r="AD831" i="63"/>
  <c r="AB459" i="63"/>
  <c r="AB807" i="63"/>
  <c r="AB816" i="63"/>
  <c r="AB242" i="63"/>
  <c r="AB820" i="63"/>
  <c r="AD125" i="63"/>
  <c r="AD393" i="63"/>
  <c r="AD776" i="63"/>
  <c r="AD528" i="63"/>
  <c r="AD673" i="63"/>
  <c r="AB444" i="63"/>
  <c r="AB595" i="63"/>
  <c r="AB260" i="63"/>
  <c r="AB192" i="63"/>
  <c r="AB576" i="63"/>
  <c r="AB224" i="63"/>
  <c r="AD516" i="63"/>
  <c r="AB196" i="63"/>
  <c r="AD129" i="63"/>
  <c r="AD682" i="63"/>
  <c r="AB703" i="63"/>
  <c r="AD630" i="63"/>
  <c r="AB132" i="63"/>
  <c r="AB704" i="63"/>
  <c r="AD681" i="63"/>
  <c r="AD607" i="63"/>
  <c r="AD480" i="63"/>
  <c r="AD608" i="63"/>
  <c r="AD761" i="63"/>
  <c r="AB542" i="63"/>
  <c r="AB812" i="63"/>
  <c r="AB248" i="63"/>
  <c r="AB722" i="63"/>
  <c r="AD148" i="63"/>
  <c r="AD557" i="63"/>
  <c r="AB465" i="63"/>
  <c r="AD74" i="63"/>
  <c r="AD471" i="63"/>
  <c r="AB453" i="63"/>
  <c r="AB495" i="63"/>
  <c r="AD335" i="63"/>
  <c r="AD839" i="63"/>
  <c r="AB814" i="63"/>
  <c r="AB819" i="63"/>
  <c r="AB220" i="63"/>
  <c r="AB492" i="63"/>
  <c r="AD472" i="63"/>
  <c r="AD488" i="63"/>
  <c r="AD525" i="63"/>
  <c r="AD562" i="63"/>
  <c r="AD600" i="63"/>
  <c r="AD617" i="63"/>
  <c r="AD667" i="63"/>
  <c r="AD744" i="63"/>
  <c r="AD777" i="63"/>
  <c r="AD833" i="63"/>
  <c r="AB549" i="63"/>
  <c r="AB463" i="63"/>
  <c r="AB596" i="63"/>
  <c r="AB506" i="63"/>
  <c r="AB707" i="63"/>
  <c r="AB462" i="63"/>
  <c r="AB708" i="63"/>
  <c r="AB591" i="63"/>
  <c r="AB827" i="63"/>
  <c r="AB541" i="63"/>
  <c r="AB553" i="63"/>
  <c r="AB193" i="63"/>
  <c r="AB183" i="63"/>
  <c r="AB232" i="63"/>
  <c r="AD86" i="63"/>
  <c r="AD327" i="63"/>
  <c r="AD689" i="63"/>
  <c r="AD483" i="63"/>
  <c r="AD611" i="63"/>
  <c r="AD800" i="63"/>
  <c r="AB578" i="63"/>
  <c r="AB466" i="63"/>
  <c r="AB450" i="63"/>
  <c r="AB813" i="63"/>
  <c r="AB455" i="63"/>
  <c r="AD121" i="63"/>
  <c r="AD389" i="63"/>
  <c r="AD768" i="63"/>
  <c r="AD524" i="63"/>
  <c r="AD665" i="63"/>
  <c r="AB497" i="63"/>
  <c r="AB438" i="63"/>
  <c r="AB715" i="63"/>
  <c r="AB589" i="63"/>
  <c r="AB229" i="63"/>
  <c r="AB257" i="63"/>
  <c r="AD156" i="63"/>
  <c r="AD621" i="63"/>
  <c r="AD806" i="63"/>
  <c r="AD565" i="63"/>
  <c r="AD750" i="63"/>
  <c r="AB445" i="63"/>
  <c r="AB184" i="63"/>
  <c r="AB705" i="63"/>
  <c r="AB222" i="63"/>
  <c r="AB577" i="63"/>
  <c r="AD113" i="63"/>
  <c r="AD627" i="63"/>
  <c r="AB182" i="63"/>
  <c r="AD397" i="63"/>
  <c r="AB552" i="63"/>
  <c r="AB223" i="63"/>
  <c r="AD834" i="63"/>
  <c r="AB534" i="63"/>
  <c r="AD176" i="63"/>
  <c r="AB141" i="63"/>
  <c r="AD479" i="63"/>
  <c r="AD517" i="63"/>
  <c r="AD571" i="63"/>
  <c r="AD684" i="63"/>
  <c r="F9" i="63"/>
  <c r="AB180" i="63"/>
  <c r="AB145" i="63"/>
  <c r="AB711" i="63"/>
  <c r="AB181" i="63"/>
  <c r="AB448" i="63"/>
  <c r="AD791" i="63"/>
  <c r="AB191" i="63"/>
  <c r="AB252" i="63"/>
  <c r="AD168" i="63"/>
  <c r="AD599" i="63"/>
  <c r="AB716" i="63"/>
  <c r="AB146" i="63"/>
  <c r="AD745" i="63"/>
  <c r="AD620" i="63"/>
  <c r="AB237" i="63"/>
  <c r="AB548" i="63"/>
  <c r="AB586" i="63"/>
  <c r="AD160" i="63"/>
  <c r="AB456" i="63"/>
  <c r="AB536" i="63"/>
  <c r="AD828" i="63"/>
  <c r="AD476" i="63"/>
  <c r="AD513" i="63"/>
  <c r="AD529" i="63"/>
  <c r="AD566" i="63"/>
  <c r="AD604" i="63"/>
  <c r="AD622" i="63"/>
  <c r="AD675" i="63"/>
  <c r="AD752" i="63"/>
  <c r="AD785" i="63"/>
  <c r="AD842" i="63"/>
  <c r="AB717" i="63"/>
  <c r="AB818" i="63"/>
  <c r="AB824" i="63"/>
  <c r="AB494" i="63"/>
  <c r="AB550" i="63"/>
  <c r="AB702" i="63"/>
  <c r="AB510" i="63"/>
  <c r="AB469" i="63"/>
  <c r="AB186" i="63"/>
  <c r="AB231" i="63"/>
  <c r="AB508" i="63"/>
  <c r="AB461" i="63"/>
  <c r="AB464" i="63"/>
  <c r="AB449" i="63"/>
  <c r="AD117" i="63"/>
  <c r="AD343" i="63"/>
  <c r="AD760" i="63"/>
  <c r="AD520" i="63"/>
  <c r="AD635" i="63"/>
  <c r="AB496" i="63"/>
  <c r="AB233" i="63"/>
  <c r="AB430" i="63"/>
  <c r="AB811" i="63"/>
  <c r="AB227" i="63"/>
  <c r="AB197" i="63"/>
  <c r="AD152" i="63"/>
  <c r="AD406" i="63"/>
  <c r="AD799" i="63"/>
  <c r="AD561" i="63"/>
  <c r="AD700" i="63"/>
  <c r="AB246" i="63"/>
  <c r="AB256" i="63"/>
  <c r="AB432" i="63"/>
  <c r="AB458" i="63"/>
  <c r="AB135" i="63"/>
  <c r="AD78" i="63"/>
  <c r="AD172" i="63"/>
  <c r="AD674" i="63"/>
  <c r="AD475" i="63"/>
  <c r="AD603" i="63"/>
  <c r="AD783" i="63"/>
  <c r="AB219" i="63"/>
  <c r="AB505" i="63"/>
  <c r="AB714" i="63"/>
  <c r="AB545" i="63"/>
  <c r="AB140" i="63"/>
  <c r="AD339" i="63"/>
  <c r="AD848" i="63"/>
  <c r="AB249" i="63"/>
  <c r="AD784" i="63"/>
  <c r="AB142" i="63"/>
  <c r="AB244" i="63"/>
  <c r="AD570" i="63"/>
  <c r="AB138" i="63"/>
  <c r="AD792" i="63"/>
  <c r="AB259" i="63"/>
  <c r="AB823" i="63"/>
  <c r="AD836" i="63"/>
  <c r="AD533" i="63"/>
  <c r="AD629" i="63"/>
  <c r="AD794" i="63"/>
  <c r="AB585" i="63"/>
  <c r="AB540" i="63"/>
  <c r="AB808" i="63"/>
  <c r="AB468" i="63"/>
  <c r="AB434" i="63"/>
  <c r="AD401" i="63"/>
  <c r="AD691" i="63"/>
  <c r="AB431" i="63"/>
  <c r="AB544" i="63"/>
  <c r="AD666" i="63"/>
  <c r="AD775" i="63"/>
  <c r="AB447" i="63"/>
  <c r="AD109" i="63"/>
  <c r="AD491" i="63"/>
  <c r="AB509" i="63"/>
  <c r="AB582" i="63"/>
  <c r="AD753" i="63"/>
  <c r="AD532" i="63"/>
  <c r="AD759" i="63"/>
  <c r="AD82" i="63"/>
  <c r="Z446" i="54"/>
  <c r="AF446" i="54" s="1"/>
  <c r="Z404" i="54"/>
  <c r="AF404" i="54" s="1"/>
  <c r="AB404" i="54"/>
  <c r="AG404" i="54" s="1"/>
  <c r="AB446" i="54"/>
  <c r="AG446" i="54" s="1"/>
  <c r="AD446" i="54"/>
  <c r="AH446" i="54" s="1"/>
  <c r="AD404" i="54"/>
  <c r="AH404" i="54" s="1"/>
  <c r="V38" i="64" l="1"/>
  <c r="AB38" i="64" s="1"/>
  <c r="V42" i="64"/>
  <c r="AB42" i="64" s="1"/>
  <c r="V46" i="64"/>
  <c r="AB46" i="64" s="1"/>
  <c r="V37" i="64"/>
  <c r="AB37" i="64" s="1"/>
  <c r="V41" i="64"/>
  <c r="AB41" i="64" s="1"/>
  <c r="V45" i="64"/>
  <c r="AB45" i="64" s="1"/>
  <c r="V36" i="64"/>
  <c r="AB36" i="64" s="1"/>
  <c r="V40" i="64"/>
  <c r="AB40" i="64" s="1"/>
  <c r="V44" i="64"/>
  <c r="AB44" i="64" s="1"/>
  <c r="V43" i="64"/>
  <c r="AB43" i="64" s="1"/>
  <c r="V39" i="64"/>
  <c r="AB39" i="64" s="1"/>
  <c r="W39" i="64"/>
  <c r="AC39" i="64" s="1"/>
  <c r="W43" i="64"/>
  <c r="AC43" i="64" s="1"/>
  <c r="W38" i="64"/>
  <c r="AC38" i="64" s="1"/>
  <c r="W42" i="64"/>
  <c r="AC42" i="64" s="1"/>
  <c r="W46" i="64"/>
  <c r="AC46" i="64" s="1"/>
  <c r="W37" i="64"/>
  <c r="AC37" i="64" s="1"/>
  <c r="W41" i="64"/>
  <c r="AC41" i="64" s="1"/>
  <c r="W45" i="64"/>
  <c r="AC45" i="64" s="1"/>
  <c r="W40" i="64"/>
  <c r="AC40" i="64" s="1"/>
  <c r="W36" i="64"/>
  <c r="AC36" i="64" s="1"/>
  <c r="W44" i="64"/>
  <c r="AC44" i="64" s="1"/>
  <c r="U37" i="64"/>
  <c r="AA37" i="64" s="1"/>
  <c r="U41" i="64"/>
  <c r="AA41" i="64" s="1"/>
  <c r="U45" i="64"/>
  <c r="AA45" i="64" s="1"/>
  <c r="U36" i="64"/>
  <c r="AA36" i="64" s="1"/>
  <c r="U40" i="64"/>
  <c r="AA40" i="64" s="1"/>
  <c r="U44" i="64"/>
  <c r="AA44" i="64" s="1"/>
  <c r="U39" i="64"/>
  <c r="AA39" i="64" s="1"/>
  <c r="U43" i="64"/>
  <c r="AA43" i="64" s="1"/>
  <c r="U46" i="64"/>
  <c r="AA46" i="64" s="1"/>
  <c r="U42" i="64"/>
  <c r="AA42" i="64" s="1"/>
  <c r="U38" i="64"/>
  <c r="AA38" i="64" s="1"/>
  <c r="W170" i="64" l="1"/>
  <c r="W171" i="64"/>
  <c r="W172" i="64"/>
  <c r="W166" i="64"/>
  <c r="W163" i="64"/>
  <c r="AB343" i="54"/>
  <c r="AG343" i="54" s="1"/>
  <c r="AB583" i="54"/>
  <c r="AG583" i="54" s="1"/>
  <c r="AB423" i="54"/>
  <c r="AG423" i="54" s="1"/>
  <c r="X167" i="64"/>
  <c r="X163" i="64"/>
  <c r="Y163" i="64"/>
  <c r="Z167" i="64"/>
  <c r="X168" i="64"/>
  <c r="Z163" i="64"/>
  <c r="Z170" i="64"/>
  <c r="X173" i="64"/>
  <c r="X169" i="64"/>
  <c r="X164" i="64"/>
  <c r="Y168" i="64"/>
  <c r="Z171" i="64"/>
  <c r="Y165" i="64"/>
  <c r="Z173" i="64"/>
  <c r="X170" i="64"/>
  <c r="X172" i="64"/>
  <c r="Y169" i="64"/>
  <c r="Y171" i="64"/>
  <c r="Z169" i="64"/>
  <c r="Z165" i="64"/>
  <c r="Y173" i="64"/>
  <c r="Y172" i="64"/>
  <c r="Y167" i="64"/>
  <c r="X166" i="64"/>
  <c r="Y164" i="64"/>
  <c r="X171" i="64"/>
  <c r="Y170" i="64"/>
  <c r="X165" i="64"/>
  <c r="Y166" i="64"/>
  <c r="Z172" i="64"/>
  <c r="Z166" i="64"/>
  <c r="Z164" i="64"/>
  <c r="Z168" i="64"/>
  <c r="Z343" i="54"/>
  <c r="AF343" i="54" s="1"/>
  <c r="Z503" i="54"/>
  <c r="AF503" i="54" s="1"/>
  <c r="Z483" i="54"/>
  <c r="AF483" i="54" s="1"/>
  <c r="Z583" i="54"/>
  <c r="AF583" i="54" s="1"/>
  <c r="Z543" i="54"/>
  <c r="AF543" i="54" s="1"/>
  <c r="Z403" i="54"/>
  <c r="AF403" i="54" s="1"/>
  <c r="AJ403" i="54" s="1"/>
  <c r="AJ404" i="54" s="1"/>
  <c r="Y159" i="64"/>
  <c r="Z161" i="64"/>
  <c r="X162" i="64"/>
  <c r="Z159" i="64"/>
  <c r="Z160" i="64"/>
  <c r="X161" i="64"/>
  <c r="X159" i="64"/>
  <c r="Z162" i="64"/>
  <c r="Y161" i="64"/>
  <c r="Y160" i="64"/>
  <c r="Z158" i="64"/>
  <c r="X158" i="64"/>
  <c r="Y157" i="64"/>
  <c r="Y162" i="64"/>
  <c r="Z157" i="64"/>
  <c r="X160" i="64"/>
  <c r="X157" i="64"/>
  <c r="Y158" i="64"/>
  <c r="Z402" i="54"/>
  <c r="AF402" i="54" s="1"/>
  <c r="Z722" i="54"/>
  <c r="AF722" i="54" s="1"/>
  <c r="Z542" i="54"/>
  <c r="AF542" i="54" s="1"/>
  <c r="V145" i="64"/>
  <c r="W168" i="64"/>
  <c r="AC168" i="64" s="1"/>
  <c r="AB743" i="54"/>
  <c r="AG743" i="54" s="1"/>
  <c r="AB563" i="54"/>
  <c r="AG563" i="54" s="1"/>
  <c r="AB543" i="54"/>
  <c r="AG543" i="54" s="1"/>
  <c r="AB503" i="54"/>
  <c r="AG503" i="54" s="1"/>
  <c r="AB663" i="54"/>
  <c r="AG663" i="54" s="1"/>
  <c r="AB483" i="54"/>
  <c r="AG483" i="54" s="1"/>
  <c r="AB463" i="54"/>
  <c r="AG463" i="54" s="1"/>
  <c r="AB383" i="54"/>
  <c r="AG383" i="54" s="1"/>
  <c r="Z463" i="54"/>
  <c r="AF463" i="54" s="1"/>
  <c r="Z603" i="54"/>
  <c r="AF603" i="54" s="1"/>
  <c r="Z743" i="54"/>
  <c r="AF743" i="54" s="1"/>
  <c r="Z683" i="54"/>
  <c r="AF683" i="54" s="1"/>
  <c r="Z703" i="54"/>
  <c r="AF703" i="54" s="1"/>
  <c r="Z443" i="54"/>
  <c r="AF443" i="54" s="1"/>
  <c r="U154" i="64"/>
  <c r="U153" i="64"/>
  <c r="Z342" i="54"/>
  <c r="AF342" i="54" s="1"/>
  <c r="Z662" i="54"/>
  <c r="AF662" i="54" s="1"/>
  <c r="Z582" i="54"/>
  <c r="AF582" i="54" s="1"/>
  <c r="Z382" i="54"/>
  <c r="AF382" i="54" s="1"/>
  <c r="AJ382" i="54" s="1"/>
  <c r="Z762" i="54"/>
  <c r="AF762" i="54" s="1"/>
  <c r="Z502" i="54"/>
  <c r="AF502" i="54" s="1"/>
  <c r="V149" i="64"/>
  <c r="V148" i="64"/>
  <c r="V147" i="64"/>
  <c r="X150" i="64"/>
  <c r="Z148" i="64"/>
  <c r="Y148" i="64"/>
  <c r="X146" i="64"/>
  <c r="Z149" i="64"/>
  <c r="Z150" i="64"/>
  <c r="Y150" i="64"/>
  <c r="X149" i="64"/>
  <c r="Y146" i="64"/>
  <c r="Z145" i="64"/>
  <c r="Y145" i="64"/>
  <c r="X147" i="64"/>
  <c r="Z147" i="64"/>
  <c r="X148" i="64"/>
  <c r="Z146" i="64"/>
  <c r="X145" i="64"/>
  <c r="Y147" i="64"/>
  <c r="Y149" i="64"/>
  <c r="AB149" i="64" s="1"/>
  <c r="Z620" i="54"/>
  <c r="AF620" i="54" s="1"/>
  <c r="Z720" i="54"/>
  <c r="AF720" i="54" s="1"/>
  <c r="W164" i="64"/>
  <c r="AC164" i="64" s="1"/>
  <c r="W169" i="64"/>
  <c r="W173" i="64"/>
  <c r="AC173" i="64" s="1"/>
  <c r="AB403" i="54"/>
  <c r="AG403" i="54" s="1"/>
  <c r="AK403" i="54" s="1"/>
  <c r="AK404" i="54" s="1"/>
  <c r="AB443" i="54"/>
  <c r="AG443" i="54" s="1"/>
  <c r="AB723" i="54"/>
  <c r="AG723" i="54" s="1"/>
  <c r="AB643" i="54"/>
  <c r="AG643" i="54" s="1"/>
  <c r="Z523" i="54"/>
  <c r="AF523" i="54" s="1"/>
  <c r="Z663" i="54"/>
  <c r="AF663" i="54" s="1"/>
  <c r="Z363" i="54"/>
  <c r="AF363" i="54" s="1"/>
  <c r="Z723" i="54"/>
  <c r="AF723" i="54" s="1"/>
  <c r="Z383" i="54"/>
  <c r="AF383" i="54" s="1"/>
  <c r="Z642" i="54"/>
  <c r="AF642" i="54" s="1"/>
  <c r="Z602" i="54"/>
  <c r="AF602" i="54" s="1"/>
  <c r="Z702" i="54"/>
  <c r="AF702" i="54" s="1"/>
  <c r="Z522" i="54"/>
  <c r="AF522" i="54" s="1"/>
  <c r="Z742" i="54"/>
  <c r="AF742" i="54" s="1"/>
  <c r="Z622" i="54"/>
  <c r="AF622" i="54" s="1"/>
  <c r="Z442" i="54"/>
  <c r="AF442" i="54" s="1"/>
  <c r="Z682" i="54"/>
  <c r="AF682" i="54" s="1"/>
  <c r="Z340" i="54"/>
  <c r="AF340" i="54" s="1"/>
  <c r="AJ340" i="54" s="1"/>
  <c r="Z480" i="54"/>
  <c r="AF480" i="54" s="1"/>
  <c r="Z660" i="54"/>
  <c r="AF660" i="54" s="1"/>
  <c r="AB523" i="54"/>
  <c r="AG523" i="54" s="1"/>
  <c r="AB763" i="54"/>
  <c r="AG763" i="54" s="1"/>
  <c r="AB703" i="54"/>
  <c r="AG703" i="54" s="1"/>
  <c r="AB603" i="54"/>
  <c r="AG603" i="54" s="1"/>
  <c r="Z623" i="54"/>
  <c r="AF623" i="54" s="1"/>
  <c r="Z643" i="54"/>
  <c r="AF643" i="54" s="1"/>
  <c r="U156" i="64"/>
  <c r="U155" i="64"/>
  <c r="Z462" i="54"/>
  <c r="AF462" i="54" s="1"/>
  <c r="Z482" i="54"/>
  <c r="AF482" i="54" s="1"/>
  <c r="V146" i="64"/>
  <c r="Z640" i="54"/>
  <c r="AF640" i="54" s="1"/>
  <c r="Z460" i="54"/>
  <c r="AF460" i="54" s="1"/>
  <c r="W142" i="64"/>
  <c r="U147" i="64"/>
  <c r="U146" i="64"/>
  <c r="X144" i="64"/>
  <c r="Z144" i="64"/>
  <c r="Z141" i="64"/>
  <c r="X139" i="64"/>
  <c r="X141" i="64"/>
  <c r="Y142" i="64"/>
  <c r="X140" i="64"/>
  <c r="Z143" i="64"/>
  <c r="Y140" i="64"/>
  <c r="X143" i="64"/>
  <c r="Y139" i="64"/>
  <c r="Z142" i="64"/>
  <c r="Y144" i="64"/>
  <c r="Y141" i="64"/>
  <c r="Z139" i="64"/>
  <c r="Z140" i="64"/>
  <c r="Y143" i="64"/>
  <c r="X142" i="64"/>
  <c r="Z579" i="54"/>
  <c r="AF579" i="54" s="1"/>
  <c r="Z519" i="54"/>
  <c r="AF519" i="54" s="1"/>
  <c r="Z459" i="54"/>
  <c r="AF459" i="54" s="1"/>
  <c r="Z719" i="54"/>
  <c r="AF719" i="54" s="1"/>
  <c r="U129" i="64"/>
  <c r="U127" i="64"/>
  <c r="U131" i="64"/>
  <c r="W165" i="64"/>
  <c r="AC165" i="64" s="1"/>
  <c r="AB623" i="54"/>
  <c r="AG623" i="54" s="1"/>
  <c r="Z423" i="54"/>
  <c r="AF423" i="54" s="1"/>
  <c r="V150" i="64"/>
  <c r="Z760" i="54"/>
  <c r="AF760" i="54" s="1"/>
  <c r="AJ760" i="54" s="1"/>
  <c r="Z680" i="54"/>
  <c r="AF680" i="54" s="1"/>
  <c r="Z440" i="54"/>
  <c r="AF440" i="54" s="1"/>
  <c r="Z500" i="54"/>
  <c r="AF500" i="54" s="1"/>
  <c r="Z580" i="54"/>
  <c r="AF580" i="54" s="1"/>
  <c r="Z560" i="54"/>
  <c r="AF560" i="54" s="1"/>
  <c r="Z400" i="54"/>
  <c r="AF400" i="54" s="1"/>
  <c r="Z380" i="54"/>
  <c r="AF380" i="54" s="1"/>
  <c r="W141" i="64"/>
  <c r="AC141" i="64" s="1"/>
  <c r="W140" i="64"/>
  <c r="AB479" i="54"/>
  <c r="AG479" i="54" s="1"/>
  <c r="AB519" i="54"/>
  <c r="AG519" i="54" s="1"/>
  <c r="AB739" i="54"/>
  <c r="AG739" i="54" s="1"/>
  <c r="AK739" i="54" s="1"/>
  <c r="AB699" i="54"/>
  <c r="AG699" i="54" s="1"/>
  <c r="AB339" i="54"/>
  <c r="AG339" i="54" s="1"/>
  <c r="AB599" i="54"/>
  <c r="AG599" i="54" s="1"/>
  <c r="AB619" i="54"/>
  <c r="AG619" i="54" s="1"/>
  <c r="AB439" i="54"/>
  <c r="AG439" i="54" s="1"/>
  <c r="AB399" i="54"/>
  <c r="AG399" i="54" s="1"/>
  <c r="AB359" i="54"/>
  <c r="AG359" i="54" s="1"/>
  <c r="AB719" i="54"/>
  <c r="AG719" i="54" s="1"/>
  <c r="U149" i="64"/>
  <c r="Z339" i="54"/>
  <c r="AF339" i="54" s="1"/>
  <c r="Z679" i="54"/>
  <c r="AF679" i="54" s="1"/>
  <c r="Z479" i="54"/>
  <c r="AF479" i="54" s="1"/>
  <c r="Z659" i="54"/>
  <c r="AF659" i="54" s="1"/>
  <c r="Z379" i="54"/>
  <c r="AF379" i="54" s="1"/>
  <c r="Z759" i="54"/>
  <c r="AF759" i="54" s="1"/>
  <c r="W167" i="64"/>
  <c r="Z700" i="54"/>
  <c r="AF700" i="54" s="1"/>
  <c r="Z360" i="54"/>
  <c r="AF360" i="54" s="1"/>
  <c r="Z740" i="54"/>
  <c r="AF740" i="54" s="1"/>
  <c r="W139" i="64"/>
  <c r="AC139" i="64" s="1"/>
  <c r="U148" i="64"/>
  <c r="AA148" i="64" s="1"/>
  <c r="U150" i="64"/>
  <c r="Z439" i="54"/>
  <c r="AF439" i="54" s="1"/>
  <c r="Z639" i="54"/>
  <c r="AF639" i="54" s="1"/>
  <c r="Z739" i="54"/>
  <c r="AF739" i="54" s="1"/>
  <c r="AJ739" i="54" s="1"/>
  <c r="Z399" i="54"/>
  <c r="AF399" i="54" s="1"/>
  <c r="X136" i="64"/>
  <c r="Z137" i="64"/>
  <c r="Y135" i="64"/>
  <c r="X133" i="64"/>
  <c r="X134" i="64"/>
  <c r="Z518" i="54"/>
  <c r="AF518" i="54" s="1"/>
  <c r="Y138" i="64"/>
  <c r="X135" i="64"/>
  <c r="Z138" i="64"/>
  <c r="Y137" i="64"/>
  <c r="Y133" i="64"/>
  <c r="Y136" i="64"/>
  <c r="X138" i="64"/>
  <c r="X137" i="64"/>
  <c r="Z135" i="64"/>
  <c r="Z134" i="64"/>
  <c r="Z133" i="64"/>
  <c r="Z136" i="64"/>
  <c r="Y134" i="64"/>
  <c r="Z498" i="54"/>
  <c r="AF498" i="54" s="1"/>
  <c r="Z598" i="54"/>
  <c r="AF598" i="54" s="1"/>
  <c r="V121" i="64"/>
  <c r="V123" i="64"/>
  <c r="X121" i="64"/>
  <c r="X123" i="64"/>
  <c r="X126" i="64"/>
  <c r="X122" i="64"/>
  <c r="Y122" i="64"/>
  <c r="Z124" i="64"/>
  <c r="Z121" i="64"/>
  <c r="Y126" i="64"/>
  <c r="Z122" i="64"/>
  <c r="Z123" i="64"/>
  <c r="Z126" i="64"/>
  <c r="Z125" i="64"/>
  <c r="X125" i="64"/>
  <c r="Y125" i="64"/>
  <c r="Y123" i="64"/>
  <c r="Y124" i="64"/>
  <c r="Y121" i="64"/>
  <c r="X124" i="64"/>
  <c r="Z636" i="54"/>
  <c r="AF636" i="54" s="1"/>
  <c r="Z476" i="54"/>
  <c r="AF476" i="54" s="1"/>
  <c r="Z536" i="54"/>
  <c r="AF536" i="54" s="1"/>
  <c r="Z596" i="54"/>
  <c r="AF596" i="54" s="1"/>
  <c r="Z436" i="54"/>
  <c r="AF436" i="54" s="1"/>
  <c r="Z576" i="54"/>
  <c r="AF576" i="54" s="1"/>
  <c r="Z396" i="54"/>
  <c r="AF396" i="54" s="1"/>
  <c r="Z356" i="54"/>
  <c r="AF356" i="54" s="1"/>
  <c r="Z756" i="54"/>
  <c r="AF756" i="54" s="1"/>
  <c r="Z763" i="54"/>
  <c r="AF763" i="54" s="1"/>
  <c r="U151" i="64"/>
  <c r="Z600" i="54"/>
  <c r="AF600" i="54" s="1"/>
  <c r="AB459" i="54"/>
  <c r="AG459" i="54" s="1"/>
  <c r="AB579" i="54"/>
  <c r="AG579" i="54" s="1"/>
  <c r="AB639" i="54"/>
  <c r="AG639" i="54" s="1"/>
  <c r="AB679" i="54"/>
  <c r="AG679" i="54" s="1"/>
  <c r="AB379" i="54"/>
  <c r="AG379" i="54" s="1"/>
  <c r="U145" i="64"/>
  <c r="Z619" i="54"/>
  <c r="AF619" i="54" s="1"/>
  <c r="Z499" i="54"/>
  <c r="AF499" i="54" s="1"/>
  <c r="Z419" i="54"/>
  <c r="AF419" i="54" s="1"/>
  <c r="Z599" i="54"/>
  <c r="AF599" i="54" s="1"/>
  <c r="Z699" i="54"/>
  <c r="AF699" i="54" s="1"/>
  <c r="U130" i="64"/>
  <c r="U128" i="64"/>
  <c r="Z538" i="54"/>
  <c r="AF538" i="54" s="1"/>
  <c r="Z438" i="54"/>
  <c r="AF438" i="54" s="1"/>
  <c r="Z718" i="54"/>
  <c r="AF718" i="54" s="1"/>
  <c r="AJ718" i="54" s="1"/>
  <c r="Z658" i="54"/>
  <c r="AF658" i="54" s="1"/>
  <c r="Z418" i="54"/>
  <c r="AF418" i="54" s="1"/>
  <c r="Z378" i="54"/>
  <c r="AF378" i="54" s="1"/>
  <c r="Z338" i="54"/>
  <c r="AF338" i="54" s="1"/>
  <c r="Z738" i="54"/>
  <c r="AF738" i="54" s="1"/>
  <c r="Z698" i="54"/>
  <c r="AF698" i="54" s="1"/>
  <c r="Z676" i="54"/>
  <c r="AF676" i="54" s="1"/>
  <c r="AJ676" i="54" s="1"/>
  <c r="AB683" i="54"/>
  <c r="AG683" i="54" s="1"/>
  <c r="Z563" i="54"/>
  <c r="AF563" i="54" s="1"/>
  <c r="Z562" i="54"/>
  <c r="AF562" i="54" s="1"/>
  <c r="Z520" i="54"/>
  <c r="AF520" i="54" s="1"/>
  <c r="Z540" i="54"/>
  <c r="AF540" i="54" s="1"/>
  <c r="Z420" i="54"/>
  <c r="AF420" i="54" s="1"/>
  <c r="W144" i="64"/>
  <c r="Z559" i="54"/>
  <c r="AF559" i="54" s="1"/>
  <c r="Z359" i="54"/>
  <c r="AF359" i="54" s="1"/>
  <c r="U132" i="64"/>
  <c r="Z558" i="54"/>
  <c r="AF558" i="54" s="1"/>
  <c r="Z458" i="54"/>
  <c r="AF458" i="54" s="1"/>
  <c r="Z678" i="54"/>
  <c r="AF678" i="54" s="1"/>
  <c r="V122" i="64"/>
  <c r="V125" i="64"/>
  <c r="Z556" i="54"/>
  <c r="AF556" i="54" s="1"/>
  <c r="Z616" i="54"/>
  <c r="AF616" i="54" s="1"/>
  <c r="Z456" i="54"/>
  <c r="AF456" i="54" s="1"/>
  <c r="Z516" i="54"/>
  <c r="AF516" i="54" s="1"/>
  <c r="Z416" i="54"/>
  <c r="AF416" i="54" s="1"/>
  <c r="Z376" i="54"/>
  <c r="AF376" i="54" s="1"/>
  <c r="Z336" i="54"/>
  <c r="AF336" i="54" s="1"/>
  <c r="Z736" i="54"/>
  <c r="AF736" i="54" s="1"/>
  <c r="Z716" i="54"/>
  <c r="AF716" i="54" s="1"/>
  <c r="W116" i="64"/>
  <c r="AB635" i="54"/>
  <c r="AG635" i="54" s="1"/>
  <c r="U124" i="64"/>
  <c r="Y117" i="64"/>
  <c r="X117" i="64"/>
  <c r="Y119" i="64"/>
  <c r="Z120" i="64"/>
  <c r="Y118" i="64"/>
  <c r="Z119" i="64"/>
  <c r="Z115" i="64"/>
  <c r="X115" i="64"/>
  <c r="Z116" i="64"/>
  <c r="X120" i="64"/>
  <c r="X116" i="64"/>
  <c r="Z118" i="64"/>
  <c r="Y120" i="64"/>
  <c r="Y115" i="64"/>
  <c r="Y116" i="64"/>
  <c r="Z117" i="64"/>
  <c r="X118" i="64"/>
  <c r="X119" i="64"/>
  <c r="Z535" i="54"/>
  <c r="AF535" i="54" s="1"/>
  <c r="AB363" i="54"/>
  <c r="AG363" i="54" s="1"/>
  <c r="Z422" i="54"/>
  <c r="AF422" i="54" s="1"/>
  <c r="AB559" i="54"/>
  <c r="AG559" i="54" s="1"/>
  <c r="Z398" i="54"/>
  <c r="AF398" i="54" s="1"/>
  <c r="V126" i="64"/>
  <c r="AB126" i="64" s="1"/>
  <c r="Z656" i="54"/>
  <c r="AF656" i="54" s="1"/>
  <c r="W115" i="64"/>
  <c r="AB475" i="54"/>
  <c r="AG475" i="54" s="1"/>
  <c r="AB595" i="54"/>
  <c r="AG595" i="54" s="1"/>
  <c r="AB575" i="54"/>
  <c r="AG575" i="54" s="1"/>
  <c r="AB335" i="54"/>
  <c r="AG335" i="54" s="1"/>
  <c r="AB715" i="54"/>
  <c r="AG715" i="54" s="1"/>
  <c r="U123" i="64"/>
  <c r="U126" i="64"/>
  <c r="U121" i="64"/>
  <c r="Z515" i="54"/>
  <c r="AF515" i="54" s="1"/>
  <c r="Z575" i="54"/>
  <c r="AF575" i="54" s="1"/>
  <c r="Z635" i="54"/>
  <c r="AF635" i="54" s="1"/>
  <c r="X114" i="64"/>
  <c r="X112" i="64"/>
  <c r="X111" i="64"/>
  <c r="Z113" i="64"/>
  <c r="Z109" i="64"/>
  <c r="Y110" i="64"/>
  <c r="Z110" i="64"/>
  <c r="Z111" i="64"/>
  <c r="Y112" i="64"/>
  <c r="Y109" i="64"/>
  <c r="X109" i="64"/>
  <c r="Y113" i="64"/>
  <c r="Z112" i="64"/>
  <c r="X110" i="64"/>
  <c r="Y114" i="64"/>
  <c r="Y111" i="64"/>
  <c r="X113" i="64"/>
  <c r="Z114" i="64"/>
  <c r="Z534" i="54"/>
  <c r="AF534" i="54" s="1"/>
  <c r="Z454" i="54"/>
  <c r="AF454" i="54" s="1"/>
  <c r="V97" i="64"/>
  <c r="V99" i="64"/>
  <c r="Z98" i="64"/>
  <c r="Z99" i="64"/>
  <c r="X102" i="64"/>
  <c r="X98" i="64"/>
  <c r="Y100" i="64"/>
  <c r="Y99" i="64"/>
  <c r="Z97" i="64"/>
  <c r="Z102" i="64"/>
  <c r="Y102" i="64"/>
  <c r="Y98" i="64"/>
  <c r="X101" i="64"/>
  <c r="X97" i="64"/>
  <c r="Y101" i="64"/>
  <c r="Z100" i="64"/>
  <c r="X100" i="64"/>
  <c r="Y97" i="64"/>
  <c r="Z101" i="64"/>
  <c r="X99" i="64"/>
  <c r="Z592" i="54"/>
  <c r="AF592" i="54" s="1"/>
  <c r="AJ592" i="54" s="1"/>
  <c r="Z552" i="54"/>
  <c r="AF552" i="54" s="1"/>
  <c r="Z392" i="54"/>
  <c r="AF392" i="54" s="1"/>
  <c r="Z352" i="54"/>
  <c r="AF352" i="54" s="1"/>
  <c r="Z752" i="54"/>
  <c r="AF752" i="54" s="1"/>
  <c r="Z712" i="54"/>
  <c r="AF712" i="54" s="1"/>
  <c r="Z672" i="54"/>
  <c r="AF672" i="54" s="1"/>
  <c r="Z632" i="54"/>
  <c r="AF632" i="54" s="1"/>
  <c r="Z572" i="54"/>
  <c r="AF572" i="54" s="1"/>
  <c r="U97" i="64"/>
  <c r="AA97" i="64" s="1"/>
  <c r="U98" i="64"/>
  <c r="U99" i="64"/>
  <c r="AA99" i="64" s="1"/>
  <c r="Z94" i="64"/>
  <c r="Y92" i="64"/>
  <c r="Y94" i="64"/>
  <c r="Z96" i="64"/>
  <c r="X93" i="64"/>
  <c r="X92" i="64"/>
  <c r="Z93" i="64"/>
  <c r="X95" i="64"/>
  <c r="Y93" i="64"/>
  <c r="Y96" i="64"/>
  <c r="X94" i="64"/>
  <c r="Z95" i="64"/>
  <c r="Z92" i="64"/>
  <c r="X96" i="64"/>
  <c r="Y95" i="64"/>
  <c r="X91" i="64"/>
  <c r="Y91" i="64"/>
  <c r="Z91" i="64"/>
  <c r="Z531" i="54"/>
  <c r="AF531" i="54" s="1"/>
  <c r="Z431" i="54"/>
  <c r="AF431" i="54" s="1"/>
  <c r="Z511" i="54"/>
  <c r="AF511" i="54" s="1"/>
  <c r="Z411" i="54"/>
  <c r="AF411" i="54" s="1"/>
  <c r="Z371" i="54"/>
  <c r="AF371" i="54" s="1"/>
  <c r="Z331" i="54"/>
  <c r="AF331" i="54" s="1"/>
  <c r="Z731" i="54"/>
  <c r="AF731" i="54" s="1"/>
  <c r="Z691" i="54"/>
  <c r="AF691" i="54" s="1"/>
  <c r="Z651" i="54"/>
  <c r="AF651" i="54" s="1"/>
  <c r="Z611" i="54"/>
  <c r="AF611" i="54" s="1"/>
  <c r="Z362" i="54"/>
  <c r="AF362" i="54" s="1"/>
  <c r="AB499" i="54"/>
  <c r="AG499" i="54" s="1"/>
  <c r="Z578" i="54"/>
  <c r="AF578" i="54" s="1"/>
  <c r="Z478" i="54"/>
  <c r="AF478" i="54" s="1"/>
  <c r="Z358" i="54"/>
  <c r="AF358" i="54" s="1"/>
  <c r="Z496" i="54"/>
  <c r="AF496" i="54" s="1"/>
  <c r="W118" i="64"/>
  <c r="AC118" i="64" s="1"/>
  <c r="W119" i="64"/>
  <c r="AB655" i="54"/>
  <c r="AG655" i="54" s="1"/>
  <c r="AK655" i="54" s="1"/>
  <c r="AB535" i="54"/>
  <c r="AG535" i="54" s="1"/>
  <c r="AB515" i="54"/>
  <c r="AG515" i="54" s="1"/>
  <c r="AB375" i="54"/>
  <c r="AG375" i="54" s="1"/>
  <c r="AB755" i="54"/>
  <c r="AG755" i="54" s="1"/>
  <c r="Z475" i="54"/>
  <c r="AF475" i="54" s="1"/>
  <c r="Z555" i="54"/>
  <c r="AF555" i="54" s="1"/>
  <c r="Z655" i="54"/>
  <c r="AF655" i="54" s="1"/>
  <c r="AJ655" i="54" s="1"/>
  <c r="AJ656" i="54" s="1"/>
  <c r="Z395" i="54"/>
  <c r="AF395" i="54" s="1"/>
  <c r="Z355" i="54"/>
  <c r="AF355" i="54" s="1"/>
  <c r="Z755" i="54"/>
  <c r="AF755" i="54" s="1"/>
  <c r="Z715" i="54"/>
  <c r="AF715" i="54" s="1"/>
  <c r="Z675" i="54"/>
  <c r="AF675" i="54" s="1"/>
  <c r="U105" i="64"/>
  <c r="U104" i="64"/>
  <c r="U107" i="64"/>
  <c r="Z514" i="54"/>
  <c r="AF514" i="54" s="1"/>
  <c r="Z494" i="54"/>
  <c r="AF494" i="54" s="1"/>
  <c r="Z474" i="54"/>
  <c r="AF474" i="54" s="1"/>
  <c r="Z414" i="54"/>
  <c r="AF414" i="54" s="1"/>
  <c r="Z374" i="54"/>
  <c r="AF374" i="54" s="1"/>
  <c r="Z334" i="54"/>
  <c r="AF334" i="54" s="1"/>
  <c r="Z734" i="54"/>
  <c r="AF734" i="54" s="1"/>
  <c r="Z694" i="54"/>
  <c r="AF694" i="54" s="1"/>
  <c r="Z654" i="54"/>
  <c r="AF654" i="54" s="1"/>
  <c r="Z614" i="54"/>
  <c r="AF614" i="54" s="1"/>
  <c r="Z432" i="54"/>
  <c r="AF432" i="54" s="1"/>
  <c r="W95" i="64"/>
  <c r="AC95" i="64" s="1"/>
  <c r="W93" i="64"/>
  <c r="W94" i="64"/>
  <c r="AB471" i="54"/>
  <c r="AG471" i="54" s="1"/>
  <c r="AB491" i="54"/>
  <c r="AG491" i="54" s="1"/>
  <c r="AB451" i="54"/>
  <c r="AG451" i="54" s="1"/>
  <c r="AB411" i="54"/>
  <c r="AG411" i="54" s="1"/>
  <c r="AB371" i="54"/>
  <c r="AG371" i="54" s="1"/>
  <c r="AB331" i="54"/>
  <c r="AG331" i="54" s="1"/>
  <c r="AB731" i="54"/>
  <c r="AG731" i="54" s="1"/>
  <c r="AB691" i="54"/>
  <c r="AG691" i="54" s="1"/>
  <c r="AB651" i="54"/>
  <c r="AG651" i="54" s="1"/>
  <c r="AB611" i="54"/>
  <c r="AG611" i="54" s="1"/>
  <c r="Z571" i="54"/>
  <c r="AF571" i="54" s="1"/>
  <c r="AJ571" i="54" s="1"/>
  <c r="AJ572" i="54" s="1"/>
  <c r="U152" i="64"/>
  <c r="W143" i="64"/>
  <c r="AB659" i="54"/>
  <c r="AG659" i="54" s="1"/>
  <c r="AB539" i="54"/>
  <c r="AG539" i="54" s="1"/>
  <c r="Z539" i="54"/>
  <c r="AF539" i="54" s="1"/>
  <c r="Z758" i="54"/>
  <c r="AF758" i="54" s="1"/>
  <c r="V124" i="64"/>
  <c r="AB124" i="64" s="1"/>
  <c r="W117" i="64"/>
  <c r="W120" i="64"/>
  <c r="AC120" i="64" s="1"/>
  <c r="AB495" i="54"/>
  <c r="AG495" i="54" s="1"/>
  <c r="AB455" i="54"/>
  <c r="AG455" i="54" s="1"/>
  <c r="AB415" i="54"/>
  <c r="AG415" i="54" s="1"/>
  <c r="AB355" i="54"/>
  <c r="AG355" i="54" s="1"/>
  <c r="AB675" i="54"/>
  <c r="AG675" i="54" s="1"/>
  <c r="U125" i="64"/>
  <c r="AA125" i="64" s="1"/>
  <c r="Z455" i="54"/>
  <c r="AF455" i="54" s="1"/>
  <c r="Z595" i="54"/>
  <c r="AF595" i="54" s="1"/>
  <c r="Z435" i="54"/>
  <c r="AF435" i="54" s="1"/>
  <c r="Z495" i="54"/>
  <c r="AF495" i="54" s="1"/>
  <c r="U108" i="64"/>
  <c r="V98" i="64"/>
  <c r="AB98" i="64" s="1"/>
  <c r="V101" i="64"/>
  <c r="AB101" i="64" s="1"/>
  <c r="Z492" i="54"/>
  <c r="AF492" i="54" s="1"/>
  <c r="Z472" i="54"/>
  <c r="AF472" i="54" s="1"/>
  <c r="Z532" i="54"/>
  <c r="AF532" i="54" s="1"/>
  <c r="Z412" i="54"/>
  <c r="AF412" i="54" s="1"/>
  <c r="Z372" i="54"/>
  <c r="AF372" i="54" s="1"/>
  <c r="Z332" i="54"/>
  <c r="AF332" i="54" s="1"/>
  <c r="Z732" i="54"/>
  <c r="AF732" i="54" s="1"/>
  <c r="Z692" i="54"/>
  <c r="AF692" i="54" s="1"/>
  <c r="Z652" i="54"/>
  <c r="AF652" i="54" s="1"/>
  <c r="Z612" i="54"/>
  <c r="AF612" i="54" s="1"/>
  <c r="AB551" i="54"/>
  <c r="AG551" i="54" s="1"/>
  <c r="U100" i="64"/>
  <c r="U101" i="64"/>
  <c r="Z451" i="54"/>
  <c r="AF451" i="54" s="1"/>
  <c r="Z491" i="54"/>
  <c r="AF491" i="54" s="1"/>
  <c r="Z471" i="54"/>
  <c r="AF471" i="54" s="1"/>
  <c r="Z391" i="54"/>
  <c r="AF391" i="54" s="1"/>
  <c r="Z351" i="54"/>
  <c r="AF351" i="54" s="1"/>
  <c r="Z751" i="54"/>
  <c r="AF751" i="54" s="1"/>
  <c r="Z711" i="54"/>
  <c r="AF711" i="54" s="1"/>
  <c r="Z671" i="54"/>
  <c r="AF671" i="54" s="1"/>
  <c r="Z631" i="54"/>
  <c r="AF631" i="54" s="1"/>
  <c r="Z591" i="54"/>
  <c r="AF591" i="54" s="1"/>
  <c r="AB419" i="54"/>
  <c r="AG419" i="54" s="1"/>
  <c r="Z638" i="54"/>
  <c r="AF638" i="54" s="1"/>
  <c r="AB615" i="54"/>
  <c r="AG615" i="54" s="1"/>
  <c r="Z615" i="54"/>
  <c r="AF615" i="54" s="1"/>
  <c r="Z415" i="54"/>
  <c r="AF415" i="54" s="1"/>
  <c r="Z695" i="54"/>
  <c r="AF695" i="54" s="1"/>
  <c r="Z554" i="54"/>
  <c r="AF554" i="54" s="1"/>
  <c r="Z354" i="54"/>
  <c r="AF354" i="54" s="1"/>
  <c r="V100" i="64"/>
  <c r="AB100" i="64" s="1"/>
  <c r="W92" i="64"/>
  <c r="W91" i="64"/>
  <c r="AB571" i="54"/>
  <c r="AG571" i="54" s="1"/>
  <c r="AK571" i="54" s="1"/>
  <c r="AB391" i="54"/>
  <c r="AG391" i="54" s="1"/>
  <c r="AB671" i="54"/>
  <c r="AG671" i="54" s="1"/>
  <c r="Z551" i="54"/>
  <c r="AF551" i="54" s="1"/>
  <c r="Z83" i="64"/>
  <c r="Y87" i="64"/>
  <c r="Y90" i="64"/>
  <c r="Z86" i="64"/>
  <c r="X83" i="64"/>
  <c r="X85" i="64"/>
  <c r="Z88" i="64"/>
  <c r="Y83" i="64"/>
  <c r="Y86" i="64"/>
  <c r="Y88" i="64"/>
  <c r="Z89" i="64"/>
  <c r="Z81" i="64"/>
  <c r="Z84" i="64"/>
  <c r="X89" i="64"/>
  <c r="Y81" i="64"/>
  <c r="Y85" i="64"/>
  <c r="X82" i="64"/>
  <c r="Z85" i="64"/>
  <c r="X87" i="64"/>
  <c r="Y82" i="64"/>
  <c r="Z80" i="64"/>
  <c r="Z82" i="64"/>
  <c r="X80" i="64"/>
  <c r="Y80" i="64"/>
  <c r="Y84" i="64"/>
  <c r="X86" i="64"/>
  <c r="Z87" i="64"/>
  <c r="X81" i="64"/>
  <c r="X90" i="64"/>
  <c r="X88" i="64"/>
  <c r="X84" i="64"/>
  <c r="Y89" i="64"/>
  <c r="Z90" i="64"/>
  <c r="Z450" i="54"/>
  <c r="AF450" i="54" s="1"/>
  <c r="Z430" i="54"/>
  <c r="AF430" i="54" s="1"/>
  <c r="Z390" i="54"/>
  <c r="AF390" i="54" s="1"/>
  <c r="Z350" i="54"/>
  <c r="AF350" i="54" s="1"/>
  <c r="Z750" i="54"/>
  <c r="AF750" i="54" s="1"/>
  <c r="Z710" i="54"/>
  <c r="AF710" i="54" s="1"/>
  <c r="Z670" i="54"/>
  <c r="AF670" i="54" s="1"/>
  <c r="Z630" i="54"/>
  <c r="AF630" i="54" s="1"/>
  <c r="Z570" i="54"/>
  <c r="AF570" i="54" s="1"/>
  <c r="V62" i="64"/>
  <c r="V63" i="64"/>
  <c r="X58" i="64"/>
  <c r="X68" i="64"/>
  <c r="Z63" i="64"/>
  <c r="Y60" i="64"/>
  <c r="X67" i="64"/>
  <c r="X66" i="64"/>
  <c r="Y63" i="64"/>
  <c r="Y68" i="64"/>
  <c r="Z64" i="64"/>
  <c r="Z62" i="64"/>
  <c r="X65" i="64"/>
  <c r="X64" i="64"/>
  <c r="Y65" i="64"/>
  <c r="Y61" i="64"/>
  <c r="X60" i="64"/>
  <c r="X62" i="64"/>
  <c r="Z65" i="64"/>
  <c r="X61" i="64"/>
  <c r="Y67" i="64"/>
  <c r="Y62" i="64"/>
  <c r="Z61" i="64"/>
  <c r="Y66" i="64"/>
  <c r="Z67" i="64"/>
  <c r="Y58" i="64"/>
  <c r="Z68" i="64"/>
  <c r="Y64" i="64"/>
  <c r="Z59" i="64"/>
  <c r="X59" i="64"/>
  <c r="X63" i="64"/>
  <c r="Z58" i="64"/>
  <c r="Z66" i="64"/>
  <c r="Y59" i="64"/>
  <c r="Z60" i="64"/>
  <c r="Z508" i="54"/>
  <c r="AF508" i="54" s="1"/>
  <c r="AJ508" i="54" s="1"/>
  <c r="Z408" i="54"/>
  <c r="AF408" i="54" s="1"/>
  <c r="Z368" i="54"/>
  <c r="AF368" i="54" s="1"/>
  <c r="Z328" i="54"/>
  <c r="AF328" i="54" s="1"/>
  <c r="Z728" i="54"/>
  <c r="AF728" i="54" s="1"/>
  <c r="Z688" i="54"/>
  <c r="AF688" i="54" s="1"/>
  <c r="Z648" i="54"/>
  <c r="AF648" i="54" s="1"/>
  <c r="Z608" i="54"/>
  <c r="AF608" i="54" s="1"/>
  <c r="Z568" i="54"/>
  <c r="AF568" i="54" s="1"/>
  <c r="Z528" i="54"/>
  <c r="AF528" i="54" s="1"/>
  <c r="W51" i="64"/>
  <c r="W52" i="64"/>
  <c r="W53" i="64"/>
  <c r="W47" i="64"/>
  <c r="Y51" i="64"/>
  <c r="Z56" i="64"/>
  <c r="Y50" i="64"/>
  <c r="Y56" i="64"/>
  <c r="Y55" i="64"/>
  <c r="Y53" i="64"/>
  <c r="X49" i="64"/>
  <c r="X55" i="64"/>
  <c r="Z51" i="64"/>
  <c r="X53" i="64"/>
  <c r="Z48" i="64"/>
  <c r="Z53" i="64"/>
  <c r="Y47" i="64"/>
  <c r="Y54" i="64"/>
  <c r="X52" i="64"/>
  <c r="Y49" i="64"/>
  <c r="X54" i="64"/>
  <c r="Z55" i="64"/>
  <c r="Y48" i="64"/>
  <c r="X56" i="64"/>
  <c r="X50" i="64"/>
  <c r="Y52" i="64"/>
  <c r="X48" i="64"/>
  <c r="Z57" i="64"/>
  <c r="Z52" i="64"/>
  <c r="Z50" i="64"/>
  <c r="Z47" i="64"/>
  <c r="Y57" i="64"/>
  <c r="X57" i="64"/>
  <c r="X51" i="64"/>
  <c r="Z54" i="64"/>
  <c r="Z49" i="64"/>
  <c r="X47" i="64"/>
  <c r="Z487" i="54"/>
  <c r="AF487" i="54" s="1"/>
  <c r="AJ487" i="54" s="1"/>
  <c r="AB759" i="54"/>
  <c r="AG759" i="54" s="1"/>
  <c r="Z618" i="54"/>
  <c r="AF618" i="54" s="1"/>
  <c r="Z696" i="54"/>
  <c r="AF696" i="54" s="1"/>
  <c r="AB735" i="54"/>
  <c r="AG735" i="54" s="1"/>
  <c r="U122" i="64"/>
  <c r="AA122" i="64" s="1"/>
  <c r="Z375" i="54"/>
  <c r="AF375" i="54" s="1"/>
  <c r="U106" i="64"/>
  <c r="Z574" i="54"/>
  <c r="AF574" i="54" s="1"/>
  <c r="Z434" i="54"/>
  <c r="AF434" i="54" s="1"/>
  <c r="Z754" i="54"/>
  <c r="AF754" i="54" s="1"/>
  <c r="AB511" i="54"/>
  <c r="AG511" i="54" s="1"/>
  <c r="AB351" i="54"/>
  <c r="AG351" i="54" s="1"/>
  <c r="AB631" i="54"/>
  <c r="AG631" i="54" s="1"/>
  <c r="U73" i="64"/>
  <c r="U70" i="64"/>
  <c r="U76" i="64"/>
  <c r="U79" i="64"/>
  <c r="U72" i="64"/>
  <c r="Z490" i="54"/>
  <c r="AF490" i="54" s="1"/>
  <c r="Z550" i="54"/>
  <c r="AF550" i="54" s="1"/>
  <c r="AJ550" i="54" s="1"/>
  <c r="V68" i="64"/>
  <c r="V66" i="64"/>
  <c r="AB66" i="64" s="1"/>
  <c r="V58" i="64"/>
  <c r="AB58" i="64" s="1"/>
  <c r="V67" i="64"/>
  <c r="AB67" i="64" s="1"/>
  <c r="V64" i="64"/>
  <c r="AB64" i="64" s="1"/>
  <c r="W56" i="64"/>
  <c r="W57" i="64"/>
  <c r="AB427" i="54"/>
  <c r="AG427" i="54" s="1"/>
  <c r="AB407" i="54"/>
  <c r="AG407" i="54" s="1"/>
  <c r="AB367" i="54"/>
  <c r="AG367" i="54" s="1"/>
  <c r="AB327" i="54"/>
  <c r="AG327" i="54" s="1"/>
  <c r="AB727" i="54"/>
  <c r="AG727" i="54" s="1"/>
  <c r="AB687" i="54"/>
  <c r="AG687" i="54" s="1"/>
  <c r="AB647" i="54"/>
  <c r="AG647" i="54" s="1"/>
  <c r="AB607" i="54"/>
  <c r="AG607" i="54" s="1"/>
  <c r="AB567" i="54"/>
  <c r="AG567" i="54" s="1"/>
  <c r="AB507" i="54"/>
  <c r="AG507" i="54" s="1"/>
  <c r="U60" i="64"/>
  <c r="AA60" i="64" s="1"/>
  <c r="U66" i="64"/>
  <c r="U65" i="64"/>
  <c r="AA65" i="64" s="1"/>
  <c r="U64" i="64"/>
  <c r="U61" i="64"/>
  <c r="AA61" i="64" s="1"/>
  <c r="U62" i="64"/>
  <c r="Z407" i="54"/>
  <c r="AF407" i="54" s="1"/>
  <c r="Z367" i="54"/>
  <c r="AF367" i="54" s="1"/>
  <c r="Z327" i="54"/>
  <c r="AF327" i="54" s="1"/>
  <c r="Z727" i="54"/>
  <c r="AF727" i="54" s="1"/>
  <c r="Z687" i="54"/>
  <c r="AF687" i="54" s="1"/>
  <c r="Z647" i="54"/>
  <c r="AF647" i="54" s="1"/>
  <c r="Z607" i="54"/>
  <c r="AF607" i="54" s="1"/>
  <c r="Z567" i="54"/>
  <c r="AF567" i="54" s="1"/>
  <c r="AB435" i="54"/>
  <c r="AG435" i="54" s="1"/>
  <c r="AB695" i="54"/>
  <c r="AG695" i="54" s="1"/>
  <c r="Z335" i="54"/>
  <c r="AF335" i="54" s="1"/>
  <c r="U103" i="64"/>
  <c r="Z594" i="54"/>
  <c r="AF594" i="54" s="1"/>
  <c r="Z634" i="54"/>
  <c r="AF634" i="54" s="1"/>
  <c r="AJ634" i="54" s="1"/>
  <c r="Z714" i="54"/>
  <c r="AF714" i="54" s="1"/>
  <c r="V102" i="64"/>
  <c r="AB102" i="64" s="1"/>
  <c r="Z452" i="54"/>
  <c r="AF452" i="54" s="1"/>
  <c r="AB531" i="54"/>
  <c r="AG531" i="54" s="1"/>
  <c r="AB751" i="54"/>
  <c r="AG751" i="54" s="1"/>
  <c r="AB591" i="54"/>
  <c r="AG591" i="54" s="1"/>
  <c r="U69" i="64"/>
  <c r="Z470" i="54"/>
  <c r="AF470" i="54" s="1"/>
  <c r="Z410" i="54"/>
  <c r="AF410" i="54" s="1"/>
  <c r="Z370" i="54"/>
  <c r="AF370" i="54" s="1"/>
  <c r="Z330" i="54"/>
  <c r="AF330" i="54" s="1"/>
  <c r="Z730" i="54"/>
  <c r="AF730" i="54" s="1"/>
  <c r="Z690" i="54"/>
  <c r="AF690" i="54" s="1"/>
  <c r="Z650" i="54"/>
  <c r="AF650" i="54" s="1"/>
  <c r="Z610" i="54"/>
  <c r="AF610" i="54" s="1"/>
  <c r="Z590" i="54"/>
  <c r="AF590" i="54" s="1"/>
  <c r="Z530" i="54"/>
  <c r="AF530" i="54" s="1"/>
  <c r="V60" i="64"/>
  <c r="Z428" i="54"/>
  <c r="AF428" i="54" s="1"/>
  <c r="Z388" i="54"/>
  <c r="AF388" i="54" s="1"/>
  <c r="Z348" i="54"/>
  <c r="AF348" i="54" s="1"/>
  <c r="Z748" i="54"/>
  <c r="AF748" i="54" s="1"/>
  <c r="Z708" i="54"/>
  <c r="AF708" i="54" s="1"/>
  <c r="Z668" i="54"/>
  <c r="AF668" i="54" s="1"/>
  <c r="Z628" i="54"/>
  <c r="AF628" i="54" s="1"/>
  <c r="Z588" i="54"/>
  <c r="AF588" i="54" s="1"/>
  <c r="Z548" i="54"/>
  <c r="AF548" i="54" s="1"/>
  <c r="Z488" i="54"/>
  <c r="AF488" i="54" s="1"/>
  <c r="W49" i="64"/>
  <c r="AC49" i="64" s="1"/>
  <c r="W55" i="64"/>
  <c r="W48" i="64"/>
  <c r="AC48" i="64" s="1"/>
  <c r="AB395" i="54"/>
  <c r="AG395" i="54" s="1"/>
  <c r="Z394" i="54"/>
  <c r="AF394" i="54" s="1"/>
  <c r="AB431" i="54"/>
  <c r="AG431" i="54" s="1"/>
  <c r="U102" i="64"/>
  <c r="U74" i="64"/>
  <c r="Z448" i="54"/>
  <c r="AF448" i="54" s="1"/>
  <c r="W54" i="64"/>
  <c r="AB467" i="54"/>
  <c r="AG467" i="54" s="1"/>
  <c r="AK467" i="54" s="1"/>
  <c r="Z747" i="54"/>
  <c r="AF747" i="54" s="1"/>
  <c r="Z587" i="54"/>
  <c r="AF587" i="54" s="1"/>
  <c r="U168" i="64"/>
  <c r="AA168" i="64" s="1"/>
  <c r="U165" i="64"/>
  <c r="AA165" i="64" s="1"/>
  <c r="U170" i="64"/>
  <c r="V160" i="64"/>
  <c r="AB160" i="64" s="1"/>
  <c r="V159" i="64"/>
  <c r="U161" i="64"/>
  <c r="AA161" i="64" s="1"/>
  <c r="U158" i="64"/>
  <c r="Y156" i="64"/>
  <c r="X152" i="64"/>
  <c r="Y153" i="64"/>
  <c r="Z154" i="64"/>
  <c r="X154" i="64"/>
  <c r="AA154" i="64" s="1"/>
  <c r="X155" i="64"/>
  <c r="Y151" i="64"/>
  <c r="Z151" i="64"/>
  <c r="Y155" i="64"/>
  <c r="Z155" i="64"/>
  <c r="X153" i="64"/>
  <c r="Z153" i="64"/>
  <c r="X151" i="64"/>
  <c r="Y154" i="64"/>
  <c r="Z152" i="64"/>
  <c r="Z156" i="64"/>
  <c r="Y152" i="64"/>
  <c r="X156" i="64"/>
  <c r="AA156" i="64" s="1"/>
  <c r="Z721" i="54"/>
  <c r="AF721" i="54" s="1"/>
  <c r="Z421" i="54"/>
  <c r="AF421" i="54" s="1"/>
  <c r="Z541" i="54"/>
  <c r="AF541" i="54" s="1"/>
  <c r="Z521" i="54"/>
  <c r="AF521" i="54" s="1"/>
  <c r="Z741" i="54"/>
  <c r="AF741" i="54" s="1"/>
  <c r="Z401" i="54"/>
  <c r="AF401" i="54" s="1"/>
  <c r="U139" i="64"/>
  <c r="AA139" i="64" s="1"/>
  <c r="U140" i="64"/>
  <c r="AA140" i="64" s="1"/>
  <c r="W130" i="64"/>
  <c r="U137" i="64"/>
  <c r="U133" i="64"/>
  <c r="AA133" i="64" s="1"/>
  <c r="Z131" i="64"/>
  <c r="Z128" i="64"/>
  <c r="X128" i="64"/>
  <c r="X127" i="64"/>
  <c r="Y131" i="64"/>
  <c r="Z129" i="64"/>
  <c r="Y128" i="64"/>
  <c r="Z130" i="64"/>
  <c r="X132" i="64"/>
  <c r="X129" i="64"/>
  <c r="AA129" i="64" s="1"/>
  <c r="Y127" i="64"/>
  <c r="Y130" i="64"/>
  <c r="X130" i="64"/>
  <c r="X131" i="64"/>
  <c r="Y132" i="64"/>
  <c r="Z127" i="64"/>
  <c r="Z132" i="64"/>
  <c r="Y129" i="64"/>
  <c r="Z617" i="54"/>
  <c r="AF617" i="54" s="1"/>
  <c r="Z517" i="54"/>
  <c r="AF517" i="54" s="1"/>
  <c r="Z697" i="54"/>
  <c r="AF697" i="54" s="1"/>
  <c r="AJ697" i="54" s="1"/>
  <c r="AJ698" i="54" s="1"/>
  <c r="Z437" i="54"/>
  <c r="AF437" i="54" s="1"/>
  <c r="Z417" i="54"/>
  <c r="AF417" i="54" s="1"/>
  <c r="Z377" i="54"/>
  <c r="AF377" i="54" s="1"/>
  <c r="Z337" i="54"/>
  <c r="AF337" i="54" s="1"/>
  <c r="Z737" i="54"/>
  <c r="AF737" i="54" s="1"/>
  <c r="V82" i="64"/>
  <c r="V86" i="64"/>
  <c r="V87" i="64"/>
  <c r="W73" i="64"/>
  <c r="U89" i="64"/>
  <c r="AA89" i="64" s="1"/>
  <c r="U80" i="64"/>
  <c r="AA80" i="64" s="1"/>
  <c r="U83" i="64"/>
  <c r="U81" i="64"/>
  <c r="U90" i="64"/>
  <c r="U86" i="64"/>
  <c r="AA86" i="64" s="1"/>
  <c r="Y69" i="64"/>
  <c r="X75" i="64"/>
  <c r="X69" i="64"/>
  <c r="X70" i="64"/>
  <c r="Y72" i="64"/>
  <c r="X74" i="64"/>
  <c r="Y75" i="64"/>
  <c r="X76" i="64"/>
  <c r="X77" i="64"/>
  <c r="Z78" i="64"/>
  <c r="Y74" i="64"/>
  <c r="X72" i="64"/>
  <c r="Z69" i="64"/>
  <c r="Y76" i="64"/>
  <c r="Y77" i="64"/>
  <c r="Z74" i="64"/>
  <c r="Y73" i="64"/>
  <c r="X71" i="64"/>
  <c r="Y79" i="64"/>
  <c r="X73" i="64"/>
  <c r="Z79" i="64"/>
  <c r="Z77" i="64"/>
  <c r="Z73" i="64"/>
  <c r="Z75" i="64"/>
  <c r="Z71" i="64"/>
  <c r="Z72" i="64"/>
  <c r="Y78" i="64"/>
  <c r="Z70" i="64"/>
  <c r="X78" i="64"/>
  <c r="Y71" i="64"/>
  <c r="X79" i="64"/>
  <c r="Y70" i="64"/>
  <c r="Z76" i="64"/>
  <c r="V171" i="64"/>
  <c r="AB171" i="64" s="1"/>
  <c r="V170" i="64"/>
  <c r="V166" i="64"/>
  <c r="AB166" i="64" s="1"/>
  <c r="V167" i="64"/>
  <c r="AB167" i="64" s="1"/>
  <c r="W158" i="64"/>
  <c r="AC158" i="64" s="1"/>
  <c r="AB642" i="54"/>
  <c r="AG642" i="54" s="1"/>
  <c r="AB442" i="54"/>
  <c r="AG442" i="54" s="1"/>
  <c r="AB462" i="54"/>
  <c r="AG462" i="54" s="1"/>
  <c r="AB562" i="54"/>
  <c r="AG562" i="54" s="1"/>
  <c r="AB762" i="54"/>
  <c r="AG762" i="54" s="1"/>
  <c r="AB662" i="54"/>
  <c r="AG662" i="54" s="1"/>
  <c r="AB602" i="54"/>
  <c r="AG602" i="54" s="1"/>
  <c r="AB742" i="54"/>
  <c r="AG742" i="54" s="1"/>
  <c r="AB482" i="54"/>
  <c r="AG482" i="54" s="1"/>
  <c r="AB682" i="54"/>
  <c r="AG682" i="54" s="1"/>
  <c r="V141" i="64"/>
  <c r="V142" i="64"/>
  <c r="AB142" i="64" s="1"/>
  <c r="Z674" i="54"/>
  <c r="AF674" i="54" s="1"/>
  <c r="AB711" i="54"/>
  <c r="AG711" i="54" s="1"/>
  <c r="U75" i="64"/>
  <c r="Z510" i="54"/>
  <c r="AF510" i="54" s="1"/>
  <c r="V59" i="64"/>
  <c r="AB487" i="54"/>
  <c r="AG487" i="54" s="1"/>
  <c r="AK487" i="54" s="1"/>
  <c r="AB347" i="54"/>
  <c r="AG347" i="54" s="1"/>
  <c r="AB707" i="54"/>
  <c r="AG707" i="54" s="1"/>
  <c r="AB627" i="54"/>
  <c r="AG627" i="54" s="1"/>
  <c r="AB547" i="54"/>
  <c r="AG547" i="54" s="1"/>
  <c r="U67" i="64"/>
  <c r="U68" i="64"/>
  <c r="AA68" i="64" s="1"/>
  <c r="Z347" i="54"/>
  <c r="AF347" i="54" s="1"/>
  <c r="Z627" i="54"/>
  <c r="AF627" i="54" s="1"/>
  <c r="Z527" i="54"/>
  <c r="AF527" i="54" s="1"/>
  <c r="Z34" i="64"/>
  <c r="AC34" i="64" s="1"/>
  <c r="X23" i="64"/>
  <c r="AA23" i="64" s="1"/>
  <c r="X27" i="64"/>
  <c r="AA27" i="64" s="1"/>
  <c r="Z21" i="64"/>
  <c r="AC21" i="64" s="1"/>
  <c r="Y32" i="64"/>
  <c r="AB32" i="64" s="1"/>
  <c r="Z31" i="64"/>
  <c r="AC31" i="64" s="1"/>
  <c r="Z30" i="64"/>
  <c r="AC30" i="64" s="1"/>
  <c r="Z32" i="64"/>
  <c r="AC32" i="64" s="1"/>
  <c r="Z25" i="64"/>
  <c r="AC25" i="64" s="1"/>
  <c r="X29" i="64"/>
  <c r="AA29" i="64" s="1"/>
  <c r="Z29" i="64"/>
  <c r="AC29" i="64" s="1"/>
  <c r="X21" i="64"/>
  <c r="AA21" i="64" s="1"/>
  <c r="Y34" i="64"/>
  <c r="AB34" i="64" s="1"/>
  <c r="X20" i="64"/>
  <c r="AA20" i="64" s="1"/>
  <c r="X25" i="64"/>
  <c r="AA25" i="64" s="1"/>
  <c r="X28" i="64"/>
  <c r="AA28" i="64" s="1"/>
  <c r="Y25" i="64"/>
  <c r="AB25" i="64" s="1"/>
  <c r="Y31" i="64"/>
  <c r="AB31" i="64" s="1"/>
  <c r="Z20" i="64"/>
  <c r="AC20" i="64" s="1"/>
  <c r="Z27" i="64"/>
  <c r="AC27" i="64" s="1"/>
  <c r="Y22" i="64"/>
  <c r="AB22" i="64" s="1"/>
  <c r="X24" i="64"/>
  <c r="AA24" i="64" s="1"/>
  <c r="Y35" i="64"/>
  <c r="AB35" i="64" s="1"/>
  <c r="Z33" i="64"/>
  <c r="AC33" i="64" s="1"/>
  <c r="U164" i="64"/>
  <c r="AA164" i="64" s="1"/>
  <c r="U169" i="64"/>
  <c r="AA169" i="64" s="1"/>
  <c r="U166" i="64"/>
  <c r="V158" i="64"/>
  <c r="AB158" i="64" s="1"/>
  <c r="W154" i="64"/>
  <c r="AC154" i="64" s="1"/>
  <c r="W153" i="64"/>
  <c r="AC153" i="64" s="1"/>
  <c r="W156" i="64"/>
  <c r="AC156" i="64" s="1"/>
  <c r="U157" i="64"/>
  <c r="Z661" i="54"/>
  <c r="AF661" i="54" s="1"/>
  <c r="Z641" i="54"/>
  <c r="AF641" i="54" s="1"/>
  <c r="Z461" i="54"/>
  <c r="AF461" i="54" s="1"/>
  <c r="U144" i="64"/>
  <c r="AA144" i="64" s="1"/>
  <c r="V138" i="64"/>
  <c r="AB138" i="64" s="1"/>
  <c r="V136" i="64"/>
  <c r="V135" i="64"/>
  <c r="AB135" i="64" s="1"/>
  <c r="W128" i="64"/>
  <c r="W132" i="64"/>
  <c r="W129" i="64"/>
  <c r="U138" i="64"/>
  <c r="Z557" i="54"/>
  <c r="AF557" i="54" s="1"/>
  <c r="Z537" i="54"/>
  <c r="AF537" i="54" s="1"/>
  <c r="AB553" i="54"/>
  <c r="AG553" i="54" s="1"/>
  <c r="AB573" i="54"/>
  <c r="AG573" i="54" s="1"/>
  <c r="AB453" i="54"/>
  <c r="AG453" i="54" s="1"/>
  <c r="AB613" i="54"/>
  <c r="AG613" i="54" s="1"/>
  <c r="AK613" i="54" s="1"/>
  <c r="AB493" i="54"/>
  <c r="AG493" i="54" s="1"/>
  <c r="AB393" i="54"/>
  <c r="AG393" i="54" s="1"/>
  <c r="AB353" i="54"/>
  <c r="AG353" i="54" s="1"/>
  <c r="AB753" i="54"/>
  <c r="AG753" i="54" s="1"/>
  <c r="AB713" i="54"/>
  <c r="AG713" i="54" s="1"/>
  <c r="AB673" i="54"/>
  <c r="AG673" i="54" s="1"/>
  <c r="AB633" i="54"/>
  <c r="AG633" i="54" s="1"/>
  <c r="AB593" i="54"/>
  <c r="AG593" i="54" s="1"/>
  <c r="U94" i="64"/>
  <c r="AA94" i="64" s="1"/>
  <c r="U92" i="64"/>
  <c r="U96" i="64"/>
  <c r="U95" i="64"/>
  <c r="AA95" i="64" s="1"/>
  <c r="V81" i="64"/>
  <c r="V89" i="64"/>
  <c r="V83" i="64"/>
  <c r="AB83" i="64" s="1"/>
  <c r="W79" i="64"/>
  <c r="W74" i="64"/>
  <c r="W70" i="64"/>
  <c r="W76" i="64"/>
  <c r="AC76" i="64" s="1"/>
  <c r="W69" i="64"/>
  <c r="U85" i="64"/>
  <c r="AA85" i="64" s="1"/>
  <c r="Z449" i="54"/>
  <c r="AF449" i="54" s="1"/>
  <c r="Z429" i="54"/>
  <c r="AF429" i="54" s="1"/>
  <c r="Z469" i="54"/>
  <c r="AF469" i="54" s="1"/>
  <c r="Z389" i="54"/>
  <c r="AF389" i="54" s="1"/>
  <c r="Z349" i="54"/>
  <c r="AF349" i="54" s="1"/>
  <c r="Z749" i="54"/>
  <c r="AF749" i="54" s="1"/>
  <c r="Z709" i="54"/>
  <c r="AF709" i="54" s="1"/>
  <c r="Z669" i="54"/>
  <c r="AF669" i="54" s="1"/>
  <c r="Z629" i="54"/>
  <c r="AF629" i="54" s="1"/>
  <c r="Z589" i="54"/>
  <c r="AF589" i="54" s="1"/>
  <c r="Z549" i="54"/>
  <c r="AF549" i="54" s="1"/>
  <c r="V168" i="64"/>
  <c r="V172" i="64"/>
  <c r="AB172" i="64" s="1"/>
  <c r="V164" i="64"/>
  <c r="AB164" i="64" s="1"/>
  <c r="W162" i="64"/>
  <c r="W157" i="64"/>
  <c r="AC157" i="64" s="1"/>
  <c r="W161" i="64"/>
  <c r="AC161" i="64" s="1"/>
  <c r="V140" i="64"/>
  <c r="AB140" i="64" s="1"/>
  <c r="Z735" i="54"/>
  <c r="AF735" i="54" s="1"/>
  <c r="Z512" i="54"/>
  <c r="AF512" i="54" s="1"/>
  <c r="W96" i="64"/>
  <c r="AC96" i="64" s="1"/>
  <c r="U78" i="64"/>
  <c r="AA78" i="64" s="1"/>
  <c r="AB447" i="54"/>
  <c r="AG447" i="54" s="1"/>
  <c r="U71" i="64"/>
  <c r="V65" i="64"/>
  <c r="AB747" i="54"/>
  <c r="AG747" i="54" s="1"/>
  <c r="Z387" i="54"/>
  <c r="AF387" i="54" s="1"/>
  <c r="U163" i="64"/>
  <c r="AA163" i="64" s="1"/>
  <c r="V157" i="64"/>
  <c r="V162" i="64"/>
  <c r="AB162" i="64" s="1"/>
  <c r="Z581" i="54"/>
  <c r="AF581" i="54" s="1"/>
  <c r="Z361" i="54"/>
  <c r="AF361" i="54" s="1"/>
  <c r="AJ361" i="54" s="1"/>
  <c r="Z381" i="54"/>
  <c r="AF381" i="54" s="1"/>
  <c r="U143" i="64"/>
  <c r="U142" i="64"/>
  <c r="AA142" i="64" s="1"/>
  <c r="V134" i="64"/>
  <c r="AB134" i="64" s="1"/>
  <c r="U136" i="64"/>
  <c r="U135" i="64"/>
  <c r="AB555" i="54"/>
  <c r="AG555" i="54" s="1"/>
  <c r="W50" i="64"/>
  <c r="AB667" i="54"/>
  <c r="AG667" i="54" s="1"/>
  <c r="AB527" i="54"/>
  <c r="AG527" i="54" s="1"/>
  <c r="U58" i="64"/>
  <c r="AA58" i="64" s="1"/>
  <c r="Z707" i="54"/>
  <c r="AF707" i="54" s="1"/>
  <c r="Z507" i="54"/>
  <c r="AF507" i="54" s="1"/>
  <c r="X22" i="64"/>
  <c r="AA22" i="64" s="1"/>
  <c r="X33" i="64"/>
  <c r="AA33" i="64" s="1"/>
  <c r="Y33" i="64"/>
  <c r="AB33" i="64" s="1"/>
  <c r="X34" i="64"/>
  <c r="AA34" i="64" s="1"/>
  <c r="Y20" i="64"/>
  <c r="AB20" i="64" s="1"/>
  <c r="X32" i="64"/>
  <c r="AA32" i="64" s="1"/>
  <c r="Y21" i="64"/>
  <c r="AB21" i="64" s="1"/>
  <c r="Z28" i="64"/>
  <c r="AC28" i="64" s="1"/>
  <c r="X31" i="64"/>
  <c r="AA31" i="64" s="1"/>
  <c r="Y29" i="64"/>
  <c r="AB29" i="64" s="1"/>
  <c r="Y30" i="64"/>
  <c r="AB30" i="64" s="1"/>
  <c r="Z35" i="64"/>
  <c r="AC35" i="64" s="1"/>
  <c r="U167" i="64"/>
  <c r="AA167" i="64" s="1"/>
  <c r="U173" i="64"/>
  <c r="AA173" i="64" s="1"/>
  <c r="V161" i="64"/>
  <c r="Z621" i="54"/>
  <c r="AF621" i="54" s="1"/>
  <c r="Z501" i="54"/>
  <c r="AF501" i="54" s="1"/>
  <c r="U141" i="64"/>
  <c r="U134" i="64"/>
  <c r="Z597" i="54"/>
  <c r="AF597" i="54" s="1"/>
  <c r="Z457" i="54"/>
  <c r="AF457" i="54" s="1"/>
  <c r="Z677" i="54"/>
  <c r="AF677" i="54" s="1"/>
  <c r="V90" i="64"/>
  <c r="W77" i="64"/>
  <c r="W72" i="64"/>
  <c r="W71" i="64"/>
  <c r="Z529" i="54"/>
  <c r="AF529" i="54" s="1"/>
  <c r="AJ529" i="54" s="1"/>
  <c r="Z409" i="54"/>
  <c r="AF409" i="54" s="1"/>
  <c r="Z329" i="54"/>
  <c r="AF329" i="54" s="1"/>
  <c r="Z689" i="54"/>
  <c r="AF689" i="54" s="1"/>
  <c r="Z609" i="54"/>
  <c r="AF609" i="54" s="1"/>
  <c r="V169" i="64"/>
  <c r="AB169" i="64" s="1"/>
  <c r="Z427" i="54"/>
  <c r="AF427" i="54" s="1"/>
  <c r="Z667" i="54"/>
  <c r="AF667" i="54" s="1"/>
  <c r="Z467" i="54"/>
  <c r="AF467" i="54" s="1"/>
  <c r="AJ467" i="54" s="1"/>
  <c r="U171" i="64"/>
  <c r="AA171" i="64" s="1"/>
  <c r="W152" i="64"/>
  <c r="U160" i="64"/>
  <c r="Z681" i="54"/>
  <c r="AF681" i="54" s="1"/>
  <c r="Z441" i="54"/>
  <c r="AF441" i="54" s="1"/>
  <c r="Z561" i="54"/>
  <c r="AF561" i="54" s="1"/>
  <c r="Z481" i="54"/>
  <c r="AF481" i="54" s="1"/>
  <c r="V133" i="64"/>
  <c r="AB133" i="64" s="1"/>
  <c r="W131" i="64"/>
  <c r="Z497" i="54"/>
  <c r="AF497" i="54" s="1"/>
  <c r="Z577" i="54"/>
  <c r="AF577" i="54" s="1"/>
  <c r="Z357" i="54"/>
  <c r="AF357" i="54" s="1"/>
  <c r="Z757" i="54"/>
  <c r="AF757" i="54" s="1"/>
  <c r="AB533" i="54"/>
  <c r="AG533" i="54" s="1"/>
  <c r="AB513" i="54"/>
  <c r="AG513" i="54" s="1"/>
  <c r="AB373" i="54"/>
  <c r="AG373" i="54" s="1"/>
  <c r="AB733" i="54"/>
  <c r="AG733" i="54" s="1"/>
  <c r="AB653" i="54"/>
  <c r="AG653" i="54" s="1"/>
  <c r="V84" i="64"/>
  <c r="AB84" i="64" s="1"/>
  <c r="V88" i="64"/>
  <c r="AB88" i="64" s="1"/>
  <c r="U84" i="64"/>
  <c r="AA84" i="64" s="1"/>
  <c r="U88" i="64"/>
  <c r="W160" i="64"/>
  <c r="AC160" i="64" s="1"/>
  <c r="AB582" i="54"/>
  <c r="AG582" i="54" s="1"/>
  <c r="AB522" i="54"/>
  <c r="AG522" i="54" s="1"/>
  <c r="AB622" i="54"/>
  <c r="AG622" i="54" s="1"/>
  <c r="AB722" i="54"/>
  <c r="AG722" i="54" s="1"/>
  <c r="AB382" i="54"/>
  <c r="AG382" i="54" s="1"/>
  <c r="AK382" i="54" s="1"/>
  <c r="AK383" i="54" s="1"/>
  <c r="AK384" i="54" s="1"/>
  <c r="AB342" i="54"/>
  <c r="AG342" i="54" s="1"/>
  <c r="W134" i="64"/>
  <c r="AB558" i="54"/>
  <c r="AG558" i="54" s="1"/>
  <c r="AB618" i="54"/>
  <c r="AG618" i="54" s="1"/>
  <c r="AB518" i="54"/>
  <c r="AG518" i="54" s="1"/>
  <c r="AB678" i="54"/>
  <c r="AG678" i="54" s="1"/>
  <c r="AB378" i="54"/>
  <c r="AG378" i="54" s="1"/>
  <c r="V61" i="64"/>
  <c r="AB61" i="64" s="1"/>
  <c r="AB587" i="54"/>
  <c r="AG587" i="54" s="1"/>
  <c r="X35" i="64"/>
  <c r="AA35" i="64" s="1"/>
  <c r="X26" i="64"/>
  <c r="AA26" i="64" s="1"/>
  <c r="Y28" i="64"/>
  <c r="AB28" i="64" s="1"/>
  <c r="W151" i="64"/>
  <c r="AC151" i="64" s="1"/>
  <c r="Z341" i="54"/>
  <c r="AF341" i="54" s="1"/>
  <c r="Z657" i="54"/>
  <c r="AF657" i="54" s="1"/>
  <c r="U91" i="64"/>
  <c r="V80" i="64"/>
  <c r="W75" i="64"/>
  <c r="Z729" i="54"/>
  <c r="AF729" i="54" s="1"/>
  <c r="Z569" i="54"/>
  <c r="AF569" i="54" s="1"/>
  <c r="AB402" i="54"/>
  <c r="AG402" i="54" s="1"/>
  <c r="V139" i="64"/>
  <c r="AB139" i="64" s="1"/>
  <c r="W133" i="64"/>
  <c r="W137" i="64"/>
  <c r="W136" i="64"/>
  <c r="W138" i="64"/>
  <c r="AC138" i="64" s="1"/>
  <c r="AB638" i="54"/>
  <c r="AG638" i="54" s="1"/>
  <c r="AB458" i="54"/>
  <c r="AG458" i="54" s="1"/>
  <c r="AB438" i="54"/>
  <c r="AG438" i="54" s="1"/>
  <c r="AB338" i="54"/>
  <c r="AG338" i="54" s="1"/>
  <c r="AB698" i="54"/>
  <c r="AG698" i="54" s="1"/>
  <c r="V119" i="64"/>
  <c r="W111" i="64"/>
  <c r="AC111" i="64" s="1"/>
  <c r="AB514" i="54"/>
  <c r="AG514" i="54" s="1"/>
  <c r="AB574" i="54"/>
  <c r="AG574" i="54" s="1"/>
  <c r="AB534" i="54"/>
  <c r="AG534" i="54" s="1"/>
  <c r="AB474" i="54"/>
  <c r="AG474" i="54" s="1"/>
  <c r="AB634" i="54"/>
  <c r="AG634" i="54" s="1"/>
  <c r="AK634" i="54" s="1"/>
  <c r="AB394" i="54"/>
  <c r="AG394" i="54" s="1"/>
  <c r="AB354" i="54"/>
  <c r="AG354" i="54" s="1"/>
  <c r="AB754" i="54"/>
  <c r="AG754" i="54" s="1"/>
  <c r="AB714" i="54"/>
  <c r="AG714" i="54" s="1"/>
  <c r="AB654" i="54"/>
  <c r="AG654" i="54" s="1"/>
  <c r="U117" i="64"/>
  <c r="X108" i="64"/>
  <c r="Z106" i="64"/>
  <c r="Y108" i="64"/>
  <c r="Y105" i="64"/>
  <c r="Y107" i="64"/>
  <c r="Z107" i="64"/>
  <c r="Z104" i="64"/>
  <c r="X104" i="64"/>
  <c r="Y106" i="64"/>
  <c r="Z105" i="64"/>
  <c r="Y103" i="64"/>
  <c r="X105" i="64"/>
  <c r="Z108" i="64"/>
  <c r="X103" i="64"/>
  <c r="X107" i="64"/>
  <c r="Z103" i="64"/>
  <c r="Y104" i="64"/>
  <c r="X106" i="64"/>
  <c r="Z513" i="54"/>
  <c r="AF513" i="54" s="1"/>
  <c r="Z573" i="54"/>
  <c r="AF573" i="54" s="1"/>
  <c r="Z433" i="54"/>
  <c r="AF433" i="54" s="1"/>
  <c r="Z393" i="54"/>
  <c r="AF393" i="54" s="1"/>
  <c r="Z353" i="54"/>
  <c r="AF353" i="54" s="1"/>
  <c r="Z593" i="54"/>
  <c r="AF593" i="54" s="1"/>
  <c r="V95" i="64"/>
  <c r="AB95" i="64" s="1"/>
  <c r="V96" i="64"/>
  <c r="V91" i="64"/>
  <c r="W83" i="64"/>
  <c r="W84" i="64"/>
  <c r="W86" i="64"/>
  <c r="AC86" i="64" s="1"/>
  <c r="W81" i="64"/>
  <c r="W82" i="64"/>
  <c r="AC82" i="64" s="1"/>
  <c r="V52" i="64"/>
  <c r="U49" i="64"/>
  <c r="U55" i="64"/>
  <c r="AA55" i="64" s="1"/>
  <c r="U48" i="64"/>
  <c r="AA48" i="64" s="1"/>
  <c r="U56" i="64"/>
  <c r="AA56" i="64" s="1"/>
  <c r="U57" i="64"/>
  <c r="AA57" i="64" s="1"/>
  <c r="U50" i="64"/>
  <c r="AB761" i="54"/>
  <c r="AG761" i="54" s="1"/>
  <c r="AB497" i="54"/>
  <c r="AG497" i="54" s="1"/>
  <c r="AB697" i="54"/>
  <c r="AG697" i="54" s="1"/>
  <c r="AK697" i="54" s="1"/>
  <c r="AB517" i="54"/>
  <c r="AG517" i="54" s="1"/>
  <c r="AB457" i="54"/>
  <c r="AG457" i="54" s="1"/>
  <c r="AB617" i="54"/>
  <c r="AG617" i="54" s="1"/>
  <c r="AB657" i="54"/>
  <c r="AG657" i="54" s="1"/>
  <c r="AB557" i="54"/>
  <c r="AG557" i="54" s="1"/>
  <c r="AB397" i="54"/>
  <c r="AG397" i="54" s="1"/>
  <c r="AB357" i="54"/>
  <c r="AG357" i="54" s="1"/>
  <c r="V110" i="64"/>
  <c r="V109" i="64"/>
  <c r="AB109" i="64" s="1"/>
  <c r="W105" i="64"/>
  <c r="U112" i="64"/>
  <c r="U111" i="64"/>
  <c r="AA111" i="64" s="1"/>
  <c r="AB509" i="54"/>
  <c r="AG509" i="54" s="1"/>
  <c r="Z468" i="54"/>
  <c r="AF468" i="54" s="1"/>
  <c r="Z22" i="64"/>
  <c r="AC22" i="64" s="1"/>
  <c r="Y23" i="64"/>
  <c r="AB23" i="64" s="1"/>
  <c r="Z26" i="64"/>
  <c r="AC26" i="64" s="1"/>
  <c r="U159" i="64"/>
  <c r="AA159" i="64" s="1"/>
  <c r="Z637" i="54"/>
  <c r="AF637" i="54" s="1"/>
  <c r="AB433" i="54"/>
  <c r="AG433" i="54" s="1"/>
  <c r="AB333" i="54"/>
  <c r="AG333" i="54" s="1"/>
  <c r="V85" i="64"/>
  <c r="U87" i="64"/>
  <c r="AA87" i="64" s="1"/>
  <c r="Z509" i="54"/>
  <c r="AF509" i="54" s="1"/>
  <c r="V173" i="64"/>
  <c r="AB173" i="64" s="1"/>
  <c r="W159" i="64"/>
  <c r="AB422" i="54"/>
  <c r="AG422" i="54" s="1"/>
  <c r="W135" i="64"/>
  <c r="AC135" i="64" s="1"/>
  <c r="AB538" i="54"/>
  <c r="AG538" i="54" s="1"/>
  <c r="AB658" i="54"/>
  <c r="AG658" i="54" s="1"/>
  <c r="AB398" i="54"/>
  <c r="AG398" i="54" s="1"/>
  <c r="AB738" i="54"/>
  <c r="AG738" i="54" s="1"/>
  <c r="V118" i="64"/>
  <c r="AB118" i="64" s="1"/>
  <c r="W114" i="64"/>
  <c r="U120" i="64"/>
  <c r="Z553" i="54"/>
  <c r="AF553" i="54" s="1"/>
  <c r="Z333" i="54"/>
  <c r="AF333" i="54" s="1"/>
  <c r="Z733" i="54"/>
  <c r="AF733" i="54" s="1"/>
  <c r="Z693" i="54"/>
  <c r="AF693" i="54" s="1"/>
  <c r="Z633" i="54"/>
  <c r="AF633" i="54" s="1"/>
  <c r="V94" i="64"/>
  <c r="AB94" i="64" s="1"/>
  <c r="V93" i="64"/>
  <c r="W80" i="64"/>
  <c r="AB550" i="54"/>
  <c r="AG550" i="54" s="1"/>
  <c r="AK550" i="54" s="1"/>
  <c r="AB510" i="54"/>
  <c r="AG510" i="54" s="1"/>
  <c r="AB470" i="54"/>
  <c r="AG470" i="54" s="1"/>
  <c r="AB410" i="54"/>
  <c r="AG410" i="54" s="1"/>
  <c r="AB370" i="54"/>
  <c r="AG370" i="54" s="1"/>
  <c r="AB330" i="54"/>
  <c r="AG330" i="54" s="1"/>
  <c r="AB730" i="54"/>
  <c r="AG730" i="54" s="1"/>
  <c r="AB690" i="54"/>
  <c r="AG690" i="54" s="1"/>
  <c r="AB650" i="54"/>
  <c r="AG650" i="54" s="1"/>
  <c r="AB610" i="54"/>
  <c r="AG610" i="54" s="1"/>
  <c r="AB570" i="54"/>
  <c r="AG570" i="54" s="1"/>
  <c r="AB530" i="54"/>
  <c r="AG530" i="54" s="1"/>
  <c r="V54" i="64"/>
  <c r="V53" i="64"/>
  <c r="V57" i="64"/>
  <c r="AB641" i="54"/>
  <c r="AG641" i="54" s="1"/>
  <c r="AB361" i="54"/>
  <c r="AG361" i="54" s="1"/>
  <c r="AK361" i="54" s="1"/>
  <c r="AB461" i="54"/>
  <c r="AG461" i="54" s="1"/>
  <c r="AB621" i="54"/>
  <c r="AG621" i="54" s="1"/>
  <c r="AB661" i="54"/>
  <c r="AG661" i="54" s="1"/>
  <c r="AB441" i="54"/>
  <c r="AG441" i="54" s="1"/>
  <c r="AB481" i="54"/>
  <c r="AG481" i="54" s="1"/>
  <c r="AB601" i="54"/>
  <c r="AG601" i="54" s="1"/>
  <c r="AB721" i="54"/>
  <c r="AG721" i="54" s="1"/>
  <c r="AB401" i="54"/>
  <c r="AG401" i="54" s="1"/>
  <c r="AB757" i="54"/>
  <c r="AG757" i="54" s="1"/>
  <c r="AB717" i="54"/>
  <c r="AG717" i="54" s="1"/>
  <c r="V114" i="64"/>
  <c r="AB114" i="64" s="1"/>
  <c r="W108" i="64"/>
  <c r="W107" i="64"/>
  <c r="W104" i="64"/>
  <c r="U110" i="64"/>
  <c r="U114" i="64"/>
  <c r="AA114" i="64" s="1"/>
  <c r="AB429" i="54"/>
  <c r="AG429" i="54" s="1"/>
  <c r="AB529" i="54"/>
  <c r="AG529" i="54" s="1"/>
  <c r="AK529" i="54" s="1"/>
  <c r="AB409" i="54"/>
  <c r="AG409" i="54" s="1"/>
  <c r="AB369" i="54"/>
  <c r="AG369" i="54" s="1"/>
  <c r="AB329" i="54"/>
  <c r="AG329" i="54" s="1"/>
  <c r="AB729" i="54"/>
  <c r="AG729" i="54" s="1"/>
  <c r="AB689" i="54"/>
  <c r="AG689" i="54" s="1"/>
  <c r="AB649" i="54"/>
  <c r="AG649" i="54" s="1"/>
  <c r="AB609" i="54"/>
  <c r="AG609" i="54" s="1"/>
  <c r="AB569" i="54"/>
  <c r="AG569" i="54" s="1"/>
  <c r="V151" i="64"/>
  <c r="V153" i="64"/>
  <c r="W148" i="64"/>
  <c r="AC148" i="64" s="1"/>
  <c r="W147" i="64"/>
  <c r="V127" i="64"/>
  <c r="AB127" i="64" s="1"/>
  <c r="W123" i="64"/>
  <c r="AC123" i="64" s="1"/>
  <c r="W126" i="64"/>
  <c r="V105" i="64"/>
  <c r="AB105" i="64" s="1"/>
  <c r="U77" i="64"/>
  <c r="U63" i="64"/>
  <c r="Z547" i="54"/>
  <c r="AF547" i="54" s="1"/>
  <c r="Z24" i="64"/>
  <c r="AC24" i="64" s="1"/>
  <c r="Y27" i="64"/>
  <c r="AB27" i="64" s="1"/>
  <c r="Y24" i="64"/>
  <c r="AB24" i="64" s="1"/>
  <c r="Z601" i="54"/>
  <c r="AF601" i="54" s="1"/>
  <c r="V137" i="64"/>
  <c r="W127" i="64"/>
  <c r="AC127" i="64" s="1"/>
  <c r="U93" i="64"/>
  <c r="AA93" i="64" s="1"/>
  <c r="W78" i="64"/>
  <c r="Z489" i="54"/>
  <c r="AF489" i="54" s="1"/>
  <c r="Z369" i="54"/>
  <c r="AF369" i="54" s="1"/>
  <c r="Z649" i="54"/>
  <c r="AF649" i="54" s="1"/>
  <c r="V165" i="64"/>
  <c r="AB165" i="64" s="1"/>
  <c r="V163" i="64"/>
  <c r="AB502" i="54"/>
  <c r="AG502" i="54" s="1"/>
  <c r="AB362" i="54"/>
  <c r="AG362" i="54" s="1"/>
  <c r="V143" i="64"/>
  <c r="AB598" i="54"/>
  <c r="AG598" i="54" s="1"/>
  <c r="AB478" i="54"/>
  <c r="AG478" i="54" s="1"/>
  <c r="AB578" i="54"/>
  <c r="AG578" i="54" s="1"/>
  <c r="AB758" i="54"/>
  <c r="AG758" i="54" s="1"/>
  <c r="V116" i="64"/>
  <c r="V120" i="64"/>
  <c r="AB120" i="64" s="1"/>
  <c r="V117" i="64"/>
  <c r="W110" i="64"/>
  <c r="AC110" i="64" s="1"/>
  <c r="W113" i="64"/>
  <c r="AB594" i="54"/>
  <c r="AG594" i="54" s="1"/>
  <c r="AB454" i="54"/>
  <c r="AG454" i="54" s="1"/>
  <c r="AB494" i="54"/>
  <c r="AG494" i="54" s="1"/>
  <c r="AB554" i="54"/>
  <c r="AG554" i="54" s="1"/>
  <c r="AB434" i="54"/>
  <c r="AG434" i="54" s="1"/>
  <c r="AB414" i="54"/>
  <c r="AG414" i="54" s="1"/>
  <c r="AB374" i="54"/>
  <c r="AG374" i="54" s="1"/>
  <c r="AB334" i="54"/>
  <c r="AG334" i="54" s="1"/>
  <c r="AB734" i="54"/>
  <c r="AG734" i="54" s="1"/>
  <c r="AB694" i="54"/>
  <c r="AG694" i="54" s="1"/>
  <c r="AB674" i="54"/>
  <c r="AG674" i="54" s="1"/>
  <c r="AB614" i="54"/>
  <c r="AG614" i="54" s="1"/>
  <c r="U119" i="64"/>
  <c r="U116" i="64"/>
  <c r="Z613" i="54"/>
  <c r="AF613" i="54" s="1"/>
  <c r="AJ613" i="54" s="1"/>
  <c r="AJ614" i="54" s="1"/>
  <c r="AJ615" i="54" s="1"/>
  <c r="Z493" i="54"/>
  <c r="AF493" i="54" s="1"/>
  <c r="Z453" i="54"/>
  <c r="AF453" i="54" s="1"/>
  <c r="Z533" i="54"/>
  <c r="AF533" i="54" s="1"/>
  <c r="Z413" i="54"/>
  <c r="AF413" i="54" s="1"/>
  <c r="Z373" i="54"/>
  <c r="AF373" i="54" s="1"/>
  <c r="V92" i="64"/>
  <c r="W89" i="64"/>
  <c r="W88" i="64"/>
  <c r="AC88" i="64" s="1"/>
  <c r="AB450" i="54"/>
  <c r="AG450" i="54" s="1"/>
  <c r="AB490" i="54"/>
  <c r="AG490" i="54" s="1"/>
  <c r="AB430" i="54"/>
  <c r="AG430" i="54" s="1"/>
  <c r="AB390" i="54"/>
  <c r="AG390" i="54" s="1"/>
  <c r="AB350" i="54"/>
  <c r="AG350" i="54" s="1"/>
  <c r="AB750" i="54"/>
  <c r="AG750" i="54" s="1"/>
  <c r="AB710" i="54"/>
  <c r="AG710" i="54" s="1"/>
  <c r="AB670" i="54"/>
  <c r="AG670" i="54" s="1"/>
  <c r="AB630" i="54"/>
  <c r="AG630" i="54" s="1"/>
  <c r="AB590" i="54"/>
  <c r="AG590" i="54" s="1"/>
  <c r="V49" i="64"/>
  <c r="V55" i="64"/>
  <c r="U52" i="64"/>
  <c r="AA52" i="64" s="1"/>
  <c r="U53" i="64"/>
  <c r="U54" i="64"/>
  <c r="AA54" i="64" s="1"/>
  <c r="U47" i="64"/>
  <c r="AB477" i="54"/>
  <c r="AG477" i="54" s="1"/>
  <c r="AB637" i="54"/>
  <c r="AG637" i="54" s="1"/>
  <c r="AB577" i="54"/>
  <c r="AG577" i="54" s="1"/>
  <c r="AB437" i="54"/>
  <c r="AG437" i="54" s="1"/>
  <c r="AB597" i="54"/>
  <c r="AG597" i="54" s="1"/>
  <c r="AB537" i="54"/>
  <c r="AG537" i="54" s="1"/>
  <c r="AB417" i="54"/>
  <c r="AG417" i="54" s="1"/>
  <c r="AB377" i="54"/>
  <c r="AG377" i="54" s="1"/>
  <c r="AB677" i="54"/>
  <c r="AG677" i="54" s="1"/>
  <c r="V112" i="64"/>
  <c r="U113" i="64"/>
  <c r="AA113" i="64" s="1"/>
  <c r="V152" i="64"/>
  <c r="AB152" i="64" s="1"/>
  <c r="W149" i="64"/>
  <c r="AB500" i="54"/>
  <c r="AG500" i="54" s="1"/>
  <c r="AB540" i="54"/>
  <c r="AG540" i="54" s="1"/>
  <c r="AB580" i="54"/>
  <c r="AG580" i="54" s="1"/>
  <c r="AB440" i="54"/>
  <c r="AG440" i="54" s="1"/>
  <c r="AB460" i="54"/>
  <c r="AG460" i="54" s="1"/>
  <c r="AB680" i="54"/>
  <c r="AG680" i="54" s="1"/>
  <c r="AB720" i="54"/>
  <c r="AG720" i="54" s="1"/>
  <c r="AB760" i="54"/>
  <c r="AG760" i="54" s="1"/>
  <c r="AK760" i="54" s="1"/>
  <c r="AK761" i="54" s="1"/>
  <c r="AK762" i="54" s="1"/>
  <c r="AB620" i="54"/>
  <c r="AG620" i="54" s="1"/>
  <c r="AB400" i="54"/>
  <c r="AG400" i="54" s="1"/>
  <c r="AB360" i="54"/>
  <c r="AG360" i="54" s="1"/>
  <c r="V132" i="64"/>
  <c r="AB132" i="64" s="1"/>
  <c r="V131" i="64"/>
  <c r="V130" i="64"/>
  <c r="W122" i="64"/>
  <c r="AC122" i="64" s="1"/>
  <c r="AB536" i="54"/>
  <c r="AG536" i="54" s="1"/>
  <c r="AB436" i="54"/>
  <c r="AG436" i="54" s="1"/>
  <c r="AB516" i="54"/>
  <c r="AG516" i="54" s="1"/>
  <c r="AB476" i="54"/>
  <c r="AG476" i="54" s="1"/>
  <c r="AB576" i="54"/>
  <c r="AG576" i="54" s="1"/>
  <c r="AB556" i="54"/>
  <c r="AG556" i="54" s="1"/>
  <c r="AB396" i="54"/>
  <c r="AG396" i="54" s="1"/>
  <c r="AB356" i="54"/>
  <c r="AG356" i="54" s="1"/>
  <c r="AB756" i="54"/>
  <c r="AG756" i="54" s="1"/>
  <c r="AB696" i="54"/>
  <c r="AG696" i="54" s="1"/>
  <c r="AB656" i="54"/>
  <c r="AG656" i="54" s="1"/>
  <c r="V103" i="64"/>
  <c r="W97" i="64"/>
  <c r="AB387" i="54"/>
  <c r="AG387" i="54" s="1"/>
  <c r="U59" i="64"/>
  <c r="AA59" i="64" s="1"/>
  <c r="Z447" i="54"/>
  <c r="AF447" i="54" s="1"/>
  <c r="X30" i="64"/>
  <c r="AA30" i="64" s="1"/>
  <c r="Z23" i="64"/>
  <c r="AC23" i="64" s="1"/>
  <c r="Y26" i="64"/>
  <c r="AB26" i="64" s="1"/>
  <c r="Z425" i="54"/>
  <c r="AF425" i="54" s="1"/>
  <c r="AJ425" i="54" s="1"/>
  <c r="AJ426" i="54" s="1"/>
  <c r="U172" i="64"/>
  <c r="W155" i="64"/>
  <c r="U162" i="64"/>
  <c r="AA162" i="64" s="1"/>
  <c r="Z701" i="54"/>
  <c r="AF701" i="54" s="1"/>
  <c r="Z717" i="54"/>
  <c r="AF717" i="54" s="1"/>
  <c r="AB702" i="54"/>
  <c r="AG702" i="54" s="1"/>
  <c r="AB718" i="54"/>
  <c r="AG718" i="54" s="1"/>
  <c r="AK718" i="54" s="1"/>
  <c r="V115" i="64"/>
  <c r="W109" i="64"/>
  <c r="Z713" i="54"/>
  <c r="AF713" i="54" s="1"/>
  <c r="V48" i="64"/>
  <c r="AB48" i="64" s="1"/>
  <c r="V47" i="64"/>
  <c r="AB561" i="54"/>
  <c r="AG561" i="54" s="1"/>
  <c r="AB541" i="54"/>
  <c r="AG541" i="54" s="1"/>
  <c r="AB337" i="54"/>
  <c r="AG337" i="54" s="1"/>
  <c r="V113" i="64"/>
  <c r="AB113" i="64" s="1"/>
  <c r="W106" i="64"/>
  <c r="U109" i="64"/>
  <c r="AA109" i="64" s="1"/>
  <c r="AB449" i="54"/>
  <c r="AG449" i="54" s="1"/>
  <c r="AB749" i="54"/>
  <c r="AG749" i="54" s="1"/>
  <c r="AB589" i="54"/>
  <c r="AG589" i="54" s="1"/>
  <c r="Z477" i="54"/>
  <c r="AF477" i="54" s="1"/>
  <c r="AB473" i="54"/>
  <c r="AG473" i="54" s="1"/>
  <c r="U82" i="64"/>
  <c r="AB418" i="54"/>
  <c r="AG418" i="54" s="1"/>
  <c r="U115" i="64"/>
  <c r="AA115" i="64" s="1"/>
  <c r="Z473" i="54"/>
  <c r="AF473" i="54" s="1"/>
  <c r="Z673" i="54"/>
  <c r="AF673" i="54" s="1"/>
  <c r="V50" i="64"/>
  <c r="AB50" i="64" s="1"/>
  <c r="U51" i="64"/>
  <c r="AB681" i="54"/>
  <c r="AG681" i="54" s="1"/>
  <c r="AB581" i="54"/>
  <c r="AG581" i="54" s="1"/>
  <c r="AB341" i="54"/>
  <c r="AG341" i="54" s="1"/>
  <c r="AB737" i="54"/>
  <c r="AG737" i="54" s="1"/>
  <c r="AB489" i="54"/>
  <c r="AG489" i="54" s="1"/>
  <c r="AB709" i="54"/>
  <c r="AG709" i="54" s="1"/>
  <c r="AB549" i="54"/>
  <c r="AG549" i="54" s="1"/>
  <c r="V156" i="64"/>
  <c r="AB156" i="64" s="1"/>
  <c r="W146" i="64"/>
  <c r="AC146" i="64" s="1"/>
  <c r="W150" i="64"/>
  <c r="AC150" i="64" s="1"/>
  <c r="W145" i="64"/>
  <c r="AC145" i="64" s="1"/>
  <c r="V128" i="64"/>
  <c r="AB128" i="64" s="1"/>
  <c r="W125" i="64"/>
  <c r="AC125" i="64" s="1"/>
  <c r="Z761" i="54"/>
  <c r="AF761" i="54" s="1"/>
  <c r="AB413" i="54"/>
  <c r="AG413" i="54" s="1"/>
  <c r="V144" i="64"/>
  <c r="AB498" i="54"/>
  <c r="AG498" i="54" s="1"/>
  <c r="U118" i="64"/>
  <c r="AA118" i="64" s="1"/>
  <c r="Z653" i="54"/>
  <c r="AF653" i="54" s="1"/>
  <c r="W87" i="64"/>
  <c r="AC87" i="64" s="1"/>
  <c r="V51" i="64"/>
  <c r="AB51" i="64" s="1"/>
  <c r="AB421" i="54"/>
  <c r="AG421" i="54" s="1"/>
  <c r="V111" i="64"/>
  <c r="W103" i="64"/>
  <c r="AB669" i="54"/>
  <c r="AG669" i="54" s="1"/>
  <c r="V154" i="64"/>
  <c r="AB520" i="54"/>
  <c r="AG520" i="54" s="1"/>
  <c r="AB640" i="54"/>
  <c r="AG640" i="54" s="1"/>
  <c r="W121" i="64"/>
  <c r="W98" i="64"/>
  <c r="AC98" i="64" s="1"/>
  <c r="W101" i="64"/>
  <c r="AC101" i="64" s="1"/>
  <c r="W102" i="64"/>
  <c r="W100" i="64"/>
  <c r="V73" i="64"/>
  <c r="V75" i="64"/>
  <c r="AB75" i="64" s="1"/>
  <c r="V70" i="64"/>
  <c r="AB70" i="64" s="1"/>
  <c r="V79" i="64"/>
  <c r="AB79" i="64" s="1"/>
  <c r="AB693" i="54"/>
  <c r="AG693" i="54" s="1"/>
  <c r="AB358" i="54"/>
  <c r="AG358" i="54" s="1"/>
  <c r="W85" i="64"/>
  <c r="AC85" i="64" s="1"/>
  <c r="V56" i="64"/>
  <c r="AB701" i="54"/>
  <c r="AG701" i="54" s="1"/>
  <c r="AB521" i="54"/>
  <c r="AG521" i="54" s="1"/>
  <c r="AB389" i="54"/>
  <c r="AG389" i="54" s="1"/>
  <c r="V155" i="64"/>
  <c r="AB560" i="54"/>
  <c r="AG560" i="54" s="1"/>
  <c r="AB480" i="54"/>
  <c r="AG480" i="54" s="1"/>
  <c r="AB420" i="54"/>
  <c r="AG420" i="54" s="1"/>
  <c r="AB740" i="54"/>
  <c r="AG740" i="54" s="1"/>
  <c r="W124" i="64"/>
  <c r="V104" i="64"/>
  <c r="V69" i="64"/>
  <c r="V72" i="64"/>
  <c r="AB72" i="64" s="1"/>
  <c r="V71" i="64"/>
  <c r="W63" i="64"/>
  <c r="W58" i="64"/>
  <c r="AC58" i="64" s="1"/>
  <c r="W65" i="64"/>
  <c r="W59" i="64"/>
  <c r="AC59" i="64" s="1"/>
  <c r="Z397" i="54"/>
  <c r="AF397" i="54" s="1"/>
  <c r="AB542" i="54"/>
  <c r="AG542" i="54" s="1"/>
  <c r="W112" i="64"/>
  <c r="AC112" i="64" s="1"/>
  <c r="Z753" i="54"/>
  <c r="AF753" i="54" s="1"/>
  <c r="AB425" i="54"/>
  <c r="AG425" i="54" s="1"/>
  <c r="AK425" i="54" s="1"/>
  <c r="AK426" i="54" s="1"/>
  <c r="AB741" i="54"/>
  <c r="AG741" i="54" s="1"/>
  <c r="AB381" i="54"/>
  <c r="AG381" i="54" s="1"/>
  <c r="AB349" i="54"/>
  <c r="AG349" i="54" s="1"/>
  <c r="AB600" i="54"/>
  <c r="AG600" i="54" s="1"/>
  <c r="AB700" i="54"/>
  <c r="AG700" i="54" s="1"/>
  <c r="AB380" i="54"/>
  <c r="AG380" i="54" s="1"/>
  <c r="V129" i="64"/>
  <c r="AB616" i="54"/>
  <c r="AG616" i="54" s="1"/>
  <c r="AB596" i="54"/>
  <c r="AG596" i="54" s="1"/>
  <c r="AB676" i="54"/>
  <c r="AG676" i="54" s="1"/>
  <c r="AK676" i="54" s="1"/>
  <c r="AB416" i="54"/>
  <c r="AG416" i="54" s="1"/>
  <c r="AB736" i="54"/>
  <c r="AG736" i="54" s="1"/>
  <c r="V76" i="64"/>
  <c r="AB532" i="54"/>
  <c r="AG532" i="54" s="1"/>
  <c r="AB512" i="54"/>
  <c r="AG512" i="54" s="1"/>
  <c r="AB592" i="54"/>
  <c r="AG592" i="54" s="1"/>
  <c r="AK592" i="54" s="1"/>
  <c r="AB472" i="54"/>
  <c r="AG472" i="54" s="1"/>
  <c r="AB412" i="54"/>
  <c r="AG412" i="54" s="1"/>
  <c r="AB372" i="54"/>
  <c r="AG372" i="54" s="1"/>
  <c r="AB332" i="54"/>
  <c r="AG332" i="54" s="1"/>
  <c r="AB732" i="54"/>
  <c r="AG732" i="54" s="1"/>
  <c r="AB692" i="54"/>
  <c r="AG692" i="54" s="1"/>
  <c r="AB652" i="54"/>
  <c r="AG652" i="54" s="1"/>
  <c r="AB632" i="54"/>
  <c r="AG632" i="54" s="1"/>
  <c r="W64" i="64"/>
  <c r="W67" i="64"/>
  <c r="AB508" i="54"/>
  <c r="AG508" i="54" s="1"/>
  <c r="AK508" i="54" s="1"/>
  <c r="AB428" i="54"/>
  <c r="AG428" i="54" s="1"/>
  <c r="AB388" i="54"/>
  <c r="AG388" i="54" s="1"/>
  <c r="AB348" i="54"/>
  <c r="AG348" i="54" s="1"/>
  <c r="AB328" i="54"/>
  <c r="AG328" i="54" s="1"/>
  <c r="AB728" i="54"/>
  <c r="AG728" i="54" s="1"/>
  <c r="AB688" i="54"/>
  <c r="AG688" i="54" s="1"/>
  <c r="AB648" i="54"/>
  <c r="AG648" i="54" s="1"/>
  <c r="AB608" i="54"/>
  <c r="AG608" i="54" s="1"/>
  <c r="AB568" i="54"/>
  <c r="AG568" i="54" s="1"/>
  <c r="AB548" i="54"/>
  <c r="AG548" i="54" s="1"/>
  <c r="AD487" i="54"/>
  <c r="AH487" i="54" s="1"/>
  <c r="AL487" i="54" s="1"/>
  <c r="AD407" i="54"/>
  <c r="AH407" i="54" s="1"/>
  <c r="AD367" i="54"/>
  <c r="AH367" i="54" s="1"/>
  <c r="AD327" i="54"/>
  <c r="AH327" i="54" s="1"/>
  <c r="AD727" i="54"/>
  <c r="AH727" i="54" s="1"/>
  <c r="AD687" i="54"/>
  <c r="AH687" i="54" s="1"/>
  <c r="AD647" i="54"/>
  <c r="AH647" i="54" s="1"/>
  <c r="AD607" i="54"/>
  <c r="AH607" i="54" s="1"/>
  <c r="AD567" i="54"/>
  <c r="AH567" i="54" s="1"/>
  <c r="AD527" i="54"/>
  <c r="AH527" i="54" s="1"/>
  <c r="AD468" i="54"/>
  <c r="AH468" i="54" s="1"/>
  <c r="AD428" i="54"/>
  <c r="AH428" i="54" s="1"/>
  <c r="AD388" i="54"/>
  <c r="AH388" i="54" s="1"/>
  <c r="AD348" i="54"/>
  <c r="AH348" i="54" s="1"/>
  <c r="AD748" i="54"/>
  <c r="AH748" i="54" s="1"/>
  <c r="AB501" i="54"/>
  <c r="AG501" i="54" s="1"/>
  <c r="AB376" i="54"/>
  <c r="AG376" i="54" s="1"/>
  <c r="V108" i="64"/>
  <c r="V78" i="64"/>
  <c r="AB78" i="64" s="1"/>
  <c r="AB432" i="54"/>
  <c r="AG432" i="54" s="1"/>
  <c r="AB752" i="54"/>
  <c r="AG752" i="54" s="1"/>
  <c r="W66" i="64"/>
  <c r="AC66" i="64" s="1"/>
  <c r="AB468" i="54"/>
  <c r="AG468" i="54" s="1"/>
  <c r="AB408" i="54"/>
  <c r="AG408" i="54" s="1"/>
  <c r="AB708" i="54"/>
  <c r="AG708" i="54" s="1"/>
  <c r="AB628" i="54"/>
  <c r="AG628" i="54" s="1"/>
  <c r="AB528" i="54"/>
  <c r="AG528" i="54" s="1"/>
  <c r="AD427" i="54"/>
  <c r="AH427" i="54" s="1"/>
  <c r="AD347" i="54"/>
  <c r="AH347" i="54" s="1"/>
  <c r="AD707" i="54"/>
  <c r="AH707" i="54" s="1"/>
  <c r="AD627" i="54"/>
  <c r="AH627" i="54" s="1"/>
  <c r="AD547" i="54"/>
  <c r="AH547" i="54" s="1"/>
  <c r="AD668" i="54"/>
  <c r="AH668" i="54" s="1"/>
  <c r="AD608" i="54"/>
  <c r="AH608" i="54" s="1"/>
  <c r="AD488" i="54"/>
  <c r="AH488" i="54" s="1"/>
  <c r="AD489" i="54"/>
  <c r="AH489" i="54" s="1"/>
  <c r="AD389" i="54"/>
  <c r="AH389" i="54" s="1"/>
  <c r="AD329" i="54"/>
  <c r="AH329" i="54" s="1"/>
  <c r="AD669" i="54"/>
  <c r="AH669" i="54" s="1"/>
  <c r="AD609" i="54"/>
  <c r="AH609" i="54" s="1"/>
  <c r="AD509" i="54"/>
  <c r="AH509" i="54" s="1"/>
  <c r="AD515" i="54"/>
  <c r="AH515" i="54" s="1"/>
  <c r="AD575" i="54"/>
  <c r="AH575" i="54" s="1"/>
  <c r="AD615" i="54"/>
  <c r="AH615" i="54" s="1"/>
  <c r="AD655" i="54"/>
  <c r="AH655" i="54" s="1"/>
  <c r="AL655" i="54" s="1"/>
  <c r="AD475" i="54"/>
  <c r="AH475" i="54" s="1"/>
  <c r="AD415" i="54"/>
  <c r="AH415" i="54" s="1"/>
  <c r="AD375" i="54"/>
  <c r="AH375" i="54" s="1"/>
  <c r="AD335" i="54"/>
  <c r="AH335" i="54" s="1"/>
  <c r="AD735" i="54"/>
  <c r="AH735" i="54" s="1"/>
  <c r="AD695" i="54"/>
  <c r="AH695" i="54" s="1"/>
  <c r="AD677" i="54"/>
  <c r="AH677" i="54" s="1"/>
  <c r="AD761" i="54"/>
  <c r="AH761" i="54" s="1"/>
  <c r="W90" i="64"/>
  <c r="AB456" i="54"/>
  <c r="AG456" i="54" s="1"/>
  <c r="AB336" i="54"/>
  <c r="AG336" i="54" s="1"/>
  <c r="V107" i="64"/>
  <c r="V74" i="64"/>
  <c r="AB74" i="64" s="1"/>
  <c r="AB452" i="54"/>
  <c r="AG452" i="54" s="1"/>
  <c r="AB392" i="54"/>
  <c r="AG392" i="54" s="1"/>
  <c r="AB712" i="54"/>
  <c r="AG712" i="54" s="1"/>
  <c r="W68" i="64"/>
  <c r="W60" i="64"/>
  <c r="AD508" i="54"/>
  <c r="AH508" i="54" s="1"/>
  <c r="AL508" i="54" s="1"/>
  <c r="AD408" i="54"/>
  <c r="AH408" i="54" s="1"/>
  <c r="AD328" i="54"/>
  <c r="AH328" i="54" s="1"/>
  <c r="AD708" i="54"/>
  <c r="AH708" i="54" s="1"/>
  <c r="AD648" i="54"/>
  <c r="AH648" i="54" s="1"/>
  <c r="AD528" i="54"/>
  <c r="AH528" i="54" s="1"/>
  <c r="AD529" i="54"/>
  <c r="AH529" i="54" s="1"/>
  <c r="AL529" i="54" s="1"/>
  <c r="AD369" i="54"/>
  <c r="AH369" i="54" s="1"/>
  <c r="AD709" i="54"/>
  <c r="AH709" i="54" s="1"/>
  <c r="AD649" i="54"/>
  <c r="AH649" i="54" s="1"/>
  <c r="AD569" i="54"/>
  <c r="AH569" i="54" s="1"/>
  <c r="AD470" i="54"/>
  <c r="AH470" i="54" s="1"/>
  <c r="AD550" i="54"/>
  <c r="AH550" i="54" s="1"/>
  <c r="AL550" i="54" s="1"/>
  <c r="AD430" i="54"/>
  <c r="AH430" i="54" s="1"/>
  <c r="AD410" i="54"/>
  <c r="AH410" i="54" s="1"/>
  <c r="AD370" i="54"/>
  <c r="AH370" i="54" s="1"/>
  <c r="AD330" i="54"/>
  <c r="AH330" i="54" s="1"/>
  <c r="AD730" i="54"/>
  <c r="AH730" i="54" s="1"/>
  <c r="AD690" i="54"/>
  <c r="AH690" i="54" s="1"/>
  <c r="AD650" i="54"/>
  <c r="AH650" i="54" s="1"/>
  <c r="AD610" i="54"/>
  <c r="AH610" i="54" s="1"/>
  <c r="AD590" i="54"/>
  <c r="AH590" i="54" s="1"/>
  <c r="AD530" i="54"/>
  <c r="AH530" i="54" s="1"/>
  <c r="AD511" i="54"/>
  <c r="AH511" i="54" s="1"/>
  <c r="AD571" i="54"/>
  <c r="AH571" i="54" s="1"/>
  <c r="AL571" i="54" s="1"/>
  <c r="AD491" i="54"/>
  <c r="AH491" i="54" s="1"/>
  <c r="AD451" i="54"/>
  <c r="AH451" i="54" s="1"/>
  <c r="AD391" i="54"/>
  <c r="AH391" i="54" s="1"/>
  <c r="AD351" i="54"/>
  <c r="AH351" i="54" s="1"/>
  <c r="AD751" i="54"/>
  <c r="AH751" i="54" s="1"/>
  <c r="AD711" i="54"/>
  <c r="AH711" i="54" s="1"/>
  <c r="AD671" i="54"/>
  <c r="AH671" i="54" s="1"/>
  <c r="AD631" i="54"/>
  <c r="AH631" i="54" s="1"/>
  <c r="AD591" i="54"/>
  <c r="AH591" i="54" s="1"/>
  <c r="AD452" i="54"/>
  <c r="AH452" i="54" s="1"/>
  <c r="AD512" i="54"/>
  <c r="AH512" i="54" s="1"/>
  <c r="AD492" i="54"/>
  <c r="AH492" i="54" s="1"/>
  <c r="AD472" i="54"/>
  <c r="AH472" i="54" s="1"/>
  <c r="AD392" i="54"/>
  <c r="AH392" i="54" s="1"/>
  <c r="AD352" i="54"/>
  <c r="AH352" i="54" s="1"/>
  <c r="AD752" i="54"/>
  <c r="AH752" i="54" s="1"/>
  <c r="AD712" i="54"/>
  <c r="AH712" i="54" s="1"/>
  <c r="AD672" i="54"/>
  <c r="AH672" i="54" s="1"/>
  <c r="AD632" i="54"/>
  <c r="AH632" i="54" s="1"/>
  <c r="AD572" i="54"/>
  <c r="AH572" i="54" s="1"/>
  <c r="AD553" i="54"/>
  <c r="AH553" i="54" s="1"/>
  <c r="AD433" i="54"/>
  <c r="AH433" i="54" s="1"/>
  <c r="AD453" i="54"/>
  <c r="AH453" i="54" s="1"/>
  <c r="AD613" i="54"/>
  <c r="AH613" i="54" s="1"/>
  <c r="AL613" i="54" s="1"/>
  <c r="AD573" i="54"/>
  <c r="AH573" i="54" s="1"/>
  <c r="AD393" i="54"/>
  <c r="AH393" i="54" s="1"/>
  <c r="AD353" i="54"/>
  <c r="AH353" i="54" s="1"/>
  <c r="AD753" i="54"/>
  <c r="AH753" i="54" s="1"/>
  <c r="AD713" i="54"/>
  <c r="AH713" i="54" s="1"/>
  <c r="AD673" i="54"/>
  <c r="AH673" i="54" s="1"/>
  <c r="AD633" i="54"/>
  <c r="AH633" i="54" s="1"/>
  <c r="AD534" i="54"/>
  <c r="AH534" i="54" s="1"/>
  <c r="AD474" i="54"/>
  <c r="AH474" i="54" s="1"/>
  <c r="AD514" i="54"/>
  <c r="AH514" i="54" s="1"/>
  <c r="AD494" i="54"/>
  <c r="AH494" i="54" s="1"/>
  <c r="AD554" i="54"/>
  <c r="AH554" i="54" s="1"/>
  <c r="AD394" i="54"/>
  <c r="AH394" i="54" s="1"/>
  <c r="AD354" i="54"/>
  <c r="AH354" i="54" s="1"/>
  <c r="AD754" i="54"/>
  <c r="AH754" i="54" s="1"/>
  <c r="AD714" i="54"/>
  <c r="AH714" i="54" s="1"/>
  <c r="AD674" i="54"/>
  <c r="AH674" i="54" s="1"/>
  <c r="AD635" i="54"/>
  <c r="AH635" i="54" s="1"/>
  <c r="AD676" i="54"/>
  <c r="AH676" i="54" s="1"/>
  <c r="AL676" i="54" s="1"/>
  <c r="AD496" i="54"/>
  <c r="AH496" i="54" s="1"/>
  <c r="AD556" i="54"/>
  <c r="AH556" i="54" s="1"/>
  <c r="AD436" i="54"/>
  <c r="AH436" i="54" s="1"/>
  <c r="AD536" i="54"/>
  <c r="AH536" i="54" s="1"/>
  <c r="AD596" i="54"/>
  <c r="AH596" i="54" s="1"/>
  <c r="AD416" i="54"/>
  <c r="AH416" i="54" s="1"/>
  <c r="AD376" i="54"/>
  <c r="AH376" i="54" s="1"/>
  <c r="AD336" i="54"/>
  <c r="AH336" i="54" s="1"/>
  <c r="AD736" i="54"/>
  <c r="AH736" i="54" s="1"/>
  <c r="AD716" i="54"/>
  <c r="AH716" i="54" s="1"/>
  <c r="AD537" i="54"/>
  <c r="AH537" i="54" s="1"/>
  <c r="AD577" i="54"/>
  <c r="AH577" i="54" s="1"/>
  <c r="AD617" i="54"/>
  <c r="AH617" i="54" s="1"/>
  <c r="AD557" i="54"/>
  <c r="AH557" i="54" s="1"/>
  <c r="AD437" i="54"/>
  <c r="AH437" i="54" s="1"/>
  <c r="AD497" i="54"/>
  <c r="AH497" i="54" s="1"/>
  <c r="AD417" i="54"/>
  <c r="AH417" i="54" s="1"/>
  <c r="AD377" i="54"/>
  <c r="AH377" i="54" s="1"/>
  <c r="AD337" i="54"/>
  <c r="AH337" i="54" s="1"/>
  <c r="AD717" i="54"/>
  <c r="AH717" i="54" s="1"/>
  <c r="AD658" i="54"/>
  <c r="AH658" i="54" s="1"/>
  <c r="AD538" i="54"/>
  <c r="AH538" i="54" s="1"/>
  <c r="AD638" i="54"/>
  <c r="AH638" i="54" s="1"/>
  <c r="AD478" i="54"/>
  <c r="AH478" i="54" s="1"/>
  <c r="AD438" i="54"/>
  <c r="AH438" i="54" s="1"/>
  <c r="AD498" i="54"/>
  <c r="AH498" i="54" s="1"/>
  <c r="AD678" i="54"/>
  <c r="AH678" i="54" s="1"/>
  <c r="AD418" i="54"/>
  <c r="AH418" i="54" s="1"/>
  <c r="AD378" i="54"/>
  <c r="AH378" i="54" s="1"/>
  <c r="AD338" i="54"/>
  <c r="AH338" i="54" s="1"/>
  <c r="AD758" i="54"/>
  <c r="AH758" i="54" s="1"/>
  <c r="AD698" i="54"/>
  <c r="AH698" i="54" s="1"/>
  <c r="AD479" i="54"/>
  <c r="AH479" i="54" s="1"/>
  <c r="AD599" i="54"/>
  <c r="AH599" i="54" s="1"/>
  <c r="AD559" i="54"/>
  <c r="AH559" i="54" s="1"/>
  <c r="AD739" i="54"/>
  <c r="AH739" i="54" s="1"/>
  <c r="AL739" i="54" s="1"/>
  <c r="AD519" i="54"/>
  <c r="AH519" i="54" s="1"/>
  <c r="AD499" i="54"/>
  <c r="AH499" i="54" s="1"/>
  <c r="AD579" i="54"/>
  <c r="AH579" i="54" s="1"/>
  <c r="AD639" i="54"/>
  <c r="AH639" i="54" s="1"/>
  <c r="AD619" i="54"/>
  <c r="AH619" i="54" s="1"/>
  <c r="AD379" i="54"/>
  <c r="AH379" i="54" s="1"/>
  <c r="AD759" i="54"/>
  <c r="AH759" i="54" s="1"/>
  <c r="AD340" i="54"/>
  <c r="AH340" i="54" s="1"/>
  <c r="AL340" i="54" s="1"/>
  <c r="AD700" i="54"/>
  <c r="AH700" i="54" s="1"/>
  <c r="AD500" i="54"/>
  <c r="AH500" i="54" s="1"/>
  <c r="AD660" i="54"/>
  <c r="AH660" i="54" s="1"/>
  <c r="AD620" i="54"/>
  <c r="AH620" i="54" s="1"/>
  <c r="AD600" i="54"/>
  <c r="AH600" i="54" s="1"/>
  <c r="AD560" i="54"/>
  <c r="AH560" i="54" s="1"/>
  <c r="AD520" i="54"/>
  <c r="AH520" i="54" s="1"/>
  <c r="AD420" i="54"/>
  <c r="AH420" i="54" s="1"/>
  <c r="AD360" i="54"/>
  <c r="AH360" i="54" s="1"/>
  <c r="AD740" i="54"/>
  <c r="AH740" i="54" s="1"/>
  <c r="AD581" i="54"/>
  <c r="AH581" i="54" s="1"/>
  <c r="AD541" i="54"/>
  <c r="AH541" i="54" s="1"/>
  <c r="AD621" i="54"/>
  <c r="AH621" i="54" s="1"/>
  <c r="AD481" i="54"/>
  <c r="AH481" i="54" s="1"/>
  <c r="AD601" i="54"/>
  <c r="AH601" i="54" s="1"/>
  <c r="AD661" i="54"/>
  <c r="AH661" i="54" s="1"/>
  <c r="AD741" i="54"/>
  <c r="AH741" i="54" s="1"/>
  <c r="AD701" i="54"/>
  <c r="AH701" i="54" s="1"/>
  <c r="AD521" i="54"/>
  <c r="AH521" i="54" s="1"/>
  <c r="AD381" i="54"/>
  <c r="AH381" i="54" s="1"/>
  <c r="AD342" i="54"/>
  <c r="AH342" i="54" s="1"/>
  <c r="AD442" i="54"/>
  <c r="AH442" i="54" s="1"/>
  <c r="AD422" i="54"/>
  <c r="AH422" i="54" s="1"/>
  <c r="AD502" i="54"/>
  <c r="AH502" i="54" s="1"/>
  <c r="AD682" i="54"/>
  <c r="AH682" i="54" s="1"/>
  <c r="AD382" i="54"/>
  <c r="AH382" i="54" s="1"/>
  <c r="AL382" i="54" s="1"/>
  <c r="AD402" i="54"/>
  <c r="AH402" i="54" s="1"/>
  <c r="AD542" i="54"/>
  <c r="AH542" i="54" s="1"/>
  <c r="AD582" i="54"/>
  <c r="AH582" i="54" s="1"/>
  <c r="AD462" i="54"/>
  <c r="AH462" i="54" s="1"/>
  <c r="AB469" i="54"/>
  <c r="AG469" i="54" s="1"/>
  <c r="AB340" i="54"/>
  <c r="AG340" i="54" s="1"/>
  <c r="AK340" i="54" s="1"/>
  <c r="AB636" i="54"/>
  <c r="AG636" i="54" s="1"/>
  <c r="AB716" i="54"/>
  <c r="AG716" i="54" s="1"/>
  <c r="V106" i="64"/>
  <c r="AB106" i="64" s="1"/>
  <c r="V77" i="64"/>
  <c r="AB77" i="64" s="1"/>
  <c r="AB552" i="54"/>
  <c r="AG552" i="54" s="1"/>
  <c r="AB352" i="54"/>
  <c r="AG352" i="54" s="1"/>
  <c r="AB672" i="54"/>
  <c r="AG672" i="54" s="1"/>
  <c r="AB448" i="54"/>
  <c r="AG448" i="54" s="1"/>
  <c r="AB368" i="54"/>
  <c r="AG368" i="54" s="1"/>
  <c r="AB748" i="54"/>
  <c r="AG748" i="54" s="1"/>
  <c r="AB668" i="54"/>
  <c r="AG668" i="54" s="1"/>
  <c r="AB588" i="54"/>
  <c r="AG588" i="54" s="1"/>
  <c r="AB488" i="54"/>
  <c r="AG488" i="54" s="1"/>
  <c r="AD447" i="54"/>
  <c r="AH447" i="54" s="1"/>
  <c r="AD387" i="54"/>
  <c r="AH387" i="54" s="1"/>
  <c r="AD747" i="54"/>
  <c r="AH747" i="54" s="1"/>
  <c r="AD667" i="54"/>
  <c r="AH667" i="54" s="1"/>
  <c r="AD587" i="54"/>
  <c r="AH587" i="54" s="1"/>
  <c r="AD507" i="54"/>
  <c r="AH507" i="54" s="1"/>
  <c r="AD688" i="54"/>
  <c r="AH688" i="54" s="1"/>
  <c r="AD588" i="54"/>
  <c r="AH588" i="54" s="1"/>
  <c r="AD548" i="54"/>
  <c r="AH548" i="54" s="1"/>
  <c r="AD429" i="54"/>
  <c r="AH429" i="54" s="1"/>
  <c r="AD409" i="54"/>
  <c r="AH409" i="54" s="1"/>
  <c r="AD749" i="54"/>
  <c r="AH749" i="54" s="1"/>
  <c r="AD689" i="54"/>
  <c r="AH689" i="54" s="1"/>
  <c r="AD589" i="54"/>
  <c r="AH589" i="54" s="1"/>
  <c r="AD490" i="54"/>
  <c r="AH490" i="54" s="1"/>
  <c r="AD450" i="54"/>
  <c r="AH450" i="54" s="1"/>
  <c r="AD510" i="54"/>
  <c r="AH510" i="54" s="1"/>
  <c r="AD390" i="54"/>
  <c r="AH390" i="54" s="1"/>
  <c r="AD350" i="54"/>
  <c r="AH350" i="54" s="1"/>
  <c r="AD750" i="54"/>
  <c r="AH750" i="54" s="1"/>
  <c r="AD710" i="54"/>
  <c r="AH710" i="54" s="1"/>
  <c r="AD670" i="54"/>
  <c r="AH670" i="54" s="1"/>
  <c r="AD630" i="54"/>
  <c r="AH630" i="54" s="1"/>
  <c r="AD570" i="54"/>
  <c r="AH570" i="54" s="1"/>
  <c r="AD431" i="54"/>
  <c r="AH431" i="54" s="1"/>
  <c r="AD531" i="54"/>
  <c r="AH531" i="54" s="1"/>
  <c r="AD471" i="54"/>
  <c r="AH471" i="54" s="1"/>
  <c r="AD411" i="54"/>
  <c r="AH411" i="54" s="1"/>
  <c r="AD371" i="54"/>
  <c r="AH371" i="54" s="1"/>
  <c r="AD331" i="54"/>
  <c r="AH331" i="54" s="1"/>
  <c r="AD731" i="54"/>
  <c r="AH731" i="54" s="1"/>
  <c r="AD691" i="54"/>
  <c r="AH691" i="54" s="1"/>
  <c r="AD651" i="54"/>
  <c r="AH651" i="54" s="1"/>
  <c r="AD611" i="54"/>
  <c r="AH611" i="54" s="1"/>
  <c r="AD593" i="54"/>
  <c r="AH593" i="54" s="1"/>
  <c r="AD634" i="54"/>
  <c r="AH634" i="54" s="1"/>
  <c r="AL634" i="54" s="1"/>
  <c r="AD454" i="54"/>
  <c r="AH454" i="54" s="1"/>
  <c r="AD594" i="54"/>
  <c r="AH594" i="54" s="1"/>
  <c r="AD574" i="54"/>
  <c r="AH574" i="54" s="1"/>
  <c r="AD434" i="54"/>
  <c r="AH434" i="54" s="1"/>
  <c r="AD414" i="54"/>
  <c r="AH414" i="54" s="1"/>
  <c r="AD374" i="54"/>
  <c r="AH374" i="54" s="1"/>
  <c r="AD334" i="54"/>
  <c r="AH334" i="54" s="1"/>
  <c r="AD734" i="54"/>
  <c r="AH734" i="54" s="1"/>
  <c r="AD694" i="54"/>
  <c r="AH694" i="54" s="1"/>
  <c r="AD654" i="54"/>
  <c r="AH654" i="54" s="1"/>
  <c r="AD614" i="54"/>
  <c r="AH614" i="54" s="1"/>
  <c r="AD595" i="54"/>
  <c r="AH595" i="54" s="1"/>
  <c r="AD535" i="54"/>
  <c r="AH535" i="54" s="1"/>
  <c r="AD495" i="54"/>
  <c r="AH495" i="54" s="1"/>
  <c r="AD455" i="54"/>
  <c r="AH455" i="54" s="1"/>
  <c r="AD555" i="54"/>
  <c r="AH555" i="54" s="1"/>
  <c r="AD435" i="54"/>
  <c r="AH435" i="54" s="1"/>
  <c r="AD395" i="54"/>
  <c r="AH395" i="54" s="1"/>
  <c r="AD355" i="54"/>
  <c r="AH355" i="54" s="1"/>
  <c r="AD755" i="54"/>
  <c r="AH755" i="54" s="1"/>
  <c r="AD715" i="54"/>
  <c r="AH715" i="54" s="1"/>
  <c r="AD675" i="54"/>
  <c r="AH675" i="54" s="1"/>
  <c r="AD558" i="54"/>
  <c r="AH558" i="54" s="1"/>
  <c r="AD518" i="54"/>
  <c r="AH518" i="54" s="1"/>
  <c r="AD578" i="54"/>
  <c r="AH578" i="54" s="1"/>
  <c r="AD458" i="54"/>
  <c r="AH458" i="54" s="1"/>
  <c r="AD598" i="54"/>
  <c r="AH598" i="54" s="1"/>
  <c r="AD718" i="54"/>
  <c r="AH718" i="54" s="1"/>
  <c r="AL718" i="54" s="1"/>
  <c r="AD618" i="54"/>
  <c r="AH618" i="54" s="1"/>
  <c r="AD398" i="54"/>
  <c r="AH398" i="54" s="1"/>
  <c r="AD358" i="54"/>
  <c r="AH358" i="54" s="1"/>
  <c r="AD738" i="54"/>
  <c r="AH738" i="54" s="1"/>
  <c r="AD539" i="54"/>
  <c r="AH539" i="54" s="1"/>
  <c r="AD439" i="54"/>
  <c r="AH439" i="54" s="1"/>
  <c r="AD659" i="54"/>
  <c r="AH659" i="54" s="1"/>
  <c r="AD459" i="54"/>
  <c r="AH459" i="54" s="1"/>
  <c r="AD419" i="54"/>
  <c r="AH419" i="54" s="1"/>
  <c r="AD679" i="54"/>
  <c r="AH679" i="54" s="1"/>
  <c r="AD699" i="54"/>
  <c r="AH699" i="54" s="1"/>
  <c r="AD339" i="54"/>
  <c r="AH339" i="54" s="1"/>
  <c r="AD399" i="54"/>
  <c r="AH399" i="54" s="1"/>
  <c r="AD359" i="54"/>
  <c r="AH359" i="54" s="1"/>
  <c r="Z485" i="54"/>
  <c r="AF485" i="54" s="1"/>
  <c r="AB629" i="54"/>
  <c r="AG629" i="54" s="1"/>
  <c r="AB660" i="54"/>
  <c r="AG660" i="54" s="1"/>
  <c r="AB496" i="54"/>
  <c r="AG496" i="54" s="1"/>
  <c r="W99" i="64"/>
  <c r="AC99" i="64" s="1"/>
  <c r="AB492" i="54"/>
  <c r="AG492" i="54" s="1"/>
  <c r="AB325" i="54"/>
  <c r="AG325" i="54" s="1"/>
  <c r="AK325" i="54" s="1"/>
  <c r="AK326" i="54" s="1"/>
  <c r="AK327" i="54" s="1"/>
  <c r="AB612" i="54"/>
  <c r="AG612" i="54" s="1"/>
  <c r="AB572" i="54"/>
  <c r="AG572" i="54" s="1"/>
  <c r="W62" i="64"/>
  <c r="AC62" i="64" s="1"/>
  <c r="W61" i="64"/>
  <c r="AD425" i="54"/>
  <c r="AH425" i="54" s="1"/>
  <c r="AL425" i="54" s="1"/>
  <c r="AL426" i="54" s="1"/>
  <c r="AL427" i="54" s="1"/>
  <c r="AL428" i="54" s="1"/>
  <c r="AD467" i="54"/>
  <c r="AH467" i="54" s="1"/>
  <c r="AL467" i="54" s="1"/>
  <c r="AD448" i="54"/>
  <c r="AH448" i="54" s="1"/>
  <c r="AD368" i="54"/>
  <c r="AH368" i="54" s="1"/>
  <c r="AD728" i="54"/>
  <c r="AH728" i="54" s="1"/>
  <c r="AD628" i="54"/>
  <c r="AH628" i="54" s="1"/>
  <c r="AD568" i="54"/>
  <c r="AH568" i="54" s="1"/>
  <c r="AD469" i="54"/>
  <c r="AH469" i="54" s="1"/>
  <c r="AD449" i="54"/>
  <c r="AH449" i="54" s="1"/>
  <c r="AD349" i="54"/>
  <c r="AH349" i="54" s="1"/>
  <c r="AD729" i="54"/>
  <c r="AH729" i="54" s="1"/>
  <c r="AD629" i="54"/>
  <c r="AH629" i="54" s="1"/>
  <c r="AD549" i="54"/>
  <c r="AH549" i="54" s="1"/>
  <c r="Z325" i="54"/>
  <c r="AF325" i="54" s="1"/>
  <c r="AJ325" i="54" s="1"/>
  <c r="AJ326" i="54" s="1"/>
  <c r="AD551" i="54"/>
  <c r="AH551" i="54" s="1"/>
  <c r="AD532" i="54"/>
  <c r="AH532" i="54" s="1"/>
  <c r="AD432" i="54"/>
  <c r="AH432" i="54" s="1"/>
  <c r="AD592" i="54"/>
  <c r="AH592" i="54" s="1"/>
  <c r="AL592" i="54" s="1"/>
  <c r="AD552" i="54"/>
  <c r="AH552" i="54" s="1"/>
  <c r="AD412" i="54"/>
  <c r="AH412" i="54" s="1"/>
  <c r="AD372" i="54"/>
  <c r="AH372" i="54" s="1"/>
  <c r="AD332" i="54"/>
  <c r="AH332" i="54" s="1"/>
  <c r="AD732" i="54"/>
  <c r="AH732" i="54" s="1"/>
  <c r="AD692" i="54"/>
  <c r="AH692" i="54" s="1"/>
  <c r="AD652" i="54"/>
  <c r="AH652" i="54" s="1"/>
  <c r="AD612" i="54"/>
  <c r="AH612" i="54" s="1"/>
  <c r="AD473" i="54"/>
  <c r="AH473" i="54" s="1"/>
  <c r="AD533" i="54"/>
  <c r="AH533" i="54" s="1"/>
  <c r="AD493" i="54"/>
  <c r="AH493" i="54" s="1"/>
  <c r="AD513" i="54"/>
  <c r="AH513" i="54" s="1"/>
  <c r="AD413" i="54"/>
  <c r="AH413" i="54" s="1"/>
  <c r="AD373" i="54"/>
  <c r="AH373" i="54" s="1"/>
  <c r="AD333" i="54"/>
  <c r="AH333" i="54" s="1"/>
  <c r="AD733" i="54"/>
  <c r="AH733" i="54" s="1"/>
  <c r="AD693" i="54"/>
  <c r="AH693" i="54" s="1"/>
  <c r="AD653" i="54"/>
  <c r="AH653" i="54" s="1"/>
  <c r="AD576" i="54"/>
  <c r="AH576" i="54" s="1"/>
  <c r="AD456" i="54"/>
  <c r="AH456" i="54" s="1"/>
  <c r="AD756" i="54"/>
  <c r="AH756" i="54" s="1"/>
  <c r="AD656" i="54"/>
  <c r="AH656" i="54" s="1"/>
  <c r="AD657" i="54"/>
  <c r="AH657" i="54" s="1"/>
  <c r="AD397" i="54"/>
  <c r="AH397" i="54" s="1"/>
  <c r="AD760" i="54"/>
  <c r="AH760" i="54" s="1"/>
  <c r="AL760" i="54" s="1"/>
  <c r="AD640" i="54"/>
  <c r="AH640" i="54" s="1"/>
  <c r="AD460" i="54"/>
  <c r="AH460" i="54" s="1"/>
  <c r="AD461" i="54"/>
  <c r="AH461" i="54" s="1"/>
  <c r="AD441" i="54"/>
  <c r="AH441" i="54" s="1"/>
  <c r="AD562" i="54"/>
  <c r="AH562" i="54" s="1"/>
  <c r="AD482" i="54"/>
  <c r="AH482" i="54" s="1"/>
  <c r="AD642" i="54"/>
  <c r="AH642" i="54" s="1"/>
  <c r="Z465" i="54"/>
  <c r="AF465" i="54" s="1"/>
  <c r="Z505" i="54"/>
  <c r="AF505" i="54" s="1"/>
  <c r="AD603" i="54"/>
  <c r="AH603" i="54" s="1"/>
  <c r="AD663" i="54"/>
  <c r="AH663" i="54" s="1"/>
  <c r="AD483" i="54"/>
  <c r="AH483" i="54" s="1"/>
  <c r="AD623" i="54"/>
  <c r="AH623" i="54" s="1"/>
  <c r="AD423" i="54"/>
  <c r="AH423" i="54" s="1"/>
  <c r="AD723" i="54"/>
  <c r="AH723" i="54" s="1"/>
  <c r="AD743" i="54"/>
  <c r="AH743" i="54" s="1"/>
  <c r="AD443" i="54"/>
  <c r="AH443" i="54" s="1"/>
  <c r="AD383" i="54"/>
  <c r="AH383" i="54" s="1"/>
  <c r="AD636" i="54"/>
  <c r="AH636" i="54" s="1"/>
  <c r="AD516" i="54"/>
  <c r="AH516" i="54" s="1"/>
  <c r="AD696" i="54"/>
  <c r="AH696" i="54" s="1"/>
  <c r="AD637" i="54"/>
  <c r="AH637" i="54" s="1"/>
  <c r="AD457" i="54"/>
  <c r="AH457" i="54" s="1"/>
  <c r="AD357" i="54"/>
  <c r="AH357" i="54" s="1"/>
  <c r="AD720" i="54"/>
  <c r="AH720" i="54" s="1"/>
  <c r="AD480" i="54"/>
  <c r="AH480" i="54" s="1"/>
  <c r="AD400" i="54"/>
  <c r="AH400" i="54" s="1"/>
  <c r="AD561" i="54"/>
  <c r="AH561" i="54" s="1"/>
  <c r="AD421" i="54"/>
  <c r="AH421" i="54" s="1"/>
  <c r="AD641" i="54"/>
  <c r="AH641" i="54" s="1"/>
  <c r="AD341" i="54"/>
  <c r="AH341" i="54" s="1"/>
  <c r="AD762" i="54"/>
  <c r="AH762" i="54" s="1"/>
  <c r="AD522" i="54"/>
  <c r="AH522" i="54" s="1"/>
  <c r="AD362" i="54"/>
  <c r="AH362" i="54" s="1"/>
  <c r="Z525" i="54"/>
  <c r="AF525" i="54" s="1"/>
  <c r="AD545" i="54"/>
  <c r="AH545" i="54" s="1"/>
  <c r="AD503" i="54"/>
  <c r="AH503" i="54" s="1"/>
  <c r="AD463" i="54"/>
  <c r="AH463" i="54" s="1"/>
  <c r="AD563" i="54"/>
  <c r="AH563" i="54" s="1"/>
  <c r="AD476" i="54"/>
  <c r="AH476" i="54" s="1"/>
  <c r="AD396" i="54"/>
  <c r="AH396" i="54" s="1"/>
  <c r="AD517" i="54"/>
  <c r="AH517" i="54" s="1"/>
  <c r="AD477" i="54"/>
  <c r="AH477" i="54" s="1"/>
  <c r="AD757" i="54"/>
  <c r="AH757" i="54" s="1"/>
  <c r="AD440" i="54"/>
  <c r="AH440" i="54" s="1"/>
  <c r="AD580" i="54"/>
  <c r="AH580" i="54" s="1"/>
  <c r="AD380" i="54"/>
  <c r="AH380" i="54" s="1"/>
  <c r="AD681" i="54"/>
  <c r="AH681" i="54" s="1"/>
  <c r="AD361" i="54"/>
  <c r="AH361" i="54" s="1"/>
  <c r="AL361" i="54" s="1"/>
  <c r="AD401" i="54"/>
  <c r="AH401" i="54" s="1"/>
  <c r="AD702" i="54"/>
  <c r="AH702" i="54" s="1"/>
  <c r="AD622" i="54"/>
  <c r="AH622" i="54" s="1"/>
  <c r="AD602" i="54"/>
  <c r="AH602" i="54" s="1"/>
  <c r="AD625" i="54"/>
  <c r="AH625" i="54" s="1"/>
  <c r="AD543" i="54"/>
  <c r="AH543" i="54" s="1"/>
  <c r="AD363" i="54"/>
  <c r="AH363" i="54" s="1"/>
  <c r="AD683" i="54"/>
  <c r="AH683" i="54" s="1"/>
  <c r="AD523" i="54"/>
  <c r="AH523" i="54" s="1"/>
  <c r="AD583" i="54"/>
  <c r="AH583" i="54" s="1"/>
  <c r="AD703" i="54"/>
  <c r="AH703" i="54" s="1"/>
  <c r="AD343" i="54"/>
  <c r="AH343" i="54" s="1"/>
  <c r="U69" i="53"/>
  <c r="P79" i="53"/>
  <c r="AD616" i="54"/>
  <c r="AH616" i="54" s="1"/>
  <c r="AD356" i="54"/>
  <c r="AH356" i="54" s="1"/>
  <c r="AD697" i="54"/>
  <c r="AH697" i="54" s="1"/>
  <c r="AL697" i="54" s="1"/>
  <c r="AD597" i="54"/>
  <c r="AH597" i="54" s="1"/>
  <c r="AD737" i="54"/>
  <c r="AH737" i="54" s="1"/>
  <c r="AD719" i="54"/>
  <c r="AH719" i="54" s="1"/>
  <c r="AD680" i="54"/>
  <c r="AH680" i="54" s="1"/>
  <c r="AD540" i="54"/>
  <c r="AH540" i="54" s="1"/>
  <c r="AD501" i="54"/>
  <c r="AH501" i="54" s="1"/>
  <c r="AD721" i="54"/>
  <c r="AH721" i="54" s="1"/>
  <c r="AD325" i="54"/>
  <c r="AH325" i="54" s="1"/>
  <c r="AL325" i="54" s="1"/>
  <c r="AL326" i="54" s="1"/>
  <c r="AD742" i="54"/>
  <c r="AH742" i="54" s="1"/>
  <c r="AD662" i="54"/>
  <c r="AH662" i="54" s="1"/>
  <c r="AD722" i="54"/>
  <c r="AH722" i="54" s="1"/>
  <c r="Z645" i="54"/>
  <c r="AF645" i="54" s="1"/>
  <c r="Z665" i="54"/>
  <c r="AF665" i="54" s="1"/>
  <c r="Z685" i="54"/>
  <c r="AF685" i="54" s="1"/>
  <c r="Z365" i="54"/>
  <c r="AF365" i="54" s="1"/>
  <c r="Z565" i="54"/>
  <c r="AF565" i="54" s="1"/>
  <c r="Z705" i="54"/>
  <c r="AF705" i="54" s="1"/>
  <c r="Z585" i="54"/>
  <c r="AF585" i="54" s="1"/>
  <c r="Z745" i="54"/>
  <c r="AF745" i="54" s="1"/>
  <c r="Z345" i="54"/>
  <c r="AF345" i="54" s="1"/>
  <c r="Z605" i="54"/>
  <c r="AF605" i="54" s="1"/>
  <c r="Z545" i="54"/>
  <c r="AF545" i="54" s="1"/>
  <c r="Z625" i="54"/>
  <c r="AF625" i="54" s="1"/>
  <c r="Z725" i="54"/>
  <c r="AF725" i="54" s="1"/>
  <c r="Z385" i="54"/>
  <c r="AF385" i="54" s="1"/>
  <c r="AD725" i="54"/>
  <c r="AH725" i="54" s="1"/>
  <c r="AB525" i="54"/>
  <c r="AG525" i="54" s="1"/>
  <c r="AB705" i="54"/>
  <c r="AG705" i="54" s="1"/>
  <c r="AB545" i="54"/>
  <c r="AG545" i="54" s="1"/>
  <c r="AB725" i="54"/>
  <c r="AG725" i="54" s="1"/>
  <c r="AD705" i="54"/>
  <c r="AH705" i="54" s="1"/>
  <c r="AB605" i="54"/>
  <c r="AG605" i="54" s="1"/>
  <c r="AD345" i="54"/>
  <c r="AH345" i="54" s="1"/>
  <c r="AB625" i="54"/>
  <c r="AG625" i="54" s="1"/>
  <c r="AD665" i="54"/>
  <c r="AH665" i="54" s="1"/>
  <c r="AB665" i="54"/>
  <c r="AG665" i="54" s="1"/>
  <c r="AD585" i="54"/>
  <c r="AH585" i="54" s="1"/>
  <c r="AB565" i="54"/>
  <c r="AG565" i="54" s="1"/>
  <c r="AD645" i="54"/>
  <c r="AH645" i="54" s="1"/>
  <c r="AD565" i="54"/>
  <c r="AH565" i="54" s="1"/>
  <c r="AB585" i="54"/>
  <c r="AG585" i="54" s="1"/>
  <c r="AD505" i="54"/>
  <c r="AH505" i="54" s="1"/>
  <c r="AD465" i="54"/>
  <c r="AH465" i="54" s="1"/>
  <c r="AB485" i="54"/>
  <c r="AG485" i="54" s="1"/>
  <c r="AB365" i="54"/>
  <c r="AG365" i="54" s="1"/>
  <c r="AB345" i="54"/>
  <c r="AG345" i="54" s="1"/>
  <c r="AB645" i="54"/>
  <c r="AG645" i="54" s="1"/>
  <c r="AD525" i="54"/>
  <c r="AH525" i="54" s="1"/>
  <c r="AB685" i="54"/>
  <c r="AG685" i="54" s="1"/>
  <c r="AD685" i="54"/>
  <c r="AH685" i="54" s="1"/>
  <c r="AB745" i="54"/>
  <c r="AG745" i="54" s="1"/>
  <c r="AD485" i="54"/>
  <c r="AH485" i="54" s="1"/>
  <c r="AD605" i="54"/>
  <c r="AH605" i="54" s="1"/>
  <c r="AB505" i="54"/>
  <c r="AG505" i="54" s="1"/>
  <c r="AD745" i="54"/>
  <c r="AH745" i="54" s="1"/>
  <c r="AB465" i="54"/>
  <c r="AG465" i="54" s="1"/>
  <c r="AB385" i="54"/>
  <c r="AG385" i="54" s="1"/>
  <c r="AD385" i="54"/>
  <c r="AH385" i="54" s="1"/>
  <c r="AD403" i="54"/>
  <c r="AH403" i="54" s="1"/>
  <c r="AL403" i="54" s="1"/>
  <c r="AL404" i="54" s="1"/>
  <c r="AD643" i="54"/>
  <c r="AH643" i="54" s="1"/>
  <c r="AD763" i="54"/>
  <c r="AH763" i="54" s="1"/>
  <c r="AD365" i="54"/>
  <c r="AH365" i="54" s="1"/>
  <c r="Z405" i="54"/>
  <c r="AF405" i="54" s="1"/>
  <c r="AD405" i="54"/>
  <c r="AH405" i="54" s="1"/>
  <c r="AD445" i="54"/>
  <c r="AH445" i="54" s="1"/>
  <c r="AL445" i="54" s="1"/>
  <c r="AL446" i="54" s="1"/>
  <c r="AB445" i="54"/>
  <c r="AG445" i="54" s="1"/>
  <c r="AK445" i="54" s="1"/>
  <c r="AK446" i="54" s="1"/>
  <c r="Z445" i="54"/>
  <c r="AF445" i="54" s="1"/>
  <c r="AJ445" i="54" s="1"/>
  <c r="AJ446" i="54" s="1"/>
  <c r="M43" i="53"/>
  <c r="N43" i="53" s="1"/>
  <c r="AB405" i="54"/>
  <c r="AG405" i="54" s="1"/>
  <c r="AC67" i="64" l="1"/>
  <c r="AC100" i="64"/>
  <c r="AB117" i="64"/>
  <c r="AA49" i="64"/>
  <c r="AA88" i="64"/>
  <c r="AB87" i="64"/>
  <c r="AC63" i="64"/>
  <c r="AB111" i="64"/>
  <c r="AC113" i="64"/>
  <c r="AC124" i="64"/>
  <c r="AB73" i="64"/>
  <c r="AB154" i="64"/>
  <c r="AB47" i="64"/>
  <c r="AB115" i="64"/>
  <c r="AA47" i="64"/>
  <c r="AB55" i="64"/>
  <c r="AB143" i="64"/>
  <c r="AA50" i="64"/>
  <c r="AC81" i="64"/>
  <c r="AB91" i="64"/>
  <c r="AC133" i="64"/>
  <c r="AA160" i="64"/>
  <c r="AA141" i="64"/>
  <c r="AC162" i="64"/>
  <c r="AB122" i="64"/>
  <c r="AC167" i="64"/>
  <c r="AC103" i="64"/>
  <c r="AB155" i="64"/>
  <c r="AB56" i="64"/>
  <c r="AB130" i="64"/>
  <c r="AB49" i="64"/>
  <c r="AC89" i="64"/>
  <c r="AC75" i="64"/>
  <c r="AC134" i="64"/>
  <c r="AA135" i="64"/>
  <c r="AJ699" i="54"/>
  <c r="AJ700" i="54" s="1"/>
  <c r="AJ701" i="54" s="1"/>
  <c r="AJ702" i="54" s="1"/>
  <c r="AJ703" i="54" s="1"/>
  <c r="AJ704" i="54" s="1"/>
  <c r="AJ705" i="54" s="1"/>
  <c r="AJ706" i="54" s="1"/>
  <c r="AJ707" i="54" s="1"/>
  <c r="AJ708" i="54" s="1"/>
  <c r="AJ709" i="54" s="1"/>
  <c r="AJ710" i="54" s="1"/>
  <c r="AJ711" i="54" s="1"/>
  <c r="AJ712" i="54" s="1"/>
  <c r="AJ713" i="54" s="1"/>
  <c r="AJ714" i="54" s="1"/>
  <c r="AJ715" i="54" s="1"/>
  <c r="AJ716" i="54" s="1"/>
  <c r="AJ717" i="54" s="1"/>
  <c r="AC54" i="64"/>
  <c r="AA66" i="64"/>
  <c r="AC117" i="64"/>
  <c r="AA121" i="64"/>
  <c r="AB150" i="64"/>
  <c r="AB57" i="64"/>
  <c r="AA91" i="64"/>
  <c r="AJ530" i="54"/>
  <c r="AJ531" i="54" s="1"/>
  <c r="AJ532" i="54" s="1"/>
  <c r="AJ533" i="54" s="1"/>
  <c r="AJ534" i="54" s="1"/>
  <c r="AJ535" i="54" s="1"/>
  <c r="AJ536" i="54" s="1"/>
  <c r="AJ537" i="54" s="1"/>
  <c r="AJ538" i="54" s="1"/>
  <c r="AJ539" i="54" s="1"/>
  <c r="AJ540" i="54" s="1"/>
  <c r="AJ541" i="54" s="1"/>
  <c r="AJ542" i="54" s="1"/>
  <c r="AJ543" i="54" s="1"/>
  <c r="AJ544" i="54" s="1"/>
  <c r="AJ545" i="54" s="1"/>
  <c r="AJ546" i="54" s="1"/>
  <c r="AJ547" i="54" s="1"/>
  <c r="AJ548" i="54" s="1"/>
  <c r="AJ549" i="54" s="1"/>
  <c r="AB90" i="64"/>
  <c r="AB81" i="64"/>
  <c r="AB136" i="64"/>
  <c r="AC143" i="64"/>
  <c r="AJ427" i="54"/>
  <c r="AJ428" i="54" s="1"/>
  <c r="AJ429" i="54" s="1"/>
  <c r="AJ430" i="54" s="1"/>
  <c r="AJ431" i="54" s="1"/>
  <c r="AJ432" i="54" s="1"/>
  <c r="AJ433" i="54" s="1"/>
  <c r="AJ434" i="54" s="1"/>
  <c r="AJ435" i="54" s="1"/>
  <c r="AJ436" i="54" s="1"/>
  <c r="AJ437" i="54" s="1"/>
  <c r="AJ438" i="54" s="1"/>
  <c r="AJ439" i="54" s="1"/>
  <c r="AJ440" i="54" s="1"/>
  <c r="AJ441" i="54" s="1"/>
  <c r="AJ442" i="54" s="1"/>
  <c r="AJ443" i="54" s="1"/>
  <c r="AJ444" i="54" s="1"/>
  <c r="AC71" i="64"/>
  <c r="AC69" i="64"/>
  <c r="AC79" i="64"/>
  <c r="AC132" i="64"/>
  <c r="AA81" i="64"/>
  <c r="AA102" i="64"/>
  <c r="AC94" i="64"/>
  <c r="AB107" i="64"/>
  <c r="AC108" i="64"/>
  <c r="AC57" i="64"/>
  <c r="AB104" i="64"/>
  <c r="AL761" i="54"/>
  <c r="AL762" i="54" s="1"/>
  <c r="AL763" i="54" s="1"/>
  <c r="AL764" i="54" s="1"/>
  <c r="AL765" i="54" s="1"/>
  <c r="AL766" i="54" s="1"/>
  <c r="AL767" i="54" s="1"/>
  <c r="AL768" i="54" s="1"/>
  <c r="AL769" i="54" s="1"/>
  <c r="AL770" i="54" s="1"/>
  <c r="AL771" i="54" s="1"/>
  <c r="AL772" i="54" s="1"/>
  <c r="AL773" i="54" s="1"/>
  <c r="AL774" i="54" s="1"/>
  <c r="AL775" i="54" s="1"/>
  <c r="AL776" i="54" s="1"/>
  <c r="AL777" i="54" s="1"/>
  <c r="AL778" i="54" s="1"/>
  <c r="AL779" i="54" s="1"/>
  <c r="AL780" i="54" s="1"/>
  <c r="AB69" i="64"/>
  <c r="AB144" i="64"/>
  <c r="AC155" i="64"/>
  <c r="AB131" i="64"/>
  <c r="AB112" i="64"/>
  <c r="AA119" i="64"/>
  <c r="AA77" i="64"/>
  <c r="AA120" i="64"/>
  <c r="AB80" i="64"/>
  <c r="AC131" i="64"/>
  <c r="AA136" i="64"/>
  <c r="AB89" i="64"/>
  <c r="AA138" i="64"/>
  <c r="AC92" i="64"/>
  <c r="AA101" i="64"/>
  <c r="AC119" i="64"/>
  <c r="AA146" i="64"/>
  <c r="AL447" i="54"/>
  <c r="AL448" i="54" s="1"/>
  <c r="AL449" i="54" s="1"/>
  <c r="AL450" i="54" s="1"/>
  <c r="AL451" i="54" s="1"/>
  <c r="AL452" i="54" s="1"/>
  <c r="AL453" i="54" s="1"/>
  <c r="AL454" i="54" s="1"/>
  <c r="AL455" i="54" s="1"/>
  <c r="AL456" i="54" s="1"/>
  <c r="AL457" i="54" s="1"/>
  <c r="AL458" i="54" s="1"/>
  <c r="AL459" i="54" s="1"/>
  <c r="AL460" i="54" s="1"/>
  <c r="AL461" i="54" s="1"/>
  <c r="AL462" i="54" s="1"/>
  <c r="AL463" i="54" s="1"/>
  <c r="AL464" i="54" s="1"/>
  <c r="AL465" i="54" s="1"/>
  <c r="AC106" i="64"/>
  <c r="AC109" i="64"/>
  <c r="AC97" i="64"/>
  <c r="AB163" i="64"/>
  <c r="AB93" i="64"/>
  <c r="AC159" i="64"/>
  <c r="AB85" i="64"/>
  <c r="AA117" i="64"/>
  <c r="AA134" i="64"/>
  <c r="AJ362" i="54"/>
  <c r="AJ363" i="54" s="1"/>
  <c r="AJ364" i="54" s="1"/>
  <c r="AJ365" i="54" s="1"/>
  <c r="AJ366" i="54" s="1"/>
  <c r="AJ367" i="54" s="1"/>
  <c r="AJ368" i="54" s="1"/>
  <c r="AJ369" i="54" s="1"/>
  <c r="AJ370" i="54" s="1"/>
  <c r="AJ371" i="54" s="1"/>
  <c r="AJ372" i="54" s="1"/>
  <c r="AJ373" i="54" s="1"/>
  <c r="AJ374" i="54" s="1"/>
  <c r="AJ375" i="54" s="1"/>
  <c r="AJ376" i="54" s="1"/>
  <c r="AJ377" i="54" s="1"/>
  <c r="AJ378" i="54" s="1"/>
  <c r="AJ379" i="54" s="1"/>
  <c r="AJ380" i="54" s="1"/>
  <c r="AJ381" i="54" s="1"/>
  <c r="AB168" i="64"/>
  <c r="AB59" i="64"/>
  <c r="AB170" i="64"/>
  <c r="AB82" i="64"/>
  <c r="AA158" i="64"/>
  <c r="AA170" i="64"/>
  <c r="AA100" i="64"/>
  <c r="AA123" i="64"/>
  <c r="AA124" i="64"/>
  <c r="AA145" i="64"/>
  <c r="AA149" i="64"/>
  <c r="AC169" i="64"/>
  <c r="AK328" i="54"/>
  <c r="AK329" i="54" s="1"/>
  <c r="AK330" i="54" s="1"/>
  <c r="AK331" i="54" s="1"/>
  <c r="AK332" i="54" s="1"/>
  <c r="AK333" i="54" s="1"/>
  <c r="AK334" i="54" s="1"/>
  <c r="AK335" i="54" s="1"/>
  <c r="AK336" i="54" s="1"/>
  <c r="AK337" i="54" s="1"/>
  <c r="AK338" i="54" s="1"/>
  <c r="AK339" i="54" s="1"/>
  <c r="AC65" i="64"/>
  <c r="AC121" i="64"/>
  <c r="AA116" i="64"/>
  <c r="AA63" i="64"/>
  <c r="AB153" i="64"/>
  <c r="AB54" i="64"/>
  <c r="AK551" i="54"/>
  <c r="AK552" i="54" s="1"/>
  <c r="AK553" i="54" s="1"/>
  <c r="AK554" i="54" s="1"/>
  <c r="AK555" i="54" s="1"/>
  <c r="AK556" i="54" s="1"/>
  <c r="AK557" i="54" s="1"/>
  <c r="AK558" i="54" s="1"/>
  <c r="AK559" i="54" s="1"/>
  <c r="AK560" i="54" s="1"/>
  <c r="AK561" i="54" s="1"/>
  <c r="AK562" i="54" s="1"/>
  <c r="AK563" i="54" s="1"/>
  <c r="AK564" i="54" s="1"/>
  <c r="AK565" i="54" s="1"/>
  <c r="AK566" i="54" s="1"/>
  <c r="AK567" i="54" s="1"/>
  <c r="AK568" i="54" s="1"/>
  <c r="AK569" i="54" s="1"/>
  <c r="AK570" i="54" s="1"/>
  <c r="AK635" i="54"/>
  <c r="AK636" i="54" s="1"/>
  <c r="AK637" i="54" s="1"/>
  <c r="AK638" i="54" s="1"/>
  <c r="AK639" i="54" s="1"/>
  <c r="AK640" i="54" s="1"/>
  <c r="AK641" i="54" s="1"/>
  <c r="AK642" i="54" s="1"/>
  <c r="AK643" i="54" s="1"/>
  <c r="AK644" i="54" s="1"/>
  <c r="AK645" i="54" s="1"/>
  <c r="AK646" i="54" s="1"/>
  <c r="AK647" i="54" s="1"/>
  <c r="AK648" i="54" s="1"/>
  <c r="AK649" i="54" s="1"/>
  <c r="AK650" i="54" s="1"/>
  <c r="AK651" i="54" s="1"/>
  <c r="AK652" i="54" s="1"/>
  <c r="AK653" i="54" s="1"/>
  <c r="AK654" i="54" s="1"/>
  <c r="AJ719" i="54"/>
  <c r="AJ720" i="54" s="1"/>
  <c r="AJ721" i="54" s="1"/>
  <c r="AJ722" i="54" s="1"/>
  <c r="AJ723" i="54" s="1"/>
  <c r="AJ724" i="54" s="1"/>
  <c r="AJ725" i="54" s="1"/>
  <c r="AJ726" i="54" s="1"/>
  <c r="AJ727" i="54" s="1"/>
  <c r="AJ728" i="54" s="1"/>
  <c r="AJ729" i="54" s="1"/>
  <c r="AJ730" i="54" s="1"/>
  <c r="AJ731" i="54" s="1"/>
  <c r="AJ732" i="54" s="1"/>
  <c r="AJ733" i="54" s="1"/>
  <c r="AJ734" i="54" s="1"/>
  <c r="AJ735" i="54" s="1"/>
  <c r="AJ736" i="54" s="1"/>
  <c r="AJ737" i="54" s="1"/>
  <c r="AJ738" i="54" s="1"/>
  <c r="AJ447" i="54"/>
  <c r="AJ448" i="54" s="1"/>
  <c r="AJ449" i="54" s="1"/>
  <c r="AJ450" i="54" s="1"/>
  <c r="AJ451" i="54" s="1"/>
  <c r="AJ452" i="54" s="1"/>
  <c r="AJ453" i="54" s="1"/>
  <c r="AJ454" i="54" s="1"/>
  <c r="AJ455" i="54" s="1"/>
  <c r="AJ456" i="54" s="1"/>
  <c r="AJ457" i="54" s="1"/>
  <c r="AJ458" i="54" s="1"/>
  <c r="AJ459" i="54" s="1"/>
  <c r="AJ460" i="54" s="1"/>
  <c r="AJ461" i="54" s="1"/>
  <c r="AJ462" i="54" s="1"/>
  <c r="AJ463" i="54" s="1"/>
  <c r="AJ464" i="54" s="1"/>
  <c r="AJ465" i="54" s="1"/>
  <c r="AK447" i="54"/>
  <c r="AK448" i="54" s="1"/>
  <c r="AK449" i="54" s="1"/>
  <c r="AK450" i="54" s="1"/>
  <c r="AK451" i="54" s="1"/>
  <c r="AK452" i="54" s="1"/>
  <c r="AK453" i="54" s="1"/>
  <c r="AK454" i="54" s="1"/>
  <c r="AK455" i="54" s="1"/>
  <c r="AK456" i="54" s="1"/>
  <c r="AK457" i="54" s="1"/>
  <c r="AK458" i="54" s="1"/>
  <c r="AK459" i="54" s="1"/>
  <c r="AK460" i="54" s="1"/>
  <c r="AK461" i="54" s="1"/>
  <c r="AK462" i="54" s="1"/>
  <c r="AK463" i="54" s="1"/>
  <c r="AK464" i="54" s="1"/>
  <c r="AK465" i="54" s="1"/>
  <c r="AK593" i="54"/>
  <c r="AK594" i="54" s="1"/>
  <c r="AK595" i="54" s="1"/>
  <c r="AK596" i="54" s="1"/>
  <c r="AK597" i="54" s="1"/>
  <c r="AK598" i="54" s="1"/>
  <c r="AK599" i="54" s="1"/>
  <c r="AK600" i="54" s="1"/>
  <c r="AK601" i="54" s="1"/>
  <c r="AK602" i="54" s="1"/>
  <c r="AK603" i="54" s="1"/>
  <c r="AK604" i="54" s="1"/>
  <c r="AK605" i="54" s="1"/>
  <c r="AK606" i="54" s="1"/>
  <c r="AK607" i="54" s="1"/>
  <c r="AK608" i="54" s="1"/>
  <c r="AK609" i="54" s="1"/>
  <c r="AK610" i="54" s="1"/>
  <c r="AK611" i="54" s="1"/>
  <c r="AK612" i="54" s="1"/>
  <c r="AK427" i="54"/>
  <c r="AK428" i="54" s="1"/>
  <c r="AK429" i="54" s="1"/>
  <c r="AK430" i="54" s="1"/>
  <c r="AK431" i="54" s="1"/>
  <c r="AK432" i="54" s="1"/>
  <c r="AK433" i="54" s="1"/>
  <c r="AK434" i="54" s="1"/>
  <c r="AK435" i="54" s="1"/>
  <c r="AK436" i="54" s="1"/>
  <c r="AK437" i="54" s="1"/>
  <c r="AK438" i="54" s="1"/>
  <c r="AK439" i="54" s="1"/>
  <c r="AK440" i="54" s="1"/>
  <c r="AK441" i="54" s="1"/>
  <c r="AK442" i="54" s="1"/>
  <c r="AK443" i="54" s="1"/>
  <c r="AK444" i="54" s="1"/>
  <c r="AB125" i="64"/>
  <c r="AC140" i="64"/>
  <c r="AA147" i="64"/>
  <c r="AA74" i="64"/>
  <c r="AK698" i="54"/>
  <c r="AK699" i="54" s="1"/>
  <c r="AK700" i="54" s="1"/>
  <c r="AK701" i="54" s="1"/>
  <c r="AK702" i="54" s="1"/>
  <c r="AK703" i="54" s="1"/>
  <c r="AK704" i="54" s="1"/>
  <c r="AK705" i="54" s="1"/>
  <c r="AK706" i="54" s="1"/>
  <c r="AK707" i="54" s="1"/>
  <c r="AK708" i="54" s="1"/>
  <c r="AK709" i="54" s="1"/>
  <c r="AK710" i="54" s="1"/>
  <c r="AK711" i="54" s="1"/>
  <c r="AK712" i="54" s="1"/>
  <c r="AK713" i="54" s="1"/>
  <c r="AK714" i="54" s="1"/>
  <c r="AK715" i="54" s="1"/>
  <c r="AK716" i="54" s="1"/>
  <c r="AK717" i="54" s="1"/>
  <c r="AL677" i="54"/>
  <c r="AL678" i="54" s="1"/>
  <c r="AL679" i="54" s="1"/>
  <c r="AL680" i="54" s="1"/>
  <c r="AL681" i="54" s="1"/>
  <c r="AL682" i="54" s="1"/>
  <c r="AL683" i="54" s="1"/>
  <c r="AL684" i="54" s="1"/>
  <c r="AL685" i="54" s="1"/>
  <c r="AL686" i="54" s="1"/>
  <c r="AL687" i="54" s="1"/>
  <c r="AL688" i="54" s="1"/>
  <c r="AL689" i="54" s="1"/>
  <c r="AL690" i="54" s="1"/>
  <c r="AL691" i="54" s="1"/>
  <c r="AL692" i="54" s="1"/>
  <c r="AL693" i="54" s="1"/>
  <c r="AL694" i="54" s="1"/>
  <c r="AL695" i="54" s="1"/>
  <c r="AL696" i="54" s="1"/>
  <c r="U80" i="53"/>
  <c r="B4" i="57" s="1"/>
  <c r="AC93" i="64"/>
  <c r="AC60" i="64"/>
  <c r="AC64" i="64"/>
  <c r="AB76" i="64"/>
  <c r="AC102" i="64"/>
  <c r="AA51" i="64"/>
  <c r="AA53" i="64"/>
  <c r="AB92" i="64"/>
  <c r="AB151" i="64"/>
  <c r="AA110" i="64"/>
  <c r="AC80" i="64"/>
  <c r="AB110" i="64"/>
  <c r="AB96" i="64"/>
  <c r="AC152" i="64"/>
  <c r="AC72" i="64"/>
  <c r="AA143" i="64"/>
  <c r="AA96" i="64"/>
  <c r="AC128" i="64"/>
  <c r="AA157" i="64"/>
  <c r="AA67" i="64"/>
  <c r="AA75" i="64"/>
  <c r="AB141" i="64"/>
  <c r="AA83" i="64"/>
  <c r="AA132" i="64"/>
  <c r="AB159" i="64"/>
  <c r="AC55" i="64"/>
  <c r="AC91" i="64"/>
  <c r="AC115" i="64"/>
  <c r="AC68" i="64"/>
  <c r="AC90" i="64"/>
  <c r="AA172" i="64"/>
  <c r="AC149" i="64"/>
  <c r="AB116" i="64"/>
  <c r="AB137" i="64"/>
  <c r="AC147" i="64"/>
  <c r="AC104" i="64"/>
  <c r="AC114" i="64"/>
  <c r="AA112" i="64"/>
  <c r="AB52" i="64"/>
  <c r="AC84" i="64"/>
  <c r="AC136" i="64"/>
  <c r="AB157" i="64"/>
  <c r="AB65" i="64"/>
  <c r="AA92" i="64"/>
  <c r="AA166" i="64"/>
  <c r="AB86" i="64"/>
  <c r="AC56" i="64"/>
  <c r="AA126" i="64"/>
  <c r="AA150" i="64"/>
  <c r="AC61" i="64"/>
  <c r="AB108" i="64"/>
  <c r="AB129" i="64"/>
  <c r="AB71" i="64"/>
  <c r="AA82" i="64"/>
  <c r="AB103" i="64"/>
  <c r="AC78" i="64"/>
  <c r="AC126" i="64"/>
  <c r="AB53" i="64"/>
  <c r="AC83" i="64"/>
  <c r="AB119" i="64"/>
  <c r="AC137" i="64"/>
  <c r="AB161" i="64"/>
  <c r="AC50" i="64"/>
  <c r="AA71" i="64"/>
  <c r="AC129" i="64"/>
  <c r="AA69" i="64"/>
  <c r="AA90" i="64"/>
  <c r="AA128" i="64"/>
  <c r="AA137" i="64"/>
  <c r="AA98" i="64"/>
  <c r="AC144" i="64"/>
  <c r="AB146" i="64"/>
  <c r="AB121" i="64"/>
  <c r="AK530" i="54"/>
  <c r="AK531" i="54" s="1"/>
  <c r="AK532" i="54" s="1"/>
  <c r="AK533" i="54" s="1"/>
  <c r="AK534" i="54" s="1"/>
  <c r="AK535" i="54" s="1"/>
  <c r="AK536" i="54" s="1"/>
  <c r="AK537" i="54" s="1"/>
  <c r="AK538" i="54" s="1"/>
  <c r="AK539" i="54" s="1"/>
  <c r="AK540" i="54" s="1"/>
  <c r="AK541" i="54" s="1"/>
  <c r="AK542" i="54" s="1"/>
  <c r="AK543" i="54" s="1"/>
  <c r="AK544" i="54" s="1"/>
  <c r="AK545" i="54" s="1"/>
  <c r="AK546" i="54" s="1"/>
  <c r="AK547" i="54" s="1"/>
  <c r="AK548" i="54" s="1"/>
  <c r="AK549" i="54" s="1"/>
  <c r="AJ635" i="54"/>
  <c r="AJ636" i="54" s="1"/>
  <c r="AJ637" i="54" s="1"/>
  <c r="AJ638" i="54" s="1"/>
  <c r="AJ639" i="54" s="1"/>
  <c r="AJ640" i="54" s="1"/>
  <c r="AJ641" i="54" s="1"/>
  <c r="AJ642" i="54" s="1"/>
  <c r="AJ643" i="54" s="1"/>
  <c r="AJ644" i="54" s="1"/>
  <c r="AJ645" i="54" s="1"/>
  <c r="AJ646" i="54" s="1"/>
  <c r="AJ647" i="54" s="1"/>
  <c r="AJ648" i="54" s="1"/>
  <c r="AJ649" i="54" s="1"/>
  <c r="AJ650" i="54" s="1"/>
  <c r="AJ651" i="54" s="1"/>
  <c r="AJ652" i="54" s="1"/>
  <c r="AJ653" i="54" s="1"/>
  <c r="AJ654" i="54" s="1"/>
  <c r="AK763" i="54"/>
  <c r="AK764" i="54" s="1"/>
  <c r="AK765" i="54" s="1"/>
  <c r="AK766" i="54" s="1"/>
  <c r="AK767" i="54" s="1"/>
  <c r="AK768" i="54" s="1"/>
  <c r="AK769" i="54" s="1"/>
  <c r="AK770" i="54" s="1"/>
  <c r="AK771" i="54" s="1"/>
  <c r="AK772" i="54" s="1"/>
  <c r="AK773" i="54" s="1"/>
  <c r="AK774" i="54" s="1"/>
  <c r="AK775" i="54" s="1"/>
  <c r="AK776" i="54" s="1"/>
  <c r="AK777" i="54" s="1"/>
  <c r="AK778" i="54" s="1"/>
  <c r="AK779" i="54" s="1"/>
  <c r="AK780" i="54" s="1"/>
  <c r="AL327" i="54"/>
  <c r="AL328" i="54" s="1"/>
  <c r="AL329" i="54" s="1"/>
  <c r="AL330" i="54" s="1"/>
  <c r="AL331" i="54" s="1"/>
  <c r="AL332" i="54" s="1"/>
  <c r="AL333" i="54" s="1"/>
  <c r="AL334" i="54" s="1"/>
  <c r="AL335" i="54" s="1"/>
  <c r="AL336" i="54" s="1"/>
  <c r="AL337" i="54" s="1"/>
  <c r="AL338" i="54" s="1"/>
  <c r="AL339" i="54" s="1"/>
  <c r="AL698" i="54"/>
  <c r="AL699" i="54" s="1"/>
  <c r="AL700" i="54" s="1"/>
  <c r="AL701" i="54" s="1"/>
  <c r="AL702" i="54" s="1"/>
  <c r="AL703" i="54" s="1"/>
  <c r="AL704" i="54" s="1"/>
  <c r="AL705" i="54" s="1"/>
  <c r="AL706" i="54" s="1"/>
  <c r="AL707" i="54" s="1"/>
  <c r="AL708" i="54" s="1"/>
  <c r="AL709" i="54" s="1"/>
  <c r="AL710" i="54" s="1"/>
  <c r="AL711" i="54" s="1"/>
  <c r="AL712" i="54" s="1"/>
  <c r="AL713" i="54" s="1"/>
  <c r="AL714" i="54" s="1"/>
  <c r="AL715" i="54" s="1"/>
  <c r="AL716" i="54" s="1"/>
  <c r="AL717" i="54" s="1"/>
  <c r="AL593" i="54"/>
  <c r="AL594" i="54" s="1"/>
  <c r="AL595" i="54" s="1"/>
  <c r="AL596" i="54" s="1"/>
  <c r="AL597" i="54" s="1"/>
  <c r="AL598" i="54" s="1"/>
  <c r="AL599" i="54" s="1"/>
  <c r="AL600" i="54" s="1"/>
  <c r="AL601" i="54" s="1"/>
  <c r="AL602" i="54" s="1"/>
  <c r="AL603" i="54" s="1"/>
  <c r="AL604" i="54" s="1"/>
  <c r="AL605" i="54" s="1"/>
  <c r="AL606" i="54" s="1"/>
  <c r="AL607" i="54" s="1"/>
  <c r="AL608" i="54" s="1"/>
  <c r="AL609" i="54" s="1"/>
  <c r="AL610" i="54" s="1"/>
  <c r="AL611" i="54" s="1"/>
  <c r="AL612" i="54" s="1"/>
  <c r="AJ327" i="54"/>
  <c r="AJ328" i="54" s="1"/>
  <c r="AJ329" i="54" s="1"/>
  <c r="AJ330" i="54" s="1"/>
  <c r="AJ331" i="54" s="1"/>
  <c r="AJ332" i="54" s="1"/>
  <c r="AJ333" i="54" s="1"/>
  <c r="AJ334" i="54" s="1"/>
  <c r="AJ335" i="54" s="1"/>
  <c r="AJ336" i="54" s="1"/>
  <c r="AJ337" i="54" s="1"/>
  <c r="AJ338" i="54" s="1"/>
  <c r="AJ339" i="54" s="1"/>
  <c r="AL468" i="54"/>
  <c r="AL469" i="54" s="1"/>
  <c r="AL470" i="54" s="1"/>
  <c r="AL471" i="54" s="1"/>
  <c r="AL472" i="54" s="1"/>
  <c r="AL473" i="54" s="1"/>
  <c r="AL474" i="54" s="1"/>
  <c r="AL475" i="54" s="1"/>
  <c r="AL476" i="54" s="1"/>
  <c r="AL477" i="54" s="1"/>
  <c r="AL478" i="54" s="1"/>
  <c r="AL479" i="54" s="1"/>
  <c r="AL480" i="54" s="1"/>
  <c r="AL481" i="54" s="1"/>
  <c r="AL482" i="54" s="1"/>
  <c r="AL483" i="54" s="1"/>
  <c r="AL484" i="54" s="1"/>
  <c r="AL485" i="54" s="1"/>
  <c r="AL486" i="54" s="1"/>
  <c r="AK509" i="54"/>
  <c r="AK510" i="54" s="1"/>
  <c r="AK511" i="54" s="1"/>
  <c r="AK512" i="54" s="1"/>
  <c r="AK513" i="54" s="1"/>
  <c r="AK514" i="54" s="1"/>
  <c r="AK515" i="54" s="1"/>
  <c r="AK516" i="54" s="1"/>
  <c r="AK517" i="54" s="1"/>
  <c r="AK518" i="54" s="1"/>
  <c r="AK519" i="54" s="1"/>
  <c r="AK520" i="54" s="1"/>
  <c r="AK521" i="54" s="1"/>
  <c r="AK522" i="54" s="1"/>
  <c r="AK523" i="54" s="1"/>
  <c r="AK524" i="54" s="1"/>
  <c r="AK525" i="54" s="1"/>
  <c r="AK526" i="54" s="1"/>
  <c r="AK527" i="54" s="1"/>
  <c r="AK528" i="54" s="1"/>
  <c r="AJ616" i="54"/>
  <c r="AJ617" i="54" s="1"/>
  <c r="AJ618" i="54" s="1"/>
  <c r="AJ619" i="54" s="1"/>
  <c r="AJ620" i="54" s="1"/>
  <c r="AJ621" i="54" s="1"/>
  <c r="AJ622" i="54" s="1"/>
  <c r="AJ623" i="54" s="1"/>
  <c r="AJ624" i="54" s="1"/>
  <c r="AJ625" i="54" s="1"/>
  <c r="AJ626" i="54" s="1"/>
  <c r="AJ627" i="54" s="1"/>
  <c r="AJ628" i="54" s="1"/>
  <c r="AJ629" i="54" s="1"/>
  <c r="AJ630" i="54" s="1"/>
  <c r="AJ631" i="54" s="1"/>
  <c r="AJ632" i="54" s="1"/>
  <c r="AJ633" i="54" s="1"/>
  <c r="AK362" i="54"/>
  <c r="AK363" i="54" s="1"/>
  <c r="AK364" i="54" s="1"/>
  <c r="AK365" i="54" s="1"/>
  <c r="AK366" i="54" s="1"/>
  <c r="AK367" i="54" s="1"/>
  <c r="AK368" i="54" s="1"/>
  <c r="AK369" i="54" s="1"/>
  <c r="AK370" i="54" s="1"/>
  <c r="AK371" i="54" s="1"/>
  <c r="AK372" i="54" s="1"/>
  <c r="AK373" i="54" s="1"/>
  <c r="AK374" i="54" s="1"/>
  <c r="AK375" i="54" s="1"/>
  <c r="AK376" i="54" s="1"/>
  <c r="AK377" i="54" s="1"/>
  <c r="AK378" i="54" s="1"/>
  <c r="AK379" i="54" s="1"/>
  <c r="AK380" i="54" s="1"/>
  <c r="AK381" i="54" s="1"/>
  <c r="AL362" i="54"/>
  <c r="AL363" i="54" s="1"/>
  <c r="AL364" i="54" s="1"/>
  <c r="AL365" i="54" s="1"/>
  <c r="AL366" i="54" s="1"/>
  <c r="AL367" i="54" s="1"/>
  <c r="AL368" i="54" s="1"/>
  <c r="AL369" i="54" s="1"/>
  <c r="AL370" i="54" s="1"/>
  <c r="AL371" i="54" s="1"/>
  <c r="AL372" i="54" s="1"/>
  <c r="AL373" i="54" s="1"/>
  <c r="AL374" i="54" s="1"/>
  <c r="AL375" i="54" s="1"/>
  <c r="AL376" i="54" s="1"/>
  <c r="AL377" i="54" s="1"/>
  <c r="AL378" i="54" s="1"/>
  <c r="AL379" i="54" s="1"/>
  <c r="AL380" i="54" s="1"/>
  <c r="AL381" i="54" s="1"/>
  <c r="AK341" i="54"/>
  <c r="AK342" i="54" s="1"/>
  <c r="AK343" i="54" s="1"/>
  <c r="AK344" i="54" s="1"/>
  <c r="AK345" i="54" s="1"/>
  <c r="AK346" i="54" s="1"/>
  <c r="AK347" i="54" s="1"/>
  <c r="AK348" i="54" s="1"/>
  <c r="AK349" i="54" s="1"/>
  <c r="AK350" i="54" s="1"/>
  <c r="AK351" i="54" s="1"/>
  <c r="AK352" i="54" s="1"/>
  <c r="AK353" i="54" s="1"/>
  <c r="AK354" i="54" s="1"/>
  <c r="AK355" i="54" s="1"/>
  <c r="AK356" i="54" s="1"/>
  <c r="AK357" i="54" s="1"/>
  <c r="AK358" i="54" s="1"/>
  <c r="AK359" i="54" s="1"/>
  <c r="AK360" i="54" s="1"/>
  <c r="AL341" i="54"/>
  <c r="AL342" i="54" s="1"/>
  <c r="AL343" i="54" s="1"/>
  <c r="AL344" i="54" s="1"/>
  <c r="AL345" i="54" s="1"/>
  <c r="AL346" i="54" s="1"/>
  <c r="AL347" i="54" s="1"/>
  <c r="AL348" i="54" s="1"/>
  <c r="AL349" i="54" s="1"/>
  <c r="AL350" i="54" s="1"/>
  <c r="AL351" i="54" s="1"/>
  <c r="AL352" i="54" s="1"/>
  <c r="AL353" i="54" s="1"/>
  <c r="AL354" i="54" s="1"/>
  <c r="AL355" i="54" s="1"/>
  <c r="AL356" i="54" s="1"/>
  <c r="AL357" i="54" s="1"/>
  <c r="AL358" i="54" s="1"/>
  <c r="AL359" i="54" s="1"/>
  <c r="AL360" i="54" s="1"/>
  <c r="AL740" i="54"/>
  <c r="AL741" i="54" s="1"/>
  <c r="AL742" i="54" s="1"/>
  <c r="AL743" i="54" s="1"/>
  <c r="AL744" i="54" s="1"/>
  <c r="AL745" i="54" s="1"/>
  <c r="AL746" i="54" s="1"/>
  <c r="AL747" i="54" s="1"/>
  <c r="AL748" i="54" s="1"/>
  <c r="AL749" i="54" s="1"/>
  <c r="AL750" i="54" s="1"/>
  <c r="AL751" i="54" s="1"/>
  <c r="AL752" i="54" s="1"/>
  <c r="AL753" i="54" s="1"/>
  <c r="AL754" i="54" s="1"/>
  <c r="AL755" i="54" s="1"/>
  <c r="AL756" i="54" s="1"/>
  <c r="AL757" i="54" s="1"/>
  <c r="AL758" i="54" s="1"/>
  <c r="AL759" i="54" s="1"/>
  <c r="AL509" i="54"/>
  <c r="AL510" i="54" s="1"/>
  <c r="AL511" i="54" s="1"/>
  <c r="AL512" i="54" s="1"/>
  <c r="AL513" i="54" s="1"/>
  <c r="AL514" i="54" s="1"/>
  <c r="AL515" i="54" s="1"/>
  <c r="AL516" i="54" s="1"/>
  <c r="AL517" i="54" s="1"/>
  <c r="AL518" i="54" s="1"/>
  <c r="AL519" i="54" s="1"/>
  <c r="AL520" i="54" s="1"/>
  <c r="AL521" i="54" s="1"/>
  <c r="AL522" i="54" s="1"/>
  <c r="AL523" i="54" s="1"/>
  <c r="AL524" i="54" s="1"/>
  <c r="AL525" i="54" s="1"/>
  <c r="AL526" i="54" s="1"/>
  <c r="AL527" i="54" s="1"/>
  <c r="AL528" i="54" s="1"/>
  <c r="AL488" i="54"/>
  <c r="AL489" i="54" s="1"/>
  <c r="AL490" i="54" s="1"/>
  <c r="AL491" i="54" s="1"/>
  <c r="AL492" i="54" s="1"/>
  <c r="AL493" i="54" s="1"/>
  <c r="AL494" i="54" s="1"/>
  <c r="AL495" i="54" s="1"/>
  <c r="AL496" i="54" s="1"/>
  <c r="AL497" i="54" s="1"/>
  <c r="AL498" i="54" s="1"/>
  <c r="AL499" i="54" s="1"/>
  <c r="AL500" i="54" s="1"/>
  <c r="AL501" i="54" s="1"/>
  <c r="AL502" i="54" s="1"/>
  <c r="AL503" i="54" s="1"/>
  <c r="AL504" i="54" s="1"/>
  <c r="AL505" i="54" s="1"/>
  <c r="AL506" i="54" s="1"/>
  <c r="AL507" i="54" s="1"/>
  <c r="AC74" i="64"/>
  <c r="AB60" i="64"/>
  <c r="AA62" i="64"/>
  <c r="AJ551" i="54"/>
  <c r="AJ552" i="54" s="1"/>
  <c r="AJ553" i="54" s="1"/>
  <c r="AJ554" i="54" s="1"/>
  <c r="AJ555" i="54" s="1"/>
  <c r="AJ556" i="54" s="1"/>
  <c r="AJ557" i="54" s="1"/>
  <c r="AJ558" i="54" s="1"/>
  <c r="AJ559" i="54" s="1"/>
  <c r="AJ560" i="54" s="1"/>
  <c r="AJ561" i="54" s="1"/>
  <c r="AJ562" i="54" s="1"/>
  <c r="AJ563" i="54" s="1"/>
  <c r="AJ564" i="54" s="1"/>
  <c r="AJ565" i="54" s="1"/>
  <c r="AJ566" i="54" s="1"/>
  <c r="AJ567" i="54" s="1"/>
  <c r="AJ568" i="54" s="1"/>
  <c r="AJ569" i="54" s="1"/>
  <c r="AJ570" i="54" s="1"/>
  <c r="AJ488" i="54"/>
  <c r="AJ489" i="54" s="1"/>
  <c r="AJ490" i="54" s="1"/>
  <c r="AJ491" i="54" s="1"/>
  <c r="AJ492" i="54" s="1"/>
  <c r="AJ493" i="54" s="1"/>
  <c r="AJ494" i="54" s="1"/>
  <c r="AJ495" i="54" s="1"/>
  <c r="AJ496" i="54" s="1"/>
  <c r="AJ497" i="54" s="1"/>
  <c r="AJ498" i="54" s="1"/>
  <c r="AJ499" i="54" s="1"/>
  <c r="AJ500" i="54" s="1"/>
  <c r="AJ501" i="54" s="1"/>
  <c r="AJ502" i="54" s="1"/>
  <c r="AJ503" i="54" s="1"/>
  <c r="AJ504" i="54" s="1"/>
  <c r="AJ505" i="54" s="1"/>
  <c r="AJ506" i="54" s="1"/>
  <c r="AJ507" i="54" s="1"/>
  <c r="AK572" i="54"/>
  <c r="AK573" i="54" s="1"/>
  <c r="AK574" i="54" s="1"/>
  <c r="AK575" i="54" s="1"/>
  <c r="AK576" i="54" s="1"/>
  <c r="AK577" i="54" s="1"/>
  <c r="AK578" i="54" s="1"/>
  <c r="AK579" i="54" s="1"/>
  <c r="AK580" i="54" s="1"/>
  <c r="AK581" i="54" s="1"/>
  <c r="AK582" i="54" s="1"/>
  <c r="AK583" i="54" s="1"/>
  <c r="AK584" i="54" s="1"/>
  <c r="AK585" i="54" s="1"/>
  <c r="AK586" i="54" s="1"/>
  <c r="AK587" i="54" s="1"/>
  <c r="AK588" i="54" s="1"/>
  <c r="AK589" i="54" s="1"/>
  <c r="AK590" i="54" s="1"/>
  <c r="AK591" i="54" s="1"/>
  <c r="AJ677" i="54"/>
  <c r="AJ678" i="54" s="1"/>
  <c r="AJ679" i="54" s="1"/>
  <c r="AJ680" i="54" s="1"/>
  <c r="AJ681" i="54" s="1"/>
  <c r="AJ682" i="54" s="1"/>
  <c r="AJ683" i="54" s="1"/>
  <c r="AJ684" i="54" s="1"/>
  <c r="AJ685" i="54" s="1"/>
  <c r="AJ686" i="54" s="1"/>
  <c r="AJ687" i="54" s="1"/>
  <c r="AJ688" i="54" s="1"/>
  <c r="AJ689" i="54" s="1"/>
  <c r="AJ690" i="54" s="1"/>
  <c r="AJ691" i="54" s="1"/>
  <c r="AJ692" i="54" s="1"/>
  <c r="AJ693" i="54" s="1"/>
  <c r="AJ694" i="54" s="1"/>
  <c r="AJ695" i="54" s="1"/>
  <c r="AJ696" i="54" s="1"/>
  <c r="AJ740" i="54"/>
  <c r="AJ741" i="54" s="1"/>
  <c r="AJ742" i="54" s="1"/>
  <c r="AJ743" i="54" s="1"/>
  <c r="AJ744" i="54" s="1"/>
  <c r="AJ745" i="54" s="1"/>
  <c r="AJ746" i="54" s="1"/>
  <c r="AJ747" i="54" s="1"/>
  <c r="AJ748" i="54" s="1"/>
  <c r="AJ749" i="54" s="1"/>
  <c r="AJ750" i="54" s="1"/>
  <c r="AJ751" i="54" s="1"/>
  <c r="AJ752" i="54" s="1"/>
  <c r="AJ753" i="54" s="1"/>
  <c r="AJ754" i="54" s="1"/>
  <c r="AJ755" i="54" s="1"/>
  <c r="AJ756" i="54" s="1"/>
  <c r="AJ757" i="54" s="1"/>
  <c r="AJ758" i="54" s="1"/>
  <c r="AJ759" i="54" s="1"/>
  <c r="AJ341" i="54"/>
  <c r="AJ342" i="54" s="1"/>
  <c r="AJ343" i="54" s="1"/>
  <c r="AJ344" i="54" s="1"/>
  <c r="AJ345" i="54" s="1"/>
  <c r="AJ346" i="54" s="1"/>
  <c r="AJ347" i="54" s="1"/>
  <c r="AJ348" i="54" s="1"/>
  <c r="AJ349" i="54" s="1"/>
  <c r="AJ350" i="54" s="1"/>
  <c r="AJ351" i="54" s="1"/>
  <c r="AJ352" i="54" s="1"/>
  <c r="AJ353" i="54" s="1"/>
  <c r="AJ354" i="54" s="1"/>
  <c r="AJ355" i="54" s="1"/>
  <c r="AJ356" i="54" s="1"/>
  <c r="AJ357" i="54" s="1"/>
  <c r="AJ358" i="54" s="1"/>
  <c r="AJ359" i="54" s="1"/>
  <c r="AJ360" i="54" s="1"/>
  <c r="AK614" i="54"/>
  <c r="AK615" i="54" s="1"/>
  <c r="AK616" i="54" s="1"/>
  <c r="AK617" i="54" s="1"/>
  <c r="AK618" i="54" s="1"/>
  <c r="AK619" i="54" s="1"/>
  <c r="AK620" i="54" s="1"/>
  <c r="AK621" i="54" s="1"/>
  <c r="AK622" i="54" s="1"/>
  <c r="AK623" i="54" s="1"/>
  <c r="AK624" i="54" s="1"/>
  <c r="AK625" i="54" s="1"/>
  <c r="AK626" i="54" s="1"/>
  <c r="AK627" i="54" s="1"/>
  <c r="AK628" i="54" s="1"/>
  <c r="AK629" i="54" s="1"/>
  <c r="AK630" i="54" s="1"/>
  <c r="AK631" i="54" s="1"/>
  <c r="AK632" i="54" s="1"/>
  <c r="AK633" i="54" s="1"/>
  <c r="AK488" i="54"/>
  <c r="AK489" i="54" s="1"/>
  <c r="AK490" i="54" s="1"/>
  <c r="AK491" i="54" s="1"/>
  <c r="AK492" i="54" s="1"/>
  <c r="AK493" i="54" s="1"/>
  <c r="AK494" i="54" s="1"/>
  <c r="AK495" i="54" s="1"/>
  <c r="AK496" i="54" s="1"/>
  <c r="AK497" i="54" s="1"/>
  <c r="AK498" i="54" s="1"/>
  <c r="AK499" i="54" s="1"/>
  <c r="AK500" i="54" s="1"/>
  <c r="AK501" i="54" s="1"/>
  <c r="AK502" i="54" s="1"/>
  <c r="AK503" i="54" s="1"/>
  <c r="AK504" i="54" s="1"/>
  <c r="AK505" i="54" s="1"/>
  <c r="AK506" i="54" s="1"/>
  <c r="AK507" i="54" s="1"/>
  <c r="AK405" i="54"/>
  <c r="AK406" i="54" s="1"/>
  <c r="AK407" i="54" s="1"/>
  <c r="AK408" i="54" s="1"/>
  <c r="AK409" i="54" s="1"/>
  <c r="AK410" i="54" s="1"/>
  <c r="AK411" i="54" s="1"/>
  <c r="AK412" i="54" s="1"/>
  <c r="AK413" i="54" s="1"/>
  <c r="AK414" i="54" s="1"/>
  <c r="AK415" i="54" s="1"/>
  <c r="AK416" i="54" s="1"/>
  <c r="AK417" i="54" s="1"/>
  <c r="AK418" i="54" s="1"/>
  <c r="AK419" i="54" s="1"/>
  <c r="AK420" i="54" s="1"/>
  <c r="AK421" i="54" s="1"/>
  <c r="AK422" i="54" s="1"/>
  <c r="AK423" i="54" s="1"/>
  <c r="AJ405" i="54"/>
  <c r="AJ406" i="54" s="1"/>
  <c r="AJ407" i="54" s="1"/>
  <c r="AJ408" i="54" s="1"/>
  <c r="AJ409" i="54" s="1"/>
  <c r="AJ410" i="54" s="1"/>
  <c r="AJ411" i="54" s="1"/>
  <c r="AJ412" i="54" s="1"/>
  <c r="AJ413" i="54" s="1"/>
  <c r="AJ414" i="54" s="1"/>
  <c r="AJ415" i="54" s="1"/>
  <c r="AJ416" i="54" s="1"/>
  <c r="AJ417" i="54" s="1"/>
  <c r="AJ418" i="54" s="1"/>
  <c r="AJ419" i="54" s="1"/>
  <c r="AJ420" i="54" s="1"/>
  <c r="AJ421" i="54" s="1"/>
  <c r="AJ422" i="54" s="1"/>
  <c r="AJ423" i="54" s="1"/>
  <c r="AL405" i="54"/>
  <c r="AL406" i="54" s="1"/>
  <c r="AL407" i="54" s="1"/>
  <c r="AL408" i="54" s="1"/>
  <c r="AL409" i="54" s="1"/>
  <c r="AL410" i="54" s="1"/>
  <c r="AL411" i="54" s="1"/>
  <c r="AL412" i="54" s="1"/>
  <c r="AL413" i="54" s="1"/>
  <c r="AL414" i="54" s="1"/>
  <c r="AL415" i="54" s="1"/>
  <c r="AL416" i="54" s="1"/>
  <c r="AL417" i="54" s="1"/>
  <c r="AL418" i="54" s="1"/>
  <c r="AL419" i="54" s="1"/>
  <c r="AL420" i="54" s="1"/>
  <c r="AL421" i="54" s="1"/>
  <c r="AL422" i="54" s="1"/>
  <c r="AL423" i="54" s="1"/>
  <c r="AL383" i="54"/>
  <c r="AL384" i="54" s="1"/>
  <c r="AL385" i="54" s="1"/>
  <c r="AL386" i="54" s="1"/>
  <c r="AL387" i="54" s="1"/>
  <c r="AL388" i="54" s="1"/>
  <c r="AL389" i="54" s="1"/>
  <c r="AL390" i="54" s="1"/>
  <c r="AL391" i="54" s="1"/>
  <c r="AL392" i="54" s="1"/>
  <c r="AL393" i="54" s="1"/>
  <c r="AL394" i="54" s="1"/>
  <c r="AL395" i="54" s="1"/>
  <c r="AL396" i="54" s="1"/>
  <c r="AL397" i="54" s="1"/>
  <c r="AL398" i="54" s="1"/>
  <c r="AL399" i="54" s="1"/>
  <c r="AL400" i="54" s="1"/>
  <c r="AL401" i="54" s="1"/>
  <c r="AL402" i="54" s="1"/>
  <c r="AL530" i="54"/>
  <c r="AL531" i="54" s="1"/>
  <c r="AL532" i="54" s="1"/>
  <c r="AL533" i="54" s="1"/>
  <c r="AL534" i="54" s="1"/>
  <c r="AL535" i="54" s="1"/>
  <c r="AL536" i="54" s="1"/>
  <c r="AL537" i="54" s="1"/>
  <c r="AL538" i="54" s="1"/>
  <c r="AL539" i="54" s="1"/>
  <c r="AL540" i="54" s="1"/>
  <c r="AL541" i="54" s="1"/>
  <c r="AL542" i="54" s="1"/>
  <c r="AL543" i="54" s="1"/>
  <c r="AL544" i="54" s="1"/>
  <c r="AL545" i="54" s="1"/>
  <c r="AL546" i="54" s="1"/>
  <c r="AL547" i="54" s="1"/>
  <c r="AL548" i="54" s="1"/>
  <c r="AL549" i="54" s="1"/>
  <c r="AA64" i="64"/>
  <c r="AJ573" i="54"/>
  <c r="AJ574" i="54" s="1"/>
  <c r="AJ575" i="54" s="1"/>
  <c r="AJ576" i="54" s="1"/>
  <c r="AJ577" i="54" s="1"/>
  <c r="AJ578" i="54" s="1"/>
  <c r="AJ579" i="54" s="1"/>
  <c r="AJ580" i="54" s="1"/>
  <c r="AJ581" i="54" s="1"/>
  <c r="AJ582" i="54" s="1"/>
  <c r="AJ583" i="54" s="1"/>
  <c r="AJ584" i="54" s="1"/>
  <c r="AJ585" i="54" s="1"/>
  <c r="AJ586" i="54" s="1"/>
  <c r="AJ587" i="54" s="1"/>
  <c r="AJ588" i="54" s="1"/>
  <c r="AJ589" i="54" s="1"/>
  <c r="AJ590" i="54" s="1"/>
  <c r="AJ591" i="54" s="1"/>
  <c r="AK656" i="54"/>
  <c r="AK657" i="54" s="1"/>
  <c r="AK658" i="54" s="1"/>
  <c r="AK659" i="54" s="1"/>
  <c r="AK660" i="54" s="1"/>
  <c r="AK661" i="54" s="1"/>
  <c r="AK662" i="54" s="1"/>
  <c r="AK663" i="54" s="1"/>
  <c r="AK664" i="54" s="1"/>
  <c r="AK665" i="54" s="1"/>
  <c r="AK666" i="54" s="1"/>
  <c r="AK667" i="54" s="1"/>
  <c r="AK668" i="54" s="1"/>
  <c r="AK669" i="54" s="1"/>
  <c r="AK670" i="54" s="1"/>
  <c r="AK671" i="54" s="1"/>
  <c r="AK672" i="54" s="1"/>
  <c r="AK673" i="54" s="1"/>
  <c r="AK674" i="54" s="1"/>
  <c r="AK675" i="54" s="1"/>
  <c r="AJ593" i="54"/>
  <c r="AJ594" i="54" s="1"/>
  <c r="AJ595" i="54" s="1"/>
  <c r="AJ596" i="54" s="1"/>
  <c r="AJ597" i="54" s="1"/>
  <c r="AJ598" i="54" s="1"/>
  <c r="AJ599" i="54" s="1"/>
  <c r="AJ600" i="54" s="1"/>
  <c r="AJ601" i="54" s="1"/>
  <c r="AJ602" i="54" s="1"/>
  <c r="AJ603" i="54" s="1"/>
  <c r="AJ604" i="54" s="1"/>
  <c r="AJ605" i="54" s="1"/>
  <c r="AJ606" i="54" s="1"/>
  <c r="AJ607" i="54" s="1"/>
  <c r="AJ608" i="54" s="1"/>
  <c r="AJ609" i="54" s="1"/>
  <c r="AJ610" i="54" s="1"/>
  <c r="AJ611" i="54" s="1"/>
  <c r="AJ612" i="54" s="1"/>
  <c r="AK740" i="54"/>
  <c r="AK741" i="54" s="1"/>
  <c r="AK742" i="54" s="1"/>
  <c r="AK743" i="54" s="1"/>
  <c r="AK744" i="54" s="1"/>
  <c r="AK745" i="54" s="1"/>
  <c r="AK746" i="54" s="1"/>
  <c r="AK747" i="54" s="1"/>
  <c r="AK748" i="54" s="1"/>
  <c r="AK749" i="54" s="1"/>
  <c r="AK750" i="54" s="1"/>
  <c r="AK751" i="54" s="1"/>
  <c r="AK752" i="54" s="1"/>
  <c r="AK753" i="54" s="1"/>
  <c r="AK754" i="54" s="1"/>
  <c r="AK755" i="54" s="1"/>
  <c r="AK756" i="54" s="1"/>
  <c r="AK757" i="54" s="1"/>
  <c r="AK758" i="54" s="1"/>
  <c r="AK759" i="54" s="1"/>
  <c r="AJ761" i="54"/>
  <c r="AJ762" i="54" s="1"/>
  <c r="AJ763" i="54" s="1"/>
  <c r="AJ764" i="54" s="1"/>
  <c r="AJ765" i="54" s="1"/>
  <c r="AJ766" i="54" s="1"/>
  <c r="AJ767" i="54" s="1"/>
  <c r="AJ768" i="54" s="1"/>
  <c r="AJ769" i="54" s="1"/>
  <c r="AJ770" i="54" s="1"/>
  <c r="AJ771" i="54" s="1"/>
  <c r="AJ772" i="54" s="1"/>
  <c r="AJ773" i="54" s="1"/>
  <c r="AJ774" i="54" s="1"/>
  <c r="AJ775" i="54" s="1"/>
  <c r="AJ776" i="54" s="1"/>
  <c r="AJ777" i="54" s="1"/>
  <c r="AJ778" i="54" s="1"/>
  <c r="AJ779" i="54" s="1"/>
  <c r="AJ780" i="54" s="1"/>
  <c r="AJ383" i="54"/>
  <c r="AJ384" i="54" s="1"/>
  <c r="AJ385" i="54" s="1"/>
  <c r="AJ386" i="54" s="1"/>
  <c r="AJ387" i="54" s="1"/>
  <c r="AJ388" i="54" s="1"/>
  <c r="AJ389" i="54" s="1"/>
  <c r="AJ390" i="54" s="1"/>
  <c r="AJ391" i="54" s="1"/>
  <c r="AJ392" i="54" s="1"/>
  <c r="AJ393" i="54" s="1"/>
  <c r="AJ394" i="54" s="1"/>
  <c r="AJ395" i="54" s="1"/>
  <c r="AJ396" i="54" s="1"/>
  <c r="AJ397" i="54" s="1"/>
  <c r="AJ398" i="54" s="1"/>
  <c r="AJ399" i="54" s="1"/>
  <c r="AJ400" i="54" s="1"/>
  <c r="AJ401" i="54" s="1"/>
  <c r="AJ402" i="54" s="1"/>
  <c r="AL429" i="54"/>
  <c r="AL430" i="54" s="1"/>
  <c r="AL431" i="54" s="1"/>
  <c r="AL432" i="54" s="1"/>
  <c r="AL433" i="54" s="1"/>
  <c r="AL434" i="54" s="1"/>
  <c r="AL435" i="54" s="1"/>
  <c r="AL436" i="54" s="1"/>
  <c r="AL437" i="54" s="1"/>
  <c r="AL438" i="54" s="1"/>
  <c r="AL439" i="54" s="1"/>
  <c r="AL440" i="54" s="1"/>
  <c r="AL441" i="54" s="1"/>
  <c r="AL442" i="54" s="1"/>
  <c r="AL443" i="54" s="1"/>
  <c r="AL444" i="54" s="1"/>
  <c r="AL719" i="54"/>
  <c r="AL720" i="54" s="1"/>
  <c r="AL721" i="54" s="1"/>
  <c r="AL722" i="54" s="1"/>
  <c r="AL723" i="54" s="1"/>
  <c r="AL724" i="54" s="1"/>
  <c r="AL725" i="54" s="1"/>
  <c r="AL726" i="54" s="1"/>
  <c r="AL727" i="54" s="1"/>
  <c r="AL728" i="54" s="1"/>
  <c r="AL729" i="54" s="1"/>
  <c r="AL730" i="54" s="1"/>
  <c r="AL731" i="54" s="1"/>
  <c r="AL732" i="54" s="1"/>
  <c r="AL733" i="54" s="1"/>
  <c r="AL734" i="54" s="1"/>
  <c r="AL735" i="54" s="1"/>
  <c r="AL736" i="54" s="1"/>
  <c r="AL737" i="54" s="1"/>
  <c r="AL738" i="54" s="1"/>
  <c r="AL635" i="54"/>
  <c r="AL636" i="54" s="1"/>
  <c r="AL637" i="54" s="1"/>
  <c r="AL638" i="54" s="1"/>
  <c r="AL639" i="54" s="1"/>
  <c r="AL640" i="54" s="1"/>
  <c r="AL641" i="54" s="1"/>
  <c r="AL642" i="54" s="1"/>
  <c r="AL643" i="54" s="1"/>
  <c r="AL644" i="54" s="1"/>
  <c r="AL645" i="54" s="1"/>
  <c r="AL646" i="54" s="1"/>
  <c r="AL647" i="54" s="1"/>
  <c r="AL648" i="54" s="1"/>
  <c r="AL649" i="54" s="1"/>
  <c r="AL650" i="54" s="1"/>
  <c r="AL651" i="54" s="1"/>
  <c r="AL652" i="54" s="1"/>
  <c r="AL653" i="54" s="1"/>
  <c r="AL654" i="54" s="1"/>
  <c r="AL614" i="54"/>
  <c r="AL615" i="54" s="1"/>
  <c r="AL616" i="54" s="1"/>
  <c r="AL617" i="54" s="1"/>
  <c r="AL618" i="54" s="1"/>
  <c r="AL619" i="54" s="1"/>
  <c r="AL620" i="54" s="1"/>
  <c r="AL621" i="54" s="1"/>
  <c r="AL622" i="54" s="1"/>
  <c r="AL623" i="54" s="1"/>
  <c r="AL624" i="54" s="1"/>
  <c r="AL625" i="54" s="1"/>
  <c r="AL626" i="54" s="1"/>
  <c r="AL627" i="54" s="1"/>
  <c r="AL628" i="54" s="1"/>
  <c r="AL629" i="54" s="1"/>
  <c r="AL630" i="54" s="1"/>
  <c r="AL631" i="54" s="1"/>
  <c r="AL632" i="54" s="1"/>
  <c r="AL633" i="54" s="1"/>
  <c r="AL572" i="54"/>
  <c r="AL573" i="54" s="1"/>
  <c r="AL574" i="54" s="1"/>
  <c r="AL575" i="54" s="1"/>
  <c r="AL576" i="54" s="1"/>
  <c r="AL577" i="54" s="1"/>
  <c r="AL578" i="54" s="1"/>
  <c r="AL579" i="54" s="1"/>
  <c r="AL580" i="54" s="1"/>
  <c r="AL581" i="54" s="1"/>
  <c r="AL582" i="54" s="1"/>
  <c r="AL583" i="54" s="1"/>
  <c r="AL584" i="54" s="1"/>
  <c r="AL585" i="54" s="1"/>
  <c r="AL586" i="54" s="1"/>
  <c r="AL587" i="54" s="1"/>
  <c r="AL588" i="54" s="1"/>
  <c r="AL589" i="54" s="1"/>
  <c r="AL590" i="54" s="1"/>
  <c r="AL591" i="54" s="1"/>
  <c r="AL551" i="54"/>
  <c r="AL552" i="54" s="1"/>
  <c r="AL553" i="54" s="1"/>
  <c r="AL554" i="54" s="1"/>
  <c r="AL555" i="54" s="1"/>
  <c r="AL556" i="54" s="1"/>
  <c r="AL557" i="54" s="1"/>
  <c r="AL558" i="54" s="1"/>
  <c r="AL559" i="54" s="1"/>
  <c r="AL560" i="54" s="1"/>
  <c r="AL561" i="54" s="1"/>
  <c r="AL562" i="54" s="1"/>
  <c r="AL563" i="54" s="1"/>
  <c r="AL564" i="54" s="1"/>
  <c r="AL565" i="54" s="1"/>
  <c r="AL566" i="54" s="1"/>
  <c r="AL567" i="54" s="1"/>
  <c r="AL568" i="54" s="1"/>
  <c r="AL569" i="54" s="1"/>
  <c r="AL570" i="54" s="1"/>
  <c r="AL656" i="54"/>
  <c r="AL657" i="54" s="1"/>
  <c r="AL658" i="54" s="1"/>
  <c r="AL659" i="54" s="1"/>
  <c r="AL660" i="54" s="1"/>
  <c r="AL661" i="54" s="1"/>
  <c r="AL662" i="54" s="1"/>
  <c r="AL663" i="54" s="1"/>
  <c r="AL664" i="54" s="1"/>
  <c r="AL665" i="54" s="1"/>
  <c r="AL666" i="54" s="1"/>
  <c r="AL667" i="54" s="1"/>
  <c r="AL668" i="54" s="1"/>
  <c r="AL669" i="54" s="1"/>
  <c r="AL670" i="54" s="1"/>
  <c r="AL671" i="54" s="1"/>
  <c r="AL672" i="54" s="1"/>
  <c r="AL673" i="54" s="1"/>
  <c r="AL674" i="54" s="1"/>
  <c r="AL675" i="54" s="1"/>
  <c r="AK677" i="54"/>
  <c r="AK678" i="54" s="1"/>
  <c r="AK679" i="54" s="1"/>
  <c r="AK680" i="54" s="1"/>
  <c r="AK681" i="54" s="1"/>
  <c r="AK682" i="54" s="1"/>
  <c r="AK683" i="54" s="1"/>
  <c r="AK684" i="54" s="1"/>
  <c r="AK685" i="54" s="1"/>
  <c r="AK686" i="54" s="1"/>
  <c r="AK687" i="54" s="1"/>
  <c r="AK688" i="54" s="1"/>
  <c r="AK689" i="54" s="1"/>
  <c r="AK690" i="54" s="1"/>
  <c r="AK691" i="54" s="1"/>
  <c r="AK692" i="54" s="1"/>
  <c r="AK693" i="54" s="1"/>
  <c r="AK694" i="54" s="1"/>
  <c r="AK695" i="54" s="1"/>
  <c r="AK696" i="54" s="1"/>
  <c r="AK719" i="54"/>
  <c r="AK720" i="54" s="1"/>
  <c r="AK721" i="54" s="1"/>
  <c r="AK722" i="54" s="1"/>
  <c r="AK723" i="54" s="1"/>
  <c r="AK724" i="54" s="1"/>
  <c r="AK725" i="54" s="1"/>
  <c r="AK726" i="54" s="1"/>
  <c r="AK727" i="54" s="1"/>
  <c r="AK728" i="54" s="1"/>
  <c r="AK729" i="54" s="1"/>
  <c r="AK730" i="54" s="1"/>
  <c r="AK731" i="54" s="1"/>
  <c r="AK732" i="54" s="1"/>
  <c r="AK733" i="54" s="1"/>
  <c r="AK734" i="54" s="1"/>
  <c r="AK735" i="54" s="1"/>
  <c r="AK736" i="54" s="1"/>
  <c r="AK737" i="54" s="1"/>
  <c r="AK738" i="54" s="1"/>
  <c r="AK385" i="54"/>
  <c r="AK386" i="54" s="1"/>
  <c r="AK387" i="54" s="1"/>
  <c r="AK388" i="54" s="1"/>
  <c r="AK389" i="54" s="1"/>
  <c r="AK390" i="54" s="1"/>
  <c r="AK391" i="54" s="1"/>
  <c r="AK392" i="54" s="1"/>
  <c r="AK393" i="54" s="1"/>
  <c r="AK394" i="54" s="1"/>
  <c r="AK395" i="54" s="1"/>
  <c r="AK396" i="54" s="1"/>
  <c r="AK397" i="54" s="1"/>
  <c r="AK398" i="54" s="1"/>
  <c r="AK399" i="54" s="1"/>
  <c r="AK400" i="54" s="1"/>
  <c r="AK401" i="54" s="1"/>
  <c r="AK402" i="54" s="1"/>
  <c r="AJ468" i="54"/>
  <c r="AJ469" i="54" s="1"/>
  <c r="AJ470" i="54" s="1"/>
  <c r="AJ471" i="54" s="1"/>
  <c r="AJ472" i="54" s="1"/>
  <c r="AJ473" i="54" s="1"/>
  <c r="AJ474" i="54" s="1"/>
  <c r="AJ475" i="54" s="1"/>
  <c r="AJ476" i="54" s="1"/>
  <c r="AJ477" i="54" s="1"/>
  <c r="AJ478" i="54" s="1"/>
  <c r="AJ479" i="54" s="1"/>
  <c r="AJ480" i="54" s="1"/>
  <c r="AJ481" i="54" s="1"/>
  <c r="AJ482" i="54" s="1"/>
  <c r="AJ483" i="54" s="1"/>
  <c r="AJ484" i="54" s="1"/>
  <c r="AJ485" i="54" s="1"/>
  <c r="AJ486" i="54" s="1"/>
  <c r="AK468" i="54"/>
  <c r="AK469" i="54" s="1"/>
  <c r="AK470" i="54" s="1"/>
  <c r="AK471" i="54" s="1"/>
  <c r="AK472" i="54" s="1"/>
  <c r="AK473" i="54" s="1"/>
  <c r="AK474" i="54" s="1"/>
  <c r="AK475" i="54" s="1"/>
  <c r="AK476" i="54" s="1"/>
  <c r="AK477" i="54" s="1"/>
  <c r="AK478" i="54" s="1"/>
  <c r="AK479" i="54" s="1"/>
  <c r="AK480" i="54" s="1"/>
  <c r="AK481" i="54" s="1"/>
  <c r="AK482" i="54" s="1"/>
  <c r="AK483" i="54" s="1"/>
  <c r="AK484" i="54" s="1"/>
  <c r="AK485" i="54" s="1"/>
  <c r="AK486" i="54" s="1"/>
  <c r="AB68" i="64"/>
  <c r="AJ509" i="54"/>
  <c r="AJ510" i="54" s="1"/>
  <c r="AJ511" i="54" s="1"/>
  <c r="AJ512" i="54" s="1"/>
  <c r="AJ513" i="54" s="1"/>
  <c r="AJ514" i="54" s="1"/>
  <c r="AJ515" i="54" s="1"/>
  <c r="AJ516" i="54" s="1"/>
  <c r="AJ517" i="54" s="1"/>
  <c r="AJ518" i="54" s="1"/>
  <c r="AJ519" i="54" s="1"/>
  <c r="AJ520" i="54" s="1"/>
  <c r="AJ521" i="54" s="1"/>
  <c r="AJ522" i="54" s="1"/>
  <c r="AJ523" i="54" s="1"/>
  <c r="AJ524" i="54" s="1"/>
  <c r="AJ525" i="54" s="1"/>
  <c r="AJ526" i="54" s="1"/>
  <c r="AJ527" i="54" s="1"/>
  <c r="AJ528" i="54" s="1"/>
  <c r="AJ657" i="54"/>
  <c r="AJ658" i="54" s="1"/>
  <c r="AJ659" i="54" s="1"/>
  <c r="AJ660" i="54" s="1"/>
  <c r="AJ661" i="54" s="1"/>
  <c r="AJ662" i="54" s="1"/>
  <c r="AJ663" i="54" s="1"/>
  <c r="AJ664" i="54" s="1"/>
  <c r="AJ665" i="54" s="1"/>
  <c r="AJ666" i="54" s="1"/>
  <c r="AJ667" i="54" s="1"/>
  <c r="AJ668" i="54" s="1"/>
  <c r="AJ669" i="54" s="1"/>
  <c r="AJ670" i="54" s="1"/>
  <c r="AJ671" i="54" s="1"/>
  <c r="AJ672" i="54" s="1"/>
  <c r="AJ673" i="54" s="1"/>
  <c r="AJ674" i="54" s="1"/>
  <c r="AJ675" i="54" s="1"/>
  <c r="AC163" i="64"/>
  <c r="AA155" i="64"/>
  <c r="AC172" i="64"/>
  <c r="AC116" i="64"/>
  <c r="AB147" i="64"/>
  <c r="AC130" i="64"/>
  <c r="AB97" i="64"/>
  <c r="AB123" i="64"/>
  <c r="AC105" i="64"/>
  <c r="AB62" i="64"/>
  <c r="AC77" i="64"/>
  <c r="AC70" i="64"/>
  <c r="AC53" i="64"/>
  <c r="AC107" i="64"/>
  <c r="AA79" i="64"/>
  <c r="AC166" i="64"/>
  <c r="AC171" i="64"/>
  <c r="AC52" i="64"/>
  <c r="AC142" i="64"/>
  <c r="AB148" i="64"/>
  <c r="AB145" i="64"/>
  <c r="AC170" i="64"/>
  <c r="AC73" i="64"/>
  <c r="AC47" i="64"/>
  <c r="AC51" i="64"/>
  <c r="AB63" i="64"/>
  <c r="AA152" i="64"/>
  <c r="AB99" i="64"/>
  <c r="O79" i="53"/>
  <c r="N79" i="53"/>
  <c r="T69" i="53"/>
  <c r="V69" i="53"/>
  <c r="AA103" i="64"/>
  <c r="AA76" i="64"/>
  <c r="AA70" i="64"/>
  <c r="AA106" i="64"/>
  <c r="AA72" i="64"/>
  <c r="AA73" i="64"/>
  <c r="AA104" i="64"/>
  <c r="AA105" i="64"/>
  <c r="AA153" i="64"/>
  <c r="AA108" i="64"/>
  <c r="AA130" i="64"/>
  <c r="AA131" i="64"/>
  <c r="AA107" i="64"/>
  <c r="AA151" i="64"/>
  <c r="AA127" i="64"/>
  <c r="V80" i="53" l="1"/>
  <c r="C4" i="57" s="1"/>
  <c r="T80" i="53"/>
  <c r="A4" i="57" s="1"/>
  <c r="K20" i="57" l="1"/>
  <c r="K15" i="57"/>
  <c r="I23" i="57"/>
  <c r="K16" i="57"/>
  <c r="K18" i="57"/>
  <c r="M25" i="57"/>
  <c r="I14" i="57"/>
  <c r="I21" i="57"/>
  <c r="M19" i="57"/>
  <c r="M23" i="57"/>
  <c r="M15" i="57"/>
  <c r="I27" i="57"/>
  <c r="I28" i="57"/>
  <c r="I17" i="57"/>
  <c r="I26" i="57"/>
  <c r="M24" i="57"/>
  <c r="K17" i="57"/>
  <c r="I19" i="57"/>
  <c r="K26" i="57"/>
  <c r="M12" i="57"/>
  <c r="I12" i="57"/>
  <c r="K10" i="57"/>
  <c r="M13" i="57"/>
  <c r="K13" i="57"/>
  <c r="K29" i="57"/>
  <c r="M22" i="57"/>
  <c r="M14" i="57"/>
  <c r="I16" i="57"/>
  <c r="K11" i="57"/>
  <c r="M26" i="57"/>
  <c r="I20" i="57"/>
  <c r="M20" i="57"/>
  <c r="I22" i="57"/>
  <c r="I29" i="57"/>
  <c r="M16" i="57"/>
  <c r="K21" i="57"/>
  <c r="I9" i="57"/>
  <c r="M9" i="57"/>
  <c r="I18" i="57"/>
  <c r="I24" i="57"/>
  <c r="M17" i="57"/>
  <c r="K28" i="57"/>
  <c r="K9" i="57"/>
  <c r="M28" i="57"/>
  <c r="K12" i="57"/>
  <c r="K24" i="57"/>
  <c r="I25" i="57"/>
  <c r="M10" i="57"/>
  <c r="I15" i="57"/>
  <c r="M18" i="57"/>
  <c r="M21" i="57"/>
  <c r="K25" i="57"/>
  <c r="I11" i="57"/>
  <c r="I13" i="57"/>
  <c r="M27" i="57"/>
  <c r="K22" i="57"/>
  <c r="K27" i="57"/>
  <c r="M29" i="57"/>
  <c r="K14" i="57"/>
  <c r="K23" i="57"/>
  <c r="M11" i="57"/>
  <c r="K19" i="57"/>
  <c r="I10" i="57"/>
</calcChain>
</file>

<file path=xl/sharedStrings.xml><?xml version="1.0" encoding="utf-8"?>
<sst xmlns="http://schemas.openxmlformats.org/spreadsheetml/2006/main" count="9062" uniqueCount="956">
  <si>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</si>
  <si>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</si>
  <si>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</si>
  <si>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</si>
  <si>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</si>
  <si>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</si>
  <si>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</si>
  <si>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</si>
  <si>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</si>
  <si>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</si>
  <si>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</si>
  <si>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</si>
  <si>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</si>
  <si>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ID</t>
    <phoneticPr fontId="2" type="noConversion"/>
  </si>
  <si>
    <t>N</t>
    <phoneticPr fontId="2" type="noConversion"/>
  </si>
  <si>
    <t>R</t>
    <phoneticPr fontId="2" type="noConversion"/>
  </si>
  <si>
    <t>升星碎片</t>
    <phoneticPr fontId="2" type="noConversion"/>
  </si>
  <si>
    <t>SR</t>
    <phoneticPr fontId="2" type="noConversion"/>
  </si>
  <si>
    <t>ID</t>
    <phoneticPr fontId="2" type="noConversion"/>
  </si>
  <si>
    <t>EnName</t>
    <phoneticPr fontId="2" type="noConversion"/>
  </si>
  <si>
    <t>CnName</t>
  </si>
  <si>
    <t>IsHide</t>
    <phoneticPr fontId="2" type="noConversion"/>
  </si>
  <si>
    <t>Show.Str</t>
    <phoneticPr fontId="2" type="noConversion"/>
  </si>
  <si>
    <t>Show.Fac</t>
    <phoneticPr fontId="2" type="noConversion"/>
  </si>
  <si>
    <t>BsFac</t>
    <phoneticPr fontId="2" type="noConversion"/>
  </si>
  <si>
    <t>Desc</t>
    <phoneticPr fontId="2" type="noConversion"/>
  </si>
  <si>
    <t>int:&lt;&gt;</t>
    <phoneticPr fontId="2" type="noConversion"/>
  </si>
  <si>
    <t>string:&lt;&gt;</t>
    <phoneticPr fontId="2" type="noConversion"/>
  </si>
  <si>
    <t>bool:&lt;&gt;</t>
    <phoneticPr fontId="2" type="noConversion"/>
  </si>
  <si>
    <t>string:&lt;</t>
    <phoneticPr fontId="2" type="noConversion"/>
  </si>
  <si>
    <t>float:&lt;&gt;</t>
    <phoneticPr fontId="2" type="noConversion"/>
  </si>
  <si>
    <t>ID</t>
    <phoneticPr fontId="2" type="noConversion"/>
  </si>
  <si>
    <t>英文名</t>
    <phoneticPr fontId="2" type="noConversion"/>
  </si>
  <si>
    <t>中文名</t>
    <phoneticPr fontId="2" type="noConversion"/>
  </si>
  <si>
    <t>隐藏属性</t>
    <phoneticPr fontId="2" type="noConversion"/>
  </si>
  <si>
    <t>展示方式</t>
    <phoneticPr fontId="2" type="noConversion"/>
  </si>
  <si>
    <t>属性乘数</t>
    <phoneticPr fontId="2" type="noConversion"/>
  </si>
  <si>
    <t>战力系数</t>
    <phoneticPr fontId="2" type="noConversion"/>
  </si>
  <si>
    <t>描述</t>
    <phoneticPr fontId="2" type="noConversion"/>
  </si>
  <si>
    <t>Atk</t>
  </si>
  <si>
    <t>基础攻击</t>
    <phoneticPr fontId="2" type="noConversion"/>
  </si>
  <si>
    <t>决定角色的伤害能力，攻击力越高，角色技能的伤害也越高。</t>
    <phoneticPr fontId="2" type="noConversion"/>
  </si>
  <si>
    <t>Def</t>
  </si>
  <si>
    <t>基础防御</t>
    <phoneticPr fontId="2" type="noConversion"/>
  </si>
  <si>
    <t>防御力越高，角色所受伤害越低。</t>
    <phoneticPr fontId="2" type="noConversion"/>
  </si>
  <si>
    <t>HP</t>
    <phoneticPr fontId="2" type="noConversion"/>
  </si>
  <si>
    <t>基础生命</t>
    <phoneticPr fontId="2" type="noConversion"/>
  </si>
  <si>
    <t>生命值为0时，角色死亡。</t>
    <phoneticPr fontId="2" type="noConversion"/>
  </si>
  <si>
    <t>Crit</t>
  </si>
  <si>
    <t>暴击率</t>
  </si>
  <si>
    <r>
      <t>伤害性技能和恢复技能会发生暴击，默认暴击伤害为1</t>
    </r>
    <r>
      <rPr>
        <sz val="11"/>
        <color theme="1"/>
        <rFont val="微软雅黑"/>
        <family val="2"/>
        <charset val="134"/>
      </rPr>
      <t>.5倍。</t>
    </r>
    <phoneticPr fontId="2" type="noConversion"/>
  </si>
  <si>
    <t>CritDmg</t>
    <phoneticPr fontId="2" type="noConversion"/>
  </si>
  <si>
    <t>暴击伤害</t>
  </si>
  <si>
    <t>提升暴击后造成的伤害。</t>
    <phoneticPr fontId="2" type="noConversion"/>
  </si>
  <si>
    <t>EffectHit</t>
  </si>
  <si>
    <t>效果命中</t>
  </si>
  <si>
    <t>提升Debuff的命中概率</t>
    <phoneticPr fontId="2" type="noConversion"/>
  </si>
  <si>
    <t>EffectResist</t>
    <phoneticPr fontId="2" type="noConversion"/>
  </si>
  <si>
    <t>效果抵抗</t>
  </si>
  <si>
    <t>降低遭受Debuff的概率。</t>
    <phoneticPr fontId="2" type="noConversion"/>
  </si>
  <si>
    <t>AtkRate</t>
  </si>
  <si>
    <t>攻击百分比加成</t>
  </si>
  <si>
    <t>百分比提升基础攻击力。</t>
    <phoneticPr fontId="2" type="noConversion"/>
  </si>
  <si>
    <t>DefRate</t>
  </si>
  <si>
    <t>防御百分比加成</t>
  </si>
  <si>
    <t>百分比提升基础防御力。</t>
    <phoneticPr fontId="2" type="noConversion"/>
  </si>
  <si>
    <t>HPRate</t>
  </si>
  <si>
    <t>生命百分比加成</t>
  </si>
  <si>
    <t>百分比提升基础生命。</t>
    <phoneticPr fontId="2" type="noConversion"/>
  </si>
  <si>
    <t>AtkExt</t>
    <phoneticPr fontId="2" type="noConversion"/>
  </si>
  <si>
    <t>攻击</t>
    <phoneticPr fontId="2" type="noConversion"/>
  </si>
  <si>
    <t>额外攻击力，不受百分比影响。</t>
    <phoneticPr fontId="2" type="noConversion"/>
  </si>
  <si>
    <r>
      <t>Def</t>
    </r>
    <r>
      <rPr>
        <sz val="11"/>
        <color theme="1"/>
        <rFont val="微软雅黑"/>
        <family val="2"/>
        <charset val="134"/>
      </rPr>
      <t>Ext</t>
    </r>
    <phoneticPr fontId="2" type="noConversion"/>
  </si>
  <si>
    <t>防御</t>
    <phoneticPr fontId="2" type="noConversion"/>
  </si>
  <si>
    <t>额外防御力，不受百分比影响。</t>
    <phoneticPr fontId="2" type="noConversion"/>
  </si>
  <si>
    <t>HPExt</t>
    <phoneticPr fontId="2" type="noConversion"/>
  </si>
  <si>
    <t>生命</t>
    <phoneticPr fontId="2" type="noConversion"/>
  </si>
  <si>
    <t>额外生命，不受百分比影响。</t>
    <phoneticPr fontId="2" type="noConversion"/>
  </si>
  <si>
    <t>Block</t>
    <phoneticPr fontId="2" type="noConversion"/>
  </si>
  <si>
    <t>格挡</t>
    <phoneticPr fontId="2" type="noConversion"/>
  </si>
  <si>
    <t>角色受到攻击时，有概率发生格挡，只受到一半的伤害。</t>
    <phoneticPr fontId="2" type="noConversion"/>
  </si>
  <si>
    <t>DefIgnor</t>
    <phoneticPr fontId="2" type="noConversion"/>
  </si>
  <si>
    <t>穿透</t>
    <phoneticPr fontId="2" type="noConversion"/>
  </si>
  <si>
    <t>角色攻击敌方时，有概率忽略对方的防御，可与暴击同时发生。</t>
    <phoneticPr fontId="2" type="noConversion"/>
  </si>
  <si>
    <t>R</t>
    <phoneticPr fontId="2" type="noConversion"/>
  </si>
  <si>
    <t>防御基值</t>
    <phoneticPr fontId="2" type="noConversion"/>
  </si>
  <si>
    <t>防御系数 = Ra/(Ra+防御b)。</t>
    <phoneticPr fontId="2" type="noConversion"/>
  </si>
  <si>
    <t>水晶伤害</t>
    <phoneticPr fontId="2" type="noConversion"/>
  </si>
  <si>
    <t>寄灵人伤害</t>
    <phoneticPr fontId="2" type="noConversion"/>
  </si>
  <si>
    <t>寄灵人标准回水晶</t>
    <phoneticPr fontId="2" type="noConversion"/>
  </si>
  <si>
    <t>行动标准价值</t>
    <phoneticPr fontId="2" type="noConversion"/>
  </si>
  <si>
    <t>每回合水晶回复</t>
    <phoneticPr fontId="2" type="noConversion"/>
  </si>
  <si>
    <t>标准召唤水晶</t>
    <phoneticPr fontId="2" type="noConversion"/>
  </si>
  <si>
    <t>守护灵水晶</t>
    <phoneticPr fontId="2" type="noConversion"/>
  </si>
  <si>
    <t>ATK</t>
    <phoneticPr fontId="2" type="noConversion"/>
  </si>
  <si>
    <t>寄灵人</t>
    <phoneticPr fontId="2" type="noConversion"/>
  </si>
  <si>
    <t>守护灵</t>
    <phoneticPr fontId="2" type="noConversion"/>
  </si>
  <si>
    <t>寄灵人属性</t>
    <phoneticPr fontId="2" type="noConversion"/>
  </si>
  <si>
    <t>地狱道</t>
    <phoneticPr fontId="2" type="noConversion"/>
  </si>
  <si>
    <t>Atk.up</t>
    <phoneticPr fontId="2" type="noConversion"/>
  </si>
  <si>
    <t>Def.up</t>
    <phoneticPr fontId="2" type="noConversion"/>
  </si>
  <si>
    <t>HP.up</t>
    <phoneticPr fontId="2" type="noConversion"/>
  </si>
  <si>
    <t>HP.base</t>
    <phoneticPr fontId="2" type="noConversion"/>
  </si>
  <si>
    <t>Atk.base</t>
    <phoneticPr fontId="2" type="noConversion"/>
  </si>
  <si>
    <t>Def.base</t>
    <phoneticPr fontId="2" type="noConversion"/>
  </si>
  <si>
    <t>Pct</t>
    <phoneticPr fontId="2" type="noConversion"/>
  </si>
  <si>
    <t>BsPct</t>
    <phoneticPr fontId="2" type="noConversion"/>
  </si>
  <si>
    <t>总值</t>
    <phoneticPr fontId="2" type="noConversion"/>
  </si>
  <si>
    <t>守护灵属性</t>
    <phoneticPr fontId="2" type="noConversion"/>
  </si>
  <si>
    <t>Hp</t>
    <phoneticPr fontId="2" type="noConversion"/>
  </si>
  <si>
    <t>星级</t>
    <phoneticPr fontId="2" type="noConversion"/>
  </si>
  <si>
    <t>属性系数</t>
    <phoneticPr fontId="2" type="noConversion"/>
  </si>
  <si>
    <t>升星加成</t>
    <phoneticPr fontId="2" type="noConversion"/>
  </si>
  <si>
    <t>品质系数</t>
    <phoneticPr fontId="2" type="noConversion"/>
  </si>
  <si>
    <t>品质</t>
    <phoneticPr fontId="2" type="noConversion"/>
  </si>
  <si>
    <t>R</t>
    <phoneticPr fontId="2" type="noConversion"/>
  </si>
  <si>
    <t>SSR</t>
    <phoneticPr fontId="2" type="noConversion"/>
  </si>
  <si>
    <t>各系统投放</t>
    <phoneticPr fontId="2" type="noConversion"/>
  </si>
  <si>
    <t>AtkExt</t>
    <phoneticPr fontId="2" type="noConversion"/>
  </si>
  <si>
    <t>DefExt</t>
    <phoneticPr fontId="2" type="noConversion"/>
  </si>
  <si>
    <t>守护灵</t>
    <phoneticPr fontId="2" type="noConversion"/>
  </si>
  <si>
    <t>基础</t>
    <phoneticPr fontId="2" type="noConversion"/>
  </si>
  <si>
    <t>羁绊之力</t>
    <phoneticPr fontId="2" type="noConversion"/>
  </si>
  <si>
    <t>收集</t>
    <phoneticPr fontId="2" type="noConversion"/>
  </si>
  <si>
    <t>专属武器</t>
    <phoneticPr fontId="2" type="noConversion"/>
  </si>
  <si>
    <t>神器</t>
    <phoneticPr fontId="2" type="noConversion"/>
  </si>
  <si>
    <t>AtkRate</t>
    <phoneticPr fontId="2" type="noConversion"/>
  </si>
  <si>
    <t>DefRate</t>
    <phoneticPr fontId="2" type="noConversion"/>
  </si>
  <si>
    <t>升级升星突破</t>
    <phoneticPr fontId="2" type="noConversion"/>
  </si>
  <si>
    <t>最终投放</t>
    <phoneticPr fontId="2" type="noConversion"/>
  </si>
  <si>
    <t>灵力共享</t>
    <phoneticPr fontId="2" type="noConversion"/>
  </si>
  <si>
    <t>灵力共享.血</t>
    <phoneticPr fontId="2" type="noConversion"/>
  </si>
  <si>
    <t>灵力共享.攻</t>
    <phoneticPr fontId="2" type="noConversion"/>
  </si>
  <si>
    <t>灵力共享.防</t>
    <phoneticPr fontId="2" type="noConversion"/>
  </si>
  <si>
    <t>ID</t>
    <phoneticPr fontId="2" type="noConversion"/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</si>
  <si>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</si>
  <si>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</si>
  <si>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</si>
  <si>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</si>
  <si>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</si>
  <si>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</si>
  <si>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</si>
  <si>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</si>
  <si>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</si>
  <si>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</si>
  <si>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</si>
  <si>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</si>
  <si>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</si>
  <si>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</si>
  <si>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</si>
  <si>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</si>
  <si>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</si>
  <si>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</si>
  <si>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</si>
  <si>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</si>
  <si>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</si>
  <si>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</si>
  <si>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</si>
  <si>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</si>
  <si>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</si>
  <si>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</si>
  <si>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</si>
  <si>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</si>
  <si>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</si>
  <si>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</si>
  <si>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</si>
  <si>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</si>
  <si>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</si>
  <si>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</si>
  <si>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</si>
  <si>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</si>
  <si>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Name</t>
    <phoneticPr fontId="2" type="noConversion"/>
  </si>
  <si>
    <t>Type</t>
    <phoneticPr fontId="2" type="noConversion"/>
  </si>
  <si>
    <t>Quality</t>
    <phoneticPr fontId="2" type="noConversion"/>
  </si>
  <si>
    <t>AttrFac</t>
    <phoneticPr fontId="2" type="noConversion"/>
  </si>
  <si>
    <t>HellLv</t>
    <phoneticPr fontId="2" type="noConversion"/>
  </si>
  <si>
    <t>Row</t>
    <phoneticPr fontId="2" type="noConversion"/>
  </si>
  <si>
    <t>Atk</t>
    <phoneticPr fontId="2" type="noConversion"/>
  </si>
  <si>
    <t>Def</t>
    <phoneticPr fontId="2" type="noConversion"/>
  </si>
  <si>
    <r>
      <t>H</t>
    </r>
    <r>
      <rPr>
        <sz val="11"/>
        <color theme="1"/>
        <rFont val="等线"/>
        <family val="2"/>
        <scheme val="minor"/>
      </rPr>
      <t>P</t>
    </r>
    <phoneticPr fontId="2" type="noConversion"/>
  </si>
  <si>
    <t>属性总池</t>
    <phoneticPr fontId="2" type="noConversion"/>
  </si>
  <si>
    <t>神器类型</t>
    <phoneticPr fontId="2" type="noConversion"/>
  </si>
  <si>
    <t>初级1</t>
    <phoneticPr fontId="2" type="noConversion"/>
  </si>
  <si>
    <t>中级1</t>
    <phoneticPr fontId="2" type="noConversion"/>
  </si>
  <si>
    <t>中级2</t>
    <phoneticPr fontId="2" type="noConversion"/>
  </si>
  <si>
    <t>高级1</t>
    <phoneticPr fontId="2" type="noConversion"/>
  </si>
  <si>
    <t>高级2</t>
  </si>
  <si>
    <t>高级3</t>
  </si>
  <si>
    <t>总体</t>
    <phoneticPr fontId="2" type="noConversion"/>
  </si>
  <si>
    <t>权重</t>
    <phoneticPr fontId="2" type="noConversion"/>
  </si>
  <si>
    <t>占比</t>
    <phoneticPr fontId="2" type="noConversion"/>
  </si>
  <si>
    <t>升级</t>
    <phoneticPr fontId="2" type="noConversion"/>
  </si>
  <si>
    <t>升级效果</t>
    <phoneticPr fontId="2" type="noConversion"/>
  </si>
  <si>
    <t>碎片升级</t>
    <phoneticPr fontId="2" type="noConversion"/>
  </si>
  <si>
    <t>等级</t>
    <phoneticPr fontId="2" type="noConversion"/>
  </si>
  <si>
    <t>Prop.Id</t>
    <phoneticPr fontId="2" type="noConversion"/>
  </si>
  <si>
    <t>Prop.Val</t>
    <phoneticPr fontId="2" type="noConversion"/>
  </si>
  <si>
    <t>品质</t>
    <phoneticPr fontId="2" type="noConversion"/>
  </si>
  <si>
    <t>ID</t>
    <phoneticPr fontId="2" type="noConversion"/>
  </si>
  <si>
    <t>初级2</t>
    <phoneticPr fontId="2" type="noConversion"/>
  </si>
  <si>
    <t>神器阶段升级</t>
    <phoneticPr fontId="2" type="noConversion"/>
  </si>
  <si>
    <t>神器阶段升级填表</t>
    <phoneticPr fontId="2" type="noConversion"/>
  </si>
  <si>
    <t>Prop.Id</t>
    <phoneticPr fontId="2" type="noConversion"/>
  </si>
  <si>
    <t>神器碎片</t>
    <phoneticPr fontId="2" type="noConversion"/>
  </si>
  <si>
    <t>碎片位</t>
    <phoneticPr fontId="2" type="noConversion"/>
  </si>
  <si>
    <t>RowId</t>
    <phoneticPr fontId="2" type="noConversion"/>
  </si>
  <si>
    <t>位置1</t>
    <phoneticPr fontId="2" type="noConversion"/>
  </si>
  <si>
    <t>位置2</t>
  </si>
  <si>
    <t>基础技能</t>
    <phoneticPr fontId="2" type="noConversion"/>
  </si>
  <si>
    <t>专属武器效果</t>
    <phoneticPr fontId="2" type="noConversion"/>
  </si>
  <si>
    <t>对敌方单体进行1段强力打击，造成攻击力200%的伤害。</t>
    <phoneticPr fontId="2" type="noConversion"/>
  </si>
  <si>
    <t>此技能消耗水晶减少1个</t>
    <phoneticPr fontId="2" type="noConversion"/>
  </si>
  <si>
    <t>攻击敌方单体1次，造成攻击100%伤害
获得1个黄色水晶
攻击敌方单体造成攻击50%伤害
50%几率减少对方1个红色水晶
CD1回合</t>
    <phoneticPr fontId="2" type="noConversion"/>
  </si>
  <si>
    <t>攻击敌方单体造成攻击100%伤害
获得1个红色水晶
攻击敌方单体造成攻击100%伤害，并对目标身旁敌人造成30%伤害</t>
    <phoneticPr fontId="2" type="noConversion"/>
  </si>
  <si>
    <t>对敌方单体造成攻击力200%的伤害
该技能可以触发连击效果</t>
    <phoneticPr fontId="2" type="noConversion"/>
  </si>
  <si>
    <t>技能伤害增加30%</t>
    <phoneticPr fontId="2" type="noConversion"/>
  </si>
  <si>
    <t>攻击敌方全体造成攻击30%伤害
生成1个蓝色水晶
每回合有50%几率额外生成1个蓝色水晶</t>
    <phoneticPr fontId="2" type="noConversion"/>
  </si>
  <si>
    <t>获得水晶数量+2</t>
    <phoneticPr fontId="2" type="noConversion"/>
  </si>
  <si>
    <t>攻击敌方单体造成攻击100%伤害
立即获得2个红色水晶</t>
    <phoneticPr fontId="2" type="noConversion"/>
  </si>
  <si>
    <t>主动效果：对场上所有带有风神标记的敌方单位造成1段伤害。</t>
    <phoneticPr fontId="2" type="noConversion"/>
  </si>
  <si>
    <t>对敌方单体目标造成攻击100%伤害，并对该单位施加风神印记
每回合对每个目标50%概率施加风神印记</t>
    <phoneticPr fontId="2" type="noConversion"/>
  </si>
  <si>
    <t>当1技能杀死一个敌人时，自动再次释放1次1技能</t>
    <phoneticPr fontId="2" type="noConversion"/>
  </si>
  <si>
    <t>攻击敌方单体造成攻击100%伤害并20%（+效果命中）概率使目标眩晕1回合
对敌方全部单位造成攻击100%伤害
立即获得1个红色水晶</t>
    <phoneticPr fontId="2" type="noConversion"/>
  </si>
  <si>
    <t>释放猛烈的气息攻击敌方单体，造成当前攻击300%的伤害，并附加目标已损失生命值5%的伤害</t>
    <phoneticPr fontId="2" type="noConversion"/>
  </si>
  <si>
    <t>穿透伤害额外提升50%</t>
    <phoneticPr fontId="2" type="noConversion"/>
  </si>
  <si>
    <t>攻击敌方单体造成1点伤害，并回复伤害值一半的生命
蓄力1回合，获得1枚印记，项羽或者其守护灵的下一次攻击将会消耗全部印记，每一枚增加20%点伤害，印记最多同时拥有5枚</t>
    <phoneticPr fontId="2" type="noConversion"/>
  </si>
  <si>
    <t>对敌方单体造成攻击力200%的伤害，如果技能击杀了敌人，则其余所有敌人均承受1次溢出伤害50%的伤害</t>
    <phoneticPr fontId="2" type="noConversion"/>
  </si>
  <si>
    <t>如果技能击杀了敌人，则其余所有敌人均承受1次溢出伤害100%的伤害</t>
    <phoneticPr fontId="2" type="noConversion"/>
  </si>
  <si>
    <t>形成一个血魔印记，最多同时存在3个
削减敌方随机颜色水晶一个
消耗所有血魔印记，每一个印记恢复红莲缇娜25%最大生命值</t>
    <phoneticPr fontId="2" type="noConversion"/>
  </si>
  <si>
    <t>召唤地狱蛇随机缠绕敌方前排2目标，降低目标减伤x%，使其随机陷入禁锢、主动封印(不能释放主动技能)、被动封印（被动技能失效）状态中的一种，持续2回合</t>
    <phoneticPr fontId="2" type="noConversion"/>
  </si>
  <si>
    <t>减伤降低+x%</t>
    <phoneticPr fontId="2" type="noConversion"/>
  </si>
  <si>
    <t>下一回合内有20%（+效果命中）的概率为所有受到单体伤害的单位完全抵挡一次伤害。</t>
    <phoneticPr fontId="2" type="noConversion"/>
  </si>
  <si>
    <t>为队友抵挡伤害时格挡概率增加50%</t>
    <phoneticPr fontId="2" type="noConversion"/>
  </si>
  <si>
    <t>提升守护灵10%攻击力，可叠加3层
回复1个黄色水晶
刘羽禅的守护灵攻击可以额外造成刘羽禅攻击力100%的伤害</t>
    <phoneticPr fontId="2" type="noConversion"/>
  </si>
  <si>
    <t>基础效果：对敌方单体造成攻击100%的伤害。
该技能可以可以触发连击效果</t>
    <phoneticPr fontId="2" type="noConversion"/>
  </si>
  <si>
    <t>50%概率额外造成攻击力100%的伤害</t>
    <phoneticPr fontId="2" type="noConversion"/>
  </si>
  <si>
    <t>为身旁队友施加当前生命值20%的伤害吸收护盾，持续到下次行动结束</t>
    <phoneticPr fontId="2" type="noConversion"/>
  </si>
  <si>
    <t>护盾额外为目标提供20%格挡</t>
    <phoneticPr fontId="2" type="noConversion"/>
  </si>
  <si>
    <t>攻击单体目标造成4点伤害，若敌方当前生命值高于最大值的70%，额外增加100%的伤害；若本次攻击未能击杀目标，则自身伤害降低50%持续1回合</t>
    <phoneticPr fontId="2" type="noConversion"/>
  </si>
  <si>
    <t>攻击敌人造成攻击力200%伤害，若攻击暴击，目标眩晕1回合
该技能可以触发连击效果</t>
    <phoneticPr fontId="2" type="noConversion"/>
  </si>
  <si>
    <t>对敌方单位进行攻击造成攻击力200%的伤害
获得1个红色水晶
自己与守护灵攻击有50%概率获得1枚随机颜色的水晶</t>
    <phoneticPr fontId="2" type="noConversion"/>
  </si>
  <si>
    <t>攻击敌方单体，造成攻击100%伤害
获得1个蓝色水晶
水晶每有一个受到敌方影响（偷取、削减）为自身生成1个印记，每1枚印记可代替1个盖文召唤守护灵的水晶</t>
    <phoneticPr fontId="2" type="noConversion"/>
  </si>
  <si>
    <t>主动效果：对全体施加buff，1回合内受到伤害有50%（+效果命中）概率使进攻者随机获得2枚水晶；</t>
    <phoneticPr fontId="2" type="noConversion"/>
  </si>
  <si>
    <t>受到伤害时有50%（+效果命中）概率使敌方减少2枚水晶</t>
    <phoneticPr fontId="2" type="noConversion"/>
  </si>
  <si>
    <t>消耗自身一半的最大生命值攻击敌方单体</t>
    <phoneticPr fontId="2" type="noConversion"/>
  </si>
  <si>
    <t>被召唤出场时立即释放1次本技能</t>
    <phoneticPr fontId="2" type="noConversion"/>
  </si>
  <si>
    <t>为当前生命百分比最低的单位生成护盾，持续到下次行动开始</t>
    <phoneticPr fontId="2" type="noConversion"/>
  </si>
  <si>
    <t>额外为目标回复食火蜥生命最大值5%的血量</t>
    <phoneticPr fontId="2" type="noConversion"/>
  </si>
  <si>
    <t>若本次攻击击杀了目标，则对另一名生命值比例最低的目标追加一次50%伤害的攻击</t>
    <phoneticPr fontId="2" type="noConversion"/>
  </si>
  <si>
    <t>攻击敌方单体，造成攻击力200%的伤害，场上所有单位每次召唤守护灵会为烈风螳螂增加一枚印记，每一枚印记增加烈风螳螂15%攻击力</t>
    <phoneticPr fontId="2" type="noConversion"/>
  </si>
  <si>
    <t>场上所有单位每次召唤守护灵会为烈风螳螂增加一枚印记，每一枚印记增加烈风螳螂30%攻击力</t>
    <phoneticPr fontId="2" type="noConversion"/>
  </si>
  <si>
    <t>攻击敌方单体造成攻击50%伤害
获得1个黄色水晶
受到伤害时回复损失生命值等量的红色水晶（受伤致死不生效）</t>
    <phoneticPr fontId="2" type="noConversion"/>
  </si>
  <si>
    <t>50%概率附加目标最大生命值5%的额外伤害</t>
    <phoneticPr fontId="2" type="noConversion"/>
  </si>
  <si>
    <t>攻击敌方单体造成攻击力200%伤害</t>
    <phoneticPr fontId="2" type="noConversion"/>
  </si>
  <si>
    <t>每次造成伤害提升自身暴击伤害50%</t>
    <phoneticPr fontId="2" type="noConversion"/>
  </si>
  <si>
    <t>攻击敌方单体造成攻击50%的伤害
50%几率随机偷取对方1个水晶
守护灵每回合回复最大值5%生命</t>
    <phoneticPr fontId="2" type="noConversion"/>
  </si>
  <si>
    <t>攻击敌方前排全体造成攻击100%的伤害
随机削减敌方2个水晶
将敌方2个红色水晶变为蓝色</t>
    <phoneticPr fontId="2" type="noConversion"/>
  </si>
  <si>
    <t xml:space="preserve">攻击敌方单体造成攻击100%伤害，禁止敌方单体释放技能，持续1回合
为己方生命值最低的单位回复攻击20%的生命
</t>
    <phoneticPr fontId="2" type="noConversion"/>
  </si>
  <si>
    <t>攻击敌方1次，造成1点伤害
获得1个黄色水晶
自己和寄灵人的每次攻击有50%（+效果命中）几率额外造成20%伤害</t>
    <phoneticPr fontId="2" type="noConversion"/>
  </si>
  <si>
    <t>攻击敌方前排单位，造成攻击80%的伤害
被动效果：每损失1%生命，攻击力增加1%</t>
    <phoneticPr fontId="2" type="noConversion"/>
  </si>
  <si>
    <t>造成总伤害的20%转化为自身生命</t>
    <phoneticPr fontId="2" type="noConversion"/>
  </si>
  <si>
    <t>属性倾向</t>
    <phoneticPr fontId="2" type="noConversion"/>
  </si>
  <si>
    <t>R</t>
  </si>
  <si>
    <t>新属性投放</t>
    <phoneticPr fontId="4" type="noConversion"/>
  </si>
  <si>
    <t>属性的投放</t>
    <phoneticPr fontId="4" type="noConversion"/>
  </si>
  <si>
    <t>各系统的属性投放</t>
    <phoneticPr fontId="2" type="noConversion"/>
  </si>
  <si>
    <t>暴击</t>
    <phoneticPr fontId="2" type="noConversion"/>
  </si>
  <si>
    <t>效果命中</t>
    <phoneticPr fontId="2" type="noConversion"/>
  </si>
  <si>
    <t>爆伤</t>
    <phoneticPr fontId="2" type="noConversion"/>
  </si>
  <si>
    <t>设计倾向</t>
    <phoneticPr fontId="2" type="noConversion"/>
  </si>
  <si>
    <t>攻击</t>
    <phoneticPr fontId="2" type="noConversion"/>
  </si>
  <si>
    <t>攻击</t>
    <phoneticPr fontId="2" type="noConversion"/>
  </si>
  <si>
    <t>防御</t>
    <phoneticPr fontId="2" type="noConversion"/>
  </si>
  <si>
    <t>暴击</t>
    <phoneticPr fontId="2" type="noConversion"/>
  </si>
  <si>
    <t>穿透</t>
    <phoneticPr fontId="2" type="noConversion"/>
  </si>
  <si>
    <t>暴击爆伤</t>
    <phoneticPr fontId="2" type="noConversion"/>
  </si>
  <si>
    <t>攻击</t>
    <phoneticPr fontId="2" type="noConversion"/>
  </si>
  <si>
    <t>效果命中</t>
    <phoneticPr fontId="2" type="noConversion"/>
  </si>
  <si>
    <t>格挡</t>
    <phoneticPr fontId="2" type="noConversion"/>
  </si>
  <si>
    <t>生命</t>
    <phoneticPr fontId="2" type="noConversion"/>
  </si>
  <si>
    <t>爆伤</t>
    <phoneticPr fontId="2" type="noConversion"/>
  </si>
  <si>
    <t>攻击，血</t>
    <phoneticPr fontId="2" type="noConversion"/>
  </si>
  <si>
    <t>暴击，爆伤</t>
    <phoneticPr fontId="2" type="noConversion"/>
  </si>
  <si>
    <t>攻击</t>
    <phoneticPr fontId="2" type="noConversion"/>
  </si>
  <si>
    <t>暴击</t>
    <phoneticPr fontId="2" type="noConversion"/>
  </si>
  <si>
    <t>血量，攻击，血量，攻击，防御，攻击</t>
    <phoneticPr fontId="2" type="noConversion"/>
  </si>
  <si>
    <t>暴击，攻击，格挡，暴击，防御，生命</t>
    <phoneticPr fontId="2" type="noConversion"/>
  </si>
  <si>
    <t>攻击，暴击，攻击，爆伤，攻击，血量</t>
    <phoneticPr fontId="2" type="noConversion"/>
  </si>
  <si>
    <t>血量，防御，血量，防御，攻击，防御</t>
    <phoneticPr fontId="2" type="noConversion"/>
  </si>
  <si>
    <t>攻击，效果命中，生命，攻击，效果命中，防御</t>
    <phoneticPr fontId="2" type="noConversion"/>
  </si>
  <si>
    <t>禁锢敌方单体1回合，如果寄灵人身上有血魔印记，则技能有额外效果：1个血魔印记，禁锢同时造成每回合攻击50%的伤害；2个血魔印记，禁锢时间增加1回合；3个血魔印记，每回合额外造成攻击100%伤害
该技能可以触发连击效果</t>
  </si>
  <si>
    <t>禁锢时每回合50%（+效果命中）概率永久降低目标10%攻击力</t>
  </si>
  <si>
    <t>攻击，效果命中，生命，攻击，效果命中，穿透</t>
    <phoneticPr fontId="2" type="noConversion"/>
  </si>
  <si>
    <t>格挡，生命，攻击，防御，格挡，防御</t>
    <phoneticPr fontId="2" type="noConversion"/>
  </si>
  <si>
    <t>对敌方单体进行连续刺击，造成攻击力300%伤害
随机获得3个水晶；</t>
    <phoneticPr fontId="2" type="noConversion"/>
  </si>
  <si>
    <t>同时50%（+效果命中）概率永久降低目标10%防御</t>
    <phoneticPr fontId="2" type="noConversion"/>
  </si>
  <si>
    <t>攻击，防御，攻击，效果命中，生命，暴击</t>
    <phoneticPr fontId="2" type="noConversion"/>
  </si>
  <si>
    <t>生命，攻击，生命，生命，防御，生命</t>
    <phoneticPr fontId="2" type="noConversion"/>
  </si>
  <si>
    <t>攻击，穿透，防御，攻击，暴击，穿透</t>
    <phoneticPr fontId="2" type="noConversion"/>
  </si>
  <si>
    <t>攻击，暴击，生命，爆伤，防御，攻击</t>
    <phoneticPr fontId="2" type="noConversion"/>
  </si>
  <si>
    <t>该技能暴击率提升30%</t>
    <phoneticPr fontId="2" type="noConversion"/>
  </si>
  <si>
    <t>攻击，生命，攻击，爆伤，攻击，暴击</t>
    <phoneticPr fontId="2" type="noConversion"/>
  </si>
  <si>
    <t>攻击，生命，攻击，格挡，攻击，防御</t>
    <phoneticPr fontId="2" type="noConversion"/>
  </si>
  <si>
    <t>攻击，暴击，生命，暴击，攻击，爆伤</t>
    <phoneticPr fontId="2" type="noConversion"/>
  </si>
  <si>
    <t>攻击，暴击，生命，爆伤，防御，暴击</t>
    <phoneticPr fontId="2" type="noConversion"/>
  </si>
  <si>
    <t>暴击，攻击，防御，攻击，暴击，爆伤</t>
    <phoneticPr fontId="2" type="noConversion"/>
  </si>
  <si>
    <t>防御，攻击，生命，防御，生命，格挡</t>
    <phoneticPr fontId="2" type="noConversion"/>
  </si>
  <si>
    <t>攻击，暴击，爆伤，生命，爆伤，攻击</t>
    <phoneticPr fontId="2" type="noConversion"/>
  </si>
  <si>
    <t>攻击，生命，攻击，暴击，防御，攻击</t>
    <phoneticPr fontId="2" type="noConversion"/>
  </si>
  <si>
    <t>专属武器升级总投放</t>
    <phoneticPr fontId="2" type="noConversion"/>
  </si>
  <si>
    <t>AtkExt</t>
  </si>
  <si>
    <t>DefExt</t>
  </si>
  <si>
    <t>HPExt</t>
  </si>
  <si>
    <t>Prop[1].id</t>
    <phoneticPr fontId="2" type="noConversion"/>
  </si>
  <si>
    <t>Prop[1].val</t>
    <phoneticPr fontId="2" type="noConversion"/>
  </si>
  <si>
    <t>Prop[2].id</t>
    <phoneticPr fontId="2" type="noConversion"/>
  </si>
  <si>
    <t>Prop[2].val</t>
    <phoneticPr fontId="2" type="noConversion"/>
  </si>
  <si>
    <t>Prop[3].id</t>
    <phoneticPr fontId="2" type="noConversion"/>
  </si>
  <si>
    <t>Prop[3].val</t>
    <phoneticPr fontId="2" type="noConversion"/>
  </si>
  <si>
    <t>专属武器</t>
    <phoneticPr fontId="2" type="noConversion"/>
  </si>
  <si>
    <t>DefFac</t>
    <phoneticPr fontId="2" type="noConversion"/>
  </si>
  <si>
    <t>RouDu</t>
    <phoneticPr fontId="2" type="noConversion"/>
  </si>
  <si>
    <t>效果命中，防御</t>
    <phoneticPr fontId="2" type="noConversion"/>
  </si>
  <si>
    <t>防御，攻击，防御，生命，防御，效果命中</t>
    <phoneticPr fontId="2" type="noConversion"/>
  </si>
  <si>
    <t>卡牌ID</t>
    <phoneticPr fontId="2" type="noConversion"/>
  </si>
  <si>
    <t>卡牌名</t>
    <phoneticPr fontId="2" type="noConversion"/>
  </si>
  <si>
    <t>专属ID</t>
    <phoneticPr fontId="2" type="noConversion"/>
  </si>
  <si>
    <t>AtkExt</t>
    <phoneticPr fontId="2" type="noConversion"/>
  </si>
  <si>
    <t>AtkExt</t>
    <phoneticPr fontId="2" type="noConversion"/>
  </si>
  <si>
    <t>DefExt</t>
    <phoneticPr fontId="2" type="noConversion"/>
  </si>
  <si>
    <t>DefExt</t>
    <phoneticPr fontId="2" type="noConversion"/>
  </si>
  <si>
    <t>HPExt</t>
    <phoneticPr fontId="2" type="noConversion"/>
  </si>
  <si>
    <t>HPExt</t>
    <phoneticPr fontId="2" type="noConversion"/>
  </si>
  <si>
    <t>品质系数</t>
    <phoneticPr fontId="2" type="noConversion"/>
  </si>
  <si>
    <t>RowId</t>
    <phoneticPr fontId="2" type="noConversion"/>
  </si>
  <si>
    <t>ID</t>
    <phoneticPr fontId="2" type="noConversion"/>
  </si>
  <si>
    <t>Lv</t>
    <phoneticPr fontId="2" type="noConversion"/>
  </si>
  <si>
    <t>PropFac</t>
    <phoneticPr fontId="2" type="noConversion"/>
  </si>
  <si>
    <t>PropFac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</si>
  <si>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</si>
  <si>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</si>
  <si>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</si>
  <si>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weight</t>
    <phoneticPr fontId="2" type="noConversion"/>
  </si>
  <si>
    <t>低级强化石</t>
    <phoneticPr fontId="2" type="noConversion"/>
  </si>
  <si>
    <t>中级强化石</t>
    <phoneticPr fontId="2" type="noConversion"/>
  </si>
  <si>
    <t>高级强化石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</si>
  <si>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</si>
  <si>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</si>
  <si>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</si>
  <si>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</si>
  <si>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</si>
  <si>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</si>
  <si>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</si>
  <si>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</si>
  <si>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</si>
  <si>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金币</t>
    <phoneticPr fontId="2" type="noConversion"/>
  </si>
  <si>
    <t>专属武器解封</t>
    <phoneticPr fontId="2" type="noConversion"/>
  </si>
  <si>
    <t>专属武器强化</t>
    <phoneticPr fontId="2" type="noConversion"/>
  </si>
  <si>
    <t>Pskill</t>
    <phoneticPr fontId="2" type="noConversion"/>
  </si>
  <si>
    <t>攻击，生命，攻击，防御，攻击，暴击</t>
  </si>
  <si>
    <t>攻击，生命，攻击，防御，攻击，暴击</t>
    <phoneticPr fontId="2" type="noConversion"/>
  </si>
  <si>
    <t>属性倾向</t>
    <phoneticPr fontId="2" type="noConversion"/>
  </si>
  <si>
    <t>血量，攻击，血量，攻击，防御，攻击</t>
  </si>
  <si>
    <t>暴击，攻击，格挡，暴击，防御，生命</t>
  </si>
  <si>
    <t>攻击，暴击，攻击，爆伤，攻击，血量</t>
  </si>
  <si>
    <t>血量，防御，血量，防御，攻击，防御</t>
  </si>
  <si>
    <t>攻击，暴击，生命，爆伤，防御，暴击</t>
  </si>
  <si>
    <t>攻击，效果命中，生命，攻击，效果命中，防御</t>
  </si>
  <si>
    <t>攻击，效果命中，生命，攻击，效果命中，穿透</t>
  </si>
  <si>
    <t>格挡，生命，攻击，防御，格挡，防御</t>
  </si>
  <si>
    <t>攻击，防御，攻击，效果命中，生命，暴击</t>
  </si>
  <si>
    <t>生命，攻击，生命，生命，防御，生命</t>
  </si>
  <si>
    <t>攻击，穿透，防御，攻击，暴击，穿透</t>
  </si>
  <si>
    <t>攻击，暴击，生命，爆伤，防御，攻击</t>
  </si>
  <si>
    <t>攻击，生命，攻击，爆伤，攻击，暴击</t>
  </si>
  <si>
    <t>攻击，生命，攻击，格挡，攻击，防御</t>
  </si>
  <si>
    <t>防御，攻击，防御，生命，防御，效果命中</t>
  </si>
  <si>
    <t>攻击，暴击，生命，暴击，攻击，爆伤</t>
  </si>
  <si>
    <t>暴击，攻击，防御，攻击，暴击，爆伤</t>
  </si>
  <si>
    <t>防御，攻击，生命，防御，生命，格挡</t>
  </si>
  <si>
    <t>攻击，暴击，爆伤，生命，爆伤，攻击</t>
  </si>
  <si>
    <t>攻击，生命，攻击，暴击，防御，攻击</t>
  </si>
  <si>
    <t>属性1</t>
    <phoneticPr fontId="2" type="noConversion"/>
  </si>
  <si>
    <t>属性2</t>
  </si>
  <si>
    <t>属性3</t>
  </si>
  <si>
    <t>属性4</t>
  </si>
  <si>
    <t>属性5</t>
  </si>
  <si>
    <t>属性6</t>
  </si>
  <si>
    <t>属性7</t>
  </si>
  <si>
    <t>属性8</t>
  </si>
  <si>
    <t>属性9</t>
  </si>
  <si>
    <t>属性10</t>
  </si>
  <si>
    <t>属性11</t>
  </si>
  <si>
    <t>属性12</t>
  </si>
  <si>
    <t>属性13</t>
  </si>
  <si>
    <t>属性14</t>
  </si>
  <si>
    <t>属性15</t>
  </si>
  <si>
    <t>AtkExt</t>
    <phoneticPr fontId="2" type="noConversion"/>
  </si>
  <si>
    <t>HPExt</t>
    <phoneticPr fontId="2" type="noConversion"/>
  </si>
  <si>
    <t>AtkRate</t>
    <phoneticPr fontId="2" type="noConversion"/>
  </si>
  <si>
    <t>HPRate</t>
    <phoneticPr fontId="2" type="noConversion"/>
  </si>
  <si>
    <t>AtkRate</t>
    <phoneticPr fontId="2" type="noConversion"/>
  </si>
  <si>
    <t>DefRate</t>
    <phoneticPr fontId="2" type="noConversion"/>
  </si>
  <si>
    <t>AtkRate</t>
    <phoneticPr fontId="2" type="noConversion"/>
  </si>
  <si>
    <t>Crit</t>
    <phoneticPr fontId="2" type="noConversion"/>
  </si>
  <si>
    <t>HPRate</t>
    <phoneticPr fontId="2" type="noConversion"/>
  </si>
  <si>
    <t>AtkRate</t>
    <phoneticPr fontId="2" type="noConversion"/>
  </si>
  <si>
    <t>HPRate</t>
    <phoneticPr fontId="2" type="noConversion"/>
  </si>
  <si>
    <t>Crit</t>
    <phoneticPr fontId="2" type="noConversion"/>
  </si>
  <si>
    <t>Block</t>
  </si>
  <si>
    <t>Block</t>
    <phoneticPr fontId="2" type="noConversion"/>
  </si>
  <si>
    <t>Crit</t>
    <phoneticPr fontId="2" type="noConversion"/>
  </si>
  <si>
    <t>HPRate</t>
    <phoneticPr fontId="2" type="noConversion"/>
  </si>
  <si>
    <t>AtkRate</t>
    <phoneticPr fontId="2" type="noConversion"/>
  </si>
  <si>
    <t>DefRate</t>
    <phoneticPr fontId="2" type="noConversion"/>
  </si>
  <si>
    <t>EffectHit</t>
    <phoneticPr fontId="2" type="noConversion"/>
  </si>
  <si>
    <t>AtkRate</t>
    <phoneticPr fontId="2" type="noConversion"/>
  </si>
  <si>
    <t>DefIgnor</t>
  </si>
  <si>
    <t>DefIgnor</t>
    <phoneticPr fontId="2" type="noConversion"/>
  </si>
  <si>
    <t>Block</t>
    <phoneticPr fontId="2" type="noConversion"/>
  </si>
  <si>
    <t>AtkRate</t>
    <phoneticPr fontId="2" type="noConversion"/>
  </si>
  <si>
    <t>Block</t>
    <phoneticPr fontId="2" type="noConversion"/>
  </si>
  <si>
    <t>DefRate</t>
    <phoneticPr fontId="2" type="noConversion"/>
  </si>
  <si>
    <t>DefRate</t>
    <phoneticPr fontId="2" type="noConversion"/>
  </si>
  <si>
    <t>AtkRate</t>
    <phoneticPr fontId="2" type="noConversion"/>
  </si>
  <si>
    <t>HPRate</t>
    <phoneticPr fontId="2" type="noConversion"/>
  </si>
  <si>
    <t>DefIgnor</t>
    <phoneticPr fontId="2" type="noConversion"/>
  </si>
  <si>
    <t>HPRate</t>
    <phoneticPr fontId="2" type="noConversion"/>
  </si>
  <si>
    <t>EffectHit</t>
    <phoneticPr fontId="2" type="noConversion"/>
  </si>
  <si>
    <t>Crit</t>
    <phoneticPr fontId="2" type="noConversion"/>
  </si>
  <si>
    <t>HPRate</t>
    <phoneticPr fontId="2" type="noConversion"/>
  </si>
  <si>
    <t>Block</t>
    <phoneticPr fontId="2" type="noConversion"/>
  </si>
  <si>
    <t>HPRate</t>
    <phoneticPr fontId="2" type="noConversion"/>
  </si>
  <si>
    <t>HP</t>
  </si>
  <si>
    <t>EffectResist</t>
  </si>
  <si>
    <t>Skill</t>
    <phoneticPr fontId="2" type="noConversion"/>
  </si>
  <si>
    <t>Cost[1].Id</t>
    <phoneticPr fontId="2" type="noConversion"/>
  </si>
  <si>
    <t>Poro.Id</t>
    <phoneticPr fontId="2" type="noConversion"/>
  </si>
  <si>
    <t>Poro.Val</t>
    <phoneticPr fontId="2" type="noConversion"/>
  </si>
  <si>
    <t>Cost[1].Val</t>
    <phoneticPr fontId="2" type="noConversion"/>
  </si>
  <si>
    <t>Cost[2].Val</t>
    <phoneticPr fontId="2" type="noConversion"/>
  </si>
  <si>
    <t>解封等级</t>
    <phoneticPr fontId="2" type="noConversion"/>
  </si>
  <si>
    <t>女娲石</t>
    <phoneticPr fontId="2" type="noConversion"/>
  </si>
  <si>
    <t>碎片</t>
    <phoneticPr fontId="2" type="noConversion"/>
  </si>
  <si>
    <t>权重</t>
    <phoneticPr fontId="2" type="noConversion"/>
  </si>
  <si>
    <t>专属解封石</t>
    <phoneticPr fontId="2" type="noConversion"/>
  </si>
  <si>
    <t>金币</t>
    <phoneticPr fontId="2" type="noConversion"/>
  </si>
  <si>
    <t>Cost[2].Id</t>
    <phoneticPr fontId="2" type="noConversion"/>
  </si>
  <si>
    <t>Cost[3].Id</t>
    <phoneticPr fontId="2" type="noConversion"/>
  </si>
  <si>
    <t>Cost[3].Val</t>
    <phoneticPr fontId="2" type="noConversion"/>
  </si>
  <si>
    <t>Base.Atk</t>
    <phoneticPr fontId="2" type="noConversion"/>
  </si>
  <si>
    <t>Base.Def</t>
    <phoneticPr fontId="2" type="noConversion"/>
  </si>
  <si>
    <t>Base.HP</t>
    <phoneticPr fontId="2" type="noConversion"/>
  </si>
  <si>
    <t>Up.Atk</t>
    <phoneticPr fontId="2" type="noConversion"/>
  </si>
  <si>
    <t>Up.Def</t>
    <phoneticPr fontId="2" type="noConversion"/>
  </si>
  <si>
    <t>Up.HP</t>
    <phoneticPr fontId="2" type="noConversion"/>
  </si>
  <si>
    <t>地獄道</t>
    <phoneticPr fontId="2" type="noConversion"/>
  </si>
  <si>
    <t>名字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</si>
  <si>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</si>
  <si>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</si>
  <si>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</si>
  <si>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CritRate</t>
  </si>
  <si>
    <t>CritRate</t>
    <phoneticPr fontId="2" type="noConversion"/>
  </si>
  <si>
    <t>type</t>
    <phoneticPr fontId="2" type="noConversion"/>
  </si>
  <si>
    <t>AtkExt</t>
    <phoneticPr fontId="2" type="noConversion"/>
  </si>
  <si>
    <t>DefExt</t>
    <phoneticPr fontId="2" type="noConversion"/>
  </si>
  <si>
    <t>HPExt</t>
    <phoneticPr fontId="2" type="noConversion"/>
  </si>
  <si>
    <t>Def.dbase</t>
    <phoneticPr fontId="2" type="noConversion"/>
  </si>
  <si>
    <t>HP.dbase</t>
    <phoneticPr fontId="2" type="noConversion"/>
  </si>
  <si>
    <t>Help_col</t>
    <phoneticPr fontId="2" type="noConversion"/>
  </si>
  <si>
    <t>hells</t>
    <phoneticPr fontId="2" type="noConversion"/>
  </si>
  <si>
    <t>暴击</t>
    <phoneticPr fontId="2" type="noConversion"/>
  </si>
  <si>
    <t>专属解封</t>
    <phoneticPr fontId="2" type="noConversion"/>
  </si>
  <si>
    <t>寄灵人洗练</t>
    <phoneticPr fontId="2" type="noConversion"/>
  </si>
  <si>
    <t>技能特性</t>
    <phoneticPr fontId="2" type="noConversion"/>
  </si>
  <si>
    <t>预留</t>
    <phoneticPr fontId="2" type="noConversion"/>
  </si>
  <si>
    <t>洗练技能</t>
    <phoneticPr fontId="2" type="noConversion"/>
  </si>
  <si>
    <t>抗暴击</t>
    <phoneticPr fontId="2" type="noConversion"/>
  </si>
  <si>
    <t>抗穿透</t>
    <phoneticPr fontId="2" type="noConversion"/>
  </si>
  <si>
    <t>效果抵抗</t>
    <phoneticPr fontId="2" type="noConversion"/>
  </si>
  <si>
    <t>守护灵百分比攻击</t>
    <phoneticPr fontId="2" type="noConversion"/>
  </si>
  <si>
    <t>守护灵百分比防御</t>
    <phoneticPr fontId="2" type="noConversion"/>
  </si>
  <si>
    <t>守护灵百分比血量</t>
    <phoneticPr fontId="2" type="noConversion"/>
  </si>
  <si>
    <t>初始蓝水晶</t>
    <phoneticPr fontId="2" type="noConversion"/>
  </si>
  <si>
    <t>降低防御+暴击</t>
    <phoneticPr fontId="2" type="noConversion"/>
  </si>
  <si>
    <t>格挡+百分比防御</t>
    <phoneticPr fontId="2" type="noConversion"/>
  </si>
  <si>
    <t>格挡</t>
    <phoneticPr fontId="2" type="noConversion"/>
  </si>
  <si>
    <t>抗格挡</t>
    <phoneticPr fontId="2" type="noConversion"/>
  </si>
  <si>
    <t>初始红水晶</t>
    <phoneticPr fontId="2" type="noConversion"/>
  </si>
  <si>
    <t>初始黄水晶</t>
    <phoneticPr fontId="2" type="noConversion"/>
  </si>
  <si>
    <t>每回合概率随机水晶</t>
    <phoneticPr fontId="2" type="noConversion"/>
  </si>
  <si>
    <t>降低所受伤害-造成伤害</t>
    <phoneticPr fontId="2" type="noConversion"/>
  </si>
  <si>
    <t>百分比血量+百分比防御</t>
    <phoneticPr fontId="2" type="noConversion"/>
  </si>
  <si>
    <t>暴击+暴击伤害</t>
    <phoneticPr fontId="2" type="noConversion"/>
  </si>
  <si>
    <t>暴击+穿透</t>
    <phoneticPr fontId="2" type="noConversion"/>
  </si>
  <si>
    <t>百分比攻击+穿透</t>
    <phoneticPr fontId="2" type="noConversion"/>
  </si>
  <si>
    <t>Id</t>
    <phoneticPr fontId="2" type="noConversion"/>
  </si>
  <si>
    <t>属性</t>
    <phoneticPr fontId="2" type="noConversion"/>
  </si>
  <si>
    <t>数值</t>
    <phoneticPr fontId="2" type="noConversion"/>
  </si>
  <si>
    <t>初级</t>
    <phoneticPr fontId="2" type="noConversion"/>
  </si>
  <si>
    <t>高级</t>
    <phoneticPr fontId="2" type="noConversion"/>
  </si>
  <si>
    <t>初级</t>
    <phoneticPr fontId="2" type="noConversion"/>
  </si>
  <si>
    <t>高级</t>
    <phoneticPr fontId="2" type="noConversion"/>
  </si>
  <si>
    <t>复合百分比</t>
    <phoneticPr fontId="2" type="noConversion"/>
  </si>
  <si>
    <t>Crit</t>
    <phoneticPr fontId="2" type="noConversion"/>
  </si>
  <si>
    <t>爆伤</t>
    <phoneticPr fontId="2" type="noConversion"/>
  </si>
  <si>
    <t>效果命中</t>
    <phoneticPr fontId="2" type="noConversion"/>
  </si>
  <si>
    <t>CritRate</t>
    <phoneticPr fontId="2" type="noConversion"/>
  </si>
  <si>
    <t>Block</t>
    <phoneticPr fontId="2" type="noConversion"/>
  </si>
  <si>
    <t>DefIgnor</t>
    <phoneticPr fontId="2" type="noConversion"/>
  </si>
  <si>
    <t>DeCrit</t>
    <phoneticPr fontId="2" type="noConversion"/>
  </si>
  <si>
    <t>DeBlock</t>
    <phoneticPr fontId="2" type="noConversion"/>
  </si>
  <si>
    <t>DeBlock</t>
    <phoneticPr fontId="2" type="noConversion"/>
  </si>
  <si>
    <t>DeDefIgnor</t>
    <phoneticPr fontId="2" type="noConversion"/>
  </si>
  <si>
    <t>EffectResist</t>
    <phoneticPr fontId="2" type="noConversion"/>
  </si>
  <si>
    <t>AtkRate</t>
    <phoneticPr fontId="2" type="noConversion"/>
  </si>
  <si>
    <t>DefRate</t>
    <phoneticPr fontId="2" type="noConversion"/>
  </si>
  <si>
    <t>HPRate</t>
    <phoneticPr fontId="2" type="noConversion"/>
  </si>
  <si>
    <t>暴击</t>
    <phoneticPr fontId="2" type="noConversion"/>
  </si>
  <si>
    <t>百分比属性</t>
    <phoneticPr fontId="2" type="noConversion"/>
  </si>
  <si>
    <t>IniRed</t>
    <phoneticPr fontId="2" type="noConversion"/>
  </si>
  <si>
    <t>IniYellow</t>
    <phoneticPr fontId="2" type="noConversion"/>
  </si>
  <si>
    <t>IniBlue</t>
    <phoneticPr fontId="2" type="noConversion"/>
  </si>
  <si>
    <t>CrystalRec</t>
  </si>
  <si>
    <t>无视反弹伤害+百分比血</t>
    <phoneticPr fontId="2" type="noConversion"/>
  </si>
  <si>
    <t>概率反弹70%伤害</t>
    <phoneticPr fontId="2" type="noConversion"/>
  </si>
  <si>
    <t>DmgMagnify</t>
    <phoneticPr fontId="2" type="noConversion"/>
  </si>
  <si>
    <t>DmgResist</t>
    <phoneticPr fontId="2" type="noConversion"/>
  </si>
  <si>
    <t>DefRate</t>
    <phoneticPr fontId="2" type="noConversion"/>
  </si>
  <si>
    <t>Crit</t>
    <phoneticPr fontId="2" type="noConversion"/>
  </si>
  <si>
    <t>Block</t>
    <phoneticPr fontId="2" type="noConversion"/>
  </si>
  <si>
    <t>Def</t>
    <phoneticPr fontId="2" type="noConversion"/>
  </si>
  <si>
    <t>DefRate</t>
    <phoneticPr fontId="2" type="noConversion"/>
  </si>
  <si>
    <t>CritRate</t>
    <phoneticPr fontId="2" type="noConversion"/>
  </si>
  <si>
    <t>暴击爆伤</t>
    <phoneticPr fontId="2" type="noConversion"/>
  </si>
  <si>
    <t>暴击穿透</t>
    <phoneticPr fontId="2" type="noConversion"/>
  </si>
  <si>
    <t>格挡百分比防</t>
    <phoneticPr fontId="2" type="noConversion"/>
  </si>
  <si>
    <t>百分比攻击+穿透</t>
  </si>
  <si>
    <t>MinLv</t>
    <phoneticPr fontId="2" type="noConversion"/>
  </si>
  <si>
    <t>MaxLv</t>
    <phoneticPr fontId="2" type="noConversion"/>
  </si>
  <si>
    <t>Atk.dbase</t>
    <phoneticPr fontId="2" type="noConversion"/>
  </si>
  <si>
    <t>Atk.dbase</t>
    <phoneticPr fontId="2" type="noConversion"/>
  </si>
  <si>
    <t>Def.dbase</t>
    <phoneticPr fontId="2" type="noConversion"/>
  </si>
  <si>
    <t>HP.dbase</t>
    <phoneticPr fontId="2" type="noConversion"/>
  </si>
  <si>
    <t>dbase</t>
    <phoneticPr fontId="2" type="noConversion"/>
  </si>
  <si>
    <t>阶数</t>
    <phoneticPr fontId="2" type="noConversion"/>
  </si>
  <si>
    <t>Rank</t>
    <phoneticPr fontId="2" type="noConversion"/>
  </si>
  <si>
    <t>Sum</t>
    <phoneticPr fontId="2" type="noConversion"/>
  </si>
  <si>
    <t>Loc</t>
    <phoneticPr fontId="2" type="noConversion"/>
  </si>
  <si>
    <t>默认</t>
    <phoneticPr fontId="2" type="noConversion"/>
  </si>
  <si>
    <t>BsUpPct</t>
    <phoneticPr fontId="2" type="noConversion"/>
  </si>
  <si>
    <t>总属性系数</t>
    <phoneticPr fontId="2" type="noConversion"/>
  </si>
  <si>
    <t>神器1</t>
    <phoneticPr fontId="2" type="noConversion"/>
  </si>
  <si>
    <t>神器2</t>
  </si>
  <si>
    <t>神器3</t>
  </si>
  <si>
    <t>神器4</t>
  </si>
  <si>
    <t>神器5</t>
  </si>
  <si>
    <t>神器6</t>
  </si>
  <si>
    <t>神器7</t>
  </si>
  <si>
    <t>神器1</t>
    <phoneticPr fontId="2" type="noConversion"/>
  </si>
  <si>
    <t>神器1</t>
    <phoneticPr fontId="2" type="noConversion"/>
  </si>
  <si>
    <t>神器2</t>
    <phoneticPr fontId="2" type="noConversion"/>
  </si>
  <si>
    <t>神器2</t>
    <phoneticPr fontId="2" type="noConversion"/>
  </si>
  <si>
    <t>神器2</t>
    <phoneticPr fontId="2" type="noConversion"/>
  </si>
  <si>
    <t>神器3</t>
    <phoneticPr fontId="2" type="noConversion"/>
  </si>
  <si>
    <t>神器3</t>
    <phoneticPr fontId="2" type="noConversion"/>
  </si>
  <si>
    <t>神器4</t>
    <phoneticPr fontId="2" type="noConversion"/>
  </si>
  <si>
    <t>神器5</t>
    <phoneticPr fontId="2" type="noConversion"/>
  </si>
  <si>
    <t>神器6</t>
    <phoneticPr fontId="2" type="noConversion"/>
  </si>
  <si>
    <t>神器7</t>
    <phoneticPr fontId="2" type="noConversion"/>
  </si>
  <si>
    <t>品质</t>
    <phoneticPr fontId="2" type="noConversion"/>
  </si>
  <si>
    <t>品质</t>
    <phoneticPr fontId="2" type="noConversion"/>
  </si>
  <si>
    <t>属性权重</t>
    <phoneticPr fontId="2" type="noConversion"/>
  </si>
  <si>
    <t>品质名</t>
    <phoneticPr fontId="2" type="noConversion"/>
  </si>
  <si>
    <t>绿</t>
    <phoneticPr fontId="2" type="noConversion"/>
  </si>
  <si>
    <t>蓝</t>
    <phoneticPr fontId="2" type="noConversion"/>
  </si>
  <si>
    <t>紫</t>
    <phoneticPr fontId="2" type="noConversion"/>
  </si>
  <si>
    <t>橙</t>
    <phoneticPr fontId="2" type="noConversion"/>
  </si>
  <si>
    <t>品质</t>
    <phoneticPr fontId="2" type="noConversion"/>
  </si>
  <si>
    <t>名字</t>
    <phoneticPr fontId="2" type="noConversion"/>
  </si>
  <si>
    <t>绿</t>
    <phoneticPr fontId="2" type="noConversion"/>
  </si>
  <si>
    <t>神器1-1</t>
    <phoneticPr fontId="2" type="noConversion"/>
  </si>
  <si>
    <t>神器1-2</t>
  </si>
  <si>
    <t>神器2-1</t>
    <phoneticPr fontId="2" type="noConversion"/>
  </si>
  <si>
    <t>神器2-2</t>
  </si>
  <si>
    <t>神器3-1</t>
    <phoneticPr fontId="2" type="noConversion"/>
  </si>
  <si>
    <t>神器4-1</t>
    <phoneticPr fontId="2" type="noConversion"/>
  </si>
  <si>
    <t>神器5-1</t>
    <phoneticPr fontId="2" type="noConversion"/>
  </si>
  <si>
    <t>蓝</t>
    <phoneticPr fontId="2" type="noConversion"/>
  </si>
  <si>
    <t>神器1-3</t>
    <phoneticPr fontId="2" type="noConversion"/>
  </si>
  <si>
    <t>神器2-3</t>
    <phoneticPr fontId="2" type="noConversion"/>
  </si>
  <si>
    <t>神器3-4</t>
    <phoneticPr fontId="2" type="noConversion"/>
  </si>
  <si>
    <t>神器3-5</t>
    <phoneticPr fontId="2" type="noConversion"/>
  </si>
  <si>
    <t>神器4-5</t>
    <phoneticPr fontId="2" type="noConversion"/>
  </si>
  <si>
    <t>神器5-3</t>
    <phoneticPr fontId="2" type="noConversion"/>
  </si>
  <si>
    <t>神器5-4</t>
    <phoneticPr fontId="2" type="noConversion"/>
  </si>
  <si>
    <t>神器6-1</t>
    <phoneticPr fontId="2" type="noConversion"/>
  </si>
  <si>
    <t>神器6-2</t>
    <phoneticPr fontId="2" type="noConversion"/>
  </si>
  <si>
    <t>神器6-3</t>
    <phoneticPr fontId="2" type="noConversion"/>
  </si>
  <si>
    <t>神器7-1</t>
    <phoneticPr fontId="2" type="noConversion"/>
  </si>
  <si>
    <t>神器7-2</t>
  </si>
  <si>
    <t>神器7-3</t>
  </si>
  <si>
    <t>紫</t>
    <phoneticPr fontId="2" type="noConversion"/>
  </si>
  <si>
    <t>神器2-5</t>
    <phoneticPr fontId="2" type="noConversion"/>
  </si>
  <si>
    <t>神器3-6</t>
    <phoneticPr fontId="2" type="noConversion"/>
  </si>
  <si>
    <t>神器5-6</t>
    <phoneticPr fontId="2" type="noConversion"/>
  </si>
  <si>
    <t>橙</t>
    <phoneticPr fontId="2" type="noConversion"/>
  </si>
  <si>
    <t>神器6-7</t>
    <phoneticPr fontId="2" type="noConversion"/>
  </si>
  <si>
    <t>神器6-8</t>
    <phoneticPr fontId="2" type="noConversion"/>
  </si>
  <si>
    <t>神器7-7</t>
    <phoneticPr fontId="2" type="noConversion"/>
  </si>
  <si>
    <t>神器7-8</t>
    <phoneticPr fontId="2" type="noConversion"/>
  </si>
  <si>
    <t>位置3</t>
  </si>
  <si>
    <t>maxLv</t>
    <phoneticPr fontId="2" type="noConversion"/>
  </si>
  <si>
    <t>sum</t>
    <phoneticPr fontId="2" type="noConversion"/>
  </si>
  <si>
    <t>Id</t>
    <phoneticPr fontId="2" type="noConversion"/>
  </si>
  <si>
    <t>Loc</t>
    <phoneticPr fontId="2" type="noConversion"/>
  </si>
  <si>
    <t>ID</t>
    <phoneticPr fontId="2" type="noConversion"/>
  </si>
  <si>
    <t>等级</t>
    <phoneticPr fontId="2" type="noConversion"/>
  </si>
  <si>
    <t>比例</t>
    <phoneticPr fontId="2" type="noConversion"/>
  </si>
  <si>
    <t>占比</t>
    <phoneticPr fontId="2" type="noConversion"/>
  </si>
  <si>
    <t>Prop[1].Id</t>
    <phoneticPr fontId="2" type="noConversion"/>
  </si>
  <si>
    <t>Prop[1].Val</t>
    <phoneticPr fontId="2" type="noConversion"/>
  </si>
  <si>
    <t>Prop[2].Id</t>
    <phoneticPr fontId="2" type="noConversion"/>
  </si>
  <si>
    <t>Prop[2].Val</t>
    <phoneticPr fontId="2" type="noConversion"/>
  </si>
  <si>
    <t>Prop[3].Id</t>
    <phoneticPr fontId="2" type="noConversion"/>
  </si>
  <si>
    <t>Prop[3].Val</t>
    <phoneticPr fontId="2" type="noConversion"/>
  </si>
  <si>
    <t>LOC1</t>
    <phoneticPr fontId="2" type="noConversion"/>
  </si>
  <si>
    <t>LOC2</t>
  </si>
  <si>
    <t>LOC3</t>
  </si>
  <si>
    <t>价值</t>
    <phoneticPr fontId="2" type="noConversion"/>
  </si>
  <si>
    <t>先攻</t>
    <phoneticPr fontId="2" type="noConversion"/>
  </si>
  <si>
    <t>先攻</t>
    <phoneticPr fontId="2" type="noConversion"/>
  </si>
  <si>
    <t>神器3-2</t>
    <phoneticPr fontId="2" type="noConversion"/>
  </si>
  <si>
    <t>神器3-3</t>
    <phoneticPr fontId="2" type="noConversion"/>
  </si>
  <si>
    <t>神器5-2</t>
    <phoneticPr fontId="2" type="noConversion"/>
  </si>
  <si>
    <t>神器4-4</t>
    <phoneticPr fontId="2" type="noConversion"/>
  </si>
  <si>
    <t>神器5-5</t>
    <phoneticPr fontId="2" type="noConversion"/>
  </si>
  <si>
    <t>神器6-4</t>
    <phoneticPr fontId="2" type="noConversion"/>
  </si>
  <si>
    <t>神器6-5</t>
    <phoneticPr fontId="2" type="noConversion"/>
  </si>
  <si>
    <t>神器7-3</t>
    <phoneticPr fontId="2" type="noConversion"/>
  </si>
  <si>
    <t>神器7-4</t>
    <phoneticPr fontId="2" type="noConversion"/>
  </si>
  <si>
    <t>神器7-5</t>
    <phoneticPr fontId="2" type="noConversion"/>
  </si>
  <si>
    <t>神器4-6</t>
    <phoneticPr fontId="2" type="noConversion"/>
  </si>
  <si>
    <t>属性位</t>
    <phoneticPr fontId="2" type="noConversion"/>
  </si>
  <si>
    <t>神器2-4</t>
  </si>
  <si>
    <t>神器4-2</t>
    <phoneticPr fontId="2" type="noConversion"/>
  </si>
  <si>
    <t>神器4-3</t>
    <phoneticPr fontId="2" type="noConversion"/>
  </si>
  <si>
    <t>#note</t>
    <phoneticPr fontId="2" type="noConversion"/>
  </si>
  <si>
    <t>HelpCol</t>
    <phoneticPr fontId="2" type="noConversion"/>
  </si>
  <si>
    <r>
      <t>L</t>
    </r>
    <r>
      <rPr>
        <sz val="11"/>
        <color theme="1"/>
        <rFont val="等线"/>
        <family val="2"/>
        <scheme val="minor"/>
      </rPr>
      <t>vs</t>
    </r>
    <phoneticPr fontId="2" type="noConversion"/>
  </si>
  <si>
    <t>价格</t>
    <phoneticPr fontId="2" type="noConversion"/>
  </si>
  <si>
    <t>柠檬精</t>
    <phoneticPr fontId="2" type="noConversion"/>
  </si>
  <si>
    <t>战斗夏玲</t>
    <phoneticPr fontId="2" type="noConversion"/>
  </si>
  <si>
    <t>常服夏玲</t>
    <phoneticPr fontId="2" type="noConversion"/>
  </si>
  <si>
    <t>UR</t>
    <phoneticPr fontId="2" type="noConversion"/>
  </si>
  <si>
    <t>等级</t>
    <phoneticPr fontId="2" type="noConversion"/>
  </si>
  <si>
    <t>突破</t>
    <phoneticPr fontId="2" type="noConversion"/>
  </si>
  <si>
    <t>品质</t>
    <phoneticPr fontId="2" type="noConversion"/>
  </si>
  <si>
    <t>Atk.up</t>
    <phoneticPr fontId="2" type="noConversion"/>
  </si>
  <si>
    <t>Atk</t>
    <phoneticPr fontId="2" type="noConversion"/>
  </si>
  <si>
    <t>Def</t>
    <phoneticPr fontId="2" type="noConversion"/>
  </si>
  <si>
    <t>HP.up</t>
    <phoneticPr fontId="2" type="noConversion"/>
  </si>
  <si>
    <t>寄灵人</t>
    <phoneticPr fontId="2" type="noConversion"/>
  </si>
  <si>
    <t>AttrBonus</t>
    <phoneticPr fontId="2" type="noConversion"/>
  </si>
  <si>
    <t>#note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</si>
  <si>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</si>
  <si>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</si>
  <si>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</si>
  <si>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Qua</t>
    <phoneticPr fontId="2" type="noConversion"/>
  </si>
  <si>
    <t>UR</t>
    <phoneticPr fontId="2" type="noConversion"/>
  </si>
  <si>
    <t>装备Id</t>
    <phoneticPr fontId="2" type="noConversion"/>
  </si>
  <si>
    <t>装备名</t>
    <phoneticPr fontId="2" type="noConversion"/>
  </si>
  <si>
    <t>品质</t>
    <phoneticPr fontId="2" type="noConversion"/>
  </si>
  <si>
    <t>类型</t>
    <phoneticPr fontId="2" type="noConversion"/>
  </si>
  <si>
    <t>RowId</t>
    <phoneticPr fontId="2" type="noConversion"/>
  </si>
  <si>
    <t>等级段Id</t>
    <phoneticPr fontId="2" type="noConversion"/>
  </si>
  <si>
    <t>等级段</t>
    <phoneticPr fontId="2" type="noConversion"/>
  </si>
  <si>
    <t>品质Id</t>
    <phoneticPr fontId="2" type="noConversion"/>
  </si>
  <si>
    <t>套装Id</t>
    <phoneticPr fontId="2" type="noConversion"/>
  </si>
  <si>
    <t>Type</t>
    <phoneticPr fontId="2" type="noConversion"/>
  </si>
  <si>
    <t>Pos1</t>
    <phoneticPr fontId="2" type="noConversion"/>
  </si>
  <si>
    <t>Pos2</t>
  </si>
  <si>
    <t>Pos3</t>
  </si>
  <si>
    <t>Pos4</t>
  </si>
  <si>
    <t>Pos5</t>
  </si>
  <si>
    <t>Pos6</t>
  </si>
  <si>
    <t>Pos7</t>
  </si>
  <si>
    <t>Pos8</t>
  </si>
  <si>
    <t>件数</t>
    <phoneticPr fontId="2" type="noConversion"/>
  </si>
  <si>
    <t>武器</t>
    <phoneticPr fontId="2" type="noConversion"/>
  </si>
  <si>
    <t>头盔</t>
    <phoneticPr fontId="2" type="noConversion"/>
  </si>
  <si>
    <t>肩甲</t>
    <phoneticPr fontId="2" type="noConversion"/>
  </si>
  <si>
    <t>衣服</t>
    <phoneticPr fontId="2" type="noConversion"/>
  </si>
  <si>
    <t>鞋子</t>
    <phoneticPr fontId="2" type="noConversion"/>
  </si>
  <si>
    <t>护手</t>
    <phoneticPr fontId="2" type="noConversion"/>
  </si>
  <si>
    <t>项链</t>
    <phoneticPr fontId="2" type="noConversion"/>
  </si>
  <si>
    <t>戒指</t>
    <phoneticPr fontId="2" type="noConversion"/>
  </si>
  <si>
    <t>BaseId</t>
    <phoneticPr fontId="2" type="noConversion"/>
  </si>
  <si>
    <t>SuitLoc</t>
    <phoneticPr fontId="2" type="noConversion"/>
  </si>
  <si>
    <t>Sum</t>
    <phoneticPr fontId="2" type="noConversion"/>
  </si>
  <si>
    <t>Loc</t>
    <phoneticPr fontId="2" type="noConversion"/>
  </si>
  <si>
    <t>RowId</t>
    <phoneticPr fontId="2" type="noConversion"/>
  </si>
  <si>
    <t>Pos</t>
    <phoneticPr fontId="2" type="noConversion"/>
  </si>
  <si>
    <t>等级Id</t>
    <phoneticPr fontId="2" type="noConversion"/>
  </si>
  <si>
    <t>SuitLoc</t>
    <phoneticPr fontId="2" type="noConversion"/>
  </si>
  <si>
    <t>紫</t>
    <phoneticPr fontId="2" type="noConversion"/>
  </si>
  <si>
    <t>NickName</t>
    <phoneticPr fontId="2" type="noConversion"/>
  </si>
  <si>
    <t>20级寄灵人绿色</t>
    <phoneticPr fontId="2" type="noConversion"/>
  </si>
  <si>
    <t>20级守护灵绿色</t>
    <phoneticPr fontId="2" type="noConversion"/>
  </si>
  <si>
    <t>20级寄灵人蓝色</t>
    <phoneticPr fontId="2" type="noConversion"/>
  </si>
  <si>
    <t>20级守护灵蓝色</t>
    <phoneticPr fontId="2" type="noConversion"/>
  </si>
  <si>
    <t>20级寄灵人紫色</t>
    <phoneticPr fontId="2" type="noConversion"/>
  </si>
  <si>
    <t>20级守护灵紫色</t>
    <phoneticPr fontId="2" type="noConversion"/>
  </si>
  <si>
    <t>20级寄灵人橙色</t>
    <phoneticPr fontId="2" type="noConversion"/>
  </si>
  <si>
    <t>20级守护灵橙色</t>
    <phoneticPr fontId="2" type="noConversion"/>
  </si>
  <si>
    <t>20级寄灵人橙色套1</t>
    <phoneticPr fontId="2" type="noConversion"/>
  </si>
  <si>
    <t>20级守护灵橙色套1</t>
    <phoneticPr fontId="2" type="noConversion"/>
  </si>
  <si>
    <t>40级寄灵人绿色</t>
    <phoneticPr fontId="2" type="noConversion"/>
  </si>
  <si>
    <t>40级守护灵绿色</t>
    <phoneticPr fontId="2" type="noConversion"/>
  </si>
  <si>
    <t>40级寄灵人蓝色</t>
    <phoneticPr fontId="2" type="noConversion"/>
  </si>
  <si>
    <t>40级守护灵蓝色</t>
    <phoneticPr fontId="2" type="noConversion"/>
  </si>
  <si>
    <t>40级寄灵人紫色</t>
    <phoneticPr fontId="2" type="noConversion"/>
  </si>
  <si>
    <t>40级守护灵紫色</t>
    <phoneticPr fontId="2" type="noConversion"/>
  </si>
  <si>
    <t>40级寄灵人橙色</t>
    <phoneticPr fontId="2" type="noConversion"/>
  </si>
  <si>
    <t>40级守护灵橙色</t>
    <phoneticPr fontId="2" type="noConversion"/>
  </si>
  <si>
    <t>40级寄灵人橙色套1</t>
    <phoneticPr fontId="2" type="noConversion"/>
  </si>
  <si>
    <t>40级守护灵橙色套1</t>
    <phoneticPr fontId="2" type="noConversion"/>
  </si>
  <si>
    <t>40级寄灵人橙色套2</t>
    <phoneticPr fontId="2" type="noConversion"/>
  </si>
  <si>
    <t>40级守护灵橙色套2</t>
    <phoneticPr fontId="2" type="noConversion"/>
  </si>
  <si>
    <t>60级寄灵人绿色</t>
    <phoneticPr fontId="2" type="noConversion"/>
  </si>
  <si>
    <t>60级守护灵绿色</t>
    <phoneticPr fontId="2" type="noConversion"/>
  </si>
  <si>
    <t>60级寄灵人蓝色</t>
    <phoneticPr fontId="2" type="noConversion"/>
  </si>
  <si>
    <t>60级守护灵蓝色</t>
    <phoneticPr fontId="2" type="noConversion"/>
  </si>
  <si>
    <t>60级寄灵人紫色</t>
    <phoneticPr fontId="2" type="noConversion"/>
  </si>
  <si>
    <t>60级守护灵紫色</t>
    <phoneticPr fontId="2" type="noConversion"/>
  </si>
  <si>
    <t>60级寄灵人橙色</t>
    <phoneticPr fontId="2" type="noConversion"/>
  </si>
  <si>
    <t>60级守护灵橙色</t>
    <phoneticPr fontId="2" type="noConversion"/>
  </si>
  <si>
    <t>60级寄灵人橙色套1</t>
    <phoneticPr fontId="2" type="noConversion"/>
  </si>
  <si>
    <t>60级守护灵橙色套1</t>
    <phoneticPr fontId="2" type="noConversion"/>
  </si>
  <si>
    <t>60级寄灵人橙色套2</t>
    <phoneticPr fontId="2" type="noConversion"/>
  </si>
  <si>
    <t>60级守护灵橙色套2</t>
    <phoneticPr fontId="2" type="noConversion"/>
  </si>
  <si>
    <t>80级寄灵人绿色</t>
    <phoneticPr fontId="2" type="noConversion"/>
  </si>
  <si>
    <t>80级守护灵绿色</t>
    <phoneticPr fontId="2" type="noConversion"/>
  </si>
  <si>
    <t>80级寄灵人蓝色</t>
    <phoneticPr fontId="2" type="noConversion"/>
  </si>
  <si>
    <t>80级守护灵蓝色</t>
    <phoneticPr fontId="2" type="noConversion"/>
  </si>
  <si>
    <t>80级寄灵人紫色</t>
    <phoneticPr fontId="2" type="noConversion"/>
  </si>
  <si>
    <t>80级守护灵紫色</t>
    <phoneticPr fontId="2" type="noConversion"/>
  </si>
  <si>
    <t>80级寄灵人橙色</t>
    <phoneticPr fontId="2" type="noConversion"/>
  </si>
  <si>
    <t>80级守护灵橙色</t>
    <phoneticPr fontId="2" type="noConversion"/>
  </si>
  <si>
    <t>80级寄灵人橙色套1</t>
    <phoneticPr fontId="2" type="noConversion"/>
  </si>
  <si>
    <t>80级守护灵橙色套1</t>
    <phoneticPr fontId="2" type="noConversion"/>
  </si>
  <si>
    <t>80级寄灵人橙色套2</t>
    <phoneticPr fontId="2" type="noConversion"/>
  </si>
  <si>
    <t>80级守护灵橙色套2</t>
    <phoneticPr fontId="2" type="noConversion"/>
  </si>
  <si>
    <t>80级寄灵人橙色套3</t>
    <phoneticPr fontId="2" type="noConversion"/>
  </si>
  <si>
    <t>80级守护灵橙色套3</t>
    <phoneticPr fontId="2" type="noConversion"/>
  </si>
  <si>
    <t>100级寄灵人绿色</t>
  </si>
  <si>
    <t>100级守护灵绿色</t>
  </si>
  <si>
    <t>100级寄灵人蓝色</t>
  </si>
  <si>
    <t>100级守护灵蓝色</t>
  </si>
  <si>
    <t>100级寄灵人紫色</t>
  </si>
  <si>
    <t>100级守护灵紫色</t>
  </si>
  <si>
    <t>100级寄灵人橙色</t>
  </si>
  <si>
    <t>100级守护灵橙色</t>
  </si>
  <si>
    <t>100级寄灵人橙色套1</t>
  </si>
  <si>
    <t>100级守护灵橙色套1</t>
  </si>
  <si>
    <t>100级寄灵人橙色套2</t>
  </si>
  <si>
    <t>100级守护灵橙色套2</t>
  </si>
  <si>
    <t>100级寄灵人橙色套3</t>
  </si>
  <si>
    <t>100级守护灵橙色套3</t>
  </si>
  <si>
    <t>120级寄灵人绿色</t>
  </si>
  <si>
    <t>120级守护灵绿色</t>
  </si>
  <si>
    <t>120级寄灵人蓝色</t>
  </si>
  <si>
    <t>120级守护灵蓝色</t>
  </si>
  <si>
    <t>120级寄灵人紫色</t>
  </si>
  <si>
    <t>120级守护灵紫色</t>
  </si>
  <si>
    <t>120级寄灵人橙色</t>
  </si>
  <si>
    <t>120级守护灵橙色</t>
  </si>
  <si>
    <t>120级寄灵人橙色套1</t>
  </si>
  <si>
    <t>120级守护灵橙色套1</t>
  </si>
  <si>
    <t>120级寄灵人橙色套2</t>
  </si>
  <si>
    <t>120级守护灵橙色套2</t>
  </si>
  <si>
    <t>120级寄灵人橙色套3</t>
  </si>
  <si>
    <t>120级守护灵橙色套3</t>
  </si>
  <si>
    <t>等级段</t>
    <phoneticPr fontId="2" type="noConversion"/>
  </si>
  <si>
    <t>攻Up</t>
    <phoneticPr fontId="2" type="noConversion"/>
  </si>
  <si>
    <t>血Up</t>
    <phoneticPr fontId="2" type="noConversion"/>
  </si>
  <si>
    <t>防Up</t>
    <phoneticPr fontId="2" type="noConversion"/>
  </si>
  <si>
    <t>Type</t>
    <phoneticPr fontId="2" type="noConversion"/>
  </si>
  <si>
    <t>属性增益</t>
    <phoneticPr fontId="2" type="noConversion"/>
  </si>
  <si>
    <t>突破</t>
    <phoneticPr fontId="2" type="noConversion"/>
  </si>
  <si>
    <t>等级</t>
    <phoneticPr fontId="2" type="noConversion"/>
  </si>
  <si>
    <t>攻Base</t>
    <phoneticPr fontId="2" type="noConversion"/>
  </si>
  <si>
    <t>防Base</t>
    <phoneticPr fontId="2" type="noConversion"/>
  </si>
  <si>
    <t>血Base</t>
    <phoneticPr fontId="2" type="noConversion"/>
  </si>
  <si>
    <t>头</t>
    <phoneticPr fontId="2" type="noConversion"/>
  </si>
  <si>
    <t>衣服</t>
    <phoneticPr fontId="2" type="noConversion"/>
  </si>
  <si>
    <t>鞋子</t>
    <phoneticPr fontId="2" type="noConversion"/>
  </si>
  <si>
    <t>护手</t>
    <phoneticPr fontId="2" type="noConversion"/>
  </si>
  <si>
    <t>项链</t>
    <phoneticPr fontId="2" type="noConversion"/>
  </si>
  <si>
    <t>戒指</t>
    <phoneticPr fontId="2" type="noConversion"/>
  </si>
  <si>
    <t>装备</t>
    <phoneticPr fontId="2" type="noConversion"/>
  </si>
  <si>
    <t>攻</t>
    <phoneticPr fontId="2" type="noConversion"/>
  </si>
  <si>
    <t>防</t>
    <phoneticPr fontId="2" type="noConversion"/>
  </si>
  <si>
    <t>血</t>
    <phoneticPr fontId="2" type="noConversion"/>
  </si>
  <si>
    <t>装备位</t>
    <phoneticPr fontId="2" type="noConversion"/>
  </si>
  <si>
    <t>攻Base</t>
    <phoneticPr fontId="2" type="noConversion"/>
  </si>
  <si>
    <t>防Base</t>
    <phoneticPr fontId="2" type="noConversion"/>
  </si>
  <si>
    <t>血Base</t>
    <phoneticPr fontId="2" type="noConversion"/>
  </si>
  <si>
    <t>品质</t>
    <phoneticPr fontId="2" type="noConversion"/>
  </si>
  <si>
    <t>属性</t>
    <phoneticPr fontId="2" type="noConversion"/>
  </si>
  <si>
    <t>品质Id</t>
    <phoneticPr fontId="2" type="noConversion"/>
  </si>
  <si>
    <t>绿</t>
    <phoneticPr fontId="2" type="noConversion"/>
  </si>
  <si>
    <t>蓝</t>
    <phoneticPr fontId="2" type="noConversion"/>
  </si>
  <si>
    <t>橙</t>
    <phoneticPr fontId="2" type="noConversion"/>
  </si>
  <si>
    <t>属性增益</t>
    <phoneticPr fontId="2" type="noConversion"/>
  </si>
  <si>
    <t>攻Up</t>
    <phoneticPr fontId="2" type="noConversion"/>
  </si>
  <si>
    <t>Loc1</t>
    <phoneticPr fontId="2" type="noConversion"/>
  </si>
  <si>
    <t>Loc2</t>
  </si>
  <si>
    <t>AtkExt</t>
    <phoneticPr fontId="2" type="noConversion"/>
  </si>
  <si>
    <t>DefExt</t>
    <phoneticPr fontId="2" type="noConversion"/>
  </si>
  <si>
    <t>HPExt</t>
    <phoneticPr fontId="2" type="noConversion"/>
  </si>
  <si>
    <t>Loc2</t>
    <phoneticPr fontId="2" type="noConversion"/>
  </si>
  <si>
    <t>Prop[1].Id</t>
    <phoneticPr fontId="2" type="noConversion"/>
  </si>
  <si>
    <t>ShowLv</t>
    <phoneticPr fontId="2" type="noConversion"/>
  </si>
  <si>
    <t>LvLimit</t>
    <phoneticPr fontId="2" type="noConversion"/>
  </si>
  <si>
    <t>Prop[1].Base</t>
    <phoneticPr fontId="2" type="noConversion"/>
  </si>
  <si>
    <t>Prop[1].Up</t>
    <phoneticPr fontId="2" type="noConversion"/>
  </si>
  <si>
    <t>Prop[2].Id</t>
    <phoneticPr fontId="2" type="noConversion"/>
  </si>
  <si>
    <t>Prop[2].Base</t>
    <phoneticPr fontId="2" type="noConversion"/>
  </si>
  <si>
    <t>Prop[2].Up</t>
    <phoneticPr fontId="2" type="noConversion"/>
  </si>
  <si>
    <t>StrengthenId</t>
    <phoneticPr fontId="2" type="noConversion"/>
  </si>
  <si>
    <t>套装攻</t>
    <phoneticPr fontId="2" type="noConversion"/>
  </si>
  <si>
    <t>套装血</t>
    <phoneticPr fontId="2" type="noConversion"/>
  </si>
  <si>
    <t>套装</t>
    <phoneticPr fontId="2" type="noConversion"/>
  </si>
  <si>
    <t>20级</t>
    <phoneticPr fontId="2" type="noConversion"/>
  </si>
  <si>
    <t>40级</t>
    <phoneticPr fontId="2" type="noConversion"/>
  </si>
  <si>
    <t>60级</t>
    <phoneticPr fontId="2" type="noConversion"/>
  </si>
  <si>
    <t>80级</t>
    <phoneticPr fontId="2" type="noConversion"/>
  </si>
  <si>
    <t>100级</t>
    <phoneticPr fontId="2" type="noConversion"/>
  </si>
  <si>
    <t>120级</t>
    <phoneticPr fontId="2" type="noConversion"/>
  </si>
  <si>
    <t>套装</t>
    <phoneticPr fontId="2" type="noConversion"/>
  </si>
  <si>
    <t>属性位置</t>
    <phoneticPr fontId="2" type="noConversion"/>
  </si>
  <si>
    <t>属性Id</t>
    <phoneticPr fontId="2" type="noConversion"/>
  </si>
  <si>
    <t>属性值</t>
    <phoneticPr fontId="2" type="noConversion"/>
  </si>
  <si>
    <t>AtkExt</t>
    <phoneticPr fontId="2" type="noConversion"/>
  </si>
  <si>
    <t>HPExt</t>
    <phoneticPr fontId="2" type="noConversion"/>
  </si>
  <si>
    <t>HPRate</t>
    <phoneticPr fontId="2" type="noConversion"/>
  </si>
  <si>
    <t>HPRate</t>
    <phoneticPr fontId="2" type="noConversion"/>
  </si>
  <si>
    <t>AtkRate</t>
    <phoneticPr fontId="2" type="noConversion"/>
  </si>
  <si>
    <t>寄灵人装备套装</t>
    <phoneticPr fontId="2" type="noConversion"/>
  </si>
  <si>
    <t>HPExt</t>
    <phoneticPr fontId="2" type="noConversion"/>
  </si>
  <si>
    <t>HPExt</t>
    <phoneticPr fontId="2" type="noConversion"/>
  </si>
  <si>
    <t>AtkExt</t>
    <phoneticPr fontId="2" type="noConversion"/>
  </si>
  <si>
    <t>DmgBonus</t>
  </si>
  <si>
    <t>DmgBonus</t>
    <phoneticPr fontId="2" type="noConversion"/>
  </si>
  <si>
    <t>DmgResist</t>
  </si>
  <si>
    <t>DmgResist</t>
    <phoneticPr fontId="2" type="noConversion"/>
  </si>
  <si>
    <t>HPExt</t>
    <phoneticPr fontId="2" type="noConversion"/>
  </si>
  <si>
    <t>HPRate</t>
    <phoneticPr fontId="2" type="noConversion"/>
  </si>
  <si>
    <t>AtkExt</t>
    <phoneticPr fontId="2" type="noConversion"/>
  </si>
  <si>
    <t>HPExt</t>
    <phoneticPr fontId="2" type="noConversion"/>
  </si>
  <si>
    <t>AtkExt</t>
    <phoneticPr fontId="2" type="noConversion"/>
  </si>
  <si>
    <t>AtkRate</t>
    <phoneticPr fontId="2" type="noConversion"/>
  </si>
  <si>
    <t>守护灵装备套装</t>
    <phoneticPr fontId="2" type="noConversion"/>
  </si>
  <si>
    <t>AtkExt</t>
    <phoneticPr fontId="2" type="noConversion"/>
  </si>
  <si>
    <t>HPExt</t>
    <phoneticPr fontId="2" type="noConversion"/>
  </si>
  <si>
    <t>#note</t>
    <phoneticPr fontId="2" type="noConversion"/>
  </si>
  <si>
    <t>套装名</t>
    <phoneticPr fontId="2" type="noConversion"/>
  </si>
  <si>
    <t>#note</t>
    <phoneticPr fontId="2" type="noConversion"/>
  </si>
  <si>
    <t>位置</t>
    <phoneticPr fontId="2" type="noConversion"/>
  </si>
  <si>
    <t>Id</t>
    <phoneticPr fontId="2" type="noConversion"/>
  </si>
  <si>
    <t>寄灵人20级套装</t>
  </si>
  <si>
    <t>寄灵人40级套装1</t>
  </si>
  <si>
    <t>寄灵人40级套装2</t>
  </si>
  <si>
    <t>寄灵人60级套装1</t>
  </si>
  <si>
    <t>寄灵人60级套装2</t>
  </si>
  <si>
    <t>寄灵人80级套装1</t>
  </si>
  <si>
    <t>寄灵人80级套装2</t>
  </si>
  <si>
    <t>寄灵人80级套装3</t>
  </si>
  <si>
    <t>寄灵人100级套装1</t>
  </si>
  <si>
    <t>寄灵人100级套装2</t>
  </si>
  <si>
    <t>寄灵人100级套装3</t>
  </si>
  <si>
    <t>寄灵人120级套装1</t>
  </si>
  <si>
    <t>寄灵人120级套装2</t>
  </si>
  <si>
    <t>寄灵人120级套装3</t>
  </si>
  <si>
    <t>守护灵20级套装</t>
  </si>
  <si>
    <t>守护灵40级套装1</t>
  </si>
  <si>
    <t>守护灵40级套装2</t>
  </si>
  <si>
    <t>守护灵60级套装1</t>
  </si>
  <si>
    <t>守护灵60级套装2</t>
  </si>
  <si>
    <t>守护灵80级套装1</t>
  </si>
  <si>
    <t>守护灵80级套装2</t>
  </si>
  <si>
    <t>守护灵80级套装3</t>
  </si>
  <si>
    <t>守护灵100级套装1</t>
  </si>
  <si>
    <t>守护灵100级套装2</t>
  </si>
  <si>
    <t>守护灵100级套装3</t>
  </si>
  <si>
    <t>守护灵120级套装1</t>
  </si>
  <si>
    <t>守护灵120级套装2</t>
  </si>
  <si>
    <t>守护灵120级套装3</t>
  </si>
  <si>
    <t>Suit</t>
    <phoneticPr fontId="2" type="noConversion"/>
  </si>
  <si>
    <t>洗练属性</t>
    <phoneticPr fontId="2" type="noConversion"/>
  </si>
  <si>
    <t>洗练攻</t>
    <phoneticPr fontId="2" type="noConversion"/>
  </si>
  <si>
    <t>洗练防</t>
    <phoneticPr fontId="2" type="noConversion"/>
  </si>
  <si>
    <t>洗练血</t>
    <phoneticPr fontId="2" type="noConversion"/>
  </si>
  <si>
    <t>Fac</t>
    <phoneticPr fontId="2" type="noConversion"/>
  </si>
  <si>
    <t>Num</t>
    <phoneticPr fontId="2" type="noConversion"/>
  </si>
  <si>
    <t>属性Id</t>
    <phoneticPr fontId="2" type="noConversion"/>
  </si>
  <si>
    <t>洗练组</t>
    <phoneticPr fontId="2" type="noConversion"/>
  </si>
  <si>
    <t>AtkExt</t>
    <phoneticPr fontId="2" type="noConversion"/>
  </si>
  <si>
    <t>DefExt</t>
    <phoneticPr fontId="2" type="noConversion"/>
  </si>
  <si>
    <t>HPExt</t>
    <phoneticPr fontId="2" type="noConversion"/>
  </si>
  <si>
    <t>百分比攻</t>
    <phoneticPr fontId="2" type="noConversion"/>
  </si>
  <si>
    <t>百分比防</t>
    <phoneticPr fontId="2" type="noConversion"/>
  </si>
  <si>
    <t>百分比血</t>
    <phoneticPr fontId="2" type="noConversion"/>
  </si>
  <si>
    <t>AtkRate</t>
    <phoneticPr fontId="2" type="noConversion"/>
  </si>
  <si>
    <t>Id</t>
    <phoneticPr fontId="2" type="noConversion"/>
  </si>
  <si>
    <t>Id</t>
    <phoneticPr fontId="2" type="noConversion"/>
  </si>
  <si>
    <t>Loc</t>
    <phoneticPr fontId="2" type="noConversion"/>
  </si>
  <si>
    <t>Weight</t>
    <phoneticPr fontId="2" type="noConversion"/>
  </si>
  <si>
    <t>Prop.Id</t>
    <phoneticPr fontId="2" type="noConversion"/>
  </si>
  <si>
    <t>Prop.Val</t>
    <phoneticPr fontId="2" type="noConversion"/>
  </si>
  <si>
    <t>Loc</t>
    <phoneticPr fontId="2" type="noConversion"/>
  </si>
  <si>
    <t>#note</t>
    <phoneticPr fontId="2" type="noConversion"/>
  </si>
  <si>
    <t>20级寄灵人</t>
    <phoneticPr fontId="2" type="noConversion"/>
  </si>
  <si>
    <t>40级寄灵人</t>
    <phoneticPr fontId="2" type="noConversion"/>
  </si>
  <si>
    <t>60级寄灵人</t>
    <phoneticPr fontId="2" type="noConversion"/>
  </si>
  <si>
    <t>80级寄灵人</t>
    <phoneticPr fontId="2" type="noConversion"/>
  </si>
  <si>
    <t>100级寄灵人</t>
    <phoneticPr fontId="2" type="noConversion"/>
  </si>
  <si>
    <t>120级寄灵人</t>
    <phoneticPr fontId="2" type="noConversion"/>
  </si>
  <si>
    <t>20级守护灵</t>
    <phoneticPr fontId="2" type="noConversion"/>
  </si>
  <si>
    <t>40级守护灵</t>
    <phoneticPr fontId="2" type="noConversion"/>
  </si>
  <si>
    <t>60级守护灵</t>
    <phoneticPr fontId="2" type="noConversion"/>
  </si>
  <si>
    <t>80级守护灵</t>
    <phoneticPr fontId="2" type="noConversion"/>
  </si>
  <si>
    <t>100级守护灵</t>
    <phoneticPr fontId="2" type="noConversion"/>
  </si>
  <si>
    <t>120级守护灵</t>
    <phoneticPr fontId="2" type="noConversion"/>
  </si>
  <si>
    <t>洗练条目</t>
    <phoneticPr fontId="2" type="noConversion"/>
  </si>
  <si>
    <t>洗练组</t>
    <phoneticPr fontId="2" type="noConversion"/>
  </si>
  <si>
    <t>绿</t>
    <phoneticPr fontId="2" type="noConversion"/>
  </si>
  <si>
    <t>蓝</t>
    <phoneticPr fontId="2" type="noConversion"/>
  </si>
  <si>
    <t>紫</t>
    <phoneticPr fontId="2" type="noConversion"/>
  </si>
  <si>
    <t>橙</t>
    <phoneticPr fontId="2" type="noConversion"/>
  </si>
  <si>
    <t>强化组</t>
    <phoneticPr fontId="2" type="noConversion"/>
  </si>
  <si>
    <t>BaptizeNum</t>
    <phoneticPr fontId="2" type="noConversion"/>
  </si>
  <si>
    <t>BaptizeId</t>
    <phoneticPr fontId="2" type="noConversion"/>
  </si>
  <si>
    <t>20级套</t>
    <phoneticPr fontId="2" type="noConversion"/>
  </si>
  <si>
    <t>40级套</t>
    <phoneticPr fontId="2" type="noConversion"/>
  </si>
  <si>
    <t>60级套</t>
    <phoneticPr fontId="2" type="noConversion"/>
  </si>
  <si>
    <t>80级套</t>
    <phoneticPr fontId="2" type="noConversion"/>
  </si>
  <si>
    <t>100级套</t>
    <phoneticPr fontId="2" type="noConversion"/>
  </si>
  <si>
    <t>120级套</t>
    <phoneticPr fontId="2" type="noConversion"/>
  </si>
  <si>
    <t>紫</t>
    <phoneticPr fontId="2" type="noConversion"/>
  </si>
  <si>
    <t>橙</t>
    <phoneticPr fontId="2" type="noConversion"/>
  </si>
  <si>
    <t>套橙</t>
    <phoneticPr fontId="2" type="noConversion"/>
  </si>
  <si>
    <t>装备价值</t>
    <phoneticPr fontId="2" type="noConversion"/>
  </si>
  <si>
    <t>蓝</t>
    <phoneticPr fontId="2" type="noConversion"/>
  </si>
  <si>
    <t>RL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</si>
</sst>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%"/>
    <numFmt numFmtId="177" formatCode="0.0%"/>
  </numFmts>
  <fonts count="1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2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2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</cellStyleXfs>
  <cellXfs count="64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1" fillId="7" borderId="4" xfId="7">
      <alignment horizontal="center" vertical="center" wrapText="1"/>
    </xf>
    <xf numFmtId="0" fontId="0" fillId="8" borderId="4" xfId="8" applyFont="1">
      <alignment horizontal="center" vertical="center" wrapText="1"/>
    </xf>
    <xf numFmtId="0" fontId="1" fillId="0" borderId="0" xfId="1">
      <alignment vertical="center"/>
    </xf>
    <xf numFmtId="10" fontId="1" fillId="7" borderId="4" xfId="7" applyNumberFormat="1">
      <alignment horizontal="center" vertical="center" wrapText="1"/>
    </xf>
    <xf numFmtId="0" fontId="3" fillId="0" borderId="0" xfId="11">
      <alignment horizontal="center" vertical="center"/>
    </xf>
    <xf numFmtId="0" fontId="3" fillId="0" borderId="0" xfId="11" applyFill="1">
      <alignment horizontal="center" vertical="center"/>
    </xf>
    <xf numFmtId="0" fontId="0" fillId="0" borderId="0" xfId="0"/>
    <xf numFmtId="0" fontId="7" fillId="0" borderId="4" xfId="4" applyFont="1">
      <alignment vertical="top" wrapText="1"/>
    </xf>
    <xf numFmtId="0" fontId="3" fillId="3" borderId="0" xfId="2">
      <alignment horizontal="center" vertical="top"/>
    </xf>
    <xf numFmtId="0" fontId="7" fillId="0" borderId="4" xfId="4" applyAlignment="1">
      <alignment horizontal="center" vertical="center" wrapText="1"/>
    </xf>
    <xf numFmtId="0" fontId="0" fillId="0" borderId="0" xfId="0" applyAlignment="1"/>
    <xf numFmtId="0" fontId="8" fillId="0" borderId="3" xfId="3">
      <alignment horizontal="center" vertical="center"/>
    </xf>
    <xf numFmtId="9" fontId="1" fillId="7" borderId="4" xfId="7" applyNumberFormat="1">
      <alignment horizontal="center" vertical="center" wrapText="1"/>
    </xf>
    <xf numFmtId="0" fontId="1" fillId="7" borderId="4" xfId="7" applyNumberFormat="1">
      <alignment horizontal="center" vertical="center" wrapText="1"/>
    </xf>
    <xf numFmtId="9" fontId="7" fillId="0" borderId="4" xfId="4" applyNumberFormat="1">
      <alignment vertical="top" wrapText="1"/>
    </xf>
    <xf numFmtId="0" fontId="0" fillId="7" borderId="4" xfId="7" applyFont="1">
      <alignment horizontal="center" vertical="center" wrapText="1"/>
    </xf>
    <xf numFmtId="0" fontId="5" fillId="5" borderId="0" xfId="5" applyBorder="1">
      <alignment horizontal="center" vertical="center" shrinkToFit="1"/>
    </xf>
    <xf numFmtId="10" fontId="7" fillId="0" borderId="4" xfId="4" applyNumberFormat="1">
      <alignment vertical="top" wrapText="1"/>
    </xf>
    <xf numFmtId="10" fontId="0" fillId="0" borderId="0" xfId="0" applyNumberFormat="1"/>
    <xf numFmtId="0" fontId="0" fillId="0" borderId="0" xfId="0" applyFill="1" applyBorder="1"/>
    <xf numFmtId="0" fontId="7" fillId="0" borderId="22" xfId="4" applyFill="1" applyBorder="1">
      <alignment vertical="top" wrapText="1"/>
    </xf>
    <xf numFmtId="0" fontId="7" fillId="0" borderId="4" xfId="4" applyNumberFormat="1">
      <alignment vertical="top" wrapText="1"/>
    </xf>
    <xf numFmtId="176" fontId="1" fillId="7" borderId="4" xfId="7" applyNumberFormat="1">
      <alignment horizontal="center" vertical="center" wrapText="1"/>
    </xf>
    <xf numFmtId="0" fontId="0" fillId="0" borderId="0" xfId="0"/>
    <xf numFmtId="176" fontId="7" fillId="0" borderId="4" xfId="4" applyNumberFormat="1">
      <alignment vertical="top" wrapText="1"/>
    </xf>
    <xf numFmtId="0" fontId="0" fillId="0" borderId="0" xfId="0" applyAlignment="1">
      <alignment horizontal="center" vertical="center"/>
    </xf>
    <xf numFmtId="177" fontId="7" fillId="0" borderId="4" xfId="4" applyNumberFormat="1">
      <alignment vertical="top" wrapText="1"/>
    </xf>
    <xf numFmtId="0" fontId="8" fillId="0" borderId="3" xfId="3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8" fillId="0" borderId="3" xfId="3" applyAlignment="1">
      <alignment horizontal="center" vertical="center"/>
    </xf>
    <xf numFmtId="0" fontId="8" fillId="0" borderId="3" xfId="3">
      <alignment horizontal="center" vertical="center"/>
    </xf>
  </cellXfs>
  <cellStyles count="12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B6" sqref="B6:E6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44" t="s">
        <v>263</v>
      </c>
      <c r="C2" s="45"/>
      <c r="D2" s="45"/>
      <c r="E2" s="46"/>
    </row>
    <row r="3" spans="2:5" ht="35.1" customHeight="1" x14ac:dyDescent="0.2">
      <c r="B3" s="2" t="s">
        <v>0</v>
      </c>
      <c r="C3" s="3" t="s">
        <v>11</v>
      </c>
      <c r="D3" s="47" t="s">
        <v>1</v>
      </c>
      <c r="E3" s="49" t="s">
        <v>264</v>
      </c>
    </row>
    <row r="4" spans="2:5" ht="35.1" customHeight="1" x14ac:dyDescent="0.2">
      <c r="B4" s="2" t="s">
        <v>2</v>
      </c>
      <c r="C4" s="3" t="s">
        <v>12</v>
      </c>
      <c r="D4" s="48"/>
      <c r="E4" s="50"/>
    </row>
    <row r="5" spans="2:5" ht="35.1" customHeight="1" x14ac:dyDescent="0.2">
      <c r="B5" s="4" t="s">
        <v>3</v>
      </c>
      <c r="C5" s="51" t="s">
        <v>265</v>
      </c>
      <c r="D5" s="52"/>
      <c r="E5" s="53"/>
    </row>
    <row r="6" spans="2:5" ht="18" x14ac:dyDescent="0.2">
      <c r="B6" s="54" t="s">
        <v>4</v>
      </c>
      <c r="C6" s="55"/>
      <c r="D6" s="55"/>
      <c r="E6" s="56"/>
    </row>
    <row r="7" spans="2:5" ht="18" x14ac:dyDescent="0.2">
      <c r="B7" s="5" t="s">
        <v>5</v>
      </c>
      <c r="C7" s="6" t="s">
        <v>6</v>
      </c>
      <c r="D7" s="42" t="s">
        <v>7</v>
      </c>
      <c r="E7" s="43"/>
    </row>
    <row r="8" spans="2:5" x14ac:dyDescent="0.2">
      <c r="B8" s="7">
        <v>43525</v>
      </c>
      <c r="C8" s="8" t="s">
        <v>10</v>
      </c>
      <c r="D8" s="57" t="s">
        <v>8</v>
      </c>
      <c r="E8" s="58"/>
    </row>
    <row r="9" spans="2:5" x14ac:dyDescent="0.2">
      <c r="B9" s="7"/>
      <c r="C9" s="8"/>
      <c r="D9" s="57"/>
      <c r="E9" s="58"/>
    </row>
    <row r="10" spans="2:5" x14ac:dyDescent="0.2">
      <c r="B10" s="9"/>
      <c r="C10" s="8"/>
      <c r="D10" s="57"/>
      <c r="E10" s="58"/>
    </row>
    <row r="11" spans="2:5" x14ac:dyDescent="0.2">
      <c r="B11" s="9"/>
      <c r="C11" s="8"/>
      <c r="D11" s="57"/>
      <c r="E11" s="58"/>
    </row>
    <row r="12" spans="2:5" x14ac:dyDescent="0.2">
      <c r="B12" s="9"/>
      <c r="C12" s="8"/>
      <c r="D12" s="57"/>
      <c r="E12" s="58"/>
    </row>
    <row r="13" spans="2:5" x14ac:dyDescent="0.2">
      <c r="B13" s="9"/>
      <c r="C13" s="8"/>
      <c r="D13" s="57"/>
      <c r="E13" s="58"/>
    </row>
    <row r="14" spans="2:5" x14ac:dyDescent="0.2">
      <c r="B14" s="9"/>
      <c r="C14" s="8"/>
      <c r="D14" s="57"/>
      <c r="E14" s="58"/>
    </row>
    <row r="15" spans="2:5" x14ac:dyDescent="0.2">
      <c r="B15" s="9"/>
      <c r="C15" s="8"/>
      <c r="D15" s="57"/>
      <c r="E15" s="58"/>
    </row>
    <row r="16" spans="2:5" x14ac:dyDescent="0.2">
      <c r="B16" s="9"/>
      <c r="C16" s="8"/>
      <c r="D16" s="57"/>
      <c r="E16" s="58"/>
    </row>
    <row r="17" spans="2:5" x14ac:dyDescent="0.2">
      <c r="B17" s="9"/>
      <c r="C17" s="8"/>
      <c r="D17" s="57"/>
      <c r="E17" s="58"/>
    </row>
    <row r="18" spans="2:5" x14ac:dyDescent="0.2">
      <c r="B18" s="9"/>
      <c r="C18" s="8"/>
      <c r="D18" s="57"/>
      <c r="E18" s="58"/>
    </row>
    <row r="19" spans="2:5" x14ac:dyDescent="0.2">
      <c r="B19" s="9"/>
      <c r="C19" s="8"/>
      <c r="D19" s="57"/>
      <c r="E19" s="58"/>
    </row>
    <row r="20" spans="2:5" x14ac:dyDescent="0.2">
      <c r="B20" s="9"/>
      <c r="C20" s="8"/>
      <c r="D20" s="57"/>
      <c r="E20" s="58"/>
    </row>
    <row r="21" spans="2:5" x14ac:dyDescent="0.2">
      <c r="B21" s="9"/>
      <c r="C21" s="8"/>
      <c r="D21" s="57"/>
      <c r="E21" s="58"/>
    </row>
    <row r="22" spans="2:5" x14ac:dyDescent="0.2">
      <c r="B22" s="9"/>
      <c r="C22" s="8"/>
      <c r="D22" s="57"/>
      <c r="E22" s="58"/>
    </row>
    <row r="23" spans="2:5" x14ac:dyDescent="0.2">
      <c r="B23" s="9"/>
      <c r="C23" s="8"/>
      <c r="D23" s="57"/>
      <c r="E23" s="58"/>
    </row>
    <row r="24" spans="2:5" x14ac:dyDescent="0.2">
      <c r="B24" s="9"/>
      <c r="C24" s="8"/>
      <c r="D24" s="57"/>
      <c r="E24" s="58"/>
    </row>
    <row r="25" spans="2:5" x14ac:dyDescent="0.2">
      <c r="B25" s="9"/>
      <c r="C25" s="8"/>
      <c r="D25" s="57"/>
      <c r="E25" s="58"/>
    </row>
    <row r="26" spans="2:5" x14ac:dyDescent="0.2">
      <c r="B26" s="9"/>
      <c r="C26" s="8"/>
      <c r="D26" s="57"/>
      <c r="E26" s="58"/>
    </row>
    <row r="27" spans="2:5" x14ac:dyDescent="0.2">
      <c r="B27" s="9"/>
      <c r="C27" s="8"/>
      <c r="D27" s="57"/>
      <c r="E27" s="58"/>
    </row>
    <row r="28" spans="2:5" ht="18" thickBot="1" x14ac:dyDescent="0.25">
      <c r="B28" s="10"/>
      <c r="C28" s="11"/>
      <c r="D28" s="59"/>
      <c r="E28" s="60"/>
    </row>
    <row r="30" spans="2:5" x14ac:dyDescent="0.2">
      <c r="B30" s="61" t="s">
        <v>9</v>
      </c>
      <c r="C30" s="61"/>
      <c r="D30" s="61"/>
      <c r="E30" s="61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73"/>
  <sheetViews>
    <sheetView tabSelected="1" workbookViewId="0">
      <selection activeCell="N12" sqref="N12"/>
    </sheetView>
  </sheetViews>
  <sheetFormatPr defaultRowHeight="14.25" x14ac:dyDescent="0.2"/>
  <cols>
    <col min="3" max="3" width="10.625" style="20" customWidth="1"/>
    <col min="14" max="16" width="9" style="37"/>
  </cols>
  <sheetData>
    <row r="2" spans="1:29" s="20" customFormat="1" ht="20.25" x14ac:dyDescent="0.2">
      <c r="A2" s="63" t="s">
        <v>662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N2" s="37"/>
      <c r="O2" s="37"/>
      <c r="P2" s="37"/>
      <c r="R2" s="63" t="s">
        <v>120</v>
      </c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</row>
    <row r="3" spans="1:29" ht="16.5" x14ac:dyDescent="0.2">
      <c r="A3" s="15" t="s">
        <v>657</v>
      </c>
      <c r="B3" s="13">
        <v>3</v>
      </c>
      <c r="C3" s="15" t="s">
        <v>110</v>
      </c>
      <c r="D3" s="13">
        <v>1</v>
      </c>
      <c r="R3" s="15" t="s">
        <v>657</v>
      </c>
      <c r="S3" s="13">
        <v>3</v>
      </c>
      <c r="T3" s="15" t="s">
        <v>110</v>
      </c>
      <c r="U3" s="13">
        <v>1</v>
      </c>
      <c r="V3" s="20"/>
      <c r="W3" s="20"/>
      <c r="X3" s="20"/>
      <c r="Y3" s="20"/>
      <c r="Z3" s="20"/>
      <c r="AA3" s="20"/>
      <c r="AB3" s="20"/>
      <c r="AC3" s="20"/>
    </row>
    <row r="4" spans="1:29" ht="17.25" x14ac:dyDescent="0.2">
      <c r="A4" s="12" t="s">
        <v>655</v>
      </c>
      <c r="B4" s="12" t="s">
        <v>656</v>
      </c>
      <c r="C4" s="12" t="s">
        <v>663</v>
      </c>
      <c r="D4" s="12" t="s">
        <v>103</v>
      </c>
      <c r="E4" s="12" t="s">
        <v>104</v>
      </c>
      <c r="F4" s="12" t="s">
        <v>102</v>
      </c>
      <c r="G4" s="12" t="s">
        <v>658</v>
      </c>
      <c r="H4" s="12" t="s">
        <v>100</v>
      </c>
      <c r="I4" s="12" t="s">
        <v>661</v>
      </c>
      <c r="J4" s="12" t="s">
        <v>659</v>
      </c>
      <c r="K4" s="12" t="s">
        <v>660</v>
      </c>
      <c r="L4" s="12" t="s">
        <v>45</v>
      </c>
      <c r="R4" s="12" t="s">
        <v>655</v>
      </c>
      <c r="S4" s="12" t="s">
        <v>656</v>
      </c>
      <c r="T4" s="12" t="s">
        <v>663</v>
      </c>
      <c r="U4" s="12" t="s">
        <v>103</v>
      </c>
      <c r="V4" s="12" t="s">
        <v>104</v>
      </c>
      <c r="W4" s="12" t="s">
        <v>102</v>
      </c>
      <c r="X4" s="12" t="s">
        <v>658</v>
      </c>
      <c r="Y4" s="12" t="s">
        <v>100</v>
      </c>
      <c r="Z4" s="12" t="s">
        <v>661</v>
      </c>
      <c r="AA4" s="12" t="s">
        <v>659</v>
      </c>
      <c r="AB4" s="12" t="s">
        <v>660</v>
      </c>
      <c r="AC4" s="12" t="s">
        <v>45</v>
      </c>
    </row>
    <row r="5" spans="1:29" ht="16.5" x14ac:dyDescent="0.2">
      <c r="A5" s="13">
        <v>1</v>
      </c>
      <c r="B5" s="13">
        <v>1</v>
      </c>
      <c r="C5" s="14">
        <f>INDEX(新属性投放!$L$6:$L$10,属性汇总!$B$3)*INDEX(新属性投放!$Q$6:$Q$10,属性汇总!$D$3)</f>
        <v>1.1499999999999999</v>
      </c>
      <c r="D5" s="14">
        <f>INDEX(新属性投放!J$14:J$34,属性汇总!$B5)*$C5</f>
        <v>114.99999999999999</v>
      </c>
      <c r="E5" s="14">
        <f>INDEX(新属性投放!K$14:K$34,属性汇总!$B5)*$C5</f>
        <v>0</v>
      </c>
      <c r="F5" s="14">
        <f>INDEX(新属性投放!L$14:L$34,属性汇总!$B5)*$C5</f>
        <v>575</v>
      </c>
      <c r="G5" s="14">
        <f>INDEX(新属性投放!D$14:D$34,属性汇总!$B5)*$C5</f>
        <v>17.25</v>
      </c>
      <c r="H5" s="14">
        <f>INDEX(新属性投放!E$14:E$34,属性汇总!$B5)*$C5</f>
        <v>8.625</v>
      </c>
      <c r="I5" s="14">
        <f>INDEX(新属性投放!F$14:F$34,属性汇总!$B5)*$C5</f>
        <v>51.749999999999993</v>
      </c>
      <c r="J5" s="14">
        <f>ROUND(D5+($A5-INDEX(新属性投放!$B$14:$B$34,属性汇总!$B5))*属性汇总!G5,0)</f>
        <v>115</v>
      </c>
      <c r="K5" s="14">
        <f>ROUND(E5+($A5-INDEX(新属性投放!$B$14:$B$34,属性汇总!$B5))*属性汇总!H5,0)</f>
        <v>0</v>
      </c>
      <c r="L5" s="14">
        <f>ROUND(F5+($A5-INDEX(新属性投放!$B$14:$B$34,属性汇总!$B5))*属性汇总!I5,0)</f>
        <v>575</v>
      </c>
      <c r="R5" s="13">
        <v>1</v>
      </c>
      <c r="S5" s="13">
        <v>1</v>
      </c>
      <c r="T5" s="14">
        <f>INDEX(新属性投放!$L$6:$L$10,$S$3)*INDEX(新属性投放!$Q$6:$Q$10,$U$3)</f>
        <v>1.1499999999999999</v>
      </c>
      <c r="U5" s="14">
        <f>INDEX(新属性投放!J$42:J$62,属性汇总!$S5)*$T5</f>
        <v>402.49999999999994</v>
      </c>
      <c r="V5" s="14">
        <f>INDEX(新属性投放!K$42:K$62,属性汇总!$S5)*$T5</f>
        <v>114.99999999999999</v>
      </c>
      <c r="W5" s="14">
        <f>INDEX(新属性投放!L$42:L$62,属性汇总!$S5)*$T5</f>
        <v>862.49999999999989</v>
      </c>
      <c r="X5" s="14">
        <f>INDEX(新属性投放!$D$42:$D$62,属性汇总!$S5)*$T5</f>
        <v>17.25</v>
      </c>
      <c r="Y5" s="14">
        <f>INDEX(新属性投放!$D$42:$D$62,属性汇总!$S5)*$T5</f>
        <v>17.25</v>
      </c>
      <c r="Z5" s="14">
        <f>INDEX(新属性投放!$D$42:$D$62,属性汇总!$S5)*$T5</f>
        <v>17.25</v>
      </c>
      <c r="AA5" s="14">
        <f>ROUND(U5+($R5-INDEX(新属性投放!$B$14:$B$34,属性汇总!$S5))*属性汇总!X5,0)</f>
        <v>403</v>
      </c>
      <c r="AB5" s="14">
        <f>ROUND(V5+($R5-INDEX(新属性投放!$B$14:$B$34,属性汇总!$S5))*属性汇总!Y5,0)</f>
        <v>115</v>
      </c>
      <c r="AC5" s="14">
        <f>ROUND(W5+($R5-INDEX(新属性投放!$B$14:$B$34,属性汇总!$S5))*属性汇总!Z5,0)</f>
        <v>863</v>
      </c>
    </row>
    <row r="6" spans="1:29" ht="16.5" x14ac:dyDescent="0.2">
      <c r="A6" s="13">
        <v>2</v>
      </c>
      <c r="B6" s="13">
        <v>1</v>
      </c>
      <c r="C6" s="14">
        <f>INDEX(新属性投放!$L$6:$L$10,属性汇总!$B$3)*INDEX(新属性投放!$Q$6:$Q$10,属性汇总!$D$3)</f>
        <v>1.1499999999999999</v>
      </c>
      <c r="D6" s="14">
        <f>INDEX(新属性投放!J$14:J$34,属性汇总!$B6)*$C6</f>
        <v>114.99999999999999</v>
      </c>
      <c r="E6" s="14">
        <f>INDEX(新属性投放!K$14:K$34,属性汇总!$B6)*$C6</f>
        <v>0</v>
      </c>
      <c r="F6" s="14">
        <f>INDEX(新属性投放!L$14:L$34,属性汇总!$B6)*$C6</f>
        <v>575</v>
      </c>
      <c r="G6" s="14">
        <f>INDEX(新属性投放!D$14:D$34,属性汇总!$B6)*$C6</f>
        <v>17.25</v>
      </c>
      <c r="H6" s="14">
        <f>INDEX(新属性投放!E$14:E$34,属性汇总!$B6)*$C6</f>
        <v>8.625</v>
      </c>
      <c r="I6" s="14">
        <f>INDEX(新属性投放!F$14:F$34,属性汇总!$B6)*$C6</f>
        <v>51.749999999999993</v>
      </c>
      <c r="J6" s="14">
        <f>ROUND(D6+($A6-INDEX(新属性投放!$B$14:$B$34,属性汇总!$B6))*属性汇总!G6,0)</f>
        <v>132</v>
      </c>
      <c r="K6" s="14">
        <f>ROUND(E6+($A6-INDEX(新属性投放!$B$14:$B$34,属性汇总!$B6))*属性汇总!H6,0)</f>
        <v>9</v>
      </c>
      <c r="L6" s="14">
        <f>ROUND(F6+($A6-INDEX(新属性投放!$B$14:$B$34,属性汇总!$B6))*属性汇总!I6,0)</f>
        <v>627</v>
      </c>
      <c r="R6" s="13">
        <v>2</v>
      </c>
      <c r="S6" s="13">
        <v>1</v>
      </c>
      <c r="T6" s="14">
        <f>INDEX(新属性投放!$L$6:$L$10,$S$3)*INDEX(新属性投放!$Q$6:$Q$10,$U$3)</f>
        <v>1.1499999999999999</v>
      </c>
      <c r="U6" s="14">
        <f>INDEX(新属性投放!J$42:J$62,属性汇总!$S6)*$T6</f>
        <v>402.49999999999994</v>
      </c>
      <c r="V6" s="14">
        <f>INDEX(新属性投放!K$42:K$62,属性汇总!$S6)*$T6</f>
        <v>114.99999999999999</v>
      </c>
      <c r="W6" s="14">
        <f>INDEX(新属性投放!L$42:L$62,属性汇总!$S6)*$T6</f>
        <v>862.49999999999989</v>
      </c>
      <c r="X6" s="14">
        <f>INDEX(新属性投放!$D$42:$D$62,属性汇总!$S6)*$T6</f>
        <v>17.25</v>
      </c>
      <c r="Y6" s="14">
        <f>INDEX(新属性投放!$D$42:$D$62,属性汇总!$S6)*$T6</f>
        <v>17.25</v>
      </c>
      <c r="Z6" s="14">
        <f>INDEX(新属性投放!$D$42:$D$62,属性汇总!$S6)*$T6</f>
        <v>17.25</v>
      </c>
      <c r="AA6" s="14">
        <f>ROUND(U6+($R6-INDEX(新属性投放!$B$14:$B$34,属性汇总!$S6))*属性汇总!X6,0)</f>
        <v>420</v>
      </c>
      <c r="AB6" s="14">
        <f>ROUND(V6+($R6-INDEX(新属性投放!$B$14:$B$34,属性汇总!$S6))*属性汇总!Y6,0)</f>
        <v>132</v>
      </c>
      <c r="AC6" s="14">
        <f>ROUND(W6+($R6-INDEX(新属性投放!$B$14:$B$34,属性汇总!$S6))*属性汇总!Z6,0)</f>
        <v>880</v>
      </c>
    </row>
    <row r="7" spans="1:29" ht="16.5" x14ac:dyDescent="0.2">
      <c r="A7" s="13">
        <v>3</v>
      </c>
      <c r="B7" s="13">
        <v>1</v>
      </c>
      <c r="C7" s="14">
        <f>INDEX(新属性投放!$L$6:$L$10,属性汇总!$B$3)*INDEX(新属性投放!$Q$6:$Q$10,属性汇总!$D$3)</f>
        <v>1.1499999999999999</v>
      </c>
      <c r="D7" s="14">
        <f>INDEX(新属性投放!J$14:J$34,属性汇总!$B7)*$C7</f>
        <v>114.99999999999999</v>
      </c>
      <c r="E7" s="14">
        <f>INDEX(新属性投放!K$14:K$34,属性汇总!$B7)*$C7</f>
        <v>0</v>
      </c>
      <c r="F7" s="14">
        <f>INDEX(新属性投放!L$14:L$34,属性汇总!$B7)*$C7</f>
        <v>575</v>
      </c>
      <c r="G7" s="14">
        <f>INDEX(新属性投放!D$14:D$34,属性汇总!$B7)*$C7</f>
        <v>17.25</v>
      </c>
      <c r="H7" s="14">
        <f>INDEX(新属性投放!E$14:E$34,属性汇总!$B7)*$C7</f>
        <v>8.625</v>
      </c>
      <c r="I7" s="14">
        <f>INDEX(新属性投放!F$14:F$34,属性汇总!$B7)*$C7</f>
        <v>51.749999999999993</v>
      </c>
      <c r="J7" s="14">
        <f>ROUND(D7+($A7-INDEX(新属性投放!$B$14:$B$34,属性汇总!$B7))*属性汇总!G7,0)</f>
        <v>150</v>
      </c>
      <c r="K7" s="14">
        <f>ROUND(E7+($A7-INDEX(新属性投放!$B$14:$B$34,属性汇总!$B7))*属性汇总!H7,0)</f>
        <v>17</v>
      </c>
      <c r="L7" s="14">
        <f>ROUND(F7+($A7-INDEX(新属性投放!$B$14:$B$34,属性汇总!$B7))*属性汇总!I7,0)</f>
        <v>679</v>
      </c>
      <c r="R7" s="13">
        <v>3</v>
      </c>
      <c r="S7" s="13">
        <v>1</v>
      </c>
      <c r="T7" s="14">
        <f>INDEX(新属性投放!$L$6:$L$10,$S$3)*INDEX(新属性投放!$Q$6:$Q$10,$U$3)</f>
        <v>1.1499999999999999</v>
      </c>
      <c r="U7" s="14">
        <f>INDEX(新属性投放!J$42:J$62,属性汇总!$S7)*$T7</f>
        <v>402.49999999999994</v>
      </c>
      <c r="V7" s="14">
        <f>INDEX(新属性投放!K$42:K$62,属性汇总!$S7)*$T7</f>
        <v>114.99999999999999</v>
      </c>
      <c r="W7" s="14">
        <f>INDEX(新属性投放!L$42:L$62,属性汇总!$S7)*$T7</f>
        <v>862.49999999999989</v>
      </c>
      <c r="X7" s="14">
        <f>INDEX(新属性投放!$D$42:$D$62,属性汇总!$S7)*$T7</f>
        <v>17.25</v>
      </c>
      <c r="Y7" s="14">
        <f>INDEX(新属性投放!$D$42:$D$62,属性汇总!$S7)*$T7</f>
        <v>17.25</v>
      </c>
      <c r="Z7" s="14">
        <f>INDEX(新属性投放!$D$42:$D$62,属性汇总!$S7)*$T7</f>
        <v>17.25</v>
      </c>
      <c r="AA7" s="14">
        <f>ROUND(U7+($R7-INDEX(新属性投放!$B$14:$B$34,属性汇总!$S7))*属性汇总!X7,0)</f>
        <v>437</v>
      </c>
      <c r="AB7" s="14">
        <f>ROUND(V7+($R7-INDEX(新属性投放!$B$14:$B$34,属性汇总!$S7))*属性汇总!Y7,0)</f>
        <v>150</v>
      </c>
      <c r="AC7" s="14">
        <f>ROUND(W7+($R7-INDEX(新属性投放!$B$14:$B$34,属性汇总!$S7))*属性汇总!Z7,0)</f>
        <v>897</v>
      </c>
    </row>
    <row r="8" spans="1:29" ht="16.5" x14ac:dyDescent="0.2">
      <c r="A8" s="13">
        <v>4</v>
      </c>
      <c r="B8" s="13">
        <v>1</v>
      </c>
      <c r="C8" s="14">
        <f>INDEX(新属性投放!$L$6:$L$10,属性汇总!$B$3)*INDEX(新属性投放!$Q$6:$Q$10,属性汇总!$D$3)</f>
        <v>1.1499999999999999</v>
      </c>
      <c r="D8" s="14">
        <f>INDEX(新属性投放!J$14:J$34,属性汇总!$B8)*$C8</f>
        <v>114.99999999999999</v>
      </c>
      <c r="E8" s="14">
        <f>INDEX(新属性投放!K$14:K$34,属性汇总!$B8)*$C8</f>
        <v>0</v>
      </c>
      <c r="F8" s="14">
        <f>INDEX(新属性投放!L$14:L$34,属性汇总!$B8)*$C8</f>
        <v>575</v>
      </c>
      <c r="G8" s="14">
        <f>INDEX(新属性投放!D$14:D$34,属性汇总!$B8)*$C8</f>
        <v>17.25</v>
      </c>
      <c r="H8" s="14">
        <f>INDEX(新属性投放!E$14:E$34,属性汇总!$B8)*$C8</f>
        <v>8.625</v>
      </c>
      <c r="I8" s="14">
        <f>INDEX(新属性投放!F$14:F$34,属性汇总!$B8)*$C8</f>
        <v>51.749999999999993</v>
      </c>
      <c r="J8" s="14">
        <f>ROUND(D8+($A8-INDEX(新属性投放!$B$14:$B$34,属性汇总!$B8))*属性汇总!G8,0)</f>
        <v>167</v>
      </c>
      <c r="K8" s="14">
        <f>ROUND(E8+($A8-INDEX(新属性投放!$B$14:$B$34,属性汇总!$B8))*属性汇总!H8,0)</f>
        <v>26</v>
      </c>
      <c r="L8" s="14">
        <f>ROUND(F8+($A8-INDEX(新属性投放!$B$14:$B$34,属性汇总!$B8))*属性汇总!I8,0)</f>
        <v>730</v>
      </c>
      <c r="R8" s="13">
        <v>4</v>
      </c>
      <c r="S8" s="13">
        <v>1</v>
      </c>
      <c r="T8" s="14">
        <f>INDEX(新属性投放!$L$6:$L$10,$S$3)*INDEX(新属性投放!$Q$6:$Q$10,$U$3)</f>
        <v>1.1499999999999999</v>
      </c>
      <c r="U8" s="14">
        <f>INDEX(新属性投放!J$42:J$62,属性汇总!$S8)*$T8</f>
        <v>402.49999999999994</v>
      </c>
      <c r="V8" s="14">
        <f>INDEX(新属性投放!K$42:K$62,属性汇总!$S8)*$T8</f>
        <v>114.99999999999999</v>
      </c>
      <c r="W8" s="14">
        <f>INDEX(新属性投放!L$42:L$62,属性汇总!$S8)*$T8</f>
        <v>862.49999999999989</v>
      </c>
      <c r="X8" s="14">
        <f>INDEX(新属性投放!$D$42:$D$62,属性汇总!$S8)*$T8</f>
        <v>17.25</v>
      </c>
      <c r="Y8" s="14">
        <f>INDEX(新属性投放!$D$42:$D$62,属性汇总!$S8)*$T8</f>
        <v>17.25</v>
      </c>
      <c r="Z8" s="14">
        <f>INDEX(新属性投放!$D$42:$D$62,属性汇总!$S8)*$T8</f>
        <v>17.25</v>
      </c>
      <c r="AA8" s="14">
        <f>ROUND(U8+($R8-INDEX(新属性投放!$B$14:$B$34,属性汇总!$S8))*属性汇总!X8,0)</f>
        <v>454</v>
      </c>
      <c r="AB8" s="14">
        <f>ROUND(V8+($R8-INDEX(新属性投放!$B$14:$B$34,属性汇总!$S8))*属性汇总!Y8,0)</f>
        <v>167</v>
      </c>
      <c r="AC8" s="14">
        <f>ROUND(W8+($R8-INDEX(新属性投放!$B$14:$B$34,属性汇总!$S8))*属性汇总!Z8,0)</f>
        <v>914</v>
      </c>
    </row>
    <row r="9" spans="1:29" ht="16.5" x14ac:dyDescent="0.2">
      <c r="A9" s="13">
        <v>5</v>
      </c>
      <c r="B9" s="13">
        <v>1</v>
      </c>
      <c r="C9" s="14">
        <f>INDEX(新属性投放!$L$6:$L$10,属性汇总!$B$3)*INDEX(新属性投放!$Q$6:$Q$10,属性汇总!$D$3)</f>
        <v>1.1499999999999999</v>
      </c>
      <c r="D9" s="14">
        <f>INDEX(新属性投放!J$14:J$34,属性汇总!$B9)*$C9</f>
        <v>114.99999999999999</v>
      </c>
      <c r="E9" s="14">
        <f>INDEX(新属性投放!K$14:K$34,属性汇总!$B9)*$C9</f>
        <v>0</v>
      </c>
      <c r="F9" s="14">
        <f>INDEX(新属性投放!L$14:L$34,属性汇总!$B9)*$C9</f>
        <v>575</v>
      </c>
      <c r="G9" s="14">
        <f>INDEX(新属性投放!D$14:D$34,属性汇总!$B9)*$C9</f>
        <v>17.25</v>
      </c>
      <c r="H9" s="14">
        <f>INDEX(新属性投放!E$14:E$34,属性汇总!$B9)*$C9</f>
        <v>8.625</v>
      </c>
      <c r="I9" s="14">
        <f>INDEX(新属性投放!F$14:F$34,属性汇总!$B9)*$C9</f>
        <v>51.749999999999993</v>
      </c>
      <c r="J9" s="14">
        <f>ROUND(D9+($A9-INDEX(新属性投放!$B$14:$B$34,属性汇总!$B9))*属性汇总!G9,0)</f>
        <v>184</v>
      </c>
      <c r="K9" s="14">
        <f>ROUND(E9+($A9-INDEX(新属性投放!$B$14:$B$34,属性汇总!$B9))*属性汇总!H9,0)</f>
        <v>35</v>
      </c>
      <c r="L9" s="14">
        <f>ROUND(F9+($A9-INDEX(新属性投放!$B$14:$B$34,属性汇总!$B9))*属性汇总!I9,0)</f>
        <v>782</v>
      </c>
      <c r="R9" s="13">
        <v>5</v>
      </c>
      <c r="S9" s="13">
        <v>1</v>
      </c>
      <c r="T9" s="14">
        <f>INDEX(新属性投放!$L$6:$L$10,$S$3)*INDEX(新属性投放!$Q$6:$Q$10,$U$3)</f>
        <v>1.1499999999999999</v>
      </c>
      <c r="U9" s="14">
        <f>INDEX(新属性投放!J$42:J$62,属性汇总!$S9)*$T9</f>
        <v>402.49999999999994</v>
      </c>
      <c r="V9" s="14">
        <f>INDEX(新属性投放!K$42:K$62,属性汇总!$S9)*$T9</f>
        <v>114.99999999999999</v>
      </c>
      <c r="W9" s="14">
        <f>INDEX(新属性投放!L$42:L$62,属性汇总!$S9)*$T9</f>
        <v>862.49999999999989</v>
      </c>
      <c r="X9" s="14">
        <f>INDEX(新属性投放!$D$42:$D$62,属性汇总!$S9)*$T9</f>
        <v>17.25</v>
      </c>
      <c r="Y9" s="14">
        <f>INDEX(新属性投放!$D$42:$D$62,属性汇总!$S9)*$T9</f>
        <v>17.25</v>
      </c>
      <c r="Z9" s="14">
        <f>INDEX(新属性投放!$D$42:$D$62,属性汇总!$S9)*$T9</f>
        <v>17.25</v>
      </c>
      <c r="AA9" s="14">
        <f>ROUND(U9+($R9-INDEX(新属性投放!$B$14:$B$34,属性汇总!$S9))*属性汇总!X9,0)</f>
        <v>472</v>
      </c>
      <c r="AB9" s="14">
        <f>ROUND(V9+($R9-INDEX(新属性投放!$B$14:$B$34,属性汇总!$S9))*属性汇总!Y9,0)</f>
        <v>184</v>
      </c>
      <c r="AC9" s="14">
        <f>ROUND(W9+($R9-INDEX(新属性投放!$B$14:$B$34,属性汇总!$S9))*属性汇总!Z9,0)</f>
        <v>932</v>
      </c>
    </row>
    <row r="10" spans="1:29" ht="16.5" x14ac:dyDescent="0.2">
      <c r="A10" s="13">
        <v>6</v>
      </c>
      <c r="B10" s="13">
        <v>1</v>
      </c>
      <c r="C10" s="14">
        <f>INDEX(新属性投放!$L$6:$L$10,属性汇总!$B$3)*INDEX(新属性投放!$Q$6:$Q$10,属性汇总!$D$3)</f>
        <v>1.1499999999999999</v>
      </c>
      <c r="D10" s="14">
        <f>INDEX(新属性投放!J$14:J$34,属性汇总!$B10)*$C10</f>
        <v>114.99999999999999</v>
      </c>
      <c r="E10" s="14">
        <f>INDEX(新属性投放!K$14:K$34,属性汇总!$B10)*$C10</f>
        <v>0</v>
      </c>
      <c r="F10" s="14">
        <f>INDEX(新属性投放!L$14:L$34,属性汇总!$B10)*$C10</f>
        <v>575</v>
      </c>
      <c r="G10" s="14">
        <f>INDEX(新属性投放!D$14:D$34,属性汇总!$B10)*$C10</f>
        <v>17.25</v>
      </c>
      <c r="H10" s="14">
        <f>INDEX(新属性投放!E$14:E$34,属性汇总!$B10)*$C10</f>
        <v>8.625</v>
      </c>
      <c r="I10" s="14">
        <f>INDEX(新属性投放!F$14:F$34,属性汇总!$B10)*$C10</f>
        <v>51.749999999999993</v>
      </c>
      <c r="J10" s="14">
        <f>ROUND(D10+($A10-INDEX(新属性投放!$B$14:$B$34,属性汇总!$B10))*属性汇总!G10,0)</f>
        <v>201</v>
      </c>
      <c r="K10" s="14">
        <f>ROUND(E10+($A10-INDEX(新属性投放!$B$14:$B$34,属性汇总!$B10))*属性汇总!H10,0)</f>
        <v>43</v>
      </c>
      <c r="L10" s="14">
        <f>ROUND(F10+($A10-INDEX(新属性投放!$B$14:$B$34,属性汇总!$B10))*属性汇总!I10,0)</f>
        <v>834</v>
      </c>
      <c r="R10" s="13">
        <v>6</v>
      </c>
      <c r="S10" s="13">
        <v>1</v>
      </c>
      <c r="T10" s="14">
        <f>INDEX(新属性投放!$L$6:$L$10,$S$3)*INDEX(新属性投放!$Q$6:$Q$10,$U$3)</f>
        <v>1.1499999999999999</v>
      </c>
      <c r="U10" s="14">
        <f>INDEX(新属性投放!J$42:J$62,属性汇总!$S10)*$T10</f>
        <v>402.49999999999994</v>
      </c>
      <c r="V10" s="14">
        <f>INDEX(新属性投放!K$42:K$62,属性汇总!$S10)*$T10</f>
        <v>114.99999999999999</v>
      </c>
      <c r="W10" s="14">
        <f>INDEX(新属性投放!L$42:L$62,属性汇总!$S10)*$T10</f>
        <v>862.49999999999989</v>
      </c>
      <c r="X10" s="14">
        <f>INDEX(新属性投放!$D$42:$D$62,属性汇总!$S10)*$T10</f>
        <v>17.25</v>
      </c>
      <c r="Y10" s="14">
        <f>INDEX(新属性投放!$D$42:$D$62,属性汇总!$S10)*$T10</f>
        <v>17.25</v>
      </c>
      <c r="Z10" s="14">
        <f>INDEX(新属性投放!$D$42:$D$62,属性汇总!$S10)*$T10</f>
        <v>17.25</v>
      </c>
      <c r="AA10" s="14">
        <f>ROUND(U10+($R10-INDEX(新属性投放!$B$14:$B$34,属性汇总!$S10))*属性汇总!X10,0)</f>
        <v>489</v>
      </c>
      <c r="AB10" s="14">
        <f>ROUND(V10+($R10-INDEX(新属性投放!$B$14:$B$34,属性汇总!$S10))*属性汇总!Y10,0)</f>
        <v>201</v>
      </c>
      <c r="AC10" s="14">
        <f>ROUND(W10+($R10-INDEX(新属性投放!$B$14:$B$34,属性汇总!$S10))*属性汇总!Z10,0)</f>
        <v>949</v>
      </c>
    </row>
    <row r="11" spans="1:29" ht="16.5" x14ac:dyDescent="0.2">
      <c r="A11" s="13">
        <v>7</v>
      </c>
      <c r="B11" s="13">
        <v>1</v>
      </c>
      <c r="C11" s="14">
        <f>INDEX(新属性投放!$L$6:$L$10,属性汇总!$B$3)*INDEX(新属性投放!$Q$6:$Q$10,属性汇总!$D$3)</f>
        <v>1.1499999999999999</v>
      </c>
      <c r="D11" s="14">
        <f>INDEX(新属性投放!J$14:J$34,属性汇总!$B11)*$C11</f>
        <v>114.99999999999999</v>
      </c>
      <c r="E11" s="14">
        <f>INDEX(新属性投放!K$14:K$34,属性汇总!$B11)*$C11</f>
        <v>0</v>
      </c>
      <c r="F11" s="14">
        <f>INDEX(新属性投放!L$14:L$34,属性汇总!$B11)*$C11</f>
        <v>575</v>
      </c>
      <c r="G11" s="14">
        <f>INDEX(新属性投放!D$14:D$34,属性汇总!$B11)*$C11</f>
        <v>17.25</v>
      </c>
      <c r="H11" s="14">
        <f>INDEX(新属性投放!E$14:E$34,属性汇总!$B11)*$C11</f>
        <v>8.625</v>
      </c>
      <c r="I11" s="14">
        <f>INDEX(新属性投放!F$14:F$34,属性汇总!$B11)*$C11</f>
        <v>51.749999999999993</v>
      </c>
      <c r="J11" s="14">
        <f>ROUND(D11+($A11-INDEX(新属性投放!$B$14:$B$34,属性汇总!$B11))*属性汇总!G11,0)</f>
        <v>219</v>
      </c>
      <c r="K11" s="14">
        <f>ROUND(E11+($A11-INDEX(新属性投放!$B$14:$B$34,属性汇总!$B11))*属性汇总!H11,0)</f>
        <v>52</v>
      </c>
      <c r="L11" s="14">
        <f>ROUND(F11+($A11-INDEX(新属性投放!$B$14:$B$34,属性汇总!$B11))*属性汇总!I11,0)</f>
        <v>886</v>
      </c>
      <c r="R11" s="13">
        <v>7</v>
      </c>
      <c r="S11" s="13">
        <v>1</v>
      </c>
      <c r="T11" s="14">
        <f>INDEX(新属性投放!$L$6:$L$10,$S$3)*INDEX(新属性投放!$Q$6:$Q$10,$U$3)</f>
        <v>1.1499999999999999</v>
      </c>
      <c r="U11" s="14">
        <f>INDEX(新属性投放!J$42:J$62,属性汇总!$S11)*$T11</f>
        <v>402.49999999999994</v>
      </c>
      <c r="V11" s="14">
        <f>INDEX(新属性投放!K$42:K$62,属性汇总!$S11)*$T11</f>
        <v>114.99999999999999</v>
      </c>
      <c r="W11" s="14">
        <f>INDEX(新属性投放!L$42:L$62,属性汇总!$S11)*$T11</f>
        <v>862.49999999999989</v>
      </c>
      <c r="X11" s="14">
        <f>INDEX(新属性投放!$D$42:$D$62,属性汇总!$S11)*$T11</f>
        <v>17.25</v>
      </c>
      <c r="Y11" s="14">
        <f>INDEX(新属性投放!$D$42:$D$62,属性汇总!$S11)*$T11</f>
        <v>17.25</v>
      </c>
      <c r="Z11" s="14">
        <f>INDEX(新属性投放!$D$42:$D$62,属性汇总!$S11)*$T11</f>
        <v>17.25</v>
      </c>
      <c r="AA11" s="14">
        <f>ROUND(U11+($R11-INDEX(新属性投放!$B$14:$B$34,属性汇总!$S11))*属性汇总!X11,0)</f>
        <v>506</v>
      </c>
      <c r="AB11" s="14">
        <f>ROUND(V11+($R11-INDEX(新属性投放!$B$14:$B$34,属性汇总!$S11))*属性汇总!Y11,0)</f>
        <v>219</v>
      </c>
      <c r="AC11" s="14">
        <f>ROUND(W11+($R11-INDEX(新属性投放!$B$14:$B$34,属性汇总!$S11))*属性汇总!Z11,0)</f>
        <v>966</v>
      </c>
    </row>
    <row r="12" spans="1:29" ht="16.5" x14ac:dyDescent="0.2">
      <c r="A12" s="13">
        <v>8</v>
      </c>
      <c r="B12" s="13">
        <v>1</v>
      </c>
      <c r="C12" s="14">
        <f>INDEX(新属性投放!$L$6:$L$10,属性汇总!$B$3)*INDEX(新属性投放!$Q$6:$Q$10,属性汇总!$D$3)</f>
        <v>1.1499999999999999</v>
      </c>
      <c r="D12" s="14">
        <f>INDEX(新属性投放!J$14:J$34,属性汇总!$B12)*$C12</f>
        <v>114.99999999999999</v>
      </c>
      <c r="E12" s="14">
        <f>INDEX(新属性投放!K$14:K$34,属性汇总!$B12)*$C12</f>
        <v>0</v>
      </c>
      <c r="F12" s="14">
        <f>INDEX(新属性投放!L$14:L$34,属性汇总!$B12)*$C12</f>
        <v>575</v>
      </c>
      <c r="G12" s="14">
        <f>INDEX(新属性投放!D$14:D$34,属性汇总!$B12)*$C12</f>
        <v>17.25</v>
      </c>
      <c r="H12" s="14">
        <f>INDEX(新属性投放!E$14:E$34,属性汇总!$B12)*$C12</f>
        <v>8.625</v>
      </c>
      <c r="I12" s="14">
        <f>INDEX(新属性投放!F$14:F$34,属性汇总!$B12)*$C12</f>
        <v>51.749999999999993</v>
      </c>
      <c r="J12" s="14">
        <f>ROUND(D12+($A12-INDEX(新属性投放!$B$14:$B$34,属性汇总!$B12))*属性汇总!G12,0)</f>
        <v>236</v>
      </c>
      <c r="K12" s="14">
        <f>ROUND(E12+($A12-INDEX(新属性投放!$B$14:$B$34,属性汇总!$B12))*属性汇总!H12,0)</f>
        <v>60</v>
      </c>
      <c r="L12" s="14">
        <f>ROUND(F12+($A12-INDEX(新属性投放!$B$14:$B$34,属性汇总!$B12))*属性汇总!I12,0)</f>
        <v>937</v>
      </c>
      <c r="R12" s="13">
        <v>8</v>
      </c>
      <c r="S12" s="13">
        <v>1</v>
      </c>
      <c r="T12" s="14">
        <f>INDEX(新属性投放!$L$6:$L$10,$S$3)*INDEX(新属性投放!$Q$6:$Q$10,$U$3)</f>
        <v>1.1499999999999999</v>
      </c>
      <c r="U12" s="14">
        <f>INDEX(新属性投放!J$42:J$62,属性汇总!$S12)*$T12</f>
        <v>402.49999999999994</v>
      </c>
      <c r="V12" s="14">
        <f>INDEX(新属性投放!K$42:K$62,属性汇总!$S12)*$T12</f>
        <v>114.99999999999999</v>
      </c>
      <c r="W12" s="14">
        <f>INDEX(新属性投放!L$42:L$62,属性汇总!$S12)*$T12</f>
        <v>862.49999999999989</v>
      </c>
      <c r="X12" s="14">
        <f>INDEX(新属性投放!$D$42:$D$62,属性汇总!$S12)*$T12</f>
        <v>17.25</v>
      </c>
      <c r="Y12" s="14">
        <f>INDEX(新属性投放!$D$42:$D$62,属性汇总!$S12)*$T12</f>
        <v>17.25</v>
      </c>
      <c r="Z12" s="14">
        <f>INDEX(新属性投放!$D$42:$D$62,属性汇总!$S12)*$T12</f>
        <v>17.25</v>
      </c>
      <c r="AA12" s="14">
        <f>ROUND(U12+($R12-INDEX(新属性投放!$B$14:$B$34,属性汇总!$S12))*属性汇总!X12,0)</f>
        <v>523</v>
      </c>
      <c r="AB12" s="14">
        <f>ROUND(V12+($R12-INDEX(新属性投放!$B$14:$B$34,属性汇总!$S12))*属性汇总!Y12,0)</f>
        <v>236</v>
      </c>
      <c r="AC12" s="14">
        <f>ROUND(W12+($R12-INDEX(新属性投放!$B$14:$B$34,属性汇总!$S12))*属性汇总!Z12,0)</f>
        <v>983</v>
      </c>
    </row>
    <row r="13" spans="1:29" ht="16.5" x14ac:dyDescent="0.2">
      <c r="A13" s="13">
        <v>9</v>
      </c>
      <c r="B13" s="13">
        <v>1</v>
      </c>
      <c r="C13" s="14">
        <f>INDEX(新属性投放!$L$6:$L$10,属性汇总!$B$3)*INDEX(新属性投放!$Q$6:$Q$10,属性汇总!$D$3)</f>
        <v>1.1499999999999999</v>
      </c>
      <c r="D13" s="14">
        <f>INDEX(新属性投放!J$14:J$34,属性汇总!$B13)*$C13</f>
        <v>114.99999999999999</v>
      </c>
      <c r="E13" s="14">
        <f>INDEX(新属性投放!K$14:K$34,属性汇总!$B13)*$C13</f>
        <v>0</v>
      </c>
      <c r="F13" s="14">
        <f>INDEX(新属性投放!L$14:L$34,属性汇总!$B13)*$C13</f>
        <v>575</v>
      </c>
      <c r="G13" s="14">
        <f>INDEX(新属性投放!D$14:D$34,属性汇总!$B13)*$C13</f>
        <v>17.25</v>
      </c>
      <c r="H13" s="14">
        <f>INDEX(新属性投放!E$14:E$34,属性汇总!$B13)*$C13</f>
        <v>8.625</v>
      </c>
      <c r="I13" s="14">
        <f>INDEX(新属性投放!F$14:F$34,属性汇总!$B13)*$C13</f>
        <v>51.749999999999993</v>
      </c>
      <c r="J13" s="14">
        <f>ROUND(D13+($A13-INDEX(新属性投放!$B$14:$B$34,属性汇总!$B13))*属性汇总!G13,0)</f>
        <v>253</v>
      </c>
      <c r="K13" s="14">
        <f>ROUND(E13+($A13-INDEX(新属性投放!$B$14:$B$34,属性汇总!$B13))*属性汇总!H13,0)</f>
        <v>69</v>
      </c>
      <c r="L13" s="14">
        <f>ROUND(F13+($A13-INDEX(新属性投放!$B$14:$B$34,属性汇总!$B13))*属性汇总!I13,0)</f>
        <v>989</v>
      </c>
      <c r="R13" s="13">
        <v>9</v>
      </c>
      <c r="S13" s="13">
        <v>1</v>
      </c>
      <c r="T13" s="14">
        <f>INDEX(新属性投放!$L$6:$L$10,$S$3)*INDEX(新属性投放!$Q$6:$Q$10,$U$3)</f>
        <v>1.1499999999999999</v>
      </c>
      <c r="U13" s="14">
        <f>INDEX(新属性投放!J$42:J$62,属性汇总!$S13)*$T13</f>
        <v>402.49999999999994</v>
      </c>
      <c r="V13" s="14">
        <f>INDEX(新属性投放!K$42:K$62,属性汇总!$S13)*$T13</f>
        <v>114.99999999999999</v>
      </c>
      <c r="W13" s="14">
        <f>INDEX(新属性投放!L$42:L$62,属性汇总!$S13)*$T13</f>
        <v>862.49999999999989</v>
      </c>
      <c r="X13" s="14">
        <f>INDEX(新属性投放!$D$42:$D$62,属性汇总!$S13)*$T13</f>
        <v>17.25</v>
      </c>
      <c r="Y13" s="14">
        <f>INDEX(新属性投放!$D$42:$D$62,属性汇总!$S13)*$T13</f>
        <v>17.25</v>
      </c>
      <c r="Z13" s="14">
        <f>INDEX(新属性投放!$D$42:$D$62,属性汇总!$S13)*$T13</f>
        <v>17.25</v>
      </c>
      <c r="AA13" s="14">
        <f>ROUND(U13+($R13-INDEX(新属性投放!$B$14:$B$34,属性汇总!$S13))*属性汇总!X13,0)</f>
        <v>541</v>
      </c>
      <c r="AB13" s="14">
        <f>ROUND(V13+($R13-INDEX(新属性投放!$B$14:$B$34,属性汇总!$S13))*属性汇总!Y13,0)</f>
        <v>253</v>
      </c>
      <c r="AC13" s="14">
        <f>ROUND(W13+($R13-INDEX(新属性投放!$B$14:$B$34,属性汇总!$S13))*属性汇总!Z13,0)</f>
        <v>1001</v>
      </c>
    </row>
    <row r="14" spans="1:29" ht="16.5" x14ac:dyDescent="0.2">
      <c r="A14" s="13">
        <v>10</v>
      </c>
      <c r="B14" s="13">
        <v>1</v>
      </c>
      <c r="C14" s="14">
        <f>INDEX(新属性投放!$L$6:$L$10,属性汇总!$B$3)*INDEX(新属性投放!$Q$6:$Q$10,属性汇总!$D$3)</f>
        <v>1.1499999999999999</v>
      </c>
      <c r="D14" s="14">
        <f>INDEX(新属性投放!J$14:J$34,属性汇总!$B14)*$C14</f>
        <v>114.99999999999999</v>
      </c>
      <c r="E14" s="14">
        <f>INDEX(新属性投放!K$14:K$34,属性汇总!$B14)*$C14</f>
        <v>0</v>
      </c>
      <c r="F14" s="14">
        <f>INDEX(新属性投放!L$14:L$34,属性汇总!$B14)*$C14</f>
        <v>575</v>
      </c>
      <c r="G14" s="14">
        <f>INDEX(新属性投放!D$14:D$34,属性汇总!$B14)*$C14</f>
        <v>17.25</v>
      </c>
      <c r="H14" s="14">
        <f>INDEX(新属性投放!E$14:E$34,属性汇总!$B14)*$C14</f>
        <v>8.625</v>
      </c>
      <c r="I14" s="14">
        <f>INDEX(新属性投放!F$14:F$34,属性汇总!$B14)*$C14</f>
        <v>51.749999999999993</v>
      </c>
      <c r="J14" s="14">
        <f>ROUND(D14+($A14-INDEX(新属性投放!$B$14:$B$34,属性汇总!$B14))*属性汇总!G14,0)</f>
        <v>270</v>
      </c>
      <c r="K14" s="14">
        <f>ROUND(E14+($A14-INDEX(新属性投放!$B$14:$B$34,属性汇总!$B14))*属性汇总!H14,0)</f>
        <v>78</v>
      </c>
      <c r="L14" s="14">
        <f>ROUND(F14+($A14-INDEX(新属性投放!$B$14:$B$34,属性汇总!$B14))*属性汇总!I14,0)</f>
        <v>1041</v>
      </c>
      <c r="R14" s="13">
        <v>10</v>
      </c>
      <c r="S14" s="13">
        <v>1</v>
      </c>
      <c r="T14" s="14">
        <f>INDEX(新属性投放!$L$6:$L$10,$S$3)*INDEX(新属性投放!$Q$6:$Q$10,$U$3)</f>
        <v>1.1499999999999999</v>
      </c>
      <c r="U14" s="14">
        <f>INDEX(新属性投放!J$42:J$62,属性汇总!$S14)*$T14</f>
        <v>402.49999999999994</v>
      </c>
      <c r="V14" s="14">
        <f>INDEX(新属性投放!K$42:K$62,属性汇总!$S14)*$T14</f>
        <v>114.99999999999999</v>
      </c>
      <c r="W14" s="14">
        <f>INDEX(新属性投放!L$42:L$62,属性汇总!$S14)*$T14</f>
        <v>862.49999999999989</v>
      </c>
      <c r="X14" s="14">
        <f>INDEX(新属性投放!$D$42:$D$62,属性汇总!$S14)*$T14</f>
        <v>17.25</v>
      </c>
      <c r="Y14" s="14">
        <f>INDEX(新属性投放!$D$42:$D$62,属性汇总!$S14)*$T14</f>
        <v>17.25</v>
      </c>
      <c r="Z14" s="14">
        <f>INDEX(新属性投放!$D$42:$D$62,属性汇总!$S14)*$T14</f>
        <v>17.25</v>
      </c>
      <c r="AA14" s="14">
        <f>ROUND(U14+($R14-INDEX(新属性投放!$B$14:$B$34,属性汇总!$S14))*属性汇总!X14,0)</f>
        <v>558</v>
      </c>
      <c r="AB14" s="14">
        <f>ROUND(V14+($R14-INDEX(新属性投放!$B$14:$B$34,属性汇总!$S14))*属性汇总!Y14,0)</f>
        <v>270</v>
      </c>
      <c r="AC14" s="14">
        <f>ROUND(W14+($R14-INDEX(新属性投放!$B$14:$B$34,属性汇总!$S14))*属性汇总!Z14,0)</f>
        <v>1018</v>
      </c>
    </row>
    <row r="15" spans="1:29" ht="16.5" x14ac:dyDescent="0.2">
      <c r="A15" s="13">
        <v>11</v>
      </c>
      <c r="B15" s="13">
        <v>1</v>
      </c>
      <c r="C15" s="14">
        <f>INDEX(新属性投放!$L$6:$L$10,属性汇总!$B$3)*INDEX(新属性投放!$Q$6:$Q$10,属性汇总!$D$3)</f>
        <v>1.1499999999999999</v>
      </c>
      <c r="D15" s="14">
        <f>INDEX(新属性投放!J$14:J$34,属性汇总!$B15)*$C15</f>
        <v>114.99999999999999</v>
      </c>
      <c r="E15" s="14">
        <f>INDEX(新属性投放!K$14:K$34,属性汇总!$B15)*$C15</f>
        <v>0</v>
      </c>
      <c r="F15" s="14">
        <f>INDEX(新属性投放!L$14:L$34,属性汇总!$B15)*$C15</f>
        <v>575</v>
      </c>
      <c r="G15" s="14">
        <f>INDEX(新属性投放!D$14:D$34,属性汇总!$B15)*$C15</f>
        <v>17.25</v>
      </c>
      <c r="H15" s="14">
        <f>INDEX(新属性投放!E$14:E$34,属性汇总!$B15)*$C15</f>
        <v>8.625</v>
      </c>
      <c r="I15" s="14">
        <f>INDEX(新属性投放!F$14:F$34,属性汇总!$B15)*$C15</f>
        <v>51.749999999999993</v>
      </c>
      <c r="J15" s="14">
        <f>ROUND(D15+($A15-INDEX(新属性投放!$B$14:$B$34,属性汇总!$B15))*属性汇总!G15,0)</f>
        <v>288</v>
      </c>
      <c r="K15" s="14">
        <f>ROUND(E15+($A15-INDEX(新属性投放!$B$14:$B$34,属性汇总!$B15))*属性汇总!H15,0)</f>
        <v>86</v>
      </c>
      <c r="L15" s="14">
        <f>ROUND(F15+($A15-INDEX(新属性投放!$B$14:$B$34,属性汇总!$B15))*属性汇总!I15,0)</f>
        <v>1093</v>
      </c>
      <c r="R15" s="13">
        <v>11</v>
      </c>
      <c r="S15" s="13">
        <v>1</v>
      </c>
      <c r="T15" s="14">
        <f>INDEX(新属性投放!$L$6:$L$10,$S$3)*INDEX(新属性投放!$Q$6:$Q$10,$U$3)</f>
        <v>1.1499999999999999</v>
      </c>
      <c r="U15" s="14">
        <f>INDEX(新属性投放!J$42:J$62,属性汇总!$S15)*$T15</f>
        <v>402.49999999999994</v>
      </c>
      <c r="V15" s="14">
        <f>INDEX(新属性投放!K$42:K$62,属性汇总!$S15)*$T15</f>
        <v>114.99999999999999</v>
      </c>
      <c r="W15" s="14">
        <f>INDEX(新属性投放!L$42:L$62,属性汇总!$S15)*$T15</f>
        <v>862.49999999999989</v>
      </c>
      <c r="X15" s="14">
        <f>INDEX(新属性投放!$D$42:$D$62,属性汇总!$S15)*$T15</f>
        <v>17.25</v>
      </c>
      <c r="Y15" s="14">
        <f>INDEX(新属性投放!$D$42:$D$62,属性汇总!$S15)*$T15</f>
        <v>17.25</v>
      </c>
      <c r="Z15" s="14">
        <f>INDEX(新属性投放!$D$42:$D$62,属性汇总!$S15)*$T15</f>
        <v>17.25</v>
      </c>
      <c r="AA15" s="14">
        <f>ROUND(U15+($R15-INDEX(新属性投放!$B$14:$B$34,属性汇总!$S15))*属性汇总!X15,0)</f>
        <v>575</v>
      </c>
      <c r="AB15" s="14">
        <f>ROUND(V15+($R15-INDEX(新属性投放!$B$14:$B$34,属性汇总!$S15))*属性汇总!Y15,0)</f>
        <v>288</v>
      </c>
      <c r="AC15" s="14">
        <f>ROUND(W15+($R15-INDEX(新属性投放!$B$14:$B$34,属性汇总!$S15))*属性汇总!Z15,0)</f>
        <v>1035</v>
      </c>
    </row>
    <row r="16" spans="1:29" ht="16.5" x14ac:dyDescent="0.2">
      <c r="A16" s="13">
        <v>12</v>
      </c>
      <c r="B16" s="13">
        <v>1</v>
      </c>
      <c r="C16" s="14">
        <f>INDEX(新属性投放!$L$6:$L$10,属性汇总!$B$3)*INDEX(新属性投放!$Q$6:$Q$10,属性汇总!$D$3)</f>
        <v>1.1499999999999999</v>
      </c>
      <c r="D16" s="14">
        <f>INDEX(新属性投放!J$14:J$34,属性汇总!$B16)*$C16</f>
        <v>114.99999999999999</v>
      </c>
      <c r="E16" s="14">
        <f>INDEX(新属性投放!K$14:K$34,属性汇总!$B16)*$C16</f>
        <v>0</v>
      </c>
      <c r="F16" s="14">
        <f>INDEX(新属性投放!L$14:L$34,属性汇总!$B16)*$C16</f>
        <v>575</v>
      </c>
      <c r="G16" s="14">
        <f>INDEX(新属性投放!D$14:D$34,属性汇总!$B16)*$C16</f>
        <v>17.25</v>
      </c>
      <c r="H16" s="14">
        <f>INDEX(新属性投放!E$14:E$34,属性汇总!$B16)*$C16</f>
        <v>8.625</v>
      </c>
      <c r="I16" s="14">
        <f>INDEX(新属性投放!F$14:F$34,属性汇总!$B16)*$C16</f>
        <v>51.749999999999993</v>
      </c>
      <c r="J16" s="14">
        <f>ROUND(D16+($A16-INDEX(新属性投放!$B$14:$B$34,属性汇总!$B16))*属性汇总!G16,0)</f>
        <v>305</v>
      </c>
      <c r="K16" s="14">
        <f>ROUND(E16+($A16-INDEX(新属性投放!$B$14:$B$34,属性汇总!$B16))*属性汇总!H16,0)</f>
        <v>95</v>
      </c>
      <c r="L16" s="14">
        <f>ROUND(F16+($A16-INDEX(新属性投放!$B$14:$B$34,属性汇总!$B16))*属性汇总!I16,0)</f>
        <v>1144</v>
      </c>
      <c r="R16" s="13">
        <v>12</v>
      </c>
      <c r="S16" s="13">
        <v>1</v>
      </c>
      <c r="T16" s="14">
        <f>INDEX(新属性投放!$L$6:$L$10,$S$3)*INDEX(新属性投放!$Q$6:$Q$10,$U$3)</f>
        <v>1.1499999999999999</v>
      </c>
      <c r="U16" s="14">
        <f>INDEX(新属性投放!J$42:J$62,属性汇总!$S16)*$T16</f>
        <v>402.49999999999994</v>
      </c>
      <c r="V16" s="14">
        <f>INDEX(新属性投放!K$42:K$62,属性汇总!$S16)*$T16</f>
        <v>114.99999999999999</v>
      </c>
      <c r="W16" s="14">
        <f>INDEX(新属性投放!L$42:L$62,属性汇总!$S16)*$T16</f>
        <v>862.49999999999989</v>
      </c>
      <c r="X16" s="14">
        <f>INDEX(新属性投放!$D$42:$D$62,属性汇总!$S16)*$T16</f>
        <v>17.25</v>
      </c>
      <c r="Y16" s="14">
        <f>INDEX(新属性投放!$D$42:$D$62,属性汇总!$S16)*$T16</f>
        <v>17.25</v>
      </c>
      <c r="Z16" s="14">
        <f>INDEX(新属性投放!$D$42:$D$62,属性汇总!$S16)*$T16</f>
        <v>17.25</v>
      </c>
      <c r="AA16" s="14">
        <f>ROUND(U16+($R16-INDEX(新属性投放!$B$14:$B$34,属性汇总!$S16))*属性汇总!X16,0)</f>
        <v>592</v>
      </c>
      <c r="AB16" s="14">
        <f>ROUND(V16+($R16-INDEX(新属性投放!$B$14:$B$34,属性汇总!$S16))*属性汇总!Y16,0)</f>
        <v>305</v>
      </c>
      <c r="AC16" s="14">
        <f>ROUND(W16+($R16-INDEX(新属性投放!$B$14:$B$34,属性汇总!$S16))*属性汇总!Z16,0)</f>
        <v>1052</v>
      </c>
    </row>
    <row r="17" spans="1:29" ht="16.5" x14ac:dyDescent="0.2">
      <c r="A17" s="13">
        <v>13</v>
      </c>
      <c r="B17" s="13">
        <v>1</v>
      </c>
      <c r="C17" s="14">
        <f>INDEX(新属性投放!$L$6:$L$10,属性汇总!$B$3)*INDEX(新属性投放!$Q$6:$Q$10,属性汇总!$D$3)</f>
        <v>1.1499999999999999</v>
      </c>
      <c r="D17" s="14">
        <f>INDEX(新属性投放!J$14:J$34,属性汇总!$B17)*$C17</f>
        <v>114.99999999999999</v>
      </c>
      <c r="E17" s="14">
        <f>INDEX(新属性投放!K$14:K$34,属性汇总!$B17)*$C17</f>
        <v>0</v>
      </c>
      <c r="F17" s="14">
        <f>INDEX(新属性投放!L$14:L$34,属性汇总!$B17)*$C17</f>
        <v>575</v>
      </c>
      <c r="G17" s="14">
        <f>INDEX(新属性投放!D$14:D$34,属性汇总!$B17)*$C17</f>
        <v>17.25</v>
      </c>
      <c r="H17" s="14">
        <f>INDEX(新属性投放!E$14:E$34,属性汇总!$B17)*$C17</f>
        <v>8.625</v>
      </c>
      <c r="I17" s="14">
        <f>INDEX(新属性投放!F$14:F$34,属性汇总!$B17)*$C17</f>
        <v>51.749999999999993</v>
      </c>
      <c r="J17" s="14">
        <f>ROUND(D17+($A17-INDEX(新属性投放!$B$14:$B$34,属性汇总!$B17))*属性汇总!G17,0)</f>
        <v>322</v>
      </c>
      <c r="K17" s="14">
        <f>ROUND(E17+($A17-INDEX(新属性投放!$B$14:$B$34,属性汇总!$B17))*属性汇总!H17,0)</f>
        <v>104</v>
      </c>
      <c r="L17" s="14">
        <f>ROUND(F17+($A17-INDEX(新属性投放!$B$14:$B$34,属性汇总!$B17))*属性汇总!I17,0)</f>
        <v>1196</v>
      </c>
      <c r="R17" s="13">
        <v>13</v>
      </c>
      <c r="S17" s="13">
        <v>1</v>
      </c>
      <c r="T17" s="14">
        <f>INDEX(新属性投放!$L$6:$L$10,$S$3)*INDEX(新属性投放!$Q$6:$Q$10,$U$3)</f>
        <v>1.1499999999999999</v>
      </c>
      <c r="U17" s="14">
        <f>INDEX(新属性投放!J$42:J$62,属性汇总!$S17)*$T17</f>
        <v>402.49999999999994</v>
      </c>
      <c r="V17" s="14">
        <f>INDEX(新属性投放!K$42:K$62,属性汇总!$S17)*$T17</f>
        <v>114.99999999999999</v>
      </c>
      <c r="W17" s="14">
        <f>INDEX(新属性投放!L$42:L$62,属性汇总!$S17)*$T17</f>
        <v>862.49999999999989</v>
      </c>
      <c r="X17" s="14">
        <f>INDEX(新属性投放!$D$42:$D$62,属性汇总!$S17)*$T17</f>
        <v>17.25</v>
      </c>
      <c r="Y17" s="14">
        <f>INDEX(新属性投放!$D$42:$D$62,属性汇总!$S17)*$T17</f>
        <v>17.25</v>
      </c>
      <c r="Z17" s="14">
        <f>INDEX(新属性投放!$D$42:$D$62,属性汇总!$S17)*$T17</f>
        <v>17.25</v>
      </c>
      <c r="AA17" s="14">
        <f>ROUND(U17+($R17-INDEX(新属性投放!$B$14:$B$34,属性汇总!$S17))*属性汇总!X17,0)</f>
        <v>610</v>
      </c>
      <c r="AB17" s="14">
        <f>ROUND(V17+($R17-INDEX(新属性投放!$B$14:$B$34,属性汇总!$S17))*属性汇总!Y17,0)</f>
        <v>322</v>
      </c>
      <c r="AC17" s="14">
        <f>ROUND(W17+($R17-INDEX(新属性投放!$B$14:$B$34,属性汇总!$S17))*属性汇总!Z17,0)</f>
        <v>1070</v>
      </c>
    </row>
    <row r="18" spans="1:29" ht="16.5" x14ac:dyDescent="0.2">
      <c r="A18" s="13">
        <v>14</v>
      </c>
      <c r="B18" s="13">
        <v>1</v>
      </c>
      <c r="C18" s="14">
        <f>INDEX(新属性投放!$L$6:$L$10,属性汇总!$B$3)*INDEX(新属性投放!$Q$6:$Q$10,属性汇总!$D$3)</f>
        <v>1.1499999999999999</v>
      </c>
      <c r="D18" s="14">
        <f>INDEX(新属性投放!J$14:J$34,属性汇总!$B18)*$C18</f>
        <v>114.99999999999999</v>
      </c>
      <c r="E18" s="14">
        <f>INDEX(新属性投放!K$14:K$34,属性汇总!$B18)*$C18</f>
        <v>0</v>
      </c>
      <c r="F18" s="14">
        <f>INDEX(新属性投放!L$14:L$34,属性汇总!$B18)*$C18</f>
        <v>575</v>
      </c>
      <c r="G18" s="14">
        <f>INDEX(新属性投放!D$14:D$34,属性汇总!$B18)*$C18</f>
        <v>17.25</v>
      </c>
      <c r="H18" s="14">
        <f>INDEX(新属性投放!E$14:E$34,属性汇总!$B18)*$C18</f>
        <v>8.625</v>
      </c>
      <c r="I18" s="14">
        <f>INDEX(新属性投放!F$14:F$34,属性汇总!$B18)*$C18</f>
        <v>51.749999999999993</v>
      </c>
      <c r="J18" s="14">
        <f>ROUND(D18+($A18-INDEX(新属性投放!$B$14:$B$34,属性汇总!$B18))*属性汇总!G18,0)</f>
        <v>339</v>
      </c>
      <c r="K18" s="14">
        <f>ROUND(E18+($A18-INDEX(新属性投放!$B$14:$B$34,属性汇总!$B18))*属性汇总!H18,0)</f>
        <v>112</v>
      </c>
      <c r="L18" s="14">
        <f>ROUND(F18+($A18-INDEX(新属性投放!$B$14:$B$34,属性汇总!$B18))*属性汇总!I18,0)</f>
        <v>1248</v>
      </c>
      <c r="R18" s="13">
        <v>14</v>
      </c>
      <c r="S18" s="13">
        <v>1</v>
      </c>
      <c r="T18" s="14">
        <f>INDEX(新属性投放!$L$6:$L$10,$S$3)*INDEX(新属性投放!$Q$6:$Q$10,$U$3)</f>
        <v>1.1499999999999999</v>
      </c>
      <c r="U18" s="14">
        <f>INDEX(新属性投放!J$42:J$62,属性汇总!$S18)*$T18</f>
        <v>402.49999999999994</v>
      </c>
      <c r="V18" s="14">
        <f>INDEX(新属性投放!K$42:K$62,属性汇总!$S18)*$T18</f>
        <v>114.99999999999999</v>
      </c>
      <c r="W18" s="14">
        <f>INDEX(新属性投放!L$42:L$62,属性汇总!$S18)*$T18</f>
        <v>862.49999999999989</v>
      </c>
      <c r="X18" s="14">
        <f>INDEX(新属性投放!$D$42:$D$62,属性汇总!$S18)*$T18</f>
        <v>17.25</v>
      </c>
      <c r="Y18" s="14">
        <f>INDEX(新属性投放!$D$42:$D$62,属性汇总!$S18)*$T18</f>
        <v>17.25</v>
      </c>
      <c r="Z18" s="14">
        <f>INDEX(新属性投放!$D$42:$D$62,属性汇总!$S18)*$T18</f>
        <v>17.25</v>
      </c>
      <c r="AA18" s="14">
        <f>ROUND(U18+($R18-INDEX(新属性投放!$B$14:$B$34,属性汇总!$S18))*属性汇总!X18,0)</f>
        <v>627</v>
      </c>
      <c r="AB18" s="14">
        <f>ROUND(V18+($R18-INDEX(新属性投放!$B$14:$B$34,属性汇总!$S18))*属性汇总!Y18,0)</f>
        <v>339</v>
      </c>
      <c r="AC18" s="14">
        <f>ROUND(W18+($R18-INDEX(新属性投放!$B$14:$B$34,属性汇总!$S18))*属性汇总!Z18,0)</f>
        <v>1087</v>
      </c>
    </row>
    <row r="19" spans="1:29" ht="16.5" x14ac:dyDescent="0.2">
      <c r="A19" s="13">
        <v>15</v>
      </c>
      <c r="B19" s="13">
        <v>1</v>
      </c>
      <c r="C19" s="14">
        <f>INDEX(新属性投放!$L$6:$L$10,属性汇总!$B$3)*INDEX(新属性投放!$Q$6:$Q$10,属性汇总!$D$3)</f>
        <v>1.1499999999999999</v>
      </c>
      <c r="D19" s="14">
        <f>INDEX(新属性投放!J$14:J$34,属性汇总!$B19)*$C19</f>
        <v>114.99999999999999</v>
      </c>
      <c r="E19" s="14">
        <f>INDEX(新属性投放!K$14:K$34,属性汇总!$B19)*$C19</f>
        <v>0</v>
      </c>
      <c r="F19" s="14">
        <f>INDEX(新属性投放!L$14:L$34,属性汇总!$B19)*$C19</f>
        <v>575</v>
      </c>
      <c r="G19" s="14">
        <f>INDEX(新属性投放!D$14:D$34,属性汇总!$B19)*$C19</f>
        <v>17.25</v>
      </c>
      <c r="H19" s="14">
        <f>INDEX(新属性投放!E$14:E$34,属性汇总!$B19)*$C19</f>
        <v>8.625</v>
      </c>
      <c r="I19" s="14">
        <f>INDEX(新属性投放!F$14:F$34,属性汇总!$B19)*$C19</f>
        <v>51.749999999999993</v>
      </c>
      <c r="J19" s="14">
        <f>ROUND(D19+($A19-INDEX(新属性投放!$B$14:$B$34,属性汇总!$B19))*属性汇总!G19,0)</f>
        <v>357</v>
      </c>
      <c r="K19" s="14">
        <f>ROUND(E19+($A19-INDEX(新属性投放!$B$14:$B$34,属性汇总!$B19))*属性汇总!H19,0)</f>
        <v>121</v>
      </c>
      <c r="L19" s="14">
        <f>ROUND(F19+($A19-INDEX(新属性投放!$B$14:$B$34,属性汇总!$B19))*属性汇总!I19,0)</f>
        <v>1300</v>
      </c>
      <c r="R19" s="13">
        <v>15</v>
      </c>
      <c r="S19" s="13">
        <v>1</v>
      </c>
      <c r="T19" s="14">
        <f>INDEX(新属性投放!$L$6:$L$10,$S$3)*INDEX(新属性投放!$Q$6:$Q$10,$U$3)</f>
        <v>1.1499999999999999</v>
      </c>
      <c r="U19" s="14">
        <f>INDEX(新属性投放!J$42:J$62,属性汇总!$S19)*$T19</f>
        <v>402.49999999999994</v>
      </c>
      <c r="V19" s="14">
        <f>INDEX(新属性投放!K$42:K$62,属性汇总!$S19)*$T19</f>
        <v>114.99999999999999</v>
      </c>
      <c r="W19" s="14">
        <f>INDEX(新属性投放!L$42:L$62,属性汇总!$S19)*$T19</f>
        <v>862.49999999999989</v>
      </c>
      <c r="X19" s="14">
        <f>INDEX(新属性投放!$D$42:$D$62,属性汇总!$S19)*$T19</f>
        <v>17.25</v>
      </c>
      <c r="Y19" s="14">
        <f>INDEX(新属性投放!$D$42:$D$62,属性汇总!$S19)*$T19</f>
        <v>17.25</v>
      </c>
      <c r="Z19" s="14">
        <f>INDEX(新属性投放!$D$42:$D$62,属性汇总!$S19)*$T19</f>
        <v>17.25</v>
      </c>
      <c r="AA19" s="14">
        <f>ROUND(U19+($R19-INDEX(新属性投放!$B$14:$B$34,属性汇总!$S19))*属性汇总!X19,0)</f>
        <v>644</v>
      </c>
      <c r="AB19" s="14">
        <f>ROUND(V19+($R19-INDEX(新属性投放!$B$14:$B$34,属性汇总!$S19))*属性汇总!Y19,0)</f>
        <v>357</v>
      </c>
      <c r="AC19" s="14">
        <f>ROUND(W19+($R19-INDEX(新属性投放!$B$14:$B$34,属性汇总!$S19))*属性汇总!Z19,0)</f>
        <v>1104</v>
      </c>
    </row>
    <row r="20" spans="1:29" s="20" customFormat="1" ht="16.5" x14ac:dyDescent="0.2">
      <c r="A20" s="13">
        <v>15</v>
      </c>
      <c r="B20" s="13">
        <v>2</v>
      </c>
      <c r="C20" s="14">
        <f>INDEX(新属性投放!$L$6:$L$10,属性汇总!$B$3)*INDEX(新属性投放!$Q$6:$Q$10,属性汇总!$D$3)</f>
        <v>1.1499999999999999</v>
      </c>
      <c r="D20" s="14">
        <f>INDEX(新属性投放!J$14:J$34,属性汇总!$B20)*$C20</f>
        <v>281.75</v>
      </c>
      <c r="E20" s="14">
        <f>INDEX(新属性投放!K$14:K$34,属性汇总!$B20)*$C20</f>
        <v>97.174999999999997</v>
      </c>
      <c r="F20" s="14">
        <f>INDEX(新属性投放!L$14:L$34,属性汇总!$B20)*$C20</f>
        <v>1075.25</v>
      </c>
      <c r="G20" s="14">
        <f>INDEX(新属性投放!D$14:D$34,属性汇总!$B20)*$C20</f>
        <v>15.835499999999998</v>
      </c>
      <c r="H20" s="14">
        <f>INDEX(新属性投放!E$14:E$34,属性汇总!$B20)*$C20</f>
        <v>7.917749999999999</v>
      </c>
      <c r="I20" s="14">
        <f>INDEX(新属性投放!F$14:F$34,属性汇总!$B20)*$C20</f>
        <v>47.506499999999996</v>
      </c>
      <c r="J20" s="14">
        <f>ROUND(D20+($A20-INDEX(新属性投放!$B$14:$B$34,属性汇总!$B20))*属性汇总!G20,0)</f>
        <v>361</v>
      </c>
      <c r="K20" s="14">
        <f>ROUND(E20+($A20-INDEX(新属性投放!$B$14:$B$34,属性汇总!$B20))*属性汇总!H20,0)</f>
        <v>137</v>
      </c>
      <c r="L20" s="14">
        <f>ROUND(F20+($A20-INDEX(新属性投放!$B$14:$B$34,属性汇总!$B20))*属性汇总!I20,0)</f>
        <v>1313</v>
      </c>
      <c r="N20" s="37"/>
      <c r="O20" s="37"/>
      <c r="P20" s="37"/>
      <c r="R20" s="13">
        <v>15</v>
      </c>
      <c r="S20" s="13">
        <v>2</v>
      </c>
      <c r="T20" s="14">
        <f>INDEX(新属性投放!$L$6:$L$10,$S$3)*INDEX(新属性投放!$Q$6:$Q$10,$U$3)</f>
        <v>1.1499999999999999</v>
      </c>
      <c r="U20" s="14">
        <f>INDEX(新属性投放!J$42:J$62,属性汇总!$S20)*$T20</f>
        <v>586.5</v>
      </c>
      <c r="V20" s="14">
        <f>INDEX(新属性投放!K$42:K$62,属性汇总!$S20)*$T20</f>
        <v>204.12499999999997</v>
      </c>
      <c r="W20" s="14">
        <f>INDEX(新属性投放!L$42:L$62,属性汇总!$S20)*$T20</f>
        <v>1814.6999999999998</v>
      </c>
      <c r="X20" s="14">
        <f>INDEX(新属性投放!$D$42:$D$62,属性汇总!$S20)*$T20</f>
        <v>15.835499999999998</v>
      </c>
      <c r="Y20" s="14">
        <f>INDEX(新属性投放!$D$42:$D$62,属性汇总!$S20)*$T20</f>
        <v>15.835499999999998</v>
      </c>
      <c r="Z20" s="14">
        <f>INDEX(新属性投放!$D$42:$D$62,属性汇总!$S20)*$T20</f>
        <v>15.835499999999998</v>
      </c>
      <c r="AA20" s="14">
        <f>ROUND(U20+($R20-INDEX(新属性投放!$B$14:$B$34,属性汇总!$S20))*属性汇总!X20,0)</f>
        <v>666</v>
      </c>
      <c r="AB20" s="14">
        <f>ROUND(V20+($R20-INDEX(新属性投放!$B$14:$B$34,属性汇总!$S20))*属性汇总!Y20,0)</f>
        <v>283</v>
      </c>
      <c r="AC20" s="14">
        <f>ROUND(W20+($R20-INDEX(新属性投放!$B$14:$B$34,属性汇总!$S20))*属性汇总!Z20,0)</f>
        <v>1894</v>
      </c>
    </row>
    <row r="21" spans="1:29" ht="16.5" x14ac:dyDescent="0.2">
      <c r="A21" s="13">
        <v>16</v>
      </c>
      <c r="B21" s="13">
        <v>2</v>
      </c>
      <c r="C21" s="14">
        <f>INDEX(新属性投放!$L$6:$L$10,属性汇总!$B$3)*INDEX(新属性投放!$Q$6:$Q$10,属性汇总!$D$3)</f>
        <v>1.1499999999999999</v>
      </c>
      <c r="D21" s="14">
        <f>INDEX(新属性投放!J$14:J$34,属性汇总!$B21)*$C21</f>
        <v>281.75</v>
      </c>
      <c r="E21" s="14">
        <f>INDEX(新属性投放!K$14:K$34,属性汇总!$B21)*$C21</f>
        <v>97.174999999999997</v>
      </c>
      <c r="F21" s="14">
        <f>INDEX(新属性投放!L$14:L$34,属性汇总!$B21)*$C21</f>
        <v>1075.25</v>
      </c>
      <c r="G21" s="14">
        <f>INDEX(新属性投放!D$14:D$34,属性汇总!$B21)*$C21</f>
        <v>15.835499999999998</v>
      </c>
      <c r="H21" s="14">
        <f>INDEX(新属性投放!E$14:E$34,属性汇总!$B21)*$C21</f>
        <v>7.917749999999999</v>
      </c>
      <c r="I21" s="14">
        <f>INDEX(新属性投放!F$14:F$34,属性汇总!$B21)*$C21</f>
        <v>47.506499999999996</v>
      </c>
      <c r="J21" s="14">
        <f>ROUND(D21+($A21-INDEX(新属性投放!$B$14:$B$34,属性汇总!$B21))*属性汇总!G21,0)</f>
        <v>377</v>
      </c>
      <c r="K21" s="14">
        <f>ROUND(E21+($A21-INDEX(新属性投放!$B$14:$B$34,属性汇总!$B21))*属性汇总!H21,0)</f>
        <v>145</v>
      </c>
      <c r="L21" s="14">
        <f>ROUND(F21+($A21-INDEX(新属性投放!$B$14:$B$34,属性汇总!$B21))*属性汇总!I21,0)</f>
        <v>1360</v>
      </c>
      <c r="R21" s="13">
        <v>16</v>
      </c>
      <c r="S21" s="13">
        <v>2</v>
      </c>
      <c r="T21" s="14">
        <f>INDEX(新属性投放!$L$6:$L$10,$S$3)*INDEX(新属性投放!$Q$6:$Q$10,$U$3)</f>
        <v>1.1499999999999999</v>
      </c>
      <c r="U21" s="14">
        <f>INDEX(新属性投放!J$42:J$62,属性汇总!$S21)*$T21</f>
        <v>586.5</v>
      </c>
      <c r="V21" s="14">
        <f>INDEX(新属性投放!K$42:K$62,属性汇总!$S21)*$T21</f>
        <v>204.12499999999997</v>
      </c>
      <c r="W21" s="14">
        <f>INDEX(新属性投放!L$42:L$62,属性汇总!$S21)*$T21</f>
        <v>1814.6999999999998</v>
      </c>
      <c r="X21" s="14">
        <f>INDEX(新属性投放!$D$42:$D$62,属性汇总!$S21)*$T21</f>
        <v>15.835499999999998</v>
      </c>
      <c r="Y21" s="14">
        <f>INDEX(新属性投放!$D$42:$D$62,属性汇总!$S21)*$T21</f>
        <v>15.835499999999998</v>
      </c>
      <c r="Z21" s="14">
        <f>INDEX(新属性投放!$D$42:$D$62,属性汇总!$S21)*$T21</f>
        <v>15.835499999999998</v>
      </c>
      <c r="AA21" s="14">
        <f>ROUND(U21+($R21-INDEX(新属性投放!$B$14:$B$34,属性汇总!$S21))*属性汇总!X21,0)</f>
        <v>682</v>
      </c>
      <c r="AB21" s="14">
        <f>ROUND(V21+($R21-INDEX(新属性投放!$B$14:$B$34,属性汇总!$S21))*属性汇总!Y21,0)</f>
        <v>299</v>
      </c>
      <c r="AC21" s="14">
        <f>ROUND(W21+($R21-INDEX(新属性投放!$B$14:$B$34,属性汇总!$S21))*属性汇总!Z21,0)</f>
        <v>1910</v>
      </c>
    </row>
    <row r="22" spans="1:29" ht="16.5" x14ac:dyDescent="0.2">
      <c r="A22" s="13">
        <v>17</v>
      </c>
      <c r="B22" s="13">
        <v>2</v>
      </c>
      <c r="C22" s="14">
        <f>INDEX(新属性投放!$L$6:$L$10,属性汇总!$B$3)*INDEX(新属性投放!$Q$6:$Q$10,属性汇总!$D$3)</f>
        <v>1.1499999999999999</v>
      </c>
      <c r="D22" s="14">
        <f>INDEX(新属性投放!J$14:J$34,属性汇总!$B22)*$C22</f>
        <v>281.75</v>
      </c>
      <c r="E22" s="14">
        <f>INDEX(新属性投放!K$14:K$34,属性汇总!$B22)*$C22</f>
        <v>97.174999999999997</v>
      </c>
      <c r="F22" s="14">
        <f>INDEX(新属性投放!L$14:L$34,属性汇总!$B22)*$C22</f>
        <v>1075.25</v>
      </c>
      <c r="G22" s="14">
        <f>INDEX(新属性投放!D$14:D$34,属性汇总!$B22)*$C22</f>
        <v>15.835499999999998</v>
      </c>
      <c r="H22" s="14">
        <f>INDEX(新属性投放!E$14:E$34,属性汇总!$B22)*$C22</f>
        <v>7.917749999999999</v>
      </c>
      <c r="I22" s="14">
        <f>INDEX(新属性投放!F$14:F$34,属性汇总!$B22)*$C22</f>
        <v>47.506499999999996</v>
      </c>
      <c r="J22" s="14">
        <f>ROUND(D22+($A22-INDEX(新属性投放!$B$14:$B$34,属性汇总!$B22))*属性汇总!G22,0)</f>
        <v>393</v>
      </c>
      <c r="K22" s="14">
        <f>ROUND(E22+($A22-INDEX(新属性投放!$B$14:$B$34,属性汇总!$B22))*属性汇总!H22,0)</f>
        <v>153</v>
      </c>
      <c r="L22" s="14">
        <f>ROUND(F22+($A22-INDEX(新属性投放!$B$14:$B$34,属性汇总!$B22))*属性汇总!I22,0)</f>
        <v>1408</v>
      </c>
      <c r="R22" s="13">
        <v>17</v>
      </c>
      <c r="S22" s="13">
        <v>2</v>
      </c>
      <c r="T22" s="14">
        <f>INDEX(新属性投放!$L$6:$L$10,$S$3)*INDEX(新属性投放!$Q$6:$Q$10,$U$3)</f>
        <v>1.1499999999999999</v>
      </c>
      <c r="U22" s="14">
        <f>INDEX(新属性投放!J$42:J$62,属性汇总!$S22)*$T22</f>
        <v>586.5</v>
      </c>
      <c r="V22" s="14">
        <f>INDEX(新属性投放!K$42:K$62,属性汇总!$S22)*$T22</f>
        <v>204.12499999999997</v>
      </c>
      <c r="W22" s="14">
        <f>INDEX(新属性投放!L$42:L$62,属性汇总!$S22)*$T22</f>
        <v>1814.6999999999998</v>
      </c>
      <c r="X22" s="14">
        <f>INDEX(新属性投放!$D$42:$D$62,属性汇总!$S22)*$T22</f>
        <v>15.835499999999998</v>
      </c>
      <c r="Y22" s="14">
        <f>INDEX(新属性投放!$D$42:$D$62,属性汇总!$S22)*$T22</f>
        <v>15.835499999999998</v>
      </c>
      <c r="Z22" s="14">
        <f>INDEX(新属性投放!$D$42:$D$62,属性汇总!$S22)*$T22</f>
        <v>15.835499999999998</v>
      </c>
      <c r="AA22" s="14">
        <f>ROUND(U22+($R22-INDEX(新属性投放!$B$14:$B$34,属性汇总!$S22))*属性汇总!X22,0)</f>
        <v>697</v>
      </c>
      <c r="AB22" s="14">
        <f>ROUND(V22+($R22-INDEX(新属性投放!$B$14:$B$34,属性汇总!$S22))*属性汇总!Y22,0)</f>
        <v>315</v>
      </c>
      <c r="AC22" s="14">
        <f>ROUND(W22+($R22-INDEX(新属性投放!$B$14:$B$34,属性汇总!$S22))*属性汇总!Z22,0)</f>
        <v>1926</v>
      </c>
    </row>
    <row r="23" spans="1:29" ht="16.5" x14ac:dyDescent="0.2">
      <c r="A23" s="13">
        <v>18</v>
      </c>
      <c r="B23" s="13">
        <v>2</v>
      </c>
      <c r="C23" s="14">
        <f>INDEX(新属性投放!$L$6:$L$10,属性汇总!$B$3)*INDEX(新属性投放!$Q$6:$Q$10,属性汇总!$D$3)</f>
        <v>1.1499999999999999</v>
      </c>
      <c r="D23" s="14">
        <f>INDEX(新属性投放!J$14:J$34,属性汇总!$B23)*$C23</f>
        <v>281.75</v>
      </c>
      <c r="E23" s="14">
        <f>INDEX(新属性投放!K$14:K$34,属性汇总!$B23)*$C23</f>
        <v>97.174999999999997</v>
      </c>
      <c r="F23" s="14">
        <f>INDEX(新属性投放!L$14:L$34,属性汇总!$B23)*$C23</f>
        <v>1075.25</v>
      </c>
      <c r="G23" s="14">
        <f>INDEX(新属性投放!D$14:D$34,属性汇总!$B23)*$C23</f>
        <v>15.835499999999998</v>
      </c>
      <c r="H23" s="14">
        <f>INDEX(新属性投放!E$14:E$34,属性汇总!$B23)*$C23</f>
        <v>7.917749999999999</v>
      </c>
      <c r="I23" s="14">
        <f>INDEX(新属性投放!F$14:F$34,属性汇总!$B23)*$C23</f>
        <v>47.506499999999996</v>
      </c>
      <c r="J23" s="14">
        <f>ROUND(D23+($A23-INDEX(新属性投放!$B$14:$B$34,属性汇总!$B23))*属性汇总!G23,0)</f>
        <v>408</v>
      </c>
      <c r="K23" s="14">
        <f>ROUND(E23+($A23-INDEX(新属性投放!$B$14:$B$34,属性汇总!$B23))*属性汇总!H23,0)</f>
        <v>161</v>
      </c>
      <c r="L23" s="14">
        <f>ROUND(F23+($A23-INDEX(新属性投放!$B$14:$B$34,属性汇总!$B23))*属性汇总!I23,0)</f>
        <v>1455</v>
      </c>
      <c r="R23" s="13">
        <v>18</v>
      </c>
      <c r="S23" s="13">
        <v>2</v>
      </c>
      <c r="T23" s="14">
        <f>INDEX(新属性投放!$L$6:$L$10,$S$3)*INDEX(新属性投放!$Q$6:$Q$10,$U$3)</f>
        <v>1.1499999999999999</v>
      </c>
      <c r="U23" s="14">
        <f>INDEX(新属性投放!J$42:J$62,属性汇总!$S23)*$T23</f>
        <v>586.5</v>
      </c>
      <c r="V23" s="14">
        <f>INDEX(新属性投放!K$42:K$62,属性汇总!$S23)*$T23</f>
        <v>204.12499999999997</v>
      </c>
      <c r="W23" s="14">
        <f>INDEX(新属性投放!L$42:L$62,属性汇总!$S23)*$T23</f>
        <v>1814.6999999999998</v>
      </c>
      <c r="X23" s="14">
        <f>INDEX(新属性投放!$D$42:$D$62,属性汇总!$S23)*$T23</f>
        <v>15.835499999999998</v>
      </c>
      <c r="Y23" s="14">
        <f>INDEX(新属性投放!$D$42:$D$62,属性汇总!$S23)*$T23</f>
        <v>15.835499999999998</v>
      </c>
      <c r="Z23" s="14">
        <f>INDEX(新属性投放!$D$42:$D$62,属性汇总!$S23)*$T23</f>
        <v>15.835499999999998</v>
      </c>
      <c r="AA23" s="14">
        <f>ROUND(U23+($R23-INDEX(新属性投放!$B$14:$B$34,属性汇总!$S23))*属性汇总!X23,0)</f>
        <v>713</v>
      </c>
      <c r="AB23" s="14">
        <f>ROUND(V23+($R23-INDEX(新属性投放!$B$14:$B$34,属性汇总!$S23))*属性汇总!Y23,0)</f>
        <v>331</v>
      </c>
      <c r="AC23" s="14">
        <f>ROUND(W23+($R23-INDEX(新属性投放!$B$14:$B$34,属性汇总!$S23))*属性汇总!Z23,0)</f>
        <v>1941</v>
      </c>
    </row>
    <row r="24" spans="1:29" ht="16.5" x14ac:dyDescent="0.2">
      <c r="A24" s="13">
        <v>19</v>
      </c>
      <c r="B24" s="13">
        <v>2</v>
      </c>
      <c r="C24" s="14">
        <f>INDEX(新属性投放!$L$6:$L$10,属性汇总!$B$3)*INDEX(新属性投放!$Q$6:$Q$10,属性汇总!$D$3)</f>
        <v>1.1499999999999999</v>
      </c>
      <c r="D24" s="14">
        <f>INDEX(新属性投放!J$14:J$34,属性汇总!$B24)*$C24</f>
        <v>281.75</v>
      </c>
      <c r="E24" s="14">
        <f>INDEX(新属性投放!K$14:K$34,属性汇总!$B24)*$C24</f>
        <v>97.174999999999997</v>
      </c>
      <c r="F24" s="14">
        <f>INDEX(新属性投放!L$14:L$34,属性汇总!$B24)*$C24</f>
        <v>1075.25</v>
      </c>
      <c r="G24" s="14">
        <f>INDEX(新属性投放!D$14:D$34,属性汇总!$B24)*$C24</f>
        <v>15.835499999999998</v>
      </c>
      <c r="H24" s="14">
        <f>INDEX(新属性投放!E$14:E$34,属性汇总!$B24)*$C24</f>
        <v>7.917749999999999</v>
      </c>
      <c r="I24" s="14">
        <f>INDEX(新属性投放!F$14:F$34,属性汇总!$B24)*$C24</f>
        <v>47.506499999999996</v>
      </c>
      <c r="J24" s="14">
        <f>ROUND(D24+($A24-INDEX(新属性投放!$B$14:$B$34,属性汇总!$B24))*属性汇总!G24,0)</f>
        <v>424</v>
      </c>
      <c r="K24" s="14">
        <f>ROUND(E24+($A24-INDEX(新属性投放!$B$14:$B$34,属性汇总!$B24))*属性汇总!H24,0)</f>
        <v>168</v>
      </c>
      <c r="L24" s="14">
        <f>ROUND(F24+($A24-INDEX(新属性投放!$B$14:$B$34,属性汇总!$B24))*属性汇总!I24,0)</f>
        <v>1503</v>
      </c>
      <c r="R24" s="13">
        <v>19</v>
      </c>
      <c r="S24" s="13">
        <v>2</v>
      </c>
      <c r="T24" s="14">
        <f>INDEX(新属性投放!$L$6:$L$10,$S$3)*INDEX(新属性投放!$Q$6:$Q$10,$U$3)</f>
        <v>1.1499999999999999</v>
      </c>
      <c r="U24" s="14">
        <f>INDEX(新属性投放!J$42:J$62,属性汇总!$S24)*$T24</f>
        <v>586.5</v>
      </c>
      <c r="V24" s="14">
        <f>INDEX(新属性投放!K$42:K$62,属性汇总!$S24)*$T24</f>
        <v>204.12499999999997</v>
      </c>
      <c r="W24" s="14">
        <f>INDEX(新属性投放!L$42:L$62,属性汇总!$S24)*$T24</f>
        <v>1814.6999999999998</v>
      </c>
      <c r="X24" s="14">
        <f>INDEX(新属性投放!$D$42:$D$62,属性汇总!$S24)*$T24</f>
        <v>15.835499999999998</v>
      </c>
      <c r="Y24" s="14">
        <f>INDEX(新属性投放!$D$42:$D$62,属性汇总!$S24)*$T24</f>
        <v>15.835499999999998</v>
      </c>
      <c r="Z24" s="14">
        <f>INDEX(新属性投放!$D$42:$D$62,属性汇总!$S24)*$T24</f>
        <v>15.835499999999998</v>
      </c>
      <c r="AA24" s="14">
        <f>ROUND(U24+($R24-INDEX(新属性投放!$B$14:$B$34,属性汇总!$S24))*属性汇总!X24,0)</f>
        <v>729</v>
      </c>
      <c r="AB24" s="14">
        <f>ROUND(V24+($R24-INDEX(新属性投放!$B$14:$B$34,属性汇总!$S24))*属性汇总!Y24,0)</f>
        <v>347</v>
      </c>
      <c r="AC24" s="14">
        <f>ROUND(W24+($R24-INDEX(新属性投放!$B$14:$B$34,属性汇总!$S24))*属性汇总!Z24,0)</f>
        <v>1957</v>
      </c>
    </row>
    <row r="25" spans="1:29" ht="16.5" x14ac:dyDescent="0.2">
      <c r="A25" s="13">
        <v>20</v>
      </c>
      <c r="B25" s="13">
        <v>2</v>
      </c>
      <c r="C25" s="14">
        <f>INDEX(新属性投放!$L$6:$L$10,属性汇总!$B$3)*INDEX(新属性投放!$Q$6:$Q$10,属性汇总!$D$3)</f>
        <v>1.1499999999999999</v>
      </c>
      <c r="D25" s="14">
        <f>INDEX(新属性投放!J$14:J$34,属性汇总!$B25)*$C25</f>
        <v>281.75</v>
      </c>
      <c r="E25" s="14">
        <f>INDEX(新属性投放!K$14:K$34,属性汇总!$B25)*$C25</f>
        <v>97.174999999999997</v>
      </c>
      <c r="F25" s="14">
        <f>INDEX(新属性投放!L$14:L$34,属性汇总!$B25)*$C25</f>
        <v>1075.25</v>
      </c>
      <c r="G25" s="14">
        <f>INDEX(新属性投放!D$14:D$34,属性汇总!$B25)*$C25</f>
        <v>15.835499999999998</v>
      </c>
      <c r="H25" s="14">
        <f>INDEX(新属性投放!E$14:E$34,属性汇总!$B25)*$C25</f>
        <v>7.917749999999999</v>
      </c>
      <c r="I25" s="14">
        <f>INDEX(新属性投放!F$14:F$34,属性汇总!$B25)*$C25</f>
        <v>47.506499999999996</v>
      </c>
      <c r="J25" s="14">
        <f>ROUND(D25+($A25-INDEX(新属性投放!$B$14:$B$34,属性汇总!$B25))*属性汇总!G25,0)</f>
        <v>440</v>
      </c>
      <c r="K25" s="14">
        <f>ROUND(E25+($A25-INDEX(新属性投放!$B$14:$B$34,属性汇总!$B25))*属性汇总!H25,0)</f>
        <v>176</v>
      </c>
      <c r="L25" s="14">
        <f>ROUND(F25+($A25-INDEX(新属性投放!$B$14:$B$34,属性汇总!$B25))*属性汇总!I25,0)</f>
        <v>1550</v>
      </c>
      <c r="R25" s="13">
        <v>20</v>
      </c>
      <c r="S25" s="13">
        <v>2</v>
      </c>
      <c r="T25" s="14">
        <f>INDEX(新属性投放!$L$6:$L$10,$S$3)*INDEX(新属性投放!$Q$6:$Q$10,$U$3)</f>
        <v>1.1499999999999999</v>
      </c>
      <c r="U25" s="14">
        <f>INDEX(新属性投放!J$42:J$62,属性汇总!$S25)*$T25</f>
        <v>586.5</v>
      </c>
      <c r="V25" s="14">
        <f>INDEX(新属性投放!K$42:K$62,属性汇总!$S25)*$T25</f>
        <v>204.12499999999997</v>
      </c>
      <c r="W25" s="14">
        <f>INDEX(新属性投放!L$42:L$62,属性汇总!$S25)*$T25</f>
        <v>1814.6999999999998</v>
      </c>
      <c r="X25" s="14">
        <f>INDEX(新属性投放!$D$42:$D$62,属性汇总!$S25)*$T25</f>
        <v>15.835499999999998</v>
      </c>
      <c r="Y25" s="14">
        <f>INDEX(新属性投放!$D$42:$D$62,属性汇总!$S25)*$T25</f>
        <v>15.835499999999998</v>
      </c>
      <c r="Z25" s="14">
        <f>INDEX(新属性投放!$D$42:$D$62,属性汇总!$S25)*$T25</f>
        <v>15.835499999999998</v>
      </c>
      <c r="AA25" s="14">
        <f>ROUND(U25+($R25-INDEX(新属性投放!$B$14:$B$34,属性汇总!$S25))*属性汇总!X25,0)</f>
        <v>745</v>
      </c>
      <c r="AB25" s="14">
        <f>ROUND(V25+($R25-INDEX(新属性投放!$B$14:$B$34,属性汇总!$S25))*属性汇总!Y25,0)</f>
        <v>362</v>
      </c>
      <c r="AC25" s="14">
        <f>ROUND(W25+($R25-INDEX(新属性投放!$B$14:$B$34,属性汇总!$S25))*属性汇总!Z25,0)</f>
        <v>1973</v>
      </c>
    </row>
    <row r="26" spans="1:29" ht="16.5" x14ac:dyDescent="0.2">
      <c r="A26" s="13">
        <v>21</v>
      </c>
      <c r="B26" s="13">
        <v>2</v>
      </c>
      <c r="C26" s="14">
        <f>INDEX(新属性投放!$L$6:$L$10,属性汇总!$B$3)*INDEX(新属性投放!$Q$6:$Q$10,属性汇总!$D$3)</f>
        <v>1.1499999999999999</v>
      </c>
      <c r="D26" s="14">
        <f>INDEX(新属性投放!J$14:J$34,属性汇总!$B26)*$C26</f>
        <v>281.75</v>
      </c>
      <c r="E26" s="14">
        <f>INDEX(新属性投放!K$14:K$34,属性汇总!$B26)*$C26</f>
        <v>97.174999999999997</v>
      </c>
      <c r="F26" s="14">
        <f>INDEX(新属性投放!L$14:L$34,属性汇总!$B26)*$C26</f>
        <v>1075.25</v>
      </c>
      <c r="G26" s="14">
        <f>INDEX(新属性投放!D$14:D$34,属性汇总!$B26)*$C26</f>
        <v>15.835499999999998</v>
      </c>
      <c r="H26" s="14">
        <f>INDEX(新属性投放!E$14:E$34,属性汇总!$B26)*$C26</f>
        <v>7.917749999999999</v>
      </c>
      <c r="I26" s="14">
        <f>INDEX(新属性投放!F$14:F$34,属性汇总!$B26)*$C26</f>
        <v>47.506499999999996</v>
      </c>
      <c r="J26" s="14">
        <f>ROUND(D26+($A26-INDEX(新属性投放!$B$14:$B$34,属性汇总!$B26))*属性汇总!G26,0)</f>
        <v>456</v>
      </c>
      <c r="K26" s="14">
        <f>ROUND(E26+($A26-INDEX(新属性投放!$B$14:$B$34,属性汇总!$B26))*属性汇总!H26,0)</f>
        <v>184</v>
      </c>
      <c r="L26" s="14">
        <f>ROUND(F26+($A26-INDEX(新属性投放!$B$14:$B$34,属性汇总!$B26))*属性汇总!I26,0)</f>
        <v>1598</v>
      </c>
      <c r="R26" s="13">
        <v>21</v>
      </c>
      <c r="S26" s="13">
        <v>2</v>
      </c>
      <c r="T26" s="14">
        <f>INDEX(新属性投放!$L$6:$L$10,$S$3)*INDEX(新属性投放!$Q$6:$Q$10,$U$3)</f>
        <v>1.1499999999999999</v>
      </c>
      <c r="U26" s="14">
        <f>INDEX(新属性投放!J$42:J$62,属性汇总!$S26)*$T26</f>
        <v>586.5</v>
      </c>
      <c r="V26" s="14">
        <f>INDEX(新属性投放!K$42:K$62,属性汇总!$S26)*$T26</f>
        <v>204.12499999999997</v>
      </c>
      <c r="W26" s="14">
        <f>INDEX(新属性投放!L$42:L$62,属性汇总!$S26)*$T26</f>
        <v>1814.6999999999998</v>
      </c>
      <c r="X26" s="14">
        <f>INDEX(新属性投放!$D$42:$D$62,属性汇总!$S26)*$T26</f>
        <v>15.835499999999998</v>
      </c>
      <c r="Y26" s="14">
        <f>INDEX(新属性投放!$D$42:$D$62,属性汇总!$S26)*$T26</f>
        <v>15.835499999999998</v>
      </c>
      <c r="Z26" s="14">
        <f>INDEX(新属性投放!$D$42:$D$62,属性汇总!$S26)*$T26</f>
        <v>15.835499999999998</v>
      </c>
      <c r="AA26" s="14">
        <f>ROUND(U26+($R26-INDEX(新属性投放!$B$14:$B$34,属性汇总!$S26))*属性汇总!X26,0)</f>
        <v>761</v>
      </c>
      <c r="AB26" s="14">
        <f>ROUND(V26+($R26-INDEX(新属性投放!$B$14:$B$34,属性汇总!$S26))*属性汇总!Y26,0)</f>
        <v>378</v>
      </c>
      <c r="AC26" s="14">
        <f>ROUND(W26+($R26-INDEX(新属性投放!$B$14:$B$34,属性汇总!$S26))*属性汇总!Z26,0)</f>
        <v>1989</v>
      </c>
    </row>
    <row r="27" spans="1:29" ht="16.5" x14ac:dyDescent="0.2">
      <c r="A27" s="13">
        <v>22</v>
      </c>
      <c r="B27" s="13">
        <v>2</v>
      </c>
      <c r="C27" s="14">
        <f>INDEX(新属性投放!$L$6:$L$10,属性汇总!$B$3)*INDEX(新属性投放!$Q$6:$Q$10,属性汇总!$D$3)</f>
        <v>1.1499999999999999</v>
      </c>
      <c r="D27" s="14">
        <f>INDEX(新属性投放!J$14:J$34,属性汇总!$B27)*$C27</f>
        <v>281.75</v>
      </c>
      <c r="E27" s="14">
        <f>INDEX(新属性投放!K$14:K$34,属性汇总!$B27)*$C27</f>
        <v>97.174999999999997</v>
      </c>
      <c r="F27" s="14">
        <f>INDEX(新属性投放!L$14:L$34,属性汇总!$B27)*$C27</f>
        <v>1075.25</v>
      </c>
      <c r="G27" s="14">
        <f>INDEX(新属性投放!D$14:D$34,属性汇总!$B27)*$C27</f>
        <v>15.835499999999998</v>
      </c>
      <c r="H27" s="14">
        <f>INDEX(新属性投放!E$14:E$34,属性汇总!$B27)*$C27</f>
        <v>7.917749999999999</v>
      </c>
      <c r="I27" s="14">
        <f>INDEX(新属性投放!F$14:F$34,属性汇总!$B27)*$C27</f>
        <v>47.506499999999996</v>
      </c>
      <c r="J27" s="14">
        <f>ROUND(D27+($A27-INDEX(新属性投放!$B$14:$B$34,属性汇总!$B27))*属性汇总!G27,0)</f>
        <v>472</v>
      </c>
      <c r="K27" s="14">
        <f>ROUND(E27+($A27-INDEX(新属性投放!$B$14:$B$34,属性汇总!$B27))*属性汇总!H27,0)</f>
        <v>192</v>
      </c>
      <c r="L27" s="14">
        <f>ROUND(F27+($A27-INDEX(新属性投放!$B$14:$B$34,属性汇总!$B27))*属性汇总!I27,0)</f>
        <v>1645</v>
      </c>
      <c r="R27" s="13">
        <v>22</v>
      </c>
      <c r="S27" s="13">
        <v>2</v>
      </c>
      <c r="T27" s="14">
        <f>INDEX(新属性投放!$L$6:$L$10,$S$3)*INDEX(新属性投放!$Q$6:$Q$10,$U$3)</f>
        <v>1.1499999999999999</v>
      </c>
      <c r="U27" s="14">
        <f>INDEX(新属性投放!J$42:J$62,属性汇总!$S27)*$T27</f>
        <v>586.5</v>
      </c>
      <c r="V27" s="14">
        <f>INDEX(新属性投放!K$42:K$62,属性汇总!$S27)*$T27</f>
        <v>204.12499999999997</v>
      </c>
      <c r="W27" s="14">
        <f>INDEX(新属性投放!L$42:L$62,属性汇总!$S27)*$T27</f>
        <v>1814.6999999999998</v>
      </c>
      <c r="X27" s="14">
        <f>INDEX(新属性投放!$D$42:$D$62,属性汇总!$S27)*$T27</f>
        <v>15.835499999999998</v>
      </c>
      <c r="Y27" s="14">
        <f>INDEX(新属性投放!$D$42:$D$62,属性汇总!$S27)*$T27</f>
        <v>15.835499999999998</v>
      </c>
      <c r="Z27" s="14">
        <f>INDEX(新属性投放!$D$42:$D$62,属性汇总!$S27)*$T27</f>
        <v>15.835499999999998</v>
      </c>
      <c r="AA27" s="14">
        <f>ROUND(U27+($R27-INDEX(新属性投放!$B$14:$B$34,属性汇总!$S27))*属性汇总!X27,0)</f>
        <v>777</v>
      </c>
      <c r="AB27" s="14">
        <f>ROUND(V27+($R27-INDEX(新属性投放!$B$14:$B$34,属性汇总!$S27))*属性汇总!Y27,0)</f>
        <v>394</v>
      </c>
      <c r="AC27" s="14">
        <f>ROUND(W27+($R27-INDEX(新属性投放!$B$14:$B$34,属性汇总!$S27))*属性汇总!Z27,0)</f>
        <v>2005</v>
      </c>
    </row>
    <row r="28" spans="1:29" ht="16.5" x14ac:dyDescent="0.2">
      <c r="A28" s="13">
        <v>23</v>
      </c>
      <c r="B28" s="13">
        <v>2</v>
      </c>
      <c r="C28" s="14">
        <f>INDEX(新属性投放!$L$6:$L$10,属性汇总!$B$3)*INDEX(新属性投放!$Q$6:$Q$10,属性汇总!$D$3)</f>
        <v>1.1499999999999999</v>
      </c>
      <c r="D28" s="14">
        <f>INDEX(新属性投放!J$14:J$34,属性汇总!$B28)*$C28</f>
        <v>281.75</v>
      </c>
      <c r="E28" s="14">
        <f>INDEX(新属性投放!K$14:K$34,属性汇总!$B28)*$C28</f>
        <v>97.174999999999997</v>
      </c>
      <c r="F28" s="14">
        <f>INDEX(新属性投放!L$14:L$34,属性汇总!$B28)*$C28</f>
        <v>1075.25</v>
      </c>
      <c r="G28" s="14">
        <f>INDEX(新属性投放!D$14:D$34,属性汇总!$B28)*$C28</f>
        <v>15.835499999999998</v>
      </c>
      <c r="H28" s="14">
        <f>INDEX(新属性投放!E$14:E$34,属性汇总!$B28)*$C28</f>
        <v>7.917749999999999</v>
      </c>
      <c r="I28" s="14">
        <f>INDEX(新属性投放!F$14:F$34,属性汇总!$B28)*$C28</f>
        <v>47.506499999999996</v>
      </c>
      <c r="J28" s="14">
        <f>ROUND(D28+($A28-INDEX(新属性投放!$B$14:$B$34,属性汇总!$B28))*属性汇总!G28,0)</f>
        <v>488</v>
      </c>
      <c r="K28" s="14">
        <f>ROUND(E28+($A28-INDEX(新属性投放!$B$14:$B$34,属性汇总!$B28))*属性汇总!H28,0)</f>
        <v>200</v>
      </c>
      <c r="L28" s="14">
        <f>ROUND(F28+($A28-INDEX(新属性投放!$B$14:$B$34,属性汇总!$B28))*属性汇总!I28,0)</f>
        <v>1693</v>
      </c>
      <c r="R28" s="13">
        <v>23</v>
      </c>
      <c r="S28" s="13">
        <v>2</v>
      </c>
      <c r="T28" s="14">
        <f>INDEX(新属性投放!$L$6:$L$10,$S$3)*INDEX(新属性投放!$Q$6:$Q$10,$U$3)</f>
        <v>1.1499999999999999</v>
      </c>
      <c r="U28" s="14">
        <f>INDEX(新属性投放!J$42:J$62,属性汇总!$S28)*$T28</f>
        <v>586.5</v>
      </c>
      <c r="V28" s="14">
        <f>INDEX(新属性投放!K$42:K$62,属性汇总!$S28)*$T28</f>
        <v>204.12499999999997</v>
      </c>
      <c r="W28" s="14">
        <f>INDEX(新属性投放!L$42:L$62,属性汇总!$S28)*$T28</f>
        <v>1814.6999999999998</v>
      </c>
      <c r="X28" s="14">
        <f>INDEX(新属性投放!$D$42:$D$62,属性汇总!$S28)*$T28</f>
        <v>15.835499999999998</v>
      </c>
      <c r="Y28" s="14">
        <f>INDEX(新属性投放!$D$42:$D$62,属性汇总!$S28)*$T28</f>
        <v>15.835499999999998</v>
      </c>
      <c r="Z28" s="14">
        <f>INDEX(新属性投放!$D$42:$D$62,属性汇总!$S28)*$T28</f>
        <v>15.835499999999998</v>
      </c>
      <c r="AA28" s="14">
        <f>ROUND(U28+($R28-INDEX(新属性投放!$B$14:$B$34,属性汇总!$S28))*属性汇总!X28,0)</f>
        <v>792</v>
      </c>
      <c r="AB28" s="14">
        <f>ROUND(V28+($R28-INDEX(新属性投放!$B$14:$B$34,属性汇总!$S28))*属性汇总!Y28,0)</f>
        <v>410</v>
      </c>
      <c r="AC28" s="14">
        <f>ROUND(W28+($R28-INDEX(新属性投放!$B$14:$B$34,属性汇总!$S28))*属性汇总!Z28,0)</f>
        <v>2021</v>
      </c>
    </row>
    <row r="29" spans="1:29" ht="16.5" x14ac:dyDescent="0.2">
      <c r="A29" s="13">
        <v>24</v>
      </c>
      <c r="B29" s="13">
        <v>2</v>
      </c>
      <c r="C29" s="14">
        <f>INDEX(新属性投放!$L$6:$L$10,属性汇总!$B$3)*INDEX(新属性投放!$Q$6:$Q$10,属性汇总!$D$3)</f>
        <v>1.1499999999999999</v>
      </c>
      <c r="D29" s="14">
        <f>INDEX(新属性投放!J$14:J$34,属性汇总!$B29)*$C29</f>
        <v>281.75</v>
      </c>
      <c r="E29" s="14">
        <f>INDEX(新属性投放!K$14:K$34,属性汇总!$B29)*$C29</f>
        <v>97.174999999999997</v>
      </c>
      <c r="F29" s="14">
        <f>INDEX(新属性投放!L$14:L$34,属性汇总!$B29)*$C29</f>
        <v>1075.25</v>
      </c>
      <c r="G29" s="14">
        <f>INDEX(新属性投放!D$14:D$34,属性汇总!$B29)*$C29</f>
        <v>15.835499999999998</v>
      </c>
      <c r="H29" s="14">
        <f>INDEX(新属性投放!E$14:E$34,属性汇总!$B29)*$C29</f>
        <v>7.917749999999999</v>
      </c>
      <c r="I29" s="14">
        <f>INDEX(新属性投放!F$14:F$34,属性汇总!$B29)*$C29</f>
        <v>47.506499999999996</v>
      </c>
      <c r="J29" s="14">
        <f>ROUND(D29+($A29-INDEX(新属性投放!$B$14:$B$34,属性汇总!$B29))*属性汇总!G29,0)</f>
        <v>503</v>
      </c>
      <c r="K29" s="14">
        <f>ROUND(E29+($A29-INDEX(新属性投放!$B$14:$B$34,属性汇总!$B29))*属性汇总!H29,0)</f>
        <v>208</v>
      </c>
      <c r="L29" s="14">
        <f>ROUND(F29+($A29-INDEX(新属性投放!$B$14:$B$34,属性汇总!$B29))*属性汇总!I29,0)</f>
        <v>1740</v>
      </c>
      <c r="R29" s="13">
        <v>24</v>
      </c>
      <c r="S29" s="13">
        <v>2</v>
      </c>
      <c r="T29" s="14">
        <f>INDEX(新属性投放!$L$6:$L$10,$S$3)*INDEX(新属性投放!$Q$6:$Q$10,$U$3)</f>
        <v>1.1499999999999999</v>
      </c>
      <c r="U29" s="14">
        <f>INDEX(新属性投放!J$42:J$62,属性汇总!$S29)*$T29</f>
        <v>586.5</v>
      </c>
      <c r="V29" s="14">
        <f>INDEX(新属性投放!K$42:K$62,属性汇总!$S29)*$T29</f>
        <v>204.12499999999997</v>
      </c>
      <c r="W29" s="14">
        <f>INDEX(新属性投放!L$42:L$62,属性汇总!$S29)*$T29</f>
        <v>1814.6999999999998</v>
      </c>
      <c r="X29" s="14">
        <f>INDEX(新属性投放!$D$42:$D$62,属性汇总!$S29)*$T29</f>
        <v>15.835499999999998</v>
      </c>
      <c r="Y29" s="14">
        <f>INDEX(新属性投放!$D$42:$D$62,属性汇总!$S29)*$T29</f>
        <v>15.835499999999998</v>
      </c>
      <c r="Z29" s="14">
        <f>INDEX(新属性投放!$D$42:$D$62,属性汇总!$S29)*$T29</f>
        <v>15.835499999999998</v>
      </c>
      <c r="AA29" s="14">
        <f>ROUND(U29+($R29-INDEX(新属性投放!$B$14:$B$34,属性汇总!$S29))*属性汇总!X29,0)</f>
        <v>808</v>
      </c>
      <c r="AB29" s="14">
        <f>ROUND(V29+($R29-INDEX(新属性投放!$B$14:$B$34,属性汇总!$S29))*属性汇总!Y29,0)</f>
        <v>426</v>
      </c>
      <c r="AC29" s="14">
        <f>ROUND(W29+($R29-INDEX(新属性投放!$B$14:$B$34,属性汇总!$S29))*属性汇总!Z29,0)</f>
        <v>2036</v>
      </c>
    </row>
    <row r="30" spans="1:29" ht="16.5" x14ac:dyDescent="0.2">
      <c r="A30" s="13">
        <v>25</v>
      </c>
      <c r="B30" s="13">
        <v>2</v>
      </c>
      <c r="C30" s="14">
        <f>INDEX(新属性投放!$L$6:$L$10,属性汇总!$B$3)*INDEX(新属性投放!$Q$6:$Q$10,属性汇总!$D$3)</f>
        <v>1.1499999999999999</v>
      </c>
      <c r="D30" s="14">
        <f>INDEX(新属性投放!J$14:J$34,属性汇总!$B30)*$C30</f>
        <v>281.75</v>
      </c>
      <c r="E30" s="14">
        <f>INDEX(新属性投放!K$14:K$34,属性汇总!$B30)*$C30</f>
        <v>97.174999999999997</v>
      </c>
      <c r="F30" s="14">
        <f>INDEX(新属性投放!L$14:L$34,属性汇总!$B30)*$C30</f>
        <v>1075.25</v>
      </c>
      <c r="G30" s="14">
        <f>INDEX(新属性投放!D$14:D$34,属性汇总!$B30)*$C30</f>
        <v>15.835499999999998</v>
      </c>
      <c r="H30" s="14">
        <f>INDEX(新属性投放!E$14:E$34,属性汇总!$B30)*$C30</f>
        <v>7.917749999999999</v>
      </c>
      <c r="I30" s="14">
        <f>INDEX(新属性投放!F$14:F$34,属性汇总!$B30)*$C30</f>
        <v>47.506499999999996</v>
      </c>
      <c r="J30" s="14">
        <f>ROUND(D30+($A30-INDEX(新属性投放!$B$14:$B$34,属性汇总!$B30))*属性汇总!G30,0)</f>
        <v>519</v>
      </c>
      <c r="K30" s="14">
        <f>ROUND(E30+($A30-INDEX(新属性投放!$B$14:$B$34,属性汇总!$B30))*属性汇总!H30,0)</f>
        <v>216</v>
      </c>
      <c r="L30" s="14">
        <f>ROUND(F30+($A30-INDEX(新属性投放!$B$14:$B$34,属性汇总!$B30))*属性汇总!I30,0)</f>
        <v>1788</v>
      </c>
      <c r="R30" s="13">
        <v>25</v>
      </c>
      <c r="S30" s="13">
        <v>2</v>
      </c>
      <c r="T30" s="14">
        <f>INDEX(新属性投放!$L$6:$L$10,$S$3)*INDEX(新属性投放!$Q$6:$Q$10,$U$3)</f>
        <v>1.1499999999999999</v>
      </c>
      <c r="U30" s="14">
        <f>INDEX(新属性投放!J$42:J$62,属性汇总!$S30)*$T30</f>
        <v>586.5</v>
      </c>
      <c r="V30" s="14">
        <f>INDEX(新属性投放!K$42:K$62,属性汇总!$S30)*$T30</f>
        <v>204.12499999999997</v>
      </c>
      <c r="W30" s="14">
        <f>INDEX(新属性投放!L$42:L$62,属性汇总!$S30)*$T30</f>
        <v>1814.6999999999998</v>
      </c>
      <c r="X30" s="14">
        <f>INDEX(新属性投放!$D$42:$D$62,属性汇总!$S30)*$T30</f>
        <v>15.835499999999998</v>
      </c>
      <c r="Y30" s="14">
        <f>INDEX(新属性投放!$D$42:$D$62,属性汇总!$S30)*$T30</f>
        <v>15.835499999999998</v>
      </c>
      <c r="Z30" s="14">
        <f>INDEX(新属性投放!$D$42:$D$62,属性汇总!$S30)*$T30</f>
        <v>15.835499999999998</v>
      </c>
      <c r="AA30" s="14">
        <f>ROUND(U30+($R30-INDEX(新属性投放!$B$14:$B$34,属性汇总!$S30))*属性汇总!X30,0)</f>
        <v>824</v>
      </c>
      <c r="AB30" s="14">
        <f>ROUND(V30+($R30-INDEX(新属性投放!$B$14:$B$34,属性汇总!$S30))*属性汇总!Y30,0)</f>
        <v>442</v>
      </c>
      <c r="AC30" s="14">
        <f>ROUND(W30+($R30-INDEX(新属性投放!$B$14:$B$34,属性汇总!$S30))*属性汇总!Z30,0)</f>
        <v>2052</v>
      </c>
    </row>
    <row r="31" spans="1:29" ht="16.5" x14ac:dyDescent="0.2">
      <c r="A31" s="13">
        <v>26</v>
      </c>
      <c r="B31" s="13">
        <v>2</v>
      </c>
      <c r="C31" s="14">
        <f>INDEX(新属性投放!$L$6:$L$10,属性汇总!$B$3)*INDEX(新属性投放!$Q$6:$Q$10,属性汇总!$D$3)</f>
        <v>1.1499999999999999</v>
      </c>
      <c r="D31" s="14">
        <f>INDEX(新属性投放!J$14:J$34,属性汇总!$B31)*$C31</f>
        <v>281.75</v>
      </c>
      <c r="E31" s="14">
        <f>INDEX(新属性投放!K$14:K$34,属性汇总!$B31)*$C31</f>
        <v>97.174999999999997</v>
      </c>
      <c r="F31" s="14">
        <f>INDEX(新属性投放!L$14:L$34,属性汇总!$B31)*$C31</f>
        <v>1075.25</v>
      </c>
      <c r="G31" s="14">
        <f>INDEX(新属性投放!D$14:D$34,属性汇总!$B31)*$C31</f>
        <v>15.835499999999998</v>
      </c>
      <c r="H31" s="14">
        <f>INDEX(新属性投放!E$14:E$34,属性汇总!$B31)*$C31</f>
        <v>7.917749999999999</v>
      </c>
      <c r="I31" s="14">
        <f>INDEX(新属性投放!F$14:F$34,属性汇总!$B31)*$C31</f>
        <v>47.506499999999996</v>
      </c>
      <c r="J31" s="14">
        <f>ROUND(D31+($A31-INDEX(新属性投放!$B$14:$B$34,属性汇总!$B31))*属性汇总!G31,0)</f>
        <v>535</v>
      </c>
      <c r="K31" s="14">
        <f>ROUND(E31+($A31-INDEX(新属性投放!$B$14:$B$34,属性汇总!$B31))*属性汇总!H31,0)</f>
        <v>224</v>
      </c>
      <c r="L31" s="14">
        <f>ROUND(F31+($A31-INDEX(新属性投放!$B$14:$B$34,属性汇总!$B31))*属性汇总!I31,0)</f>
        <v>1835</v>
      </c>
      <c r="R31" s="13">
        <v>26</v>
      </c>
      <c r="S31" s="13">
        <v>2</v>
      </c>
      <c r="T31" s="14">
        <f>INDEX(新属性投放!$L$6:$L$10,$S$3)*INDEX(新属性投放!$Q$6:$Q$10,$U$3)</f>
        <v>1.1499999999999999</v>
      </c>
      <c r="U31" s="14">
        <f>INDEX(新属性投放!J$42:J$62,属性汇总!$S31)*$T31</f>
        <v>586.5</v>
      </c>
      <c r="V31" s="14">
        <f>INDEX(新属性投放!K$42:K$62,属性汇总!$S31)*$T31</f>
        <v>204.12499999999997</v>
      </c>
      <c r="W31" s="14">
        <f>INDEX(新属性投放!L$42:L$62,属性汇总!$S31)*$T31</f>
        <v>1814.6999999999998</v>
      </c>
      <c r="X31" s="14">
        <f>INDEX(新属性投放!$D$42:$D$62,属性汇总!$S31)*$T31</f>
        <v>15.835499999999998</v>
      </c>
      <c r="Y31" s="14">
        <f>INDEX(新属性投放!$D$42:$D$62,属性汇总!$S31)*$T31</f>
        <v>15.835499999999998</v>
      </c>
      <c r="Z31" s="14">
        <f>INDEX(新属性投放!$D$42:$D$62,属性汇总!$S31)*$T31</f>
        <v>15.835499999999998</v>
      </c>
      <c r="AA31" s="14">
        <f>ROUND(U31+($R31-INDEX(新属性投放!$B$14:$B$34,属性汇总!$S31))*属性汇总!X31,0)</f>
        <v>840</v>
      </c>
      <c r="AB31" s="14">
        <f>ROUND(V31+($R31-INDEX(新属性投放!$B$14:$B$34,属性汇总!$S31))*属性汇总!Y31,0)</f>
        <v>457</v>
      </c>
      <c r="AC31" s="14">
        <f>ROUND(W31+($R31-INDEX(新属性投放!$B$14:$B$34,属性汇总!$S31))*属性汇总!Z31,0)</f>
        <v>2068</v>
      </c>
    </row>
    <row r="32" spans="1:29" ht="16.5" x14ac:dyDescent="0.2">
      <c r="A32" s="13">
        <v>27</v>
      </c>
      <c r="B32" s="13">
        <v>2</v>
      </c>
      <c r="C32" s="14">
        <f>INDEX(新属性投放!$L$6:$L$10,属性汇总!$B$3)*INDEX(新属性投放!$Q$6:$Q$10,属性汇总!$D$3)</f>
        <v>1.1499999999999999</v>
      </c>
      <c r="D32" s="14">
        <f>INDEX(新属性投放!J$14:J$34,属性汇总!$B32)*$C32</f>
        <v>281.75</v>
      </c>
      <c r="E32" s="14">
        <f>INDEX(新属性投放!K$14:K$34,属性汇总!$B32)*$C32</f>
        <v>97.174999999999997</v>
      </c>
      <c r="F32" s="14">
        <f>INDEX(新属性投放!L$14:L$34,属性汇总!$B32)*$C32</f>
        <v>1075.25</v>
      </c>
      <c r="G32" s="14">
        <f>INDEX(新属性投放!D$14:D$34,属性汇总!$B32)*$C32</f>
        <v>15.835499999999998</v>
      </c>
      <c r="H32" s="14">
        <f>INDEX(新属性投放!E$14:E$34,属性汇总!$B32)*$C32</f>
        <v>7.917749999999999</v>
      </c>
      <c r="I32" s="14">
        <f>INDEX(新属性投放!F$14:F$34,属性汇总!$B32)*$C32</f>
        <v>47.506499999999996</v>
      </c>
      <c r="J32" s="14">
        <f>ROUND(D32+($A32-INDEX(新属性投放!$B$14:$B$34,属性汇总!$B32))*属性汇总!G32,0)</f>
        <v>551</v>
      </c>
      <c r="K32" s="14">
        <f>ROUND(E32+($A32-INDEX(新属性投放!$B$14:$B$34,属性汇总!$B32))*属性汇总!H32,0)</f>
        <v>232</v>
      </c>
      <c r="L32" s="14">
        <f>ROUND(F32+($A32-INDEX(新属性投放!$B$14:$B$34,属性汇总!$B32))*属性汇总!I32,0)</f>
        <v>1883</v>
      </c>
      <c r="R32" s="13">
        <v>27</v>
      </c>
      <c r="S32" s="13">
        <v>2</v>
      </c>
      <c r="T32" s="14">
        <f>INDEX(新属性投放!$L$6:$L$10,$S$3)*INDEX(新属性投放!$Q$6:$Q$10,$U$3)</f>
        <v>1.1499999999999999</v>
      </c>
      <c r="U32" s="14">
        <f>INDEX(新属性投放!J$42:J$62,属性汇总!$S32)*$T32</f>
        <v>586.5</v>
      </c>
      <c r="V32" s="14">
        <f>INDEX(新属性投放!K$42:K$62,属性汇总!$S32)*$T32</f>
        <v>204.12499999999997</v>
      </c>
      <c r="W32" s="14">
        <f>INDEX(新属性投放!L$42:L$62,属性汇总!$S32)*$T32</f>
        <v>1814.6999999999998</v>
      </c>
      <c r="X32" s="14">
        <f>INDEX(新属性投放!$D$42:$D$62,属性汇总!$S32)*$T32</f>
        <v>15.835499999999998</v>
      </c>
      <c r="Y32" s="14">
        <f>INDEX(新属性投放!$D$42:$D$62,属性汇总!$S32)*$T32</f>
        <v>15.835499999999998</v>
      </c>
      <c r="Z32" s="14">
        <f>INDEX(新属性投放!$D$42:$D$62,属性汇总!$S32)*$T32</f>
        <v>15.835499999999998</v>
      </c>
      <c r="AA32" s="14">
        <f>ROUND(U32+($R32-INDEX(新属性投放!$B$14:$B$34,属性汇总!$S32))*属性汇总!X32,0)</f>
        <v>856</v>
      </c>
      <c r="AB32" s="14">
        <f>ROUND(V32+($R32-INDEX(新属性投放!$B$14:$B$34,属性汇总!$S32))*属性汇总!Y32,0)</f>
        <v>473</v>
      </c>
      <c r="AC32" s="14">
        <f>ROUND(W32+($R32-INDEX(新属性投放!$B$14:$B$34,属性汇总!$S32))*属性汇总!Z32,0)</f>
        <v>2084</v>
      </c>
    </row>
    <row r="33" spans="1:29" ht="16.5" x14ac:dyDescent="0.2">
      <c r="A33" s="13">
        <v>28</v>
      </c>
      <c r="B33" s="13">
        <v>2</v>
      </c>
      <c r="C33" s="14">
        <f>INDEX(新属性投放!$L$6:$L$10,属性汇总!$B$3)*INDEX(新属性投放!$Q$6:$Q$10,属性汇总!$D$3)</f>
        <v>1.1499999999999999</v>
      </c>
      <c r="D33" s="14">
        <f>INDEX(新属性投放!J$14:J$34,属性汇总!$B33)*$C33</f>
        <v>281.75</v>
      </c>
      <c r="E33" s="14">
        <f>INDEX(新属性投放!K$14:K$34,属性汇总!$B33)*$C33</f>
        <v>97.174999999999997</v>
      </c>
      <c r="F33" s="14">
        <f>INDEX(新属性投放!L$14:L$34,属性汇总!$B33)*$C33</f>
        <v>1075.25</v>
      </c>
      <c r="G33" s="14">
        <f>INDEX(新属性投放!D$14:D$34,属性汇总!$B33)*$C33</f>
        <v>15.835499999999998</v>
      </c>
      <c r="H33" s="14">
        <f>INDEX(新属性投放!E$14:E$34,属性汇总!$B33)*$C33</f>
        <v>7.917749999999999</v>
      </c>
      <c r="I33" s="14">
        <f>INDEX(新属性投放!F$14:F$34,属性汇总!$B33)*$C33</f>
        <v>47.506499999999996</v>
      </c>
      <c r="J33" s="14">
        <f>ROUND(D33+($A33-INDEX(新属性投放!$B$14:$B$34,属性汇总!$B33))*属性汇总!G33,0)</f>
        <v>567</v>
      </c>
      <c r="K33" s="14">
        <f>ROUND(E33+($A33-INDEX(新属性投放!$B$14:$B$34,属性汇总!$B33))*属性汇总!H33,0)</f>
        <v>240</v>
      </c>
      <c r="L33" s="14">
        <f>ROUND(F33+($A33-INDEX(新属性投放!$B$14:$B$34,属性汇总!$B33))*属性汇总!I33,0)</f>
        <v>1930</v>
      </c>
      <c r="R33" s="13">
        <v>28</v>
      </c>
      <c r="S33" s="13">
        <v>2</v>
      </c>
      <c r="T33" s="14">
        <f>INDEX(新属性投放!$L$6:$L$10,$S$3)*INDEX(新属性投放!$Q$6:$Q$10,$U$3)</f>
        <v>1.1499999999999999</v>
      </c>
      <c r="U33" s="14">
        <f>INDEX(新属性投放!J$42:J$62,属性汇总!$S33)*$T33</f>
        <v>586.5</v>
      </c>
      <c r="V33" s="14">
        <f>INDEX(新属性投放!K$42:K$62,属性汇总!$S33)*$T33</f>
        <v>204.12499999999997</v>
      </c>
      <c r="W33" s="14">
        <f>INDEX(新属性投放!L$42:L$62,属性汇总!$S33)*$T33</f>
        <v>1814.6999999999998</v>
      </c>
      <c r="X33" s="14">
        <f>INDEX(新属性投放!$D$42:$D$62,属性汇总!$S33)*$T33</f>
        <v>15.835499999999998</v>
      </c>
      <c r="Y33" s="14">
        <f>INDEX(新属性投放!$D$42:$D$62,属性汇总!$S33)*$T33</f>
        <v>15.835499999999998</v>
      </c>
      <c r="Z33" s="14">
        <f>INDEX(新属性投放!$D$42:$D$62,属性汇总!$S33)*$T33</f>
        <v>15.835499999999998</v>
      </c>
      <c r="AA33" s="14">
        <f>ROUND(U33+($R33-INDEX(新属性投放!$B$14:$B$34,属性汇总!$S33))*属性汇总!X33,0)</f>
        <v>872</v>
      </c>
      <c r="AB33" s="14">
        <f>ROUND(V33+($R33-INDEX(新属性投放!$B$14:$B$34,属性汇总!$S33))*属性汇总!Y33,0)</f>
        <v>489</v>
      </c>
      <c r="AC33" s="14">
        <f>ROUND(W33+($R33-INDEX(新属性投放!$B$14:$B$34,属性汇总!$S33))*属性汇总!Z33,0)</f>
        <v>2100</v>
      </c>
    </row>
    <row r="34" spans="1:29" ht="16.5" x14ac:dyDescent="0.2">
      <c r="A34" s="13">
        <v>29</v>
      </c>
      <c r="B34" s="13">
        <v>2</v>
      </c>
      <c r="C34" s="14">
        <f>INDEX(新属性投放!$L$6:$L$10,属性汇总!$B$3)*INDEX(新属性投放!$Q$6:$Q$10,属性汇总!$D$3)</f>
        <v>1.1499999999999999</v>
      </c>
      <c r="D34" s="14">
        <f>INDEX(新属性投放!J$14:J$34,属性汇总!$B34)*$C34</f>
        <v>281.75</v>
      </c>
      <c r="E34" s="14">
        <f>INDEX(新属性投放!K$14:K$34,属性汇总!$B34)*$C34</f>
        <v>97.174999999999997</v>
      </c>
      <c r="F34" s="14">
        <f>INDEX(新属性投放!L$14:L$34,属性汇总!$B34)*$C34</f>
        <v>1075.25</v>
      </c>
      <c r="G34" s="14">
        <f>INDEX(新属性投放!D$14:D$34,属性汇总!$B34)*$C34</f>
        <v>15.835499999999998</v>
      </c>
      <c r="H34" s="14">
        <f>INDEX(新属性投放!E$14:E$34,属性汇总!$B34)*$C34</f>
        <v>7.917749999999999</v>
      </c>
      <c r="I34" s="14">
        <f>INDEX(新属性投放!F$14:F$34,属性汇总!$B34)*$C34</f>
        <v>47.506499999999996</v>
      </c>
      <c r="J34" s="14">
        <f>ROUND(D34+($A34-INDEX(新属性投放!$B$14:$B$34,属性汇总!$B34))*属性汇总!G34,0)</f>
        <v>583</v>
      </c>
      <c r="K34" s="14">
        <f>ROUND(E34+($A34-INDEX(新属性投放!$B$14:$B$34,属性汇总!$B34))*属性汇总!H34,0)</f>
        <v>248</v>
      </c>
      <c r="L34" s="14">
        <f>ROUND(F34+($A34-INDEX(新属性投放!$B$14:$B$34,属性汇总!$B34))*属性汇总!I34,0)</f>
        <v>1978</v>
      </c>
      <c r="R34" s="13">
        <v>29</v>
      </c>
      <c r="S34" s="13">
        <v>2</v>
      </c>
      <c r="T34" s="14">
        <f>INDEX(新属性投放!$L$6:$L$10,$S$3)*INDEX(新属性投放!$Q$6:$Q$10,$U$3)</f>
        <v>1.1499999999999999</v>
      </c>
      <c r="U34" s="14">
        <f>INDEX(新属性投放!J$42:J$62,属性汇总!$S34)*$T34</f>
        <v>586.5</v>
      </c>
      <c r="V34" s="14">
        <f>INDEX(新属性投放!K$42:K$62,属性汇总!$S34)*$T34</f>
        <v>204.12499999999997</v>
      </c>
      <c r="W34" s="14">
        <f>INDEX(新属性投放!L$42:L$62,属性汇总!$S34)*$T34</f>
        <v>1814.6999999999998</v>
      </c>
      <c r="X34" s="14">
        <f>INDEX(新属性投放!$D$42:$D$62,属性汇总!$S34)*$T34</f>
        <v>15.835499999999998</v>
      </c>
      <c r="Y34" s="14">
        <f>INDEX(新属性投放!$D$42:$D$62,属性汇总!$S34)*$T34</f>
        <v>15.835499999999998</v>
      </c>
      <c r="Z34" s="14">
        <f>INDEX(新属性投放!$D$42:$D$62,属性汇总!$S34)*$T34</f>
        <v>15.835499999999998</v>
      </c>
      <c r="AA34" s="14">
        <f>ROUND(U34+($R34-INDEX(新属性投放!$B$14:$B$34,属性汇总!$S34))*属性汇总!X34,0)</f>
        <v>887</v>
      </c>
      <c r="AB34" s="14">
        <f>ROUND(V34+($R34-INDEX(新属性投放!$B$14:$B$34,属性汇总!$S34))*属性汇总!Y34,0)</f>
        <v>505</v>
      </c>
      <c r="AC34" s="14">
        <f>ROUND(W34+($R34-INDEX(新属性投放!$B$14:$B$34,属性汇总!$S34))*属性汇总!Z34,0)</f>
        <v>2116</v>
      </c>
    </row>
    <row r="35" spans="1:29" ht="16.5" x14ac:dyDescent="0.2">
      <c r="A35" s="13">
        <v>30</v>
      </c>
      <c r="B35" s="13">
        <v>2</v>
      </c>
      <c r="C35" s="14">
        <f>INDEX(新属性投放!$L$6:$L$10,属性汇总!$B$3)*INDEX(新属性投放!$Q$6:$Q$10,属性汇总!$D$3)</f>
        <v>1.1499999999999999</v>
      </c>
      <c r="D35" s="14">
        <f>INDEX(新属性投放!J$14:J$34,属性汇总!$B35)*$C35</f>
        <v>281.75</v>
      </c>
      <c r="E35" s="14">
        <f>INDEX(新属性投放!K$14:K$34,属性汇总!$B35)*$C35</f>
        <v>97.174999999999997</v>
      </c>
      <c r="F35" s="14">
        <f>INDEX(新属性投放!L$14:L$34,属性汇总!$B35)*$C35</f>
        <v>1075.25</v>
      </c>
      <c r="G35" s="14">
        <f>INDEX(新属性投放!D$14:D$34,属性汇总!$B35)*$C35</f>
        <v>15.835499999999998</v>
      </c>
      <c r="H35" s="14">
        <f>INDEX(新属性投放!E$14:E$34,属性汇总!$B35)*$C35</f>
        <v>7.917749999999999</v>
      </c>
      <c r="I35" s="14">
        <f>INDEX(新属性投放!F$14:F$34,属性汇总!$B35)*$C35</f>
        <v>47.506499999999996</v>
      </c>
      <c r="J35" s="14">
        <f>ROUND(D35+($A35-INDEX(新属性投放!$B$14:$B$34,属性汇总!$B35))*属性汇总!G35,0)</f>
        <v>598</v>
      </c>
      <c r="K35" s="14">
        <f>ROUND(E35+($A35-INDEX(新属性投放!$B$14:$B$34,属性汇总!$B35))*属性汇总!H35,0)</f>
        <v>256</v>
      </c>
      <c r="L35" s="14">
        <f>ROUND(F35+($A35-INDEX(新属性投放!$B$14:$B$34,属性汇总!$B35))*属性汇总!I35,0)</f>
        <v>2025</v>
      </c>
      <c r="R35" s="13">
        <v>30</v>
      </c>
      <c r="S35" s="13">
        <v>2</v>
      </c>
      <c r="T35" s="14">
        <f>INDEX(新属性投放!$L$6:$L$10,$S$3)*INDEX(新属性投放!$Q$6:$Q$10,$U$3)</f>
        <v>1.1499999999999999</v>
      </c>
      <c r="U35" s="14">
        <f>INDEX(新属性投放!J$42:J$62,属性汇总!$S35)*$T35</f>
        <v>586.5</v>
      </c>
      <c r="V35" s="14">
        <f>INDEX(新属性投放!K$42:K$62,属性汇总!$S35)*$T35</f>
        <v>204.12499999999997</v>
      </c>
      <c r="W35" s="14">
        <f>INDEX(新属性投放!L$42:L$62,属性汇总!$S35)*$T35</f>
        <v>1814.6999999999998</v>
      </c>
      <c r="X35" s="14">
        <f>INDEX(新属性投放!$D$42:$D$62,属性汇总!$S35)*$T35</f>
        <v>15.835499999999998</v>
      </c>
      <c r="Y35" s="14">
        <f>INDEX(新属性投放!$D$42:$D$62,属性汇总!$S35)*$T35</f>
        <v>15.835499999999998</v>
      </c>
      <c r="Z35" s="14">
        <f>INDEX(新属性投放!$D$42:$D$62,属性汇总!$S35)*$T35</f>
        <v>15.835499999999998</v>
      </c>
      <c r="AA35" s="14">
        <f>ROUND(U35+($R35-INDEX(新属性投放!$B$14:$B$34,属性汇总!$S35))*属性汇总!X35,0)</f>
        <v>903</v>
      </c>
      <c r="AB35" s="14">
        <f>ROUND(V35+($R35-INDEX(新属性投放!$B$14:$B$34,属性汇总!$S35))*属性汇总!Y35,0)</f>
        <v>521</v>
      </c>
      <c r="AC35" s="14">
        <f>ROUND(W35+($R35-INDEX(新属性投放!$B$14:$B$34,属性汇总!$S35))*属性汇总!Z35,0)</f>
        <v>2131</v>
      </c>
    </row>
    <row r="36" spans="1:29" s="20" customFormat="1" ht="16.5" x14ac:dyDescent="0.2">
      <c r="A36" s="13">
        <v>30</v>
      </c>
      <c r="B36" s="13">
        <v>3</v>
      </c>
      <c r="C36" s="14">
        <f>INDEX(新属性投放!$L$6:$L$10,属性汇总!$B$3)*INDEX(新属性投放!$Q$6:$Q$10,属性汇总!$D$3)</f>
        <v>1.1499999999999999</v>
      </c>
      <c r="D36" s="14">
        <f>INDEX(新属性投放!J$14:J$34,属性汇总!$B36)*$C36</f>
        <v>479.20499999999993</v>
      </c>
      <c r="E36" s="14">
        <f>INDEX(新属性投放!K$14:K$34,属性汇总!$B36)*$C36</f>
        <v>195.90249999999997</v>
      </c>
      <c r="F36" s="14">
        <f>INDEX(新属性投放!L$14:L$34,属性汇总!$B36)*$C36</f>
        <v>1667.6149999999998</v>
      </c>
      <c r="G36" s="14">
        <f>INDEX(新属性投放!D$14:D$34,属性汇总!$B36)*$C36</f>
        <v>28.945499999999999</v>
      </c>
      <c r="H36" s="14">
        <f>INDEX(新属性投放!E$14:E$34,属性汇总!$B36)*$C36</f>
        <v>14.47275</v>
      </c>
      <c r="I36" s="14">
        <f>INDEX(新属性投放!F$14:F$34,属性汇总!$B36)*$C36</f>
        <v>86.836500000000001</v>
      </c>
      <c r="J36" s="14">
        <f>ROUND(D36+($A36-INDEX(新属性投放!$B$14:$B$34,属性汇总!$B36))*属性汇总!G36,0)</f>
        <v>769</v>
      </c>
      <c r="K36" s="14">
        <f>ROUND(E36+($A36-INDEX(新属性投放!$B$14:$B$34,属性汇总!$B36))*属性汇总!H36,0)</f>
        <v>341</v>
      </c>
      <c r="L36" s="14">
        <f>ROUND(F36+($A36-INDEX(新属性投放!$B$14:$B$34,属性汇总!$B36))*属性汇总!I36,0)</f>
        <v>2536</v>
      </c>
      <c r="N36" s="37"/>
      <c r="O36" s="37"/>
      <c r="P36" s="37"/>
      <c r="R36" s="13">
        <v>30</v>
      </c>
      <c r="S36" s="13">
        <v>3</v>
      </c>
      <c r="T36" s="14">
        <f>INDEX(新属性投放!$L$6:$L$10,$S$3)*INDEX(新属性投放!$Q$6:$Q$10,$U$3)</f>
        <v>1.1499999999999999</v>
      </c>
      <c r="U36" s="14">
        <f>INDEX(新属性投放!J$42:J$62,属性汇总!$S36)*$T36</f>
        <v>783.95500000000004</v>
      </c>
      <c r="V36" s="14">
        <f>INDEX(新属性投放!K$42:K$62,属性汇总!$S36)*$T36</f>
        <v>302.85250000000002</v>
      </c>
      <c r="W36" s="14">
        <f>INDEX(新属性投放!L$42:L$62,属性汇总!$S36)*$T36</f>
        <v>2868.1</v>
      </c>
      <c r="X36" s="14">
        <f>INDEX(新属性投放!$D$42:$D$62,属性汇总!$S36)*$T36</f>
        <v>28.945499999999999</v>
      </c>
      <c r="Y36" s="14">
        <f>INDEX(新属性投放!$D$42:$D$62,属性汇总!$S36)*$T36</f>
        <v>28.945499999999999</v>
      </c>
      <c r="Z36" s="14">
        <f>INDEX(新属性投放!$D$42:$D$62,属性汇总!$S36)*$T36</f>
        <v>28.945499999999999</v>
      </c>
      <c r="AA36" s="14">
        <f>ROUND(U36+($R36-INDEX(新属性投放!$B$14:$B$34,属性汇总!$S36))*属性汇总!X36,0)</f>
        <v>1073</v>
      </c>
      <c r="AB36" s="14">
        <f>ROUND(V36+($R36-INDEX(新属性投放!$B$14:$B$34,属性汇总!$S36))*属性汇总!Y36,0)</f>
        <v>592</v>
      </c>
      <c r="AC36" s="14">
        <f>ROUND(W36+($R36-INDEX(新属性投放!$B$14:$B$34,属性汇总!$S36))*属性汇总!Z36,0)</f>
        <v>3158</v>
      </c>
    </row>
    <row r="37" spans="1:29" ht="16.5" x14ac:dyDescent="0.2">
      <c r="A37" s="13">
        <v>31</v>
      </c>
      <c r="B37" s="13">
        <v>3</v>
      </c>
      <c r="C37" s="14">
        <f>INDEX(新属性投放!$L$6:$L$10,属性汇总!$B$3)*INDEX(新属性投放!$Q$6:$Q$10,属性汇总!$D$3)</f>
        <v>1.1499999999999999</v>
      </c>
      <c r="D37" s="14">
        <f>INDEX(新属性投放!J$14:J$34,属性汇总!$B37)*$C37</f>
        <v>479.20499999999993</v>
      </c>
      <c r="E37" s="14">
        <f>INDEX(新属性投放!K$14:K$34,属性汇总!$B37)*$C37</f>
        <v>195.90249999999997</v>
      </c>
      <c r="F37" s="14">
        <f>INDEX(新属性投放!L$14:L$34,属性汇总!$B37)*$C37</f>
        <v>1667.6149999999998</v>
      </c>
      <c r="G37" s="14">
        <f>INDEX(新属性投放!D$14:D$34,属性汇总!$B37)*$C37</f>
        <v>28.945499999999999</v>
      </c>
      <c r="H37" s="14">
        <f>INDEX(新属性投放!E$14:E$34,属性汇总!$B37)*$C37</f>
        <v>14.47275</v>
      </c>
      <c r="I37" s="14">
        <f>INDEX(新属性投放!F$14:F$34,属性汇总!$B37)*$C37</f>
        <v>86.836500000000001</v>
      </c>
      <c r="J37" s="14">
        <f>ROUND(D37+($A37-INDEX(新属性投放!$B$14:$B$34,属性汇总!$B37))*属性汇总!G37,0)</f>
        <v>798</v>
      </c>
      <c r="K37" s="14">
        <f>ROUND(E37+($A37-INDEX(新属性投放!$B$14:$B$34,属性汇总!$B37))*属性汇总!H37,0)</f>
        <v>355</v>
      </c>
      <c r="L37" s="14">
        <f>ROUND(F37+($A37-INDEX(新属性投放!$B$14:$B$34,属性汇总!$B37))*属性汇总!I37,0)</f>
        <v>2623</v>
      </c>
      <c r="R37" s="13">
        <v>31</v>
      </c>
      <c r="S37" s="13">
        <v>3</v>
      </c>
      <c r="T37" s="14">
        <f>INDEX(新属性投放!$L$6:$L$10,$S$3)*INDEX(新属性投放!$Q$6:$Q$10,$U$3)</f>
        <v>1.1499999999999999</v>
      </c>
      <c r="U37" s="14">
        <f>INDEX(新属性投放!J$42:J$62,属性汇总!$S37)*$T37</f>
        <v>783.95500000000004</v>
      </c>
      <c r="V37" s="14">
        <f>INDEX(新属性投放!K$42:K$62,属性汇总!$S37)*$T37</f>
        <v>302.85250000000002</v>
      </c>
      <c r="W37" s="14">
        <f>INDEX(新属性投放!L$42:L$62,属性汇总!$S37)*$T37</f>
        <v>2868.1</v>
      </c>
      <c r="X37" s="14">
        <f>INDEX(新属性投放!$D$42:$D$62,属性汇总!$S37)*$T37</f>
        <v>28.945499999999999</v>
      </c>
      <c r="Y37" s="14">
        <f>INDEX(新属性投放!$D$42:$D$62,属性汇总!$S37)*$T37</f>
        <v>28.945499999999999</v>
      </c>
      <c r="Z37" s="14">
        <f>INDEX(新属性投放!$D$42:$D$62,属性汇总!$S37)*$T37</f>
        <v>28.945499999999999</v>
      </c>
      <c r="AA37" s="14">
        <f>ROUND(U37+($R37-INDEX(新属性投放!$B$14:$B$34,属性汇总!$S37))*属性汇总!X37,0)</f>
        <v>1102</v>
      </c>
      <c r="AB37" s="14">
        <f>ROUND(V37+($R37-INDEX(新属性投放!$B$14:$B$34,属性汇总!$S37))*属性汇总!Y37,0)</f>
        <v>621</v>
      </c>
      <c r="AC37" s="14">
        <f>ROUND(W37+($R37-INDEX(新属性投放!$B$14:$B$34,属性汇总!$S37))*属性汇总!Z37,0)</f>
        <v>3187</v>
      </c>
    </row>
    <row r="38" spans="1:29" ht="16.5" x14ac:dyDescent="0.2">
      <c r="A38" s="13">
        <v>32</v>
      </c>
      <c r="B38" s="13">
        <v>3</v>
      </c>
      <c r="C38" s="14">
        <f>INDEX(新属性投放!$L$6:$L$10,属性汇总!$B$3)*INDEX(新属性投放!$Q$6:$Q$10,属性汇总!$D$3)</f>
        <v>1.1499999999999999</v>
      </c>
      <c r="D38" s="14">
        <f>INDEX(新属性投放!J$14:J$34,属性汇总!$B38)*$C38</f>
        <v>479.20499999999993</v>
      </c>
      <c r="E38" s="14">
        <f>INDEX(新属性投放!K$14:K$34,属性汇总!$B38)*$C38</f>
        <v>195.90249999999997</v>
      </c>
      <c r="F38" s="14">
        <f>INDEX(新属性投放!L$14:L$34,属性汇总!$B38)*$C38</f>
        <v>1667.6149999999998</v>
      </c>
      <c r="G38" s="14">
        <f>INDEX(新属性投放!D$14:D$34,属性汇总!$B38)*$C38</f>
        <v>28.945499999999999</v>
      </c>
      <c r="H38" s="14">
        <f>INDEX(新属性投放!E$14:E$34,属性汇总!$B38)*$C38</f>
        <v>14.47275</v>
      </c>
      <c r="I38" s="14">
        <f>INDEX(新属性投放!F$14:F$34,属性汇总!$B38)*$C38</f>
        <v>86.836500000000001</v>
      </c>
      <c r="J38" s="14">
        <f>ROUND(D38+($A38-INDEX(新属性投放!$B$14:$B$34,属性汇总!$B38))*属性汇总!G38,0)</f>
        <v>827</v>
      </c>
      <c r="K38" s="14">
        <f>ROUND(E38+($A38-INDEX(新属性投放!$B$14:$B$34,属性汇总!$B38))*属性汇总!H38,0)</f>
        <v>370</v>
      </c>
      <c r="L38" s="14">
        <f>ROUND(F38+($A38-INDEX(新属性投放!$B$14:$B$34,属性汇总!$B38))*属性汇总!I38,0)</f>
        <v>2710</v>
      </c>
      <c r="R38" s="13">
        <v>32</v>
      </c>
      <c r="S38" s="13">
        <v>3</v>
      </c>
      <c r="T38" s="14">
        <f>INDEX(新属性投放!$L$6:$L$10,$S$3)*INDEX(新属性投放!$Q$6:$Q$10,$U$3)</f>
        <v>1.1499999999999999</v>
      </c>
      <c r="U38" s="14">
        <f>INDEX(新属性投放!J$42:J$62,属性汇总!$S38)*$T38</f>
        <v>783.95500000000004</v>
      </c>
      <c r="V38" s="14">
        <f>INDEX(新属性投放!K$42:K$62,属性汇总!$S38)*$T38</f>
        <v>302.85250000000002</v>
      </c>
      <c r="W38" s="14">
        <f>INDEX(新属性投放!L$42:L$62,属性汇总!$S38)*$T38</f>
        <v>2868.1</v>
      </c>
      <c r="X38" s="14">
        <f>INDEX(新属性投放!$D$42:$D$62,属性汇总!$S38)*$T38</f>
        <v>28.945499999999999</v>
      </c>
      <c r="Y38" s="14">
        <f>INDEX(新属性投放!$D$42:$D$62,属性汇总!$S38)*$T38</f>
        <v>28.945499999999999</v>
      </c>
      <c r="Z38" s="14">
        <f>INDEX(新属性投放!$D$42:$D$62,属性汇总!$S38)*$T38</f>
        <v>28.945499999999999</v>
      </c>
      <c r="AA38" s="14">
        <f>ROUND(U38+($R38-INDEX(新属性投放!$B$14:$B$34,属性汇总!$S38))*属性汇总!X38,0)</f>
        <v>1131</v>
      </c>
      <c r="AB38" s="14">
        <f>ROUND(V38+($R38-INDEX(新属性投放!$B$14:$B$34,属性汇总!$S38))*属性汇总!Y38,0)</f>
        <v>650</v>
      </c>
      <c r="AC38" s="14">
        <f>ROUND(W38+($R38-INDEX(新属性投放!$B$14:$B$34,属性汇总!$S38))*属性汇总!Z38,0)</f>
        <v>3215</v>
      </c>
    </row>
    <row r="39" spans="1:29" ht="16.5" x14ac:dyDescent="0.2">
      <c r="A39" s="13">
        <v>33</v>
      </c>
      <c r="B39" s="13">
        <v>3</v>
      </c>
      <c r="C39" s="14">
        <f>INDEX(新属性投放!$L$6:$L$10,属性汇总!$B$3)*INDEX(新属性投放!$Q$6:$Q$10,属性汇总!$D$3)</f>
        <v>1.1499999999999999</v>
      </c>
      <c r="D39" s="14">
        <f>INDEX(新属性投放!J$14:J$34,属性汇总!$B39)*$C39</f>
        <v>479.20499999999993</v>
      </c>
      <c r="E39" s="14">
        <f>INDEX(新属性投放!K$14:K$34,属性汇总!$B39)*$C39</f>
        <v>195.90249999999997</v>
      </c>
      <c r="F39" s="14">
        <f>INDEX(新属性投放!L$14:L$34,属性汇总!$B39)*$C39</f>
        <v>1667.6149999999998</v>
      </c>
      <c r="G39" s="14">
        <f>INDEX(新属性投放!D$14:D$34,属性汇总!$B39)*$C39</f>
        <v>28.945499999999999</v>
      </c>
      <c r="H39" s="14">
        <f>INDEX(新属性投放!E$14:E$34,属性汇总!$B39)*$C39</f>
        <v>14.47275</v>
      </c>
      <c r="I39" s="14">
        <f>INDEX(新属性投放!F$14:F$34,属性汇总!$B39)*$C39</f>
        <v>86.836500000000001</v>
      </c>
      <c r="J39" s="14">
        <f>ROUND(D39+($A39-INDEX(新属性投放!$B$14:$B$34,属性汇总!$B39))*属性汇总!G39,0)</f>
        <v>855</v>
      </c>
      <c r="K39" s="14">
        <f>ROUND(E39+($A39-INDEX(新属性投放!$B$14:$B$34,属性汇总!$B39))*属性汇总!H39,0)</f>
        <v>384</v>
      </c>
      <c r="L39" s="14">
        <f>ROUND(F39+($A39-INDEX(新属性投放!$B$14:$B$34,属性汇总!$B39))*属性汇总!I39,0)</f>
        <v>2796</v>
      </c>
      <c r="R39" s="13">
        <v>33</v>
      </c>
      <c r="S39" s="13">
        <v>3</v>
      </c>
      <c r="T39" s="14">
        <f>INDEX(新属性投放!$L$6:$L$10,$S$3)*INDEX(新属性投放!$Q$6:$Q$10,$U$3)</f>
        <v>1.1499999999999999</v>
      </c>
      <c r="U39" s="14">
        <f>INDEX(新属性投放!J$42:J$62,属性汇总!$S39)*$T39</f>
        <v>783.95500000000004</v>
      </c>
      <c r="V39" s="14">
        <f>INDEX(新属性投放!K$42:K$62,属性汇总!$S39)*$T39</f>
        <v>302.85250000000002</v>
      </c>
      <c r="W39" s="14">
        <f>INDEX(新属性投放!L$42:L$62,属性汇总!$S39)*$T39</f>
        <v>2868.1</v>
      </c>
      <c r="X39" s="14">
        <f>INDEX(新属性投放!$D$42:$D$62,属性汇总!$S39)*$T39</f>
        <v>28.945499999999999</v>
      </c>
      <c r="Y39" s="14">
        <f>INDEX(新属性投放!$D$42:$D$62,属性汇总!$S39)*$T39</f>
        <v>28.945499999999999</v>
      </c>
      <c r="Z39" s="14">
        <f>INDEX(新属性投放!$D$42:$D$62,属性汇总!$S39)*$T39</f>
        <v>28.945499999999999</v>
      </c>
      <c r="AA39" s="14">
        <f>ROUND(U39+($R39-INDEX(新属性投放!$B$14:$B$34,属性汇总!$S39))*属性汇总!X39,0)</f>
        <v>1160</v>
      </c>
      <c r="AB39" s="14">
        <f>ROUND(V39+($R39-INDEX(新属性投放!$B$14:$B$34,属性汇总!$S39))*属性汇总!Y39,0)</f>
        <v>679</v>
      </c>
      <c r="AC39" s="14">
        <f>ROUND(W39+($R39-INDEX(新属性投放!$B$14:$B$34,属性汇总!$S39))*属性汇总!Z39,0)</f>
        <v>3244</v>
      </c>
    </row>
    <row r="40" spans="1:29" ht="16.5" x14ac:dyDescent="0.2">
      <c r="A40" s="13">
        <v>34</v>
      </c>
      <c r="B40" s="13">
        <v>3</v>
      </c>
      <c r="C40" s="14">
        <f>INDEX(新属性投放!$L$6:$L$10,属性汇总!$B$3)*INDEX(新属性投放!$Q$6:$Q$10,属性汇总!$D$3)</f>
        <v>1.1499999999999999</v>
      </c>
      <c r="D40" s="14">
        <f>INDEX(新属性投放!J$14:J$34,属性汇总!$B40)*$C40</f>
        <v>479.20499999999993</v>
      </c>
      <c r="E40" s="14">
        <f>INDEX(新属性投放!K$14:K$34,属性汇总!$B40)*$C40</f>
        <v>195.90249999999997</v>
      </c>
      <c r="F40" s="14">
        <f>INDEX(新属性投放!L$14:L$34,属性汇总!$B40)*$C40</f>
        <v>1667.6149999999998</v>
      </c>
      <c r="G40" s="14">
        <f>INDEX(新属性投放!D$14:D$34,属性汇总!$B40)*$C40</f>
        <v>28.945499999999999</v>
      </c>
      <c r="H40" s="14">
        <f>INDEX(新属性投放!E$14:E$34,属性汇总!$B40)*$C40</f>
        <v>14.47275</v>
      </c>
      <c r="I40" s="14">
        <f>INDEX(新属性投放!F$14:F$34,属性汇总!$B40)*$C40</f>
        <v>86.836500000000001</v>
      </c>
      <c r="J40" s="14">
        <f>ROUND(D40+($A40-INDEX(新属性投放!$B$14:$B$34,属性汇总!$B40))*属性汇总!G40,0)</f>
        <v>884</v>
      </c>
      <c r="K40" s="14">
        <f>ROUND(E40+($A40-INDEX(新属性投放!$B$14:$B$34,属性汇总!$B40))*属性汇总!H40,0)</f>
        <v>399</v>
      </c>
      <c r="L40" s="14">
        <f>ROUND(F40+($A40-INDEX(新属性投放!$B$14:$B$34,属性汇总!$B40))*属性汇总!I40,0)</f>
        <v>2883</v>
      </c>
      <c r="R40" s="13">
        <v>34</v>
      </c>
      <c r="S40" s="13">
        <v>3</v>
      </c>
      <c r="T40" s="14">
        <f>INDEX(新属性投放!$L$6:$L$10,$S$3)*INDEX(新属性投放!$Q$6:$Q$10,$U$3)</f>
        <v>1.1499999999999999</v>
      </c>
      <c r="U40" s="14">
        <f>INDEX(新属性投放!J$42:J$62,属性汇总!$S40)*$T40</f>
        <v>783.95500000000004</v>
      </c>
      <c r="V40" s="14">
        <f>INDEX(新属性投放!K$42:K$62,属性汇总!$S40)*$T40</f>
        <v>302.85250000000002</v>
      </c>
      <c r="W40" s="14">
        <f>INDEX(新属性投放!L$42:L$62,属性汇总!$S40)*$T40</f>
        <v>2868.1</v>
      </c>
      <c r="X40" s="14">
        <f>INDEX(新属性投放!$D$42:$D$62,属性汇总!$S40)*$T40</f>
        <v>28.945499999999999</v>
      </c>
      <c r="Y40" s="14">
        <f>INDEX(新属性投放!$D$42:$D$62,属性汇总!$S40)*$T40</f>
        <v>28.945499999999999</v>
      </c>
      <c r="Z40" s="14">
        <f>INDEX(新属性投放!$D$42:$D$62,属性汇总!$S40)*$T40</f>
        <v>28.945499999999999</v>
      </c>
      <c r="AA40" s="14">
        <f>ROUND(U40+($R40-INDEX(新属性投放!$B$14:$B$34,属性汇总!$S40))*属性汇总!X40,0)</f>
        <v>1189</v>
      </c>
      <c r="AB40" s="14">
        <f>ROUND(V40+($R40-INDEX(新属性投放!$B$14:$B$34,属性汇总!$S40))*属性汇总!Y40,0)</f>
        <v>708</v>
      </c>
      <c r="AC40" s="14">
        <f>ROUND(W40+($R40-INDEX(新属性投放!$B$14:$B$34,属性汇总!$S40))*属性汇总!Z40,0)</f>
        <v>3273</v>
      </c>
    </row>
    <row r="41" spans="1:29" ht="16.5" x14ac:dyDescent="0.2">
      <c r="A41" s="13">
        <v>35</v>
      </c>
      <c r="B41" s="13">
        <v>3</v>
      </c>
      <c r="C41" s="14">
        <f>INDEX(新属性投放!$L$6:$L$10,属性汇总!$B$3)*INDEX(新属性投放!$Q$6:$Q$10,属性汇总!$D$3)</f>
        <v>1.1499999999999999</v>
      </c>
      <c r="D41" s="14">
        <f>INDEX(新属性投放!J$14:J$34,属性汇总!$B41)*$C41</f>
        <v>479.20499999999993</v>
      </c>
      <c r="E41" s="14">
        <f>INDEX(新属性投放!K$14:K$34,属性汇总!$B41)*$C41</f>
        <v>195.90249999999997</v>
      </c>
      <c r="F41" s="14">
        <f>INDEX(新属性投放!L$14:L$34,属性汇总!$B41)*$C41</f>
        <v>1667.6149999999998</v>
      </c>
      <c r="G41" s="14">
        <f>INDEX(新属性投放!D$14:D$34,属性汇总!$B41)*$C41</f>
        <v>28.945499999999999</v>
      </c>
      <c r="H41" s="14">
        <f>INDEX(新属性投放!E$14:E$34,属性汇总!$B41)*$C41</f>
        <v>14.47275</v>
      </c>
      <c r="I41" s="14">
        <f>INDEX(新属性投放!F$14:F$34,属性汇总!$B41)*$C41</f>
        <v>86.836500000000001</v>
      </c>
      <c r="J41" s="14">
        <f>ROUND(D41+($A41-INDEX(新属性投放!$B$14:$B$34,属性汇总!$B41))*属性汇总!G41,0)</f>
        <v>913</v>
      </c>
      <c r="K41" s="14">
        <f>ROUND(E41+($A41-INDEX(新属性投放!$B$14:$B$34,属性汇总!$B41))*属性汇总!H41,0)</f>
        <v>413</v>
      </c>
      <c r="L41" s="14">
        <f>ROUND(F41+($A41-INDEX(新属性投放!$B$14:$B$34,属性汇总!$B41))*属性汇总!I41,0)</f>
        <v>2970</v>
      </c>
      <c r="R41" s="13">
        <v>35</v>
      </c>
      <c r="S41" s="13">
        <v>3</v>
      </c>
      <c r="T41" s="14">
        <f>INDEX(新属性投放!$L$6:$L$10,$S$3)*INDEX(新属性投放!$Q$6:$Q$10,$U$3)</f>
        <v>1.1499999999999999</v>
      </c>
      <c r="U41" s="14">
        <f>INDEX(新属性投放!J$42:J$62,属性汇总!$S41)*$T41</f>
        <v>783.95500000000004</v>
      </c>
      <c r="V41" s="14">
        <f>INDEX(新属性投放!K$42:K$62,属性汇总!$S41)*$T41</f>
        <v>302.85250000000002</v>
      </c>
      <c r="W41" s="14">
        <f>INDEX(新属性投放!L$42:L$62,属性汇总!$S41)*$T41</f>
        <v>2868.1</v>
      </c>
      <c r="X41" s="14">
        <f>INDEX(新属性投放!$D$42:$D$62,属性汇总!$S41)*$T41</f>
        <v>28.945499999999999</v>
      </c>
      <c r="Y41" s="14">
        <f>INDEX(新属性投放!$D$42:$D$62,属性汇总!$S41)*$T41</f>
        <v>28.945499999999999</v>
      </c>
      <c r="Z41" s="14">
        <f>INDEX(新属性投放!$D$42:$D$62,属性汇总!$S41)*$T41</f>
        <v>28.945499999999999</v>
      </c>
      <c r="AA41" s="14">
        <f>ROUND(U41+($R41-INDEX(新属性投放!$B$14:$B$34,属性汇总!$S41))*属性汇总!X41,0)</f>
        <v>1218</v>
      </c>
      <c r="AB41" s="14">
        <f>ROUND(V41+($R41-INDEX(新属性投放!$B$14:$B$34,属性汇总!$S41))*属性汇总!Y41,0)</f>
        <v>737</v>
      </c>
      <c r="AC41" s="14">
        <f>ROUND(W41+($R41-INDEX(新属性投放!$B$14:$B$34,属性汇总!$S41))*属性汇总!Z41,0)</f>
        <v>3302</v>
      </c>
    </row>
    <row r="42" spans="1:29" ht="16.5" x14ac:dyDescent="0.2">
      <c r="A42" s="13">
        <v>36</v>
      </c>
      <c r="B42" s="13">
        <v>3</v>
      </c>
      <c r="C42" s="14">
        <f>INDEX(新属性投放!$L$6:$L$10,属性汇总!$B$3)*INDEX(新属性投放!$Q$6:$Q$10,属性汇总!$D$3)</f>
        <v>1.1499999999999999</v>
      </c>
      <c r="D42" s="14">
        <f>INDEX(新属性投放!J$14:J$34,属性汇总!$B42)*$C42</f>
        <v>479.20499999999993</v>
      </c>
      <c r="E42" s="14">
        <f>INDEX(新属性投放!K$14:K$34,属性汇总!$B42)*$C42</f>
        <v>195.90249999999997</v>
      </c>
      <c r="F42" s="14">
        <f>INDEX(新属性投放!L$14:L$34,属性汇总!$B42)*$C42</f>
        <v>1667.6149999999998</v>
      </c>
      <c r="G42" s="14">
        <f>INDEX(新属性投放!D$14:D$34,属性汇总!$B42)*$C42</f>
        <v>28.945499999999999</v>
      </c>
      <c r="H42" s="14">
        <f>INDEX(新属性投放!E$14:E$34,属性汇总!$B42)*$C42</f>
        <v>14.47275</v>
      </c>
      <c r="I42" s="14">
        <f>INDEX(新属性投放!F$14:F$34,属性汇总!$B42)*$C42</f>
        <v>86.836500000000001</v>
      </c>
      <c r="J42" s="14">
        <f>ROUND(D42+($A42-INDEX(新属性投放!$B$14:$B$34,属性汇总!$B42))*属性汇总!G42,0)</f>
        <v>942</v>
      </c>
      <c r="K42" s="14">
        <f>ROUND(E42+($A42-INDEX(新属性投放!$B$14:$B$34,属性汇总!$B42))*属性汇总!H42,0)</f>
        <v>427</v>
      </c>
      <c r="L42" s="14">
        <f>ROUND(F42+($A42-INDEX(新属性投放!$B$14:$B$34,属性汇总!$B42))*属性汇总!I42,0)</f>
        <v>3057</v>
      </c>
      <c r="R42" s="13">
        <v>36</v>
      </c>
      <c r="S42" s="13">
        <v>3</v>
      </c>
      <c r="T42" s="14">
        <f>INDEX(新属性投放!$L$6:$L$10,$S$3)*INDEX(新属性投放!$Q$6:$Q$10,$U$3)</f>
        <v>1.1499999999999999</v>
      </c>
      <c r="U42" s="14">
        <f>INDEX(新属性投放!J$42:J$62,属性汇总!$S42)*$T42</f>
        <v>783.95500000000004</v>
      </c>
      <c r="V42" s="14">
        <f>INDEX(新属性投放!K$42:K$62,属性汇总!$S42)*$T42</f>
        <v>302.85250000000002</v>
      </c>
      <c r="W42" s="14">
        <f>INDEX(新属性投放!L$42:L$62,属性汇总!$S42)*$T42</f>
        <v>2868.1</v>
      </c>
      <c r="X42" s="14">
        <f>INDEX(新属性投放!$D$42:$D$62,属性汇总!$S42)*$T42</f>
        <v>28.945499999999999</v>
      </c>
      <c r="Y42" s="14">
        <f>INDEX(新属性投放!$D$42:$D$62,属性汇总!$S42)*$T42</f>
        <v>28.945499999999999</v>
      </c>
      <c r="Z42" s="14">
        <f>INDEX(新属性投放!$D$42:$D$62,属性汇总!$S42)*$T42</f>
        <v>28.945499999999999</v>
      </c>
      <c r="AA42" s="14">
        <f>ROUND(U42+($R42-INDEX(新属性投放!$B$14:$B$34,属性汇总!$S42))*属性汇总!X42,0)</f>
        <v>1247</v>
      </c>
      <c r="AB42" s="14">
        <f>ROUND(V42+($R42-INDEX(新属性投放!$B$14:$B$34,属性汇总!$S42))*属性汇总!Y42,0)</f>
        <v>766</v>
      </c>
      <c r="AC42" s="14">
        <f>ROUND(W42+($R42-INDEX(新属性投放!$B$14:$B$34,属性汇总!$S42))*属性汇总!Z42,0)</f>
        <v>3331</v>
      </c>
    </row>
    <row r="43" spans="1:29" ht="16.5" x14ac:dyDescent="0.2">
      <c r="A43" s="13">
        <v>37</v>
      </c>
      <c r="B43" s="13">
        <v>3</v>
      </c>
      <c r="C43" s="14">
        <f>INDEX(新属性投放!$L$6:$L$10,属性汇总!$B$3)*INDEX(新属性投放!$Q$6:$Q$10,属性汇总!$D$3)</f>
        <v>1.1499999999999999</v>
      </c>
      <c r="D43" s="14">
        <f>INDEX(新属性投放!J$14:J$34,属性汇总!$B43)*$C43</f>
        <v>479.20499999999993</v>
      </c>
      <c r="E43" s="14">
        <f>INDEX(新属性投放!K$14:K$34,属性汇总!$B43)*$C43</f>
        <v>195.90249999999997</v>
      </c>
      <c r="F43" s="14">
        <f>INDEX(新属性投放!L$14:L$34,属性汇总!$B43)*$C43</f>
        <v>1667.6149999999998</v>
      </c>
      <c r="G43" s="14">
        <f>INDEX(新属性投放!D$14:D$34,属性汇总!$B43)*$C43</f>
        <v>28.945499999999999</v>
      </c>
      <c r="H43" s="14">
        <f>INDEX(新属性投放!E$14:E$34,属性汇总!$B43)*$C43</f>
        <v>14.47275</v>
      </c>
      <c r="I43" s="14">
        <f>INDEX(新属性投放!F$14:F$34,属性汇总!$B43)*$C43</f>
        <v>86.836500000000001</v>
      </c>
      <c r="J43" s="14">
        <f>ROUND(D43+($A43-INDEX(新属性投放!$B$14:$B$34,属性汇总!$B43))*属性汇总!G43,0)</f>
        <v>971</v>
      </c>
      <c r="K43" s="14">
        <f>ROUND(E43+($A43-INDEX(新属性投放!$B$14:$B$34,属性汇总!$B43))*属性汇总!H43,0)</f>
        <v>442</v>
      </c>
      <c r="L43" s="14">
        <f>ROUND(F43+($A43-INDEX(新属性投放!$B$14:$B$34,属性汇总!$B43))*属性汇总!I43,0)</f>
        <v>3144</v>
      </c>
      <c r="R43" s="13">
        <v>37</v>
      </c>
      <c r="S43" s="13">
        <v>3</v>
      </c>
      <c r="T43" s="14">
        <f>INDEX(新属性投放!$L$6:$L$10,$S$3)*INDEX(新属性投放!$Q$6:$Q$10,$U$3)</f>
        <v>1.1499999999999999</v>
      </c>
      <c r="U43" s="14">
        <f>INDEX(新属性投放!J$42:J$62,属性汇总!$S43)*$T43</f>
        <v>783.95500000000004</v>
      </c>
      <c r="V43" s="14">
        <f>INDEX(新属性投放!K$42:K$62,属性汇总!$S43)*$T43</f>
        <v>302.85250000000002</v>
      </c>
      <c r="W43" s="14">
        <f>INDEX(新属性投放!L$42:L$62,属性汇总!$S43)*$T43</f>
        <v>2868.1</v>
      </c>
      <c r="X43" s="14">
        <f>INDEX(新属性投放!$D$42:$D$62,属性汇总!$S43)*$T43</f>
        <v>28.945499999999999</v>
      </c>
      <c r="Y43" s="14">
        <f>INDEX(新属性投放!$D$42:$D$62,属性汇总!$S43)*$T43</f>
        <v>28.945499999999999</v>
      </c>
      <c r="Z43" s="14">
        <f>INDEX(新属性投放!$D$42:$D$62,属性汇总!$S43)*$T43</f>
        <v>28.945499999999999</v>
      </c>
      <c r="AA43" s="14">
        <f>ROUND(U43+($R43-INDEX(新属性投放!$B$14:$B$34,属性汇总!$S43))*属性汇总!X43,0)</f>
        <v>1276</v>
      </c>
      <c r="AB43" s="14">
        <f>ROUND(V43+($R43-INDEX(新属性投放!$B$14:$B$34,属性汇总!$S43))*属性汇总!Y43,0)</f>
        <v>795</v>
      </c>
      <c r="AC43" s="14">
        <f>ROUND(W43+($R43-INDEX(新属性投放!$B$14:$B$34,属性汇总!$S43))*属性汇总!Z43,0)</f>
        <v>3360</v>
      </c>
    </row>
    <row r="44" spans="1:29" ht="16.5" x14ac:dyDescent="0.2">
      <c r="A44" s="13">
        <v>38</v>
      </c>
      <c r="B44" s="13">
        <v>3</v>
      </c>
      <c r="C44" s="14">
        <f>INDEX(新属性投放!$L$6:$L$10,属性汇总!$B$3)*INDEX(新属性投放!$Q$6:$Q$10,属性汇总!$D$3)</f>
        <v>1.1499999999999999</v>
      </c>
      <c r="D44" s="14">
        <f>INDEX(新属性投放!J$14:J$34,属性汇总!$B44)*$C44</f>
        <v>479.20499999999993</v>
      </c>
      <c r="E44" s="14">
        <f>INDEX(新属性投放!K$14:K$34,属性汇总!$B44)*$C44</f>
        <v>195.90249999999997</v>
      </c>
      <c r="F44" s="14">
        <f>INDEX(新属性投放!L$14:L$34,属性汇总!$B44)*$C44</f>
        <v>1667.6149999999998</v>
      </c>
      <c r="G44" s="14">
        <f>INDEX(新属性投放!D$14:D$34,属性汇总!$B44)*$C44</f>
        <v>28.945499999999999</v>
      </c>
      <c r="H44" s="14">
        <f>INDEX(新属性投放!E$14:E$34,属性汇总!$B44)*$C44</f>
        <v>14.47275</v>
      </c>
      <c r="I44" s="14">
        <f>INDEX(新属性投放!F$14:F$34,属性汇总!$B44)*$C44</f>
        <v>86.836500000000001</v>
      </c>
      <c r="J44" s="14">
        <f>ROUND(D44+($A44-INDEX(新属性投放!$B$14:$B$34,属性汇总!$B44))*属性汇总!G44,0)</f>
        <v>1000</v>
      </c>
      <c r="K44" s="14">
        <f>ROUND(E44+($A44-INDEX(新属性投放!$B$14:$B$34,属性汇总!$B44))*属性汇总!H44,0)</f>
        <v>456</v>
      </c>
      <c r="L44" s="14">
        <f>ROUND(F44+($A44-INDEX(新属性投放!$B$14:$B$34,属性汇总!$B44))*属性汇总!I44,0)</f>
        <v>3231</v>
      </c>
      <c r="R44" s="13">
        <v>38</v>
      </c>
      <c r="S44" s="13">
        <v>3</v>
      </c>
      <c r="T44" s="14">
        <f>INDEX(新属性投放!$L$6:$L$10,$S$3)*INDEX(新属性投放!$Q$6:$Q$10,$U$3)</f>
        <v>1.1499999999999999</v>
      </c>
      <c r="U44" s="14">
        <f>INDEX(新属性投放!J$42:J$62,属性汇总!$S44)*$T44</f>
        <v>783.95500000000004</v>
      </c>
      <c r="V44" s="14">
        <f>INDEX(新属性投放!K$42:K$62,属性汇总!$S44)*$T44</f>
        <v>302.85250000000002</v>
      </c>
      <c r="W44" s="14">
        <f>INDEX(新属性投放!L$42:L$62,属性汇总!$S44)*$T44</f>
        <v>2868.1</v>
      </c>
      <c r="X44" s="14">
        <f>INDEX(新属性投放!$D$42:$D$62,属性汇总!$S44)*$T44</f>
        <v>28.945499999999999</v>
      </c>
      <c r="Y44" s="14">
        <f>INDEX(新属性投放!$D$42:$D$62,属性汇总!$S44)*$T44</f>
        <v>28.945499999999999</v>
      </c>
      <c r="Z44" s="14">
        <f>INDEX(新属性投放!$D$42:$D$62,属性汇总!$S44)*$T44</f>
        <v>28.945499999999999</v>
      </c>
      <c r="AA44" s="14">
        <f>ROUND(U44+($R44-INDEX(新属性投放!$B$14:$B$34,属性汇总!$S44))*属性汇总!X44,0)</f>
        <v>1305</v>
      </c>
      <c r="AB44" s="14">
        <f>ROUND(V44+($R44-INDEX(新属性投放!$B$14:$B$34,属性汇总!$S44))*属性汇总!Y44,0)</f>
        <v>824</v>
      </c>
      <c r="AC44" s="14">
        <f>ROUND(W44+($R44-INDEX(新属性投放!$B$14:$B$34,属性汇总!$S44))*属性汇总!Z44,0)</f>
        <v>3389</v>
      </c>
    </row>
    <row r="45" spans="1:29" ht="16.5" x14ac:dyDescent="0.2">
      <c r="A45" s="13">
        <v>39</v>
      </c>
      <c r="B45" s="13">
        <v>3</v>
      </c>
      <c r="C45" s="14">
        <f>INDEX(新属性投放!$L$6:$L$10,属性汇总!$B$3)*INDEX(新属性投放!$Q$6:$Q$10,属性汇总!$D$3)</f>
        <v>1.1499999999999999</v>
      </c>
      <c r="D45" s="14">
        <f>INDEX(新属性投放!J$14:J$34,属性汇总!$B45)*$C45</f>
        <v>479.20499999999993</v>
      </c>
      <c r="E45" s="14">
        <f>INDEX(新属性投放!K$14:K$34,属性汇总!$B45)*$C45</f>
        <v>195.90249999999997</v>
      </c>
      <c r="F45" s="14">
        <f>INDEX(新属性投放!L$14:L$34,属性汇总!$B45)*$C45</f>
        <v>1667.6149999999998</v>
      </c>
      <c r="G45" s="14">
        <f>INDEX(新属性投放!D$14:D$34,属性汇总!$B45)*$C45</f>
        <v>28.945499999999999</v>
      </c>
      <c r="H45" s="14">
        <f>INDEX(新属性投放!E$14:E$34,属性汇总!$B45)*$C45</f>
        <v>14.47275</v>
      </c>
      <c r="I45" s="14">
        <f>INDEX(新属性投放!F$14:F$34,属性汇总!$B45)*$C45</f>
        <v>86.836500000000001</v>
      </c>
      <c r="J45" s="14">
        <f>ROUND(D45+($A45-INDEX(新属性投放!$B$14:$B$34,属性汇总!$B45))*属性汇总!G45,0)</f>
        <v>1029</v>
      </c>
      <c r="K45" s="14">
        <f>ROUND(E45+($A45-INDEX(新属性投放!$B$14:$B$34,属性汇总!$B45))*属性汇总!H45,0)</f>
        <v>471</v>
      </c>
      <c r="L45" s="14">
        <f>ROUND(F45+($A45-INDEX(新属性投放!$B$14:$B$34,属性汇总!$B45))*属性汇总!I45,0)</f>
        <v>3318</v>
      </c>
      <c r="R45" s="13">
        <v>39</v>
      </c>
      <c r="S45" s="13">
        <v>3</v>
      </c>
      <c r="T45" s="14">
        <f>INDEX(新属性投放!$L$6:$L$10,$S$3)*INDEX(新属性投放!$Q$6:$Q$10,$U$3)</f>
        <v>1.1499999999999999</v>
      </c>
      <c r="U45" s="14">
        <f>INDEX(新属性投放!J$42:J$62,属性汇总!$S45)*$T45</f>
        <v>783.95500000000004</v>
      </c>
      <c r="V45" s="14">
        <f>INDEX(新属性投放!K$42:K$62,属性汇总!$S45)*$T45</f>
        <v>302.85250000000002</v>
      </c>
      <c r="W45" s="14">
        <f>INDEX(新属性投放!L$42:L$62,属性汇总!$S45)*$T45</f>
        <v>2868.1</v>
      </c>
      <c r="X45" s="14">
        <f>INDEX(新属性投放!$D$42:$D$62,属性汇总!$S45)*$T45</f>
        <v>28.945499999999999</v>
      </c>
      <c r="Y45" s="14">
        <f>INDEX(新属性投放!$D$42:$D$62,属性汇总!$S45)*$T45</f>
        <v>28.945499999999999</v>
      </c>
      <c r="Z45" s="14">
        <f>INDEX(新属性投放!$D$42:$D$62,属性汇总!$S45)*$T45</f>
        <v>28.945499999999999</v>
      </c>
      <c r="AA45" s="14">
        <f>ROUND(U45+($R45-INDEX(新属性投放!$B$14:$B$34,属性汇总!$S45))*属性汇总!X45,0)</f>
        <v>1334</v>
      </c>
      <c r="AB45" s="14">
        <f>ROUND(V45+($R45-INDEX(新属性投放!$B$14:$B$34,属性汇总!$S45))*属性汇总!Y45,0)</f>
        <v>853</v>
      </c>
      <c r="AC45" s="14">
        <f>ROUND(W45+($R45-INDEX(新属性投放!$B$14:$B$34,属性汇总!$S45))*属性汇总!Z45,0)</f>
        <v>3418</v>
      </c>
    </row>
    <row r="46" spans="1:29" ht="16.5" x14ac:dyDescent="0.2">
      <c r="A46" s="13">
        <v>40</v>
      </c>
      <c r="B46" s="13">
        <v>3</v>
      </c>
      <c r="C46" s="14">
        <f>INDEX(新属性投放!$L$6:$L$10,属性汇总!$B$3)*INDEX(新属性投放!$Q$6:$Q$10,属性汇总!$D$3)</f>
        <v>1.1499999999999999</v>
      </c>
      <c r="D46" s="14">
        <f>INDEX(新属性投放!J$14:J$34,属性汇总!$B46)*$C46</f>
        <v>479.20499999999993</v>
      </c>
      <c r="E46" s="14">
        <f>INDEX(新属性投放!K$14:K$34,属性汇总!$B46)*$C46</f>
        <v>195.90249999999997</v>
      </c>
      <c r="F46" s="14">
        <f>INDEX(新属性投放!L$14:L$34,属性汇总!$B46)*$C46</f>
        <v>1667.6149999999998</v>
      </c>
      <c r="G46" s="14">
        <f>INDEX(新属性投放!D$14:D$34,属性汇总!$B46)*$C46</f>
        <v>28.945499999999999</v>
      </c>
      <c r="H46" s="14">
        <f>INDEX(新属性投放!E$14:E$34,属性汇总!$B46)*$C46</f>
        <v>14.47275</v>
      </c>
      <c r="I46" s="14">
        <f>INDEX(新属性投放!F$14:F$34,属性汇总!$B46)*$C46</f>
        <v>86.836500000000001</v>
      </c>
      <c r="J46" s="14">
        <f>ROUND(D46+($A46-INDEX(新属性投放!$B$14:$B$34,属性汇总!$B46))*属性汇总!G46,0)</f>
        <v>1058</v>
      </c>
      <c r="K46" s="14">
        <f>ROUND(E46+($A46-INDEX(新属性投放!$B$14:$B$34,属性汇总!$B46))*属性汇总!H46,0)</f>
        <v>485</v>
      </c>
      <c r="L46" s="14">
        <f>ROUND(F46+($A46-INDEX(新属性投放!$B$14:$B$34,属性汇总!$B46))*属性汇总!I46,0)</f>
        <v>3404</v>
      </c>
      <c r="R46" s="13">
        <v>40</v>
      </c>
      <c r="S46" s="13">
        <v>3</v>
      </c>
      <c r="T46" s="14">
        <f>INDEX(新属性投放!$L$6:$L$10,$S$3)*INDEX(新属性投放!$Q$6:$Q$10,$U$3)</f>
        <v>1.1499999999999999</v>
      </c>
      <c r="U46" s="14">
        <f>INDEX(新属性投放!J$42:J$62,属性汇总!$S46)*$T46</f>
        <v>783.95500000000004</v>
      </c>
      <c r="V46" s="14">
        <f>INDEX(新属性投放!K$42:K$62,属性汇总!$S46)*$T46</f>
        <v>302.85250000000002</v>
      </c>
      <c r="W46" s="14">
        <f>INDEX(新属性投放!L$42:L$62,属性汇总!$S46)*$T46</f>
        <v>2868.1</v>
      </c>
      <c r="X46" s="14">
        <f>INDEX(新属性投放!$D$42:$D$62,属性汇总!$S46)*$T46</f>
        <v>28.945499999999999</v>
      </c>
      <c r="Y46" s="14">
        <f>INDEX(新属性投放!$D$42:$D$62,属性汇总!$S46)*$T46</f>
        <v>28.945499999999999</v>
      </c>
      <c r="Z46" s="14">
        <f>INDEX(新属性投放!$D$42:$D$62,属性汇总!$S46)*$T46</f>
        <v>28.945499999999999</v>
      </c>
      <c r="AA46" s="14">
        <f>ROUND(U46+($R46-INDEX(新属性投放!$B$14:$B$34,属性汇总!$S46))*属性汇总!X46,0)</f>
        <v>1363</v>
      </c>
      <c r="AB46" s="14">
        <f>ROUND(V46+($R46-INDEX(新属性投放!$B$14:$B$34,属性汇总!$S46))*属性汇总!Y46,0)</f>
        <v>882</v>
      </c>
      <c r="AC46" s="14">
        <f>ROUND(W46+($R46-INDEX(新属性投放!$B$14:$B$34,属性汇总!$S46))*属性汇总!Z46,0)</f>
        <v>3447</v>
      </c>
    </row>
    <row r="47" spans="1:29" s="20" customFormat="1" ht="16.5" x14ac:dyDescent="0.2">
      <c r="A47" s="13">
        <v>40</v>
      </c>
      <c r="B47" s="13">
        <v>4</v>
      </c>
      <c r="C47" s="14">
        <f>INDEX(新属性投放!$L$6:$L$10,属性汇总!$B$3)*INDEX(新属性投放!$Q$6:$Q$10,属性汇总!$D$3)</f>
        <v>1.1499999999999999</v>
      </c>
      <c r="D47" s="14">
        <f>INDEX(新属性投放!J$14:J$34,属性汇总!$B47)*$C47</f>
        <v>841.1099999999999</v>
      </c>
      <c r="E47" s="14">
        <f>INDEX(新属性投放!K$14:K$34,属性汇总!$B47)*$C47</f>
        <v>376.28</v>
      </c>
      <c r="F47" s="14">
        <f>INDEX(新属性投放!L$14:L$34,属性汇总!$B47)*$C47</f>
        <v>2753.3299999999995</v>
      </c>
      <c r="G47" s="14">
        <f>INDEX(新属性投放!D$14:D$34,属性汇总!$B47)*$C47</f>
        <v>34.649499999999996</v>
      </c>
      <c r="H47" s="14">
        <f>INDEX(新属性投放!E$14:E$34,属性汇总!$B47)*$C47</f>
        <v>17.324749999999998</v>
      </c>
      <c r="I47" s="14">
        <f>INDEX(新属性投放!F$14:F$34,属性汇总!$B47)*$C47</f>
        <v>103.9485</v>
      </c>
      <c r="J47" s="14">
        <f>ROUND(D47+($A47-INDEX(新属性投放!$B$14:$B$34,属性汇总!$B47))*属性汇总!G47,0)</f>
        <v>1188</v>
      </c>
      <c r="K47" s="14">
        <f>ROUND(E47+($A47-INDEX(新属性投放!$B$14:$B$34,属性汇总!$B47))*属性汇总!H47,0)</f>
        <v>550</v>
      </c>
      <c r="L47" s="14">
        <f>ROUND(F47+($A47-INDEX(新属性投放!$B$14:$B$34,属性汇总!$B47))*属性汇总!I47,0)</f>
        <v>3793</v>
      </c>
      <c r="N47" s="37"/>
      <c r="O47" s="37"/>
      <c r="P47" s="37"/>
      <c r="R47" s="13">
        <v>40</v>
      </c>
      <c r="S47" s="13">
        <v>4</v>
      </c>
      <c r="T47" s="14">
        <f>INDEX(新属性投放!$L$6:$L$10,$S$3)*INDEX(新属性投放!$Q$6:$Q$10,$U$3)</f>
        <v>1.1499999999999999</v>
      </c>
      <c r="U47" s="14">
        <f>INDEX(新属性投放!J$42:J$62,属性汇总!$S47)*$T47</f>
        <v>1145.8600000000001</v>
      </c>
      <c r="V47" s="14">
        <f>INDEX(新属性投放!K$42:K$62,属性汇总!$S47)*$T47</f>
        <v>483.23</v>
      </c>
      <c r="W47" s="14">
        <f>INDEX(新属性投放!L$42:L$62,属性汇总!$S47)*$T47</f>
        <v>4819.6499999999996</v>
      </c>
      <c r="X47" s="14">
        <f>INDEX(新属性投放!$D$42:$D$62,属性汇总!$S47)*$T47</f>
        <v>34.649499999999996</v>
      </c>
      <c r="Y47" s="14">
        <f>INDEX(新属性投放!$D$42:$D$62,属性汇总!$S47)*$T47</f>
        <v>34.649499999999996</v>
      </c>
      <c r="Z47" s="14">
        <f>INDEX(新属性投放!$D$42:$D$62,属性汇总!$S47)*$T47</f>
        <v>34.649499999999996</v>
      </c>
      <c r="AA47" s="14">
        <f>ROUND(U47+($R47-INDEX(新属性投放!$B$14:$B$34,属性汇总!$S47))*属性汇总!X47,0)</f>
        <v>1492</v>
      </c>
      <c r="AB47" s="14">
        <f>ROUND(V47+($R47-INDEX(新属性投放!$B$14:$B$34,属性汇总!$S47))*属性汇总!Y47,0)</f>
        <v>830</v>
      </c>
      <c r="AC47" s="14">
        <f>ROUND(W47+($R47-INDEX(新属性投放!$B$14:$B$34,属性汇总!$S47))*属性汇总!Z47,0)</f>
        <v>5166</v>
      </c>
    </row>
    <row r="48" spans="1:29" ht="16.5" x14ac:dyDescent="0.2">
      <c r="A48" s="13">
        <v>41</v>
      </c>
      <c r="B48" s="13">
        <v>4</v>
      </c>
      <c r="C48" s="14">
        <f>INDEX(新属性投放!$L$6:$L$10,属性汇总!$B$3)*INDEX(新属性投放!$Q$6:$Q$10,属性汇总!$D$3)</f>
        <v>1.1499999999999999</v>
      </c>
      <c r="D48" s="14">
        <f>INDEX(新属性投放!J$14:J$34,属性汇总!$B48)*$C48</f>
        <v>841.1099999999999</v>
      </c>
      <c r="E48" s="14">
        <f>INDEX(新属性投放!K$14:K$34,属性汇总!$B48)*$C48</f>
        <v>376.28</v>
      </c>
      <c r="F48" s="14">
        <f>INDEX(新属性投放!L$14:L$34,属性汇总!$B48)*$C48</f>
        <v>2753.3299999999995</v>
      </c>
      <c r="G48" s="14">
        <f>INDEX(新属性投放!D$14:D$34,属性汇总!$B48)*$C48</f>
        <v>34.649499999999996</v>
      </c>
      <c r="H48" s="14">
        <f>INDEX(新属性投放!E$14:E$34,属性汇总!$B48)*$C48</f>
        <v>17.324749999999998</v>
      </c>
      <c r="I48" s="14">
        <f>INDEX(新属性投放!F$14:F$34,属性汇总!$B48)*$C48</f>
        <v>103.9485</v>
      </c>
      <c r="J48" s="14">
        <f>ROUND(D48+($A48-INDEX(新属性投放!$B$14:$B$34,属性汇总!$B48))*属性汇总!G48,0)</f>
        <v>1222</v>
      </c>
      <c r="K48" s="14">
        <f>ROUND(E48+($A48-INDEX(新属性投放!$B$14:$B$34,属性汇总!$B48))*属性汇总!H48,0)</f>
        <v>567</v>
      </c>
      <c r="L48" s="14">
        <f>ROUND(F48+($A48-INDEX(新属性投放!$B$14:$B$34,属性汇总!$B48))*属性汇总!I48,0)</f>
        <v>3897</v>
      </c>
      <c r="R48" s="13">
        <v>41</v>
      </c>
      <c r="S48" s="13">
        <v>4</v>
      </c>
      <c r="T48" s="14">
        <f>INDEX(新属性投放!$L$6:$L$10,$S$3)*INDEX(新属性投放!$Q$6:$Q$10,$U$3)</f>
        <v>1.1499999999999999</v>
      </c>
      <c r="U48" s="14">
        <f>INDEX(新属性投放!J$42:J$62,属性汇总!$S48)*$T48</f>
        <v>1145.8600000000001</v>
      </c>
      <c r="V48" s="14">
        <f>INDEX(新属性投放!K$42:K$62,属性汇总!$S48)*$T48</f>
        <v>483.23</v>
      </c>
      <c r="W48" s="14">
        <f>INDEX(新属性投放!L$42:L$62,属性汇总!$S48)*$T48</f>
        <v>4819.6499999999996</v>
      </c>
      <c r="X48" s="14">
        <f>INDEX(新属性投放!$D$42:$D$62,属性汇总!$S48)*$T48</f>
        <v>34.649499999999996</v>
      </c>
      <c r="Y48" s="14">
        <f>INDEX(新属性投放!$D$42:$D$62,属性汇总!$S48)*$T48</f>
        <v>34.649499999999996</v>
      </c>
      <c r="Z48" s="14">
        <f>INDEX(新属性投放!$D$42:$D$62,属性汇总!$S48)*$T48</f>
        <v>34.649499999999996</v>
      </c>
      <c r="AA48" s="14">
        <f>ROUND(U48+($R48-INDEX(新属性投放!$B$14:$B$34,属性汇总!$S48))*属性汇总!X48,0)</f>
        <v>1527</v>
      </c>
      <c r="AB48" s="14">
        <f>ROUND(V48+($R48-INDEX(新属性投放!$B$14:$B$34,属性汇总!$S48))*属性汇总!Y48,0)</f>
        <v>864</v>
      </c>
      <c r="AC48" s="14">
        <f>ROUND(W48+($R48-INDEX(新属性投放!$B$14:$B$34,属性汇总!$S48))*属性汇总!Z48,0)</f>
        <v>5201</v>
      </c>
    </row>
    <row r="49" spans="1:29" ht="16.5" x14ac:dyDescent="0.2">
      <c r="A49" s="13">
        <v>42</v>
      </c>
      <c r="B49" s="13">
        <v>4</v>
      </c>
      <c r="C49" s="14">
        <f>INDEX(新属性投放!$L$6:$L$10,属性汇总!$B$3)*INDEX(新属性投放!$Q$6:$Q$10,属性汇总!$D$3)</f>
        <v>1.1499999999999999</v>
      </c>
      <c r="D49" s="14">
        <f>INDEX(新属性投放!J$14:J$34,属性汇总!$B49)*$C49</f>
        <v>841.1099999999999</v>
      </c>
      <c r="E49" s="14">
        <f>INDEX(新属性投放!K$14:K$34,属性汇总!$B49)*$C49</f>
        <v>376.28</v>
      </c>
      <c r="F49" s="14">
        <f>INDEX(新属性投放!L$14:L$34,属性汇总!$B49)*$C49</f>
        <v>2753.3299999999995</v>
      </c>
      <c r="G49" s="14">
        <f>INDEX(新属性投放!D$14:D$34,属性汇总!$B49)*$C49</f>
        <v>34.649499999999996</v>
      </c>
      <c r="H49" s="14">
        <f>INDEX(新属性投放!E$14:E$34,属性汇总!$B49)*$C49</f>
        <v>17.324749999999998</v>
      </c>
      <c r="I49" s="14">
        <f>INDEX(新属性投放!F$14:F$34,属性汇总!$B49)*$C49</f>
        <v>103.9485</v>
      </c>
      <c r="J49" s="14">
        <f>ROUND(D49+($A49-INDEX(新属性投放!$B$14:$B$34,属性汇总!$B49))*属性汇总!G49,0)</f>
        <v>1257</v>
      </c>
      <c r="K49" s="14">
        <f>ROUND(E49+($A49-INDEX(新属性投放!$B$14:$B$34,属性汇总!$B49))*属性汇总!H49,0)</f>
        <v>584</v>
      </c>
      <c r="L49" s="14">
        <f>ROUND(F49+($A49-INDEX(新属性投放!$B$14:$B$34,属性汇总!$B49))*属性汇总!I49,0)</f>
        <v>4001</v>
      </c>
      <c r="R49" s="13">
        <v>42</v>
      </c>
      <c r="S49" s="13">
        <v>4</v>
      </c>
      <c r="T49" s="14">
        <f>INDEX(新属性投放!$L$6:$L$10,$S$3)*INDEX(新属性投放!$Q$6:$Q$10,$U$3)</f>
        <v>1.1499999999999999</v>
      </c>
      <c r="U49" s="14">
        <f>INDEX(新属性投放!J$42:J$62,属性汇总!$S49)*$T49</f>
        <v>1145.8600000000001</v>
      </c>
      <c r="V49" s="14">
        <f>INDEX(新属性投放!K$42:K$62,属性汇总!$S49)*$T49</f>
        <v>483.23</v>
      </c>
      <c r="W49" s="14">
        <f>INDEX(新属性投放!L$42:L$62,属性汇总!$S49)*$T49</f>
        <v>4819.6499999999996</v>
      </c>
      <c r="X49" s="14">
        <f>INDEX(新属性投放!$D$42:$D$62,属性汇总!$S49)*$T49</f>
        <v>34.649499999999996</v>
      </c>
      <c r="Y49" s="14">
        <f>INDEX(新属性投放!$D$42:$D$62,属性汇总!$S49)*$T49</f>
        <v>34.649499999999996</v>
      </c>
      <c r="Z49" s="14">
        <f>INDEX(新属性投放!$D$42:$D$62,属性汇总!$S49)*$T49</f>
        <v>34.649499999999996</v>
      </c>
      <c r="AA49" s="14">
        <f>ROUND(U49+($R49-INDEX(新属性投放!$B$14:$B$34,属性汇总!$S49))*属性汇总!X49,0)</f>
        <v>1562</v>
      </c>
      <c r="AB49" s="14">
        <f>ROUND(V49+($R49-INDEX(新属性投放!$B$14:$B$34,属性汇总!$S49))*属性汇总!Y49,0)</f>
        <v>899</v>
      </c>
      <c r="AC49" s="14">
        <f>ROUND(W49+($R49-INDEX(新属性投放!$B$14:$B$34,属性汇总!$S49))*属性汇总!Z49,0)</f>
        <v>5235</v>
      </c>
    </row>
    <row r="50" spans="1:29" ht="16.5" x14ac:dyDescent="0.2">
      <c r="A50" s="13">
        <v>43</v>
      </c>
      <c r="B50" s="13">
        <v>4</v>
      </c>
      <c r="C50" s="14">
        <f>INDEX(新属性投放!$L$6:$L$10,属性汇总!$B$3)*INDEX(新属性投放!$Q$6:$Q$10,属性汇总!$D$3)</f>
        <v>1.1499999999999999</v>
      </c>
      <c r="D50" s="14">
        <f>INDEX(新属性投放!J$14:J$34,属性汇总!$B50)*$C50</f>
        <v>841.1099999999999</v>
      </c>
      <c r="E50" s="14">
        <f>INDEX(新属性投放!K$14:K$34,属性汇总!$B50)*$C50</f>
        <v>376.28</v>
      </c>
      <c r="F50" s="14">
        <f>INDEX(新属性投放!L$14:L$34,属性汇总!$B50)*$C50</f>
        <v>2753.3299999999995</v>
      </c>
      <c r="G50" s="14">
        <f>INDEX(新属性投放!D$14:D$34,属性汇总!$B50)*$C50</f>
        <v>34.649499999999996</v>
      </c>
      <c r="H50" s="14">
        <f>INDEX(新属性投放!E$14:E$34,属性汇总!$B50)*$C50</f>
        <v>17.324749999999998</v>
      </c>
      <c r="I50" s="14">
        <f>INDEX(新属性投放!F$14:F$34,属性汇总!$B50)*$C50</f>
        <v>103.9485</v>
      </c>
      <c r="J50" s="14">
        <f>ROUND(D50+($A50-INDEX(新属性投放!$B$14:$B$34,属性汇总!$B50))*属性汇总!G50,0)</f>
        <v>1292</v>
      </c>
      <c r="K50" s="14">
        <f>ROUND(E50+($A50-INDEX(新属性投放!$B$14:$B$34,属性汇总!$B50))*属性汇总!H50,0)</f>
        <v>602</v>
      </c>
      <c r="L50" s="14">
        <f>ROUND(F50+($A50-INDEX(新属性投放!$B$14:$B$34,属性汇总!$B50))*属性汇总!I50,0)</f>
        <v>4105</v>
      </c>
      <c r="R50" s="13">
        <v>43</v>
      </c>
      <c r="S50" s="13">
        <v>4</v>
      </c>
      <c r="T50" s="14">
        <f>INDEX(新属性投放!$L$6:$L$10,$S$3)*INDEX(新属性投放!$Q$6:$Q$10,$U$3)</f>
        <v>1.1499999999999999</v>
      </c>
      <c r="U50" s="14">
        <f>INDEX(新属性投放!J$42:J$62,属性汇总!$S50)*$T50</f>
        <v>1145.8600000000001</v>
      </c>
      <c r="V50" s="14">
        <f>INDEX(新属性投放!K$42:K$62,属性汇总!$S50)*$T50</f>
        <v>483.23</v>
      </c>
      <c r="W50" s="14">
        <f>INDEX(新属性投放!L$42:L$62,属性汇总!$S50)*$T50</f>
        <v>4819.6499999999996</v>
      </c>
      <c r="X50" s="14">
        <f>INDEX(新属性投放!$D$42:$D$62,属性汇总!$S50)*$T50</f>
        <v>34.649499999999996</v>
      </c>
      <c r="Y50" s="14">
        <f>INDEX(新属性投放!$D$42:$D$62,属性汇总!$S50)*$T50</f>
        <v>34.649499999999996</v>
      </c>
      <c r="Z50" s="14">
        <f>INDEX(新属性投放!$D$42:$D$62,属性汇总!$S50)*$T50</f>
        <v>34.649499999999996</v>
      </c>
      <c r="AA50" s="14">
        <f>ROUND(U50+($R50-INDEX(新属性投放!$B$14:$B$34,属性汇总!$S50))*属性汇总!X50,0)</f>
        <v>1596</v>
      </c>
      <c r="AB50" s="14">
        <f>ROUND(V50+($R50-INDEX(新属性投放!$B$14:$B$34,属性汇总!$S50))*属性汇总!Y50,0)</f>
        <v>934</v>
      </c>
      <c r="AC50" s="14">
        <f>ROUND(W50+($R50-INDEX(新属性投放!$B$14:$B$34,属性汇总!$S50))*属性汇总!Z50,0)</f>
        <v>5270</v>
      </c>
    </row>
    <row r="51" spans="1:29" ht="16.5" x14ac:dyDescent="0.2">
      <c r="A51" s="13">
        <v>44</v>
      </c>
      <c r="B51" s="13">
        <v>4</v>
      </c>
      <c r="C51" s="14">
        <f>INDEX(新属性投放!$L$6:$L$10,属性汇总!$B$3)*INDEX(新属性投放!$Q$6:$Q$10,属性汇总!$D$3)</f>
        <v>1.1499999999999999</v>
      </c>
      <c r="D51" s="14">
        <f>INDEX(新属性投放!J$14:J$34,属性汇总!$B51)*$C51</f>
        <v>841.1099999999999</v>
      </c>
      <c r="E51" s="14">
        <f>INDEX(新属性投放!K$14:K$34,属性汇总!$B51)*$C51</f>
        <v>376.28</v>
      </c>
      <c r="F51" s="14">
        <f>INDEX(新属性投放!L$14:L$34,属性汇总!$B51)*$C51</f>
        <v>2753.3299999999995</v>
      </c>
      <c r="G51" s="14">
        <f>INDEX(新属性投放!D$14:D$34,属性汇总!$B51)*$C51</f>
        <v>34.649499999999996</v>
      </c>
      <c r="H51" s="14">
        <f>INDEX(新属性投放!E$14:E$34,属性汇总!$B51)*$C51</f>
        <v>17.324749999999998</v>
      </c>
      <c r="I51" s="14">
        <f>INDEX(新属性投放!F$14:F$34,属性汇总!$B51)*$C51</f>
        <v>103.9485</v>
      </c>
      <c r="J51" s="14">
        <f>ROUND(D51+($A51-INDEX(新属性投放!$B$14:$B$34,属性汇总!$B51))*属性汇总!G51,0)</f>
        <v>1326</v>
      </c>
      <c r="K51" s="14">
        <f>ROUND(E51+($A51-INDEX(新属性投放!$B$14:$B$34,属性汇总!$B51))*属性汇总!H51,0)</f>
        <v>619</v>
      </c>
      <c r="L51" s="14">
        <f>ROUND(F51+($A51-INDEX(新属性投放!$B$14:$B$34,属性汇总!$B51))*属性汇总!I51,0)</f>
        <v>4209</v>
      </c>
      <c r="R51" s="13">
        <v>44</v>
      </c>
      <c r="S51" s="13">
        <v>4</v>
      </c>
      <c r="T51" s="14">
        <f>INDEX(新属性投放!$L$6:$L$10,$S$3)*INDEX(新属性投放!$Q$6:$Q$10,$U$3)</f>
        <v>1.1499999999999999</v>
      </c>
      <c r="U51" s="14">
        <f>INDEX(新属性投放!J$42:J$62,属性汇总!$S51)*$T51</f>
        <v>1145.8600000000001</v>
      </c>
      <c r="V51" s="14">
        <f>INDEX(新属性投放!K$42:K$62,属性汇总!$S51)*$T51</f>
        <v>483.23</v>
      </c>
      <c r="W51" s="14">
        <f>INDEX(新属性投放!L$42:L$62,属性汇总!$S51)*$T51</f>
        <v>4819.6499999999996</v>
      </c>
      <c r="X51" s="14">
        <f>INDEX(新属性投放!$D$42:$D$62,属性汇总!$S51)*$T51</f>
        <v>34.649499999999996</v>
      </c>
      <c r="Y51" s="14">
        <f>INDEX(新属性投放!$D$42:$D$62,属性汇总!$S51)*$T51</f>
        <v>34.649499999999996</v>
      </c>
      <c r="Z51" s="14">
        <f>INDEX(新属性投放!$D$42:$D$62,属性汇总!$S51)*$T51</f>
        <v>34.649499999999996</v>
      </c>
      <c r="AA51" s="14">
        <f>ROUND(U51+($R51-INDEX(新属性投放!$B$14:$B$34,属性汇总!$S51))*属性汇总!X51,0)</f>
        <v>1631</v>
      </c>
      <c r="AB51" s="14">
        <f>ROUND(V51+($R51-INDEX(新属性投放!$B$14:$B$34,属性汇总!$S51))*属性汇总!Y51,0)</f>
        <v>968</v>
      </c>
      <c r="AC51" s="14">
        <f>ROUND(W51+($R51-INDEX(新属性投放!$B$14:$B$34,属性汇总!$S51))*属性汇总!Z51,0)</f>
        <v>5305</v>
      </c>
    </row>
    <row r="52" spans="1:29" ht="16.5" x14ac:dyDescent="0.2">
      <c r="A52" s="13">
        <v>45</v>
      </c>
      <c r="B52" s="13">
        <v>4</v>
      </c>
      <c r="C52" s="14">
        <f>INDEX(新属性投放!$L$6:$L$10,属性汇总!$B$3)*INDEX(新属性投放!$Q$6:$Q$10,属性汇总!$D$3)</f>
        <v>1.1499999999999999</v>
      </c>
      <c r="D52" s="14">
        <f>INDEX(新属性投放!J$14:J$34,属性汇总!$B52)*$C52</f>
        <v>841.1099999999999</v>
      </c>
      <c r="E52" s="14">
        <f>INDEX(新属性投放!K$14:K$34,属性汇总!$B52)*$C52</f>
        <v>376.28</v>
      </c>
      <c r="F52" s="14">
        <f>INDEX(新属性投放!L$14:L$34,属性汇总!$B52)*$C52</f>
        <v>2753.3299999999995</v>
      </c>
      <c r="G52" s="14">
        <f>INDEX(新属性投放!D$14:D$34,属性汇总!$B52)*$C52</f>
        <v>34.649499999999996</v>
      </c>
      <c r="H52" s="14">
        <f>INDEX(新属性投放!E$14:E$34,属性汇总!$B52)*$C52</f>
        <v>17.324749999999998</v>
      </c>
      <c r="I52" s="14">
        <f>INDEX(新属性投放!F$14:F$34,属性汇总!$B52)*$C52</f>
        <v>103.9485</v>
      </c>
      <c r="J52" s="14">
        <f>ROUND(D52+($A52-INDEX(新属性投放!$B$14:$B$34,属性汇总!$B52))*属性汇总!G52,0)</f>
        <v>1361</v>
      </c>
      <c r="K52" s="14">
        <f>ROUND(E52+($A52-INDEX(新属性投放!$B$14:$B$34,属性汇总!$B52))*属性汇总!H52,0)</f>
        <v>636</v>
      </c>
      <c r="L52" s="14">
        <f>ROUND(F52+($A52-INDEX(新属性投放!$B$14:$B$34,属性汇总!$B52))*属性汇总!I52,0)</f>
        <v>4313</v>
      </c>
      <c r="R52" s="13">
        <v>45</v>
      </c>
      <c r="S52" s="13">
        <v>4</v>
      </c>
      <c r="T52" s="14">
        <f>INDEX(新属性投放!$L$6:$L$10,$S$3)*INDEX(新属性投放!$Q$6:$Q$10,$U$3)</f>
        <v>1.1499999999999999</v>
      </c>
      <c r="U52" s="14">
        <f>INDEX(新属性投放!J$42:J$62,属性汇总!$S52)*$T52</f>
        <v>1145.8600000000001</v>
      </c>
      <c r="V52" s="14">
        <f>INDEX(新属性投放!K$42:K$62,属性汇总!$S52)*$T52</f>
        <v>483.23</v>
      </c>
      <c r="W52" s="14">
        <f>INDEX(新属性投放!L$42:L$62,属性汇总!$S52)*$T52</f>
        <v>4819.6499999999996</v>
      </c>
      <c r="X52" s="14">
        <f>INDEX(新属性投放!$D$42:$D$62,属性汇总!$S52)*$T52</f>
        <v>34.649499999999996</v>
      </c>
      <c r="Y52" s="14">
        <f>INDEX(新属性投放!$D$42:$D$62,属性汇总!$S52)*$T52</f>
        <v>34.649499999999996</v>
      </c>
      <c r="Z52" s="14">
        <f>INDEX(新属性投放!$D$42:$D$62,属性汇总!$S52)*$T52</f>
        <v>34.649499999999996</v>
      </c>
      <c r="AA52" s="14">
        <f>ROUND(U52+($R52-INDEX(新属性投放!$B$14:$B$34,属性汇总!$S52))*属性汇总!X52,0)</f>
        <v>1666</v>
      </c>
      <c r="AB52" s="14">
        <f>ROUND(V52+($R52-INDEX(新属性投放!$B$14:$B$34,属性汇总!$S52))*属性汇总!Y52,0)</f>
        <v>1003</v>
      </c>
      <c r="AC52" s="14">
        <f>ROUND(W52+($R52-INDEX(新属性投放!$B$14:$B$34,属性汇总!$S52))*属性汇总!Z52,0)</f>
        <v>5339</v>
      </c>
    </row>
    <row r="53" spans="1:29" ht="16.5" x14ac:dyDescent="0.2">
      <c r="A53" s="13">
        <v>46</v>
      </c>
      <c r="B53" s="13">
        <v>4</v>
      </c>
      <c r="C53" s="14">
        <f>INDEX(新属性投放!$L$6:$L$10,属性汇总!$B$3)*INDEX(新属性投放!$Q$6:$Q$10,属性汇总!$D$3)</f>
        <v>1.1499999999999999</v>
      </c>
      <c r="D53" s="14">
        <f>INDEX(新属性投放!J$14:J$34,属性汇总!$B53)*$C53</f>
        <v>841.1099999999999</v>
      </c>
      <c r="E53" s="14">
        <f>INDEX(新属性投放!K$14:K$34,属性汇总!$B53)*$C53</f>
        <v>376.28</v>
      </c>
      <c r="F53" s="14">
        <f>INDEX(新属性投放!L$14:L$34,属性汇总!$B53)*$C53</f>
        <v>2753.3299999999995</v>
      </c>
      <c r="G53" s="14">
        <f>INDEX(新属性投放!D$14:D$34,属性汇总!$B53)*$C53</f>
        <v>34.649499999999996</v>
      </c>
      <c r="H53" s="14">
        <f>INDEX(新属性投放!E$14:E$34,属性汇总!$B53)*$C53</f>
        <v>17.324749999999998</v>
      </c>
      <c r="I53" s="14">
        <f>INDEX(新属性投放!F$14:F$34,属性汇总!$B53)*$C53</f>
        <v>103.9485</v>
      </c>
      <c r="J53" s="14">
        <f>ROUND(D53+($A53-INDEX(新属性投放!$B$14:$B$34,属性汇总!$B53))*属性汇总!G53,0)</f>
        <v>1396</v>
      </c>
      <c r="K53" s="14">
        <f>ROUND(E53+($A53-INDEX(新属性投放!$B$14:$B$34,属性汇总!$B53))*属性汇总!H53,0)</f>
        <v>653</v>
      </c>
      <c r="L53" s="14">
        <f>ROUND(F53+($A53-INDEX(新属性投放!$B$14:$B$34,属性汇总!$B53))*属性汇总!I53,0)</f>
        <v>4417</v>
      </c>
      <c r="R53" s="13">
        <v>46</v>
      </c>
      <c r="S53" s="13">
        <v>4</v>
      </c>
      <c r="T53" s="14">
        <f>INDEX(新属性投放!$L$6:$L$10,$S$3)*INDEX(新属性投放!$Q$6:$Q$10,$U$3)</f>
        <v>1.1499999999999999</v>
      </c>
      <c r="U53" s="14">
        <f>INDEX(新属性投放!J$42:J$62,属性汇总!$S53)*$T53</f>
        <v>1145.8600000000001</v>
      </c>
      <c r="V53" s="14">
        <f>INDEX(新属性投放!K$42:K$62,属性汇总!$S53)*$T53</f>
        <v>483.23</v>
      </c>
      <c r="W53" s="14">
        <f>INDEX(新属性投放!L$42:L$62,属性汇总!$S53)*$T53</f>
        <v>4819.6499999999996</v>
      </c>
      <c r="X53" s="14">
        <f>INDEX(新属性投放!$D$42:$D$62,属性汇总!$S53)*$T53</f>
        <v>34.649499999999996</v>
      </c>
      <c r="Y53" s="14">
        <f>INDEX(新属性投放!$D$42:$D$62,属性汇总!$S53)*$T53</f>
        <v>34.649499999999996</v>
      </c>
      <c r="Z53" s="14">
        <f>INDEX(新属性投放!$D$42:$D$62,属性汇总!$S53)*$T53</f>
        <v>34.649499999999996</v>
      </c>
      <c r="AA53" s="14">
        <f>ROUND(U53+($R53-INDEX(新属性投放!$B$14:$B$34,属性汇总!$S53))*属性汇总!X53,0)</f>
        <v>1700</v>
      </c>
      <c r="AB53" s="14">
        <f>ROUND(V53+($R53-INDEX(新属性投放!$B$14:$B$34,属性汇总!$S53))*属性汇总!Y53,0)</f>
        <v>1038</v>
      </c>
      <c r="AC53" s="14">
        <f>ROUND(W53+($R53-INDEX(新属性投放!$B$14:$B$34,属性汇总!$S53))*属性汇总!Z53,0)</f>
        <v>5374</v>
      </c>
    </row>
    <row r="54" spans="1:29" ht="16.5" x14ac:dyDescent="0.2">
      <c r="A54" s="13">
        <v>47</v>
      </c>
      <c r="B54" s="13">
        <v>4</v>
      </c>
      <c r="C54" s="14">
        <f>INDEX(新属性投放!$L$6:$L$10,属性汇总!$B$3)*INDEX(新属性投放!$Q$6:$Q$10,属性汇总!$D$3)</f>
        <v>1.1499999999999999</v>
      </c>
      <c r="D54" s="14">
        <f>INDEX(新属性投放!J$14:J$34,属性汇总!$B54)*$C54</f>
        <v>841.1099999999999</v>
      </c>
      <c r="E54" s="14">
        <f>INDEX(新属性投放!K$14:K$34,属性汇总!$B54)*$C54</f>
        <v>376.28</v>
      </c>
      <c r="F54" s="14">
        <f>INDEX(新属性投放!L$14:L$34,属性汇总!$B54)*$C54</f>
        <v>2753.3299999999995</v>
      </c>
      <c r="G54" s="14">
        <f>INDEX(新属性投放!D$14:D$34,属性汇总!$B54)*$C54</f>
        <v>34.649499999999996</v>
      </c>
      <c r="H54" s="14">
        <f>INDEX(新属性投放!E$14:E$34,属性汇总!$B54)*$C54</f>
        <v>17.324749999999998</v>
      </c>
      <c r="I54" s="14">
        <f>INDEX(新属性投放!F$14:F$34,属性汇总!$B54)*$C54</f>
        <v>103.9485</v>
      </c>
      <c r="J54" s="14">
        <f>ROUND(D54+($A54-INDEX(新属性投放!$B$14:$B$34,属性汇总!$B54))*属性汇总!G54,0)</f>
        <v>1430</v>
      </c>
      <c r="K54" s="14">
        <f>ROUND(E54+($A54-INDEX(新属性投放!$B$14:$B$34,属性汇总!$B54))*属性汇总!H54,0)</f>
        <v>671</v>
      </c>
      <c r="L54" s="14">
        <f>ROUND(F54+($A54-INDEX(新属性投放!$B$14:$B$34,属性汇总!$B54))*属性汇总!I54,0)</f>
        <v>4520</v>
      </c>
      <c r="R54" s="13">
        <v>47</v>
      </c>
      <c r="S54" s="13">
        <v>4</v>
      </c>
      <c r="T54" s="14">
        <f>INDEX(新属性投放!$L$6:$L$10,$S$3)*INDEX(新属性投放!$Q$6:$Q$10,$U$3)</f>
        <v>1.1499999999999999</v>
      </c>
      <c r="U54" s="14">
        <f>INDEX(新属性投放!J$42:J$62,属性汇总!$S54)*$T54</f>
        <v>1145.8600000000001</v>
      </c>
      <c r="V54" s="14">
        <f>INDEX(新属性投放!K$42:K$62,属性汇总!$S54)*$T54</f>
        <v>483.23</v>
      </c>
      <c r="W54" s="14">
        <f>INDEX(新属性投放!L$42:L$62,属性汇总!$S54)*$T54</f>
        <v>4819.6499999999996</v>
      </c>
      <c r="X54" s="14">
        <f>INDEX(新属性投放!$D$42:$D$62,属性汇总!$S54)*$T54</f>
        <v>34.649499999999996</v>
      </c>
      <c r="Y54" s="14">
        <f>INDEX(新属性投放!$D$42:$D$62,属性汇总!$S54)*$T54</f>
        <v>34.649499999999996</v>
      </c>
      <c r="Z54" s="14">
        <f>INDEX(新属性投放!$D$42:$D$62,属性汇总!$S54)*$T54</f>
        <v>34.649499999999996</v>
      </c>
      <c r="AA54" s="14">
        <f>ROUND(U54+($R54-INDEX(新属性投放!$B$14:$B$34,属性汇总!$S54))*属性汇总!X54,0)</f>
        <v>1735</v>
      </c>
      <c r="AB54" s="14">
        <f>ROUND(V54+($R54-INDEX(新属性投放!$B$14:$B$34,属性汇总!$S54))*属性汇总!Y54,0)</f>
        <v>1072</v>
      </c>
      <c r="AC54" s="14">
        <f>ROUND(W54+($R54-INDEX(新属性投放!$B$14:$B$34,属性汇总!$S54))*属性汇总!Z54,0)</f>
        <v>5409</v>
      </c>
    </row>
    <row r="55" spans="1:29" ht="16.5" x14ac:dyDescent="0.2">
      <c r="A55" s="13">
        <v>48</v>
      </c>
      <c r="B55" s="13">
        <v>4</v>
      </c>
      <c r="C55" s="14">
        <f>INDEX(新属性投放!$L$6:$L$10,属性汇总!$B$3)*INDEX(新属性投放!$Q$6:$Q$10,属性汇总!$D$3)</f>
        <v>1.1499999999999999</v>
      </c>
      <c r="D55" s="14">
        <f>INDEX(新属性投放!J$14:J$34,属性汇总!$B55)*$C55</f>
        <v>841.1099999999999</v>
      </c>
      <c r="E55" s="14">
        <f>INDEX(新属性投放!K$14:K$34,属性汇总!$B55)*$C55</f>
        <v>376.28</v>
      </c>
      <c r="F55" s="14">
        <f>INDEX(新属性投放!L$14:L$34,属性汇总!$B55)*$C55</f>
        <v>2753.3299999999995</v>
      </c>
      <c r="G55" s="14">
        <f>INDEX(新属性投放!D$14:D$34,属性汇总!$B55)*$C55</f>
        <v>34.649499999999996</v>
      </c>
      <c r="H55" s="14">
        <f>INDEX(新属性投放!E$14:E$34,属性汇总!$B55)*$C55</f>
        <v>17.324749999999998</v>
      </c>
      <c r="I55" s="14">
        <f>INDEX(新属性投放!F$14:F$34,属性汇总!$B55)*$C55</f>
        <v>103.9485</v>
      </c>
      <c r="J55" s="14">
        <f>ROUND(D55+($A55-INDEX(新属性投放!$B$14:$B$34,属性汇总!$B55))*属性汇总!G55,0)</f>
        <v>1465</v>
      </c>
      <c r="K55" s="14">
        <f>ROUND(E55+($A55-INDEX(新属性投放!$B$14:$B$34,属性汇总!$B55))*属性汇总!H55,0)</f>
        <v>688</v>
      </c>
      <c r="L55" s="14">
        <f>ROUND(F55+($A55-INDEX(新属性投放!$B$14:$B$34,属性汇总!$B55))*属性汇总!I55,0)</f>
        <v>4624</v>
      </c>
      <c r="R55" s="13">
        <v>48</v>
      </c>
      <c r="S55" s="13">
        <v>4</v>
      </c>
      <c r="T55" s="14">
        <f>INDEX(新属性投放!$L$6:$L$10,$S$3)*INDEX(新属性投放!$Q$6:$Q$10,$U$3)</f>
        <v>1.1499999999999999</v>
      </c>
      <c r="U55" s="14">
        <f>INDEX(新属性投放!J$42:J$62,属性汇总!$S55)*$T55</f>
        <v>1145.8600000000001</v>
      </c>
      <c r="V55" s="14">
        <f>INDEX(新属性投放!K$42:K$62,属性汇总!$S55)*$T55</f>
        <v>483.23</v>
      </c>
      <c r="W55" s="14">
        <f>INDEX(新属性投放!L$42:L$62,属性汇总!$S55)*$T55</f>
        <v>4819.6499999999996</v>
      </c>
      <c r="X55" s="14">
        <f>INDEX(新属性投放!$D$42:$D$62,属性汇总!$S55)*$T55</f>
        <v>34.649499999999996</v>
      </c>
      <c r="Y55" s="14">
        <f>INDEX(新属性投放!$D$42:$D$62,属性汇总!$S55)*$T55</f>
        <v>34.649499999999996</v>
      </c>
      <c r="Z55" s="14">
        <f>INDEX(新属性投放!$D$42:$D$62,属性汇总!$S55)*$T55</f>
        <v>34.649499999999996</v>
      </c>
      <c r="AA55" s="14">
        <f>ROUND(U55+($R55-INDEX(新属性投放!$B$14:$B$34,属性汇总!$S55))*属性汇总!X55,0)</f>
        <v>1770</v>
      </c>
      <c r="AB55" s="14">
        <f>ROUND(V55+($R55-INDEX(新属性投放!$B$14:$B$34,属性汇总!$S55))*属性汇总!Y55,0)</f>
        <v>1107</v>
      </c>
      <c r="AC55" s="14">
        <f>ROUND(W55+($R55-INDEX(新属性投放!$B$14:$B$34,属性汇总!$S55))*属性汇总!Z55,0)</f>
        <v>5443</v>
      </c>
    </row>
    <row r="56" spans="1:29" ht="16.5" x14ac:dyDescent="0.2">
      <c r="A56" s="13">
        <v>49</v>
      </c>
      <c r="B56" s="13">
        <v>4</v>
      </c>
      <c r="C56" s="14">
        <f>INDEX(新属性投放!$L$6:$L$10,属性汇总!$B$3)*INDEX(新属性投放!$Q$6:$Q$10,属性汇总!$D$3)</f>
        <v>1.1499999999999999</v>
      </c>
      <c r="D56" s="14">
        <f>INDEX(新属性投放!J$14:J$34,属性汇总!$B56)*$C56</f>
        <v>841.1099999999999</v>
      </c>
      <c r="E56" s="14">
        <f>INDEX(新属性投放!K$14:K$34,属性汇总!$B56)*$C56</f>
        <v>376.28</v>
      </c>
      <c r="F56" s="14">
        <f>INDEX(新属性投放!L$14:L$34,属性汇总!$B56)*$C56</f>
        <v>2753.3299999999995</v>
      </c>
      <c r="G56" s="14">
        <f>INDEX(新属性投放!D$14:D$34,属性汇总!$B56)*$C56</f>
        <v>34.649499999999996</v>
      </c>
      <c r="H56" s="14">
        <f>INDEX(新属性投放!E$14:E$34,属性汇总!$B56)*$C56</f>
        <v>17.324749999999998</v>
      </c>
      <c r="I56" s="14">
        <f>INDEX(新属性投放!F$14:F$34,属性汇总!$B56)*$C56</f>
        <v>103.9485</v>
      </c>
      <c r="J56" s="14">
        <f>ROUND(D56+($A56-INDEX(新属性投放!$B$14:$B$34,属性汇总!$B56))*属性汇总!G56,0)</f>
        <v>1499</v>
      </c>
      <c r="K56" s="14">
        <f>ROUND(E56+($A56-INDEX(新属性投放!$B$14:$B$34,属性汇总!$B56))*属性汇总!H56,0)</f>
        <v>705</v>
      </c>
      <c r="L56" s="14">
        <f>ROUND(F56+($A56-INDEX(新属性投放!$B$14:$B$34,属性汇总!$B56))*属性汇总!I56,0)</f>
        <v>4728</v>
      </c>
      <c r="R56" s="13">
        <v>49</v>
      </c>
      <c r="S56" s="13">
        <v>4</v>
      </c>
      <c r="T56" s="14">
        <f>INDEX(新属性投放!$L$6:$L$10,$S$3)*INDEX(新属性投放!$Q$6:$Q$10,$U$3)</f>
        <v>1.1499999999999999</v>
      </c>
      <c r="U56" s="14">
        <f>INDEX(新属性投放!J$42:J$62,属性汇总!$S56)*$T56</f>
        <v>1145.8600000000001</v>
      </c>
      <c r="V56" s="14">
        <f>INDEX(新属性投放!K$42:K$62,属性汇总!$S56)*$T56</f>
        <v>483.23</v>
      </c>
      <c r="W56" s="14">
        <f>INDEX(新属性投放!L$42:L$62,属性汇总!$S56)*$T56</f>
        <v>4819.6499999999996</v>
      </c>
      <c r="X56" s="14">
        <f>INDEX(新属性投放!$D$42:$D$62,属性汇总!$S56)*$T56</f>
        <v>34.649499999999996</v>
      </c>
      <c r="Y56" s="14">
        <f>INDEX(新属性投放!$D$42:$D$62,属性汇总!$S56)*$T56</f>
        <v>34.649499999999996</v>
      </c>
      <c r="Z56" s="14">
        <f>INDEX(新属性投放!$D$42:$D$62,属性汇总!$S56)*$T56</f>
        <v>34.649499999999996</v>
      </c>
      <c r="AA56" s="14">
        <f>ROUND(U56+($R56-INDEX(新属性投放!$B$14:$B$34,属性汇总!$S56))*属性汇总!X56,0)</f>
        <v>1804</v>
      </c>
      <c r="AB56" s="14">
        <f>ROUND(V56+($R56-INDEX(新属性投放!$B$14:$B$34,属性汇总!$S56))*属性汇总!Y56,0)</f>
        <v>1142</v>
      </c>
      <c r="AC56" s="14">
        <f>ROUND(W56+($R56-INDEX(新属性投放!$B$14:$B$34,属性汇总!$S56))*属性汇总!Z56,0)</f>
        <v>5478</v>
      </c>
    </row>
    <row r="57" spans="1:29" ht="16.5" x14ac:dyDescent="0.2">
      <c r="A57" s="13">
        <v>50</v>
      </c>
      <c r="B57" s="13">
        <v>4</v>
      </c>
      <c r="C57" s="14">
        <f>INDEX(新属性投放!$L$6:$L$10,属性汇总!$B$3)*INDEX(新属性投放!$Q$6:$Q$10,属性汇总!$D$3)</f>
        <v>1.1499999999999999</v>
      </c>
      <c r="D57" s="14">
        <f>INDEX(新属性投放!J$14:J$34,属性汇总!$B57)*$C57</f>
        <v>841.1099999999999</v>
      </c>
      <c r="E57" s="14">
        <f>INDEX(新属性投放!K$14:K$34,属性汇总!$B57)*$C57</f>
        <v>376.28</v>
      </c>
      <c r="F57" s="14">
        <f>INDEX(新属性投放!L$14:L$34,属性汇总!$B57)*$C57</f>
        <v>2753.3299999999995</v>
      </c>
      <c r="G57" s="14">
        <f>INDEX(新属性投放!D$14:D$34,属性汇总!$B57)*$C57</f>
        <v>34.649499999999996</v>
      </c>
      <c r="H57" s="14">
        <f>INDEX(新属性投放!E$14:E$34,属性汇总!$B57)*$C57</f>
        <v>17.324749999999998</v>
      </c>
      <c r="I57" s="14">
        <f>INDEX(新属性投放!F$14:F$34,属性汇总!$B57)*$C57</f>
        <v>103.9485</v>
      </c>
      <c r="J57" s="14">
        <f>ROUND(D57+($A57-INDEX(新属性投放!$B$14:$B$34,属性汇总!$B57))*属性汇总!G57,0)</f>
        <v>1534</v>
      </c>
      <c r="K57" s="14">
        <f>ROUND(E57+($A57-INDEX(新属性投放!$B$14:$B$34,属性汇总!$B57))*属性汇总!H57,0)</f>
        <v>723</v>
      </c>
      <c r="L57" s="14">
        <f>ROUND(F57+($A57-INDEX(新属性投放!$B$14:$B$34,属性汇总!$B57))*属性汇总!I57,0)</f>
        <v>4832</v>
      </c>
      <c r="R57" s="13">
        <v>50</v>
      </c>
      <c r="S57" s="13">
        <v>4</v>
      </c>
      <c r="T57" s="14">
        <f>INDEX(新属性投放!$L$6:$L$10,$S$3)*INDEX(新属性投放!$Q$6:$Q$10,$U$3)</f>
        <v>1.1499999999999999</v>
      </c>
      <c r="U57" s="14">
        <f>INDEX(新属性投放!J$42:J$62,属性汇总!$S57)*$T57</f>
        <v>1145.8600000000001</v>
      </c>
      <c r="V57" s="14">
        <f>INDEX(新属性投放!K$42:K$62,属性汇总!$S57)*$T57</f>
        <v>483.23</v>
      </c>
      <c r="W57" s="14">
        <f>INDEX(新属性投放!L$42:L$62,属性汇总!$S57)*$T57</f>
        <v>4819.6499999999996</v>
      </c>
      <c r="X57" s="14">
        <f>INDEX(新属性投放!$D$42:$D$62,属性汇总!$S57)*$T57</f>
        <v>34.649499999999996</v>
      </c>
      <c r="Y57" s="14">
        <f>INDEX(新属性投放!$D$42:$D$62,属性汇总!$S57)*$T57</f>
        <v>34.649499999999996</v>
      </c>
      <c r="Z57" s="14">
        <f>INDEX(新属性投放!$D$42:$D$62,属性汇总!$S57)*$T57</f>
        <v>34.649499999999996</v>
      </c>
      <c r="AA57" s="14">
        <f>ROUND(U57+($R57-INDEX(新属性投放!$B$14:$B$34,属性汇总!$S57))*属性汇总!X57,0)</f>
        <v>1839</v>
      </c>
      <c r="AB57" s="14">
        <f>ROUND(V57+($R57-INDEX(新属性投放!$B$14:$B$34,属性汇总!$S57))*属性汇总!Y57,0)</f>
        <v>1176</v>
      </c>
      <c r="AC57" s="14">
        <f>ROUND(W57+($R57-INDEX(新属性投放!$B$14:$B$34,属性汇总!$S57))*属性汇总!Z57,0)</f>
        <v>5513</v>
      </c>
    </row>
    <row r="58" spans="1:29" s="20" customFormat="1" ht="16.5" x14ac:dyDescent="0.2">
      <c r="A58" s="13">
        <v>50</v>
      </c>
      <c r="B58" s="13">
        <v>5</v>
      </c>
      <c r="C58" s="14">
        <f>INDEX(新属性投放!$L$6:$L$10,属性汇总!$B$3)*INDEX(新属性投放!$Q$6:$Q$10,属性汇总!$D$3)</f>
        <v>1.1499999999999999</v>
      </c>
      <c r="D58" s="14">
        <f>INDEX(新属性投放!J$14:J$34,属性汇总!$B58)*$C58</f>
        <v>1273.855</v>
      </c>
      <c r="E58" s="14">
        <f>INDEX(新属性投放!K$14:K$34,属性汇总!$B58)*$C58</f>
        <v>593.22749999999996</v>
      </c>
      <c r="F58" s="14">
        <f>INDEX(新属性投放!L$14:L$34,属性汇总!$B58)*$C58</f>
        <v>4051.5649999999996</v>
      </c>
      <c r="G58" s="14">
        <f>INDEX(新属性投放!D$14:D$34,属性汇总!$B58)*$C58</f>
        <v>43.30899999999999</v>
      </c>
      <c r="H58" s="14">
        <f>INDEX(新属性投放!E$14:E$34,属性汇总!$B58)*$C58</f>
        <v>21.654499999999995</v>
      </c>
      <c r="I58" s="14">
        <f>INDEX(新属性投放!F$14:F$34,属性汇总!$B58)*$C58</f>
        <v>129.92699999999996</v>
      </c>
      <c r="J58" s="14">
        <f>ROUND(D58+($A58-INDEX(新属性投放!$B$14:$B$34,属性汇总!$B58))*属性汇总!G58,0)</f>
        <v>1707</v>
      </c>
      <c r="K58" s="14">
        <f>ROUND(E58+($A58-INDEX(新属性投放!$B$14:$B$34,属性汇总!$B58))*属性汇总!H58,0)</f>
        <v>810</v>
      </c>
      <c r="L58" s="14">
        <f>ROUND(F58+($A58-INDEX(新属性投放!$B$14:$B$34,属性汇总!$B58))*属性汇总!I58,0)</f>
        <v>5351</v>
      </c>
      <c r="N58" s="37"/>
      <c r="O58" s="37"/>
      <c r="P58" s="37"/>
      <c r="R58" s="13">
        <v>50</v>
      </c>
      <c r="S58" s="13">
        <v>5</v>
      </c>
      <c r="T58" s="14">
        <f>INDEX(新属性投放!$L$6:$L$10,$S$3)*INDEX(新属性投放!$Q$6:$Q$10,$U$3)</f>
        <v>1.1499999999999999</v>
      </c>
      <c r="U58" s="14">
        <f>INDEX(新属性投放!J$42:J$62,属性汇总!$S58)*$T58</f>
        <v>1578.605</v>
      </c>
      <c r="V58" s="14">
        <f>INDEX(新属性投放!K$42:K$62,属性汇总!$S58)*$T58</f>
        <v>700.17750000000001</v>
      </c>
      <c r="W58" s="14">
        <f>INDEX(新属性投放!L$42:L$62,属性汇总!$S58)*$T58</f>
        <v>7148.4</v>
      </c>
      <c r="X58" s="14">
        <f>INDEX(新属性投放!$D$42:$D$62,属性汇总!$S58)*$T58</f>
        <v>43.30899999999999</v>
      </c>
      <c r="Y58" s="14">
        <f>INDEX(新属性投放!$D$42:$D$62,属性汇总!$S58)*$T58</f>
        <v>43.30899999999999</v>
      </c>
      <c r="Z58" s="14">
        <f>INDEX(新属性投放!$D$42:$D$62,属性汇总!$S58)*$T58</f>
        <v>43.30899999999999</v>
      </c>
      <c r="AA58" s="14">
        <f>ROUND(U58+($R58-INDEX(新属性投放!$B$14:$B$34,属性汇总!$S58))*属性汇总!X58,0)</f>
        <v>2012</v>
      </c>
      <c r="AB58" s="14">
        <f>ROUND(V58+($R58-INDEX(新属性投放!$B$14:$B$34,属性汇总!$S58))*属性汇总!Y58,0)</f>
        <v>1133</v>
      </c>
      <c r="AC58" s="14">
        <f>ROUND(W58+($R58-INDEX(新属性投放!$B$14:$B$34,属性汇总!$S58))*属性汇总!Z58,0)</f>
        <v>7581</v>
      </c>
    </row>
    <row r="59" spans="1:29" ht="16.5" x14ac:dyDescent="0.2">
      <c r="A59" s="13">
        <v>51</v>
      </c>
      <c r="B59" s="13">
        <v>5</v>
      </c>
      <c r="C59" s="14">
        <f>INDEX(新属性投放!$L$6:$L$10,属性汇总!$B$3)*INDEX(新属性投放!$Q$6:$Q$10,属性汇总!$D$3)</f>
        <v>1.1499999999999999</v>
      </c>
      <c r="D59" s="14">
        <f>INDEX(新属性投放!J$14:J$34,属性汇总!$B59)*$C59</f>
        <v>1273.855</v>
      </c>
      <c r="E59" s="14">
        <f>INDEX(新属性投放!K$14:K$34,属性汇总!$B59)*$C59</f>
        <v>593.22749999999996</v>
      </c>
      <c r="F59" s="14">
        <f>INDEX(新属性投放!L$14:L$34,属性汇总!$B59)*$C59</f>
        <v>4051.5649999999996</v>
      </c>
      <c r="G59" s="14">
        <f>INDEX(新属性投放!D$14:D$34,属性汇总!$B59)*$C59</f>
        <v>43.30899999999999</v>
      </c>
      <c r="H59" s="14">
        <f>INDEX(新属性投放!E$14:E$34,属性汇总!$B59)*$C59</f>
        <v>21.654499999999995</v>
      </c>
      <c r="I59" s="14">
        <f>INDEX(新属性投放!F$14:F$34,属性汇总!$B59)*$C59</f>
        <v>129.92699999999996</v>
      </c>
      <c r="J59" s="14">
        <f>ROUND(D59+($A59-INDEX(新属性投放!$B$14:$B$34,属性汇总!$B59))*属性汇总!G59,0)</f>
        <v>1750</v>
      </c>
      <c r="K59" s="14">
        <f>ROUND(E59+($A59-INDEX(新属性投放!$B$14:$B$34,属性汇总!$B59))*属性汇总!H59,0)</f>
        <v>831</v>
      </c>
      <c r="L59" s="14">
        <f>ROUND(F59+($A59-INDEX(新属性投放!$B$14:$B$34,属性汇总!$B59))*属性汇总!I59,0)</f>
        <v>5481</v>
      </c>
      <c r="R59" s="13">
        <v>51</v>
      </c>
      <c r="S59" s="13">
        <v>5</v>
      </c>
      <c r="T59" s="14">
        <f>INDEX(新属性投放!$L$6:$L$10,$S$3)*INDEX(新属性投放!$Q$6:$Q$10,$U$3)</f>
        <v>1.1499999999999999</v>
      </c>
      <c r="U59" s="14">
        <f>INDEX(新属性投放!J$42:J$62,属性汇总!$S59)*$T59</f>
        <v>1578.605</v>
      </c>
      <c r="V59" s="14">
        <f>INDEX(新属性投放!K$42:K$62,属性汇总!$S59)*$T59</f>
        <v>700.17750000000001</v>
      </c>
      <c r="W59" s="14">
        <f>INDEX(新属性投放!L$42:L$62,属性汇总!$S59)*$T59</f>
        <v>7148.4</v>
      </c>
      <c r="X59" s="14">
        <f>INDEX(新属性投放!$D$42:$D$62,属性汇总!$S59)*$T59</f>
        <v>43.30899999999999</v>
      </c>
      <c r="Y59" s="14">
        <f>INDEX(新属性投放!$D$42:$D$62,属性汇总!$S59)*$T59</f>
        <v>43.30899999999999</v>
      </c>
      <c r="Z59" s="14">
        <f>INDEX(新属性投放!$D$42:$D$62,属性汇总!$S59)*$T59</f>
        <v>43.30899999999999</v>
      </c>
      <c r="AA59" s="14">
        <f>ROUND(U59+($R59-INDEX(新属性投放!$B$14:$B$34,属性汇总!$S59))*属性汇总!X59,0)</f>
        <v>2055</v>
      </c>
      <c r="AB59" s="14">
        <f>ROUND(V59+($R59-INDEX(新属性投放!$B$14:$B$34,属性汇总!$S59))*属性汇总!Y59,0)</f>
        <v>1177</v>
      </c>
      <c r="AC59" s="14">
        <f>ROUND(W59+($R59-INDEX(新属性投放!$B$14:$B$34,属性汇总!$S59))*属性汇总!Z59,0)</f>
        <v>7625</v>
      </c>
    </row>
    <row r="60" spans="1:29" ht="16.5" x14ac:dyDescent="0.2">
      <c r="A60" s="13">
        <v>52</v>
      </c>
      <c r="B60" s="13">
        <v>5</v>
      </c>
      <c r="C60" s="14">
        <f>INDEX(新属性投放!$L$6:$L$10,属性汇总!$B$3)*INDEX(新属性投放!$Q$6:$Q$10,属性汇总!$D$3)</f>
        <v>1.1499999999999999</v>
      </c>
      <c r="D60" s="14">
        <f>INDEX(新属性投放!J$14:J$34,属性汇总!$B60)*$C60</f>
        <v>1273.855</v>
      </c>
      <c r="E60" s="14">
        <f>INDEX(新属性投放!K$14:K$34,属性汇总!$B60)*$C60</f>
        <v>593.22749999999996</v>
      </c>
      <c r="F60" s="14">
        <f>INDEX(新属性投放!L$14:L$34,属性汇总!$B60)*$C60</f>
        <v>4051.5649999999996</v>
      </c>
      <c r="G60" s="14">
        <f>INDEX(新属性投放!D$14:D$34,属性汇总!$B60)*$C60</f>
        <v>43.30899999999999</v>
      </c>
      <c r="H60" s="14">
        <f>INDEX(新属性投放!E$14:E$34,属性汇总!$B60)*$C60</f>
        <v>21.654499999999995</v>
      </c>
      <c r="I60" s="14">
        <f>INDEX(新属性投放!F$14:F$34,属性汇总!$B60)*$C60</f>
        <v>129.92699999999996</v>
      </c>
      <c r="J60" s="14">
        <f>ROUND(D60+($A60-INDEX(新属性投放!$B$14:$B$34,属性汇总!$B60))*属性汇总!G60,0)</f>
        <v>1794</v>
      </c>
      <c r="K60" s="14">
        <f>ROUND(E60+($A60-INDEX(新属性投放!$B$14:$B$34,属性汇总!$B60))*属性汇总!H60,0)</f>
        <v>853</v>
      </c>
      <c r="L60" s="14">
        <f>ROUND(F60+($A60-INDEX(新属性投放!$B$14:$B$34,属性汇总!$B60))*属性汇总!I60,0)</f>
        <v>5611</v>
      </c>
      <c r="R60" s="13">
        <v>52</v>
      </c>
      <c r="S60" s="13">
        <v>5</v>
      </c>
      <c r="T60" s="14">
        <f>INDEX(新属性投放!$L$6:$L$10,$S$3)*INDEX(新属性投放!$Q$6:$Q$10,$U$3)</f>
        <v>1.1499999999999999</v>
      </c>
      <c r="U60" s="14">
        <f>INDEX(新属性投放!J$42:J$62,属性汇总!$S60)*$T60</f>
        <v>1578.605</v>
      </c>
      <c r="V60" s="14">
        <f>INDEX(新属性投放!K$42:K$62,属性汇总!$S60)*$T60</f>
        <v>700.17750000000001</v>
      </c>
      <c r="W60" s="14">
        <f>INDEX(新属性投放!L$42:L$62,属性汇总!$S60)*$T60</f>
        <v>7148.4</v>
      </c>
      <c r="X60" s="14">
        <f>INDEX(新属性投放!$D$42:$D$62,属性汇总!$S60)*$T60</f>
        <v>43.30899999999999</v>
      </c>
      <c r="Y60" s="14">
        <f>INDEX(新属性投放!$D$42:$D$62,属性汇总!$S60)*$T60</f>
        <v>43.30899999999999</v>
      </c>
      <c r="Z60" s="14">
        <f>INDEX(新属性投放!$D$42:$D$62,属性汇总!$S60)*$T60</f>
        <v>43.30899999999999</v>
      </c>
      <c r="AA60" s="14">
        <f>ROUND(U60+($R60-INDEX(新属性投放!$B$14:$B$34,属性汇总!$S60))*属性汇总!X60,0)</f>
        <v>2098</v>
      </c>
      <c r="AB60" s="14">
        <f>ROUND(V60+($R60-INDEX(新属性投放!$B$14:$B$34,属性汇总!$S60))*属性汇总!Y60,0)</f>
        <v>1220</v>
      </c>
      <c r="AC60" s="14">
        <f>ROUND(W60+($R60-INDEX(新属性投放!$B$14:$B$34,属性汇总!$S60))*属性汇总!Z60,0)</f>
        <v>7668</v>
      </c>
    </row>
    <row r="61" spans="1:29" ht="16.5" x14ac:dyDescent="0.2">
      <c r="A61" s="13">
        <v>53</v>
      </c>
      <c r="B61" s="13">
        <v>5</v>
      </c>
      <c r="C61" s="14">
        <f>INDEX(新属性投放!$L$6:$L$10,属性汇总!$B$3)*INDEX(新属性投放!$Q$6:$Q$10,属性汇总!$D$3)</f>
        <v>1.1499999999999999</v>
      </c>
      <c r="D61" s="14">
        <f>INDEX(新属性投放!J$14:J$34,属性汇总!$B61)*$C61</f>
        <v>1273.855</v>
      </c>
      <c r="E61" s="14">
        <f>INDEX(新属性投放!K$14:K$34,属性汇总!$B61)*$C61</f>
        <v>593.22749999999996</v>
      </c>
      <c r="F61" s="14">
        <f>INDEX(新属性投放!L$14:L$34,属性汇总!$B61)*$C61</f>
        <v>4051.5649999999996</v>
      </c>
      <c r="G61" s="14">
        <f>INDEX(新属性投放!D$14:D$34,属性汇总!$B61)*$C61</f>
        <v>43.30899999999999</v>
      </c>
      <c r="H61" s="14">
        <f>INDEX(新属性投放!E$14:E$34,属性汇总!$B61)*$C61</f>
        <v>21.654499999999995</v>
      </c>
      <c r="I61" s="14">
        <f>INDEX(新属性投放!F$14:F$34,属性汇总!$B61)*$C61</f>
        <v>129.92699999999996</v>
      </c>
      <c r="J61" s="14">
        <f>ROUND(D61+($A61-INDEX(新属性投放!$B$14:$B$34,属性汇总!$B61))*属性汇总!G61,0)</f>
        <v>1837</v>
      </c>
      <c r="K61" s="14">
        <f>ROUND(E61+($A61-INDEX(新属性投放!$B$14:$B$34,属性汇总!$B61))*属性汇总!H61,0)</f>
        <v>875</v>
      </c>
      <c r="L61" s="14">
        <f>ROUND(F61+($A61-INDEX(新属性投放!$B$14:$B$34,属性汇总!$B61))*属性汇总!I61,0)</f>
        <v>5741</v>
      </c>
      <c r="R61" s="13">
        <v>53</v>
      </c>
      <c r="S61" s="13">
        <v>5</v>
      </c>
      <c r="T61" s="14">
        <f>INDEX(新属性投放!$L$6:$L$10,$S$3)*INDEX(新属性投放!$Q$6:$Q$10,$U$3)</f>
        <v>1.1499999999999999</v>
      </c>
      <c r="U61" s="14">
        <f>INDEX(新属性投放!J$42:J$62,属性汇总!$S61)*$T61</f>
        <v>1578.605</v>
      </c>
      <c r="V61" s="14">
        <f>INDEX(新属性投放!K$42:K$62,属性汇总!$S61)*$T61</f>
        <v>700.17750000000001</v>
      </c>
      <c r="W61" s="14">
        <f>INDEX(新属性投放!L$42:L$62,属性汇总!$S61)*$T61</f>
        <v>7148.4</v>
      </c>
      <c r="X61" s="14">
        <f>INDEX(新属性投放!$D$42:$D$62,属性汇总!$S61)*$T61</f>
        <v>43.30899999999999</v>
      </c>
      <c r="Y61" s="14">
        <f>INDEX(新属性投放!$D$42:$D$62,属性汇总!$S61)*$T61</f>
        <v>43.30899999999999</v>
      </c>
      <c r="Z61" s="14">
        <f>INDEX(新属性投放!$D$42:$D$62,属性汇总!$S61)*$T61</f>
        <v>43.30899999999999</v>
      </c>
      <c r="AA61" s="14">
        <f>ROUND(U61+($R61-INDEX(新属性投放!$B$14:$B$34,属性汇总!$S61))*属性汇总!X61,0)</f>
        <v>2142</v>
      </c>
      <c r="AB61" s="14">
        <f>ROUND(V61+($R61-INDEX(新属性投放!$B$14:$B$34,属性汇总!$S61))*属性汇总!Y61,0)</f>
        <v>1263</v>
      </c>
      <c r="AC61" s="14">
        <f>ROUND(W61+($R61-INDEX(新属性投放!$B$14:$B$34,属性汇总!$S61))*属性汇总!Z61,0)</f>
        <v>7711</v>
      </c>
    </row>
    <row r="62" spans="1:29" ht="16.5" x14ac:dyDescent="0.2">
      <c r="A62" s="13">
        <v>54</v>
      </c>
      <c r="B62" s="13">
        <v>5</v>
      </c>
      <c r="C62" s="14">
        <f>INDEX(新属性投放!$L$6:$L$10,属性汇总!$B$3)*INDEX(新属性投放!$Q$6:$Q$10,属性汇总!$D$3)</f>
        <v>1.1499999999999999</v>
      </c>
      <c r="D62" s="14">
        <f>INDEX(新属性投放!J$14:J$34,属性汇总!$B62)*$C62</f>
        <v>1273.855</v>
      </c>
      <c r="E62" s="14">
        <f>INDEX(新属性投放!K$14:K$34,属性汇总!$B62)*$C62</f>
        <v>593.22749999999996</v>
      </c>
      <c r="F62" s="14">
        <f>INDEX(新属性投放!L$14:L$34,属性汇总!$B62)*$C62</f>
        <v>4051.5649999999996</v>
      </c>
      <c r="G62" s="14">
        <f>INDEX(新属性投放!D$14:D$34,属性汇总!$B62)*$C62</f>
        <v>43.30899999999999</v>
      </c>
      <c r="H62" s="14">
        <f>INDEX(新属性投放!E$14:E$34,属性汇总!$B62)*$C62</f>
        <v>21.654499999999995</v>
      </c>
      <c r="I62" s="14">
        <f>INDEX(新属性投放!F$14:F$34,属性汇总!$B62)*$C62</f>
        <v>129.92699999999996</v>
      </c>
      <c r="J62" s="14">
        <f>ROUND(D62+($A62-INDEX(新属性投放!$B$14:$B$34,属性汇总!$B62))*属性汇总!G62,0)</f>
        <v>1880</v>
      </c>
      <c r="K62" s="14">
        <f>ROUND(E62+($A62-INDEX(新属性投放!$B$14:$B$34,属性汇总!$B62))*属性汇总!H62,0)</f>
        <v>896</v>
      </c>
      <c r="L62" s="14">
        <f>ROUND(F62+($A62-INDEX(新属性投放!$B$14:$B$34,属性汇总!$B62))*属性汇总!I62,0)</f>
        <v>5871</v>
      </c>
      <c r="R62" s="13">
        <v>54</v>
      </c>
      <c r="S62" s="13">
        <v>5</v>
      </c>
      <c r="T62" s="14">
        <f>INDEX(新属性投放!$L$6:$L$10,$S$3)*INDEX(新属性投放!$Q$6:$Q$10,$U$3)</f>
        <v>1.1499999999999999</v>
      </c>
      <c r="U62" s="14">
        <f>INDEX(新属性投放!J$42:J$62,属性汇总!$S62)*$T62</f>
        <v>1578.605</v>
      </c>
      <c r="V62" s="14">
        <f>INDEX(新属性投放!K$42:K$62,属性汇总!$S62)*$T62</f>
        <v>700.17750000000001</v>
      </c>
      <c r="W62" s="14">
        <f>INDEX(新属性投放!L$42:L$62,属性汇总!$S62)*$T62</f>
        <v>7148.4</v>
      </c>
      <c r="X62" s="14">
        <f>INDEX(新属性投放!$D$42:$D$62,属性汇总!$S62)*$T62</f>
        <v>43.30899999999999</v>
      </c>
      <c r="Y62" s="14">
        <f>INDEX(新属性投放!$D$42:$D$62,属性汇总!$S62)*$T62</f>
        <v>43.30899999999999</v>
      </c>
      <c r="Z62" s="14">
        <f>INDEX(新属性投放!$D$42:$D$62,属性汇总!$S62)*$T62</f>
        <v>43.30899999999999</v>
      </c>
      <c r="AA62" s="14">
        <f>ROUND(U62+($R62-INDEX(新属性投放!$B$14:$B$34,属性汇总!$S62))*属性汇总!X62,0)</f>
        <v>2185</v>
      </c>
      <c r="AB62" s="14">
        <f>ROUND(V62+($R62-INDEX(新属性投放!$B$14:$B$34,属性汇总!$S62))*属性汇总!Y62,0)</f>
        <v>1307</v>
      </c>
      <c r="AC62" s="14">
        <f>ROUND(W62+($R62-INDEX(新属性投放!$B$14:$B$34,属性汇总!$S62))*属性汇总!Z62,0)</f>
        <v>7755</v>
      </c>
    </row>
    <row r="63" spans="1:29" ht="16.5" x14ac:dyDescent="0.2">
      <c r="A63" s="13">
        <v>55</v>
      </c>
      <c r="B63" s="13">
        <v>5</v>
      </c>
      <c r="C63" s="14">
        <f>INDEX(新属性投放!$L$6:$L$10,属性汇总!$B$3)*INDEX(新属性投放!$Q$6:$Q$10,属性汇总!$D$3)</f>
        <v>1.1499999999999999</v>
      </c>
      <c r="D63" s="14">
        <f>INDEX(新属性投放!J$14:J$34,属性汇总!$B63)*$C63</f>
        <v>1273.855</v>
      </c>
      <c r="E63" s="14">
        <f>INDEX(新属性投放!K$14:K$34,属性汇总!$B63)*$C63</f>
        <v>593.22749999999996</v>
      </c>
      <c r="F63" s="14">
        <f>INDEX(新属性投放!L$14:L$34,属性汇总!$B63)*$C63</f>
        <v>4051.5649999999996</v>
      </c>
      <c r="G63" s="14">
        <f>INDEX(新属性投放!D$14:D$34,属性汇总!$B63)*$C63</f>
        <v>43.30899999999999</v>
      </c>
      <c r="H63" s="14">
        <f>INDEX(新属性投放!E$14:E$34,属性汇总!$B63)*$C63</f>
        <v>21.654499999999995</v>
      </c>
      <c r="I63" s="14">
        <f>INDEX(新属性投放!F$14:F$34,属性汇总!$B63)*$C63</f>
        <v>129.92699999999996</v>
      </c>
      <c r="J63" s="14">
        <f>ROUND(D63+($A63-INDEX(新属性投放!$B$14:$B$34,属性汇总!$B63))*属性汇总!G63,0)</f>
        <v>1923</v>
      </c>
      <c r="K63" s="14">
        <f>ROUND(E63+($A63-INDEX(新属性投放!$B$14:$B$34,属性汇总!$B63))*属性汇总!H63,0)</f>
        <v>918</v>
      </c>
      <c r="L63" s="14">
        <f>ROUND(F63+($A63-INDEX(新属性投放!$B$14:$B$34,属性汇总!$B63))*属性汇总!I63,0)</f>
        <v>6000</v>
      </c>
      <c r="R63" s="13">
        <v>55</v>
      </c>
      <c r="S63" s="13">
        <v>5</v>
      </c>
      <c r="T63" s="14">
        <f>INDEX(新属性投放!$L$6:$L$10,$S$3)*INDEX(新属性投放!$Q$6:$Q$10,$U$3)</f>
        <v>1.1499999999999999</v>
      </c>
      <c r="U63" s="14">
        <f>INDEX(新属性投放!J$42:J$62,属性汇总!$S63)*$T63</f>
        <v>1578.605</v>
      </c>
      <c r="V63" s="14">
        <f>INDEX(新属性投放!K$42:K$62,属性汇总!$S63)*$T63</f>
        <v>700.17750000000001</v>
      </c>
      <c r="W63" s="14">
        <f>INDEX(新属性投放!L$42:L$62,属性汇总!$S63)*$T63</f>
        <v>7148.4</v>
      </c>
      <c r="X63" s="14">
        <f>INDEX(新属性投放!$D$42:$D$62,属性汇总!$S63)*$T63</f>
        <v>43.30899999999999</v>
      </c>
      <c r="Y63" s="14">
        <f>INDEX(新属性投放!$D$42:$D$62,属性汇总!$S63)*$T63</f>
        <v>43.30899999999999</v>
      </c>
      <c r="Z63" s="14">
        <f>INDEX(新属性投放!$D$42:$D$62,属性汇总!$S63)*$T63</f>
        <v>43.30899999999999</v>
      </c>
      <c r="AA63" s="14">
        <f>ROUND(U63+($R63-INDEX(新属性投放!$B$14:$B$34,属性汇总!$S63))*属性汇总!X63,0)</f>
        <v>2228</v>
      </c>
      <c r="AB63" s="14">
        <f>ROUND(V63+($R63-INDEX(新属性投放!$B$14:$B$34,属性汇总!$S63))*属性汇总!Y63,0)</f>
        <v>1350</v>
      </c>
      <c r="AC63" s="14">
        <f>ROUND(W63+($R63-INDEX(新属性投放!$B$14:$B$34,属性汇总!$S63))*属性汇总!Z63,0)</f>
        <v>7798</v>
      </c>
    </row>
    <row r="64" spans="1:29" ht="16.5" x14ac:dyDescent="0.2">
      <c r="A64" s="13">
        <v>56</v>
      </c>
      <c r="B64" s="13">
        <v>5</v>
      </c>
      <c r="C64" s="14">
        <f>INDEX(新属性投放!$L$6:$L$10,属性汇总!$B$3)*INDEX(新属性投放!$Q$6:$Q$10,属性汇总!$D$3)</f>
        <v>1.1499999999999999</v>
      </c>
      <c r="D64" s="14">
        <f>INDEX(新属性投放!J$14:J$34,属性汇总!$B64)*$C64</f>
        <v>1273.855</v>
      </c>
      <c r="E64" s="14">
        <f>INDEX(新属性投放!K$14:K$34,属性汇总!$B64)*$C64</f>
        <v>593.22749999999996</v>
      </c>
      <c r="F64" s="14">
        <f>INDEX(新属性投放!L$14:L$34,属性汇总!$B64)*$C64</f>
        <v>4051.5649999999996</v>
      </c>
      <c r="G64" s="14">
        <f>INDEX(新属性投放!D$14:D$34,属性汇总!$B64)*$C64</f>
        <v>43.30899999999999</v>
      </c>
      <c r="H64" s="14">
        <f>INDEX(新属性投放!E$14:E$34,属性汇总!$B64)*$C64</f>
        <v>21.654499999999995</v>
      </c>
      <c r="I64" s="14">
        <f>INDEX(新属性投放!F$14:F$34,属性汇总!$B64)*$C64</f>
        <v>129.92699999999996</v>
      </c>
      <c r="J64" s="14">
        <f>ROUND(D64+($A64-INDEX(新属性投放!$B$14:$B$34,属性汇总!$B64))*属性汇总!G64,0)</f>
        <v>1967</v>
      </c>
      <c r="K64" s="14">
        <f>ROUND(E64+($A64-INDEX(新属性投放!$B$14:$B$34,属性汇总!$B64))*属性汇总!H64,0)</f>
        <v>940</v>
      </c>
      <c r="L64" s="14">
        <f>ROUND(F64+($A64-INDEX(新属性投放!$B$14:$B$34,属性汇总!$B64))*属性汇总!I64,0)</f>
        <v>6130</v>
      </c>
      <c r="R64" s="13">
        <v>56</v>
      </c>
      <c r="S64" s="13">
        <v>5</v>
      </c>
      <c r="T64" s="14">
        <f>INDEX(新属性投放!$L$6:$L$10,$S$3)*INDEX(新属性投放!$Q$6:$Q$10,$U$3)</f>
        <v>1.1499999999999999</v>
      </c>
      <c r="U64" s="14">
        <f>INDEX(新属性投放!J$42:J$62,属性汇总!$S64)*$T64</f>
        <v>1578.605</v>
      </c>
      <c r="V64" s="14">
        <f>INDEX(新属性投放!K$42:K$62,属性汇总!$S64)*$T64</f>
        <v>700.17750000000001</v>
      </c>
      <c r="W64" s="14">
        <f>INDEX(新属性投放!L$42:L$62,属性汇总!$S64)*$T64</f>
        <v>7148.4</v>
      </c>
      <c r="X64" s="14">
        <f>INDEX(新属性投放!$D$42:$D$62,属性汇总!$S64)*$T64</f>
        <v>43.30899999999999</v>
      </c>
      <c r="Y64" s="14">
        <f>INDEX(新属性投放!$D$42:$D$62,属性汇总!$S64)*$T64</f>
        <v>43.30899999999999</v>
      </c>
      <c r="Z64" s="14">
        <f>INDEX(新属性投放!$D$42:$D$62,属性汇总!$S64)*$T64</f>
        <v>43.30899999999999</v>
      </c>
      <c r="AA64" s="14">
        <f>ROUND(U64+($R64-INDEX(新属性投放!$B$14:$B$34,属性汇总!$S64))*属性汇总!X64,0)</f>
        <v>2272</v>
      </c>
      <c r="AB64" s="14">
        <f>ROUND(V64+($R64-INDEX(新属性投放!$B$14:$B$34,属性汇总!$S64))*属性汇总!Y64,0)</f>
        <v>1393</v>
      </c>
      <c r="AC64" s="14">
        <f>ROUND(W64+($R64-INDEX(新属性投放!$B$14:$B$34,属性汇总!$S64))*属性汇总!Z64,0)</f>
        <v>7841</v>
      </c>
    </row>
    <row r="65" spans="1:29" ht="16.5" x14ac:dyDescent="0.2">
      <c r="A65" s="13">
        <v>57</v>
      </c>
      <c r="B65" s="13">
        <v>5</v>
      </c>
      <c r="C65" s="14">
        <f>INDEX(新属性投放!$L$6:$L$10,属性汇总!$B$3)*INDEX(新属性投放!$Q$6:$Q$10,属性汇总!$D$3)</f>
        <v>1.1499999999999999</v>
      </c>
      <c r="D65" s="14">
        <f>INDEX(新属性投放!J$14:J$34,属性汇总!$B65)*$C65</f>
        <v>1273.855</v>
      </c>
      <c r="E65" s="14">
        <f>INDEX(新属性投放!K$14:K$34,属性汇总!$B65)*$C65</f>
        <v>593.22749999999996</v>
      </c>
      <c r="F65" s="14">
        <f>INDEX(新属性投放!L$14:L$34,属性汇总!$B65)*$C65</f>
        <v>4051.5649999999996</v>
      </c>
      <c r="G65" s="14">
        <f>INDEX(新属性投放!D$14:D$34,属性汇总!$B65)*$C65</f>
        <v>43.30899999999999</v>
      </c>
      <c r="H65" s="14">
        <f>INDEX(新属性投放!E$14:E$34,属性汇总!$B65)*$C65</f>
        <v>21.654499999999995</v>
      </c>
      <c r="I65" s="14">
        <f>INDEX(新属性投放!F$14:F$34,属性汇总!$B65)*$C65</f>
        <v>129.92699999999996</v>
      </c>
      <c r="J65" s="14">
        <f>ROUND(D65+($A65-INDEX(新属性投放!$B$14:$B$34,属性汇总!$B65))*属性汇总!G65,0)</f>
        <v>2010</v>
      </c>
      <c r="K65" s="14">
        <f>ROUND(E65+($A65-INDEX(新属性投放!$B$14:$B$34,属性汇总!$B65))*属性汇总!H65,0)</f>
        <v>961</v>
      </c>
      <c r="L65" s="14">
        <f>ROUND(F65+($A65-INDEX(新属性投放!$B$14:$B$34,属性汇总!$B65))*属性汇总!I65,0)</f>
        <v>6260</v>
      </c>
      <c r="R65" s="13">
        <v>57</v>
      </c>
      <c r="S65" s="13">
        <v>5</v>
      </c>
      <c r="T65" s="14">
        <f>INDEX(新属性投放!$L$6:$L$10,$S$3)*INDEX(新属性投放!$Q$6:$Q$10,$U$3)</f>
        <v>1.1499999999999999</v>
      </c>
      <c r="U65" s="14">
        <f>INDEX(新属性投放!J$42:J$62,属性汇总!$S65)*$T65</f>
        <v>1578.605</v>
      </c>
      <c r="V65" s="14">
        <f>INDEX(新属性投放!K$42:K$62,属性汇总!$S65)*$T65</f>
        <v>700.17750000000001</v>
      </c>
      <c r="W65" s="14">
        <f>INDEX(新属性投放!L$42:L$62,属性汇总!$S65)*$T65</f>
        <v>7148.4</v>
      </c>
      <c r="X65" s="14">
        <f>INDEX(新属性投放!$D$42:$D$62,属性汇总!$S65)*$T65</f>
        <v>43.30899999999999</v>
      </c>
      <c r="Y65" s="14">
        <f>INDEX(新属性投放!$D$42:$D$62,属性汇总!$S65)*$T65</f>
        <v>43.30899999999999</v>
      </c>
      <c r="Z65" s="14">
        <f>INDEX(新属性投放!$D$42:$D$62,属性汇总!$S65)*$T65</f>
        <v>43.30899999999999</v>
      </c>
      <c r="AA65" s="14">
        <f>ROUND(U65+($R65-INDEX(新属性投放!$B$14:$B$34,属性汇总!$S65))*属性汇总!X65,0)</f>
        <v>2315</v>
      </c>
      <c r="AB65" s="14">
        <f>ROUND(V65+($R65-INDEX(新属性投放!$B$14:$B$34,属性汇总!$S65))*属性汇总!Y65,0)</f>
        <v>1436</v>
      </c>
      <c r="AC65" s="14">
        <f>ROUND(W65+($R65-INDEX(新属性投放!$B$14:$B$34,属性汇总!$S65))*属性汇总!Z65,0)</f>
        <v>7885</v>
      </c>
    </row>
    <row r="66" spans="1:29" ht="16.5" x14ac:dyDescent="0.2">
      <c r="A66" s="13">
        <v>58</v>
      </c>
      <c r="B66" s="13">
        <v>5</v>
      </c>
      <c r="C66" s="14">
        <f>INDEX(新属性投放!$L$6:$L$10,属性汇总!$B$3)*INDEX(新属性投放!$Q$6:$Q$10,属性汇总!$D$3)</f>
        <v>1.1499999999999999</v>
      </c>
      <c r="D66" s="14">
        <f>INDEX(新属性投放!J$14:J$34,属性汇总!$B66)*$C66</f>
        <v>1273.855</v>
      </c>
      <c r="E66" s="14">
        <f>INDEX(新属性投放!K$14:K$34,属性汇总!$B66)*$C66</f>
        <v>593.22749999999996</v>
      </c>
      <c r="F66" s="14">
        <f>INDEX(新属性投放!L$14:L$34,属性汇总!$B66)*$C66</f>
        <v>4051.5649999999996</v>
      </c>
      <c r="G66" s="14">
        <f>INDEX(新属性投放!D$14:D$34,属性汇总!$B66)*$C66</f>
        <v>43.30899999999999</v>
      </c>
      <c r="H66" s="14">
        <f>INDEX(新属性投放!E$14:E$34,属性汇总!$B66)*$C66</f>
        <v>21.654499999999995</v>
      </c>
      <c r="I66" s="14">
        <f>INDEX(新属性投放!F$14:F$34,属性汇总!$B66)*$C66</f>
        <v>129.92699999999996</v>
      </c>
      <c r="J66" s="14">
        <f>ROUND(D66+($A66-INDEX(新属性投放!$B$14:$B$34,属性汇总!$B66))*属性汇总!G66,0)</f>
        <v>2053</v>
      </c>
      <c r="K66" s="14">
        <f>ROUND(E66+($A66-INDEX(新属性投放!$B$14:$B$34,属性汇总!$B66))*属性汇总!H66,0)</f>
        <v>983</v>
      </c>
      <c r="L66" s="14">
        <f>ROUND(F66+($A66-INDEX(新属性投放!$B$14:$B$34,属性汇总!$B66))*属性汇总!I66,0)</f>
        <v>6390</v>
      </c>
      <c r="R66" s="13">
        <v>58</v>
      </c>
      <c r="S66" s="13">
        <v>5</v>
      </c>
      <c r="T66" s="14">
        <f>INDEX(新属性投放!$L$6:$L$10,$S$3)*INDEX(新属性投放!$Q$6:$Q$10,$U$3)</f>
        <v>1.1499999999999999</v>
      </c>
      <c r="U66" s="14">
        <f>INDEX(新属性投放!J$42:J$62,属性汇总!$S66)*$T66</f>
        <v>1578.605</v>
      </c>
      <c r="V66" s="14">
        <f>INDEX(新属性投放!K$42:K$62,属性汇总!$S66)*$T66</f>
        <v>700.17750000000001</v>
      </c>
      <c r="W66" s="14">
        <f>INDEX(新属性投放!L$42:L$62,属性汇总!$S66)*$T66</f>
        <v>7148.4</v>
      </c>
      <c r="X66" s="14">
        <f>INDEX(新属性投放!$D$42:$D$62,属性汇总!$S66)*$T66</f>
        <v>43.30899999999999</v>
      </c>
      <c r="Y66" s="14">
        <f>INDEX(新属性投放!$D$42:$D$62,属性汇总!$S66)*$T66</f>
        <v>43.30899999999999</v>
      </c>
      <c r="Z66" s="14">
        <f>INDEX(新属性投放!$D$42:$D$62,属性汇总!$S66)*$T66</f>
        <v>43.30899999999999</v>
      </c>
      <c r="AA66" s="14">
        <f>ROUND(U66+($R66-INDEX(新属性投放!$B$14:$B$34,属性汇总!$S66))*属性汇总!X66,0)</f>
        <v>2358</v>
      </c>
      <c r="AB66" s="14">
        <f>ROUND(V66+($R66-INDEX(新属性投放!$B$14:$B$34,属性汇总!$S66))*属性汇总!Y66,0)</f>
        <v>1480</v>
      </c>
      <c r="AC66" s="14">
        <f>ROUND(W66+($R66-INDEX(新属性投放!$B$14:$B$34,属性汇总!$S66))*属性汇总!Z66,0)</f>
        <v>7928</v>
      </c>
    </row>
    <row r="67" spans="1:29" ht="16.5" x14ac:dyDescent="0.2">
      <c r="A67" s="13">
        <v>59</v>
      </c>
      <c r="B67" s="13">
        <v>5</v>
      </c>
      <c r="C67" s="14">
        <f>INDEX(新属性投放!$L$6:$L$10,属性汇总!$B$3)*INDEX(新属性投放!$Q$6:$Q$10,属性汇总!$D$3)</f>
        <v>1.1499999999999999</v>
      </c>
      <c r="D67" s="14">
        <f>INDEX(新属性投放!J$14:J$34,属性汇总!$B67)*$C67</f>
        <v>1273.855</v>
      </c>
      <c r="E67" s="14">
        <f>INDEX(新属性投放!K$14:K$34,属性汇总!$B67)*$C67</f>
        <v>593.22749999999996</v>
      </c>
      <c r="F67" s="14">
        <f>INDEX(新属性投放!L$14:L$34,属性汇总!$B67)*$C67</f>
        <v>4051.5649999999996</v>
      </c>
      <c r="G67" s="14">
        <f>INDEX(新属性投放!D$14:D$34,属性汇总!$B67)*$C67</f>
        <v>43.30899999999999</v>
      </c>
      <c r="H67" s="14">
        <f>INDEX(新属性投放!E$14:E$34,属性汇总!$B67)*$C67</f>
        <v>21.654499999999995</v>
      </c>
      <c r="I67" s="14">
        <f>INDEX(新属性投放!F$14:F$34,属性汇总!$B67)*$C67</f>
        <v>129.92699999999996</v>
      </c>
      <c r="J67" s="14">
        <f>ROUND(D67+($A67-INDEX(新属性投放!$B$14:$B$34,属性汇总!$B67))*属性汇总!G67,0)</f>
        <v>2097</v>
      </c>
      <c r="K67" s="14">
        <f>ROUND(E67+($A67-INDEX(新属性投放!$B$14:$B$34,属性汇总!$B67))*属性汇总!H67,0)</f>
        <v>1005</v>
      </c>
      <c r="L67" s="14">
        <f>ROUND(F67+($A67-INDEX(新属性投放!$B$14:$B$34,属性汇总!$B67))*属性汇总!I67,0)</f>
        <v>6520</v>
      </c>
      <c r="R67" s="13">
        <v>59</v>
      </c>
      <c r="S67" s="13">
        <v>5</v>
      </c>
      <c r="T67" s="14">
        <f>INDEX(新属性投放!$L$6:$L$10,$S$3)*INDEX(新属性投放!$Q$6:$Q$10,$U$3)</f>
        <v>1.1499999999999999</v>
      </c>
      <c r="U67" s="14">
        <f>INDEX(新属性投放!J$42:J$62,属性汇总!$S67)*$T67</f>
        <v>1578.605</v>
      </c>
      <c r="V67" s="14">
        <f>INDEX(新属性投放!K$42:K$62,属性汇总!$S67)*$T67</f>
        <v>700.17750000000001</v>
      </c>
      <c r="W67" s="14">
        <f>INDEX(新属性投放!L$42:L$62,属性汇总!$S67)*$T67</f>
        <v>7148.4</v>
      </c>
      <c r="X67" s="14">
        <f>INDEX(新属性投放!$D$42:$D$62,属性汇总!$S67)*$T67</f>
        <v>43.30899999999999</v>
      </c>
      <c r="Y67" s="14">
        <f>INDEX(新属性投放!$D$42:$D$62,属性汇总!$S67)*$T67</f>
        <v>43.30899999999999</v>
      </c>
      <c r="Z67" s="14">
        <f>INDEX(新属性投放!$D$42:$D$62,属性汇总!$S67)*$T67</f>
        <v>43.30899999999999</v>
      </c>
      <c r="AA67" s="14">
        <f>ROUND(U67+($R67-INDEX(新属性投放!$B$14:$B$34,属性汇总!$S67))*属性汇总!X67,0)</f>
        <v>2401</v>
      </c>
      <c r="AB67" s="14">
        <f>ROUND(V67+($R67-INDEX(新属性投放!$B$14:$B$34,属性汇总!$S67))*属性汇总!Y67,0)</f>
        <v>1523</v>
      </c>
      <c r="AC67" s="14">
        <f>ROUND(W67+($R67-INDEX(新属性投放!$B$14:$B$34,属性汇总!$S67))*属性汇总!Z67,0)</f>
        <v>7971</v>
      </c>
    </row>
    <row r="68" spans="1:29" ht="16.5" x14ac:dyDescent="0.2">
      <c r="A68" s="13">
        <v>60</v>
      </c>
      <c r="B68" s="13">
        <v>5</v>
      </c>
      <c r="C68" s="14">
        <f>INDEX(新属性投放!$L$6:$L$10,属性汇总!$B$3)*INDEX(新属性投放!$Q$6:$Q$10,属性汇总!$D$3)</f>
        <v>1.1499999999999999</v>
      </c>
      <c r="D68" s="14">
        <f>INDEX(新属性投放!J$14:J$34,属性汇总!$B68)*$C68</f>
        <v>1273.855</v>
      </c>
      <c r="E68" s="14">
        <f>INDEX(新属性投放!K$14:K$34,属性汇总!$B68)*$C68</f>
        <v>593.22749999999996</v>
      </c>
      <c r="F68" s="14">
        <f>INDEX(新属性投放!L$14:L$34,属性汇总!$B68)*$C68</f>
        <v>4051.5649999999996</v>
      </c>
      <c r="G68" s="14">
        <f>INDEX(新属性投放!D$14:D$34,属性汇总!$B68)*$C68</f>
        <v>43.30899999999999</v>
      </c>
      <c r="H68" s="14">
        <f>INDEX(新属性投放!E$14:E$34,属性汇总!$B68)*$C68</f>
        <v>21.654499999999995</v>
      </c>
      <c r="I68" s="14">
        <f>INDEX(新属性投放!F$14:F$34,属性汇总!$B68)*$C68</f>
        <v>129.92699999999996</v>
      </c>
      <c r="J68" s="14">
        <f>ROUND(D68+($A68-INDEX(新属性投放!$B$14:$B$34,属性汇总!$B68))*属性汇总!G68,0)</f>
        <v>2140</v>
      </c>
      <c r="K68" s="14">
        <f>ROUND(E68+($A68-INDEX(新属性投放!$B$14:$B$34,属性汇总!$B68))*属性汇总!H68,0)</f>
        <v>1026</v>
      </c>
      <c r="L68" s="14">
        <f>ROUND(F68+($A68-INDEX(新属性投放!$B$14:$B$34,属性汇总!$B68))*属性汇总!I68,0)</f>
        <v>6650</v>
      </c>
      <c r="R68" s="13">
        <v>60</v>
      </c>
      <c r="S68" s="13">
        <v>5</v>
      </c>
      <c r="T68" s="14">
        <f>INDEX(新属性投放!$L$6:$L$10,$S$3)*INDEX(新属性投放!$Q$6:$Q$10,$U$3)</f>
        <v>1.1499999999999999</v>
      </c>
      <c r="U68" s="14">
        <f>INDEX(新属性投放!J$42:J$62,属性汇总!$S68)*$T68</f>
        <v>1578.605</v>
      </c>
      <c r="V68" s="14">
        <f>INDEX(新属性投放!K$42:K$62,属性汇总!$S68)*$T68</f>
        <v>700.17750000000001</v>
      </c>
      <c r="W68" s="14">
        <f>INDEX(新属性投放!L$42:L$62,属性汇总!$S68)*$T68</f>
        <v>7148.4</v>
      </c>
      <c r="X68" s="14">
        <f>INDEX(新属性投放!$D$42:$D$62,属性汇总!$S68)*$T68</f>
        <v>43.30899999999999</v>
      </c>
      <c r="Y68" s="14">
        <f>INDEX(新属性投放!$D$42:$D$62,属性汇总!$S68)*$T68</f>
        <v>43.30899999999999</v>
      </c>
      <c r="Z68" s="14">
        <f>INDEX(新属性投放!$D$42:$D$62,属性汇总!$S68)*$T68</f>
        <v>43.30899999999999</v>
      </c>
      <c r="AA68" s="14">
        <f>ROUND(U68+($R68-INDEX(新属性投放!$B$14:$B$34,属性汇总!$S68))*属性汇总!X68,0)</f>
        <v>2445</v>
      </c>
      <c r="AB68" s="14">
        <f>ROUND(V68+($R68-INDEX(新属性投放!$B$14:$B$34,属性汇总!$S68))*属性汇总!Y68,0)</f>
        <v>1566</v>
      </c>
      <c r="AC68" s="14">
        <f>ROUND(W68+($R68-INDEX(新属性投放!$B$14:$B$34,属性汇总!$S68))*属性汇总!Z68,0)</f>
        <v>8015</v>
      </c>
    </row>
    <row r="69" spans="1:29" s="20" customFormat="1" ht="16.5" x14ac:dyDescent="0.2">
      <c r="A69" s="13">
        <v>60</v>
      </c>
      <c r="B69" s="13">
        <v>6</v>
      </c>
      <c r="C69" s="14">
        <f>INDEX(新属性投放!$L$6:$L$10,属性汇总!$B$3)*INDEX(新属性投放!$Q$6:$Q$10,属性汇总!$D$3)</f>
        <v>1.1499999999999999</v>
      </c>
      <c r="D69" s="14">
        <f>INDEX(新属性投放!J$14:J$34,属性汇总!$B69)*$C69</f>
        <v>1815.0449999999998</v>
      </c>
      <c r="E69" s="14">
        <f>INDEX(新属性投放!K$14:K$34,属性汇总!$B69)*$C69</f>
        <v>863.82249999999988</v>
      </c>
      <c r="F69" s="14">
        <f>INDEX(新属性投放!L$14:L$34,属性汇总!$B69)*$C69</f>
        <v>5675.1349999999993</v>
      </c>
      <c r="G69" s="14">
        <f>INDEX(新属性投放!D$14:D$34,属性汇总!$B69)*$C69</f>
        <v>56.177499999999995</v>
      </c>
      <c r="H69" s="14">
        <f>INDEX(新属性投放!E$14:E$34,属性汇总!$B69)*$C69</f>
        <v>28.088749999999997</v>
      </c>
      <c r="I69" s="14">
        <f>INDEX(新属性投放!F$14:F$34,属性汇总!$B69)*$C69</f>
        <v>168.5325</v>
      </c>
      <c r="J69" s="14">
        <f>ROUND(D69+($A69-INDEX(新属性投放!$B$14:$B$34,属性汇总!$B69))*属性汇总!G69,0)</f>
        <v>2377</v>
      </c>
      <c r="K69" s="14">
        <f>ROUND(E69+($A69-INDEX(新属性投放!$B$14:$B$34,属性汇总!$B69))*属性汇总!H69,0)</f>
        <v>1145</v>
      </c>
      <c r="L69" s="14">
        <f>ROUND(F69+($A69-INDEX(新属性投放!$B$14:$B$34,属性汇总!$B69))*属性汇总!I69,0)</f>
        <v>7360</v>
      </c>
      <c r="N69" s="37"/>
      <c r="O69" s="37"/>
      <c r="P69" s="37"/>
      <c r="R69" s="13">
        <v>60</v>
      </c>
      <c r="S69" s="13">
        <v>6</v>
      </c>
      <c r="T69" s="14">
        <f>INDEX(新属性投放!$L$6:$L$10,$S$3)*INDEX(新属性投放!$Q$6:$Q$10,$U$3)</f>
        <v>1.1499999999999999</v>
      </c>
      <c r="U69" s="14">
        <f>INDEX(新属性投放!J$42:J$62,属性汇总!$S69)*$T69</f>
        <v>2119.7949999999996</v>
      </c>
      <c r="V69" s="14">
        <f>INDEX(新属性投放!K$42:K$62,属性汇总!$S69)*$T69</f>
        <v>970.77249999999992</v>
      </c>
      <c r="W69" s="14">
        <f>INDEX(新属性投放!L$42:L$62,属性汇总!$S69)*$T69</f>
        <v>10064.799999999999</v>
      </c>
      <c r="X69" s="14">
        <f>INDEX(新属性投放!$D$42:$D$62,属性汇总!$S69)*$T69</f>
        <v>56.177499999999995</v>
      </c>
      <c r="Y69" s="14">
        <f>INDEX(新属性投放!$D$42:$D$62,属性汇总!$S69)*$T69</f>
        <v>56.177499999999995</v>
      </c>
      <c r="Z69" s="14">
        <f>INDEX(新属性投放!$D$42:$D$62,属性汇总!$S69)*$T69</f>
        <v>56.177499999999995</v>
      </c>
      <c r="AA69" s="14">
        <f>ROUND(U69+($R69-INDEX(新属性投放!$B$14:$B$34,属性汇总!$S69))*属性汇总!X69,0)</f>
        <v>2682</v>
      </c>
      <c r="AB69" s="14">
        <f>ROUND(V69+($R69-INDEX(新属性投放!$B$14:$B$34,属性汇总!$S69))*属性汇总!Y69,0)</f>
        <v>1533</v>
      </c>
      <c r="AC69" s="14">
        <f>ROUND(W69+($R69-INDEX(新属性投放!$B$14:$B$34,属性汇总!$S69))*属性汇总!Z69,0)</f>
        <v>10627</v>
      </c>
    </row>
    <row r="70" spans="1:29" ht="16.5" x14ac:dyDescent="0.2">
      <c r="A70" s="13">
        <v>61</v>
      </c>
      <c r="B70" s="13">
        <v>6</v>
      </c>
      <c r="C70" s="14">
        <f>INDEX(新属性投放!$L$6:$L$10,属性汇总!$B$3)*INDEX(新属性投放!$Q$6:$Q$10,属性汇总!$D$3)</f>
        <v>1.1499999999999999</v>
      </c>
      <c r="D70" s="14">
        <f>INDEX(新属性投放!J$14:J$34,属性汇总!$B70)*$C70</f>
        <v>1815.0449999999998</v>
      </c>
      <c r="E70" s="14">
        <f>INDEX(新属性投放!K$14:K$34,属性汇总!$B70)*$C70</f>
        <v>863.82249999999988</v>
      </c>
      <c r="F70" s="14">
        <f>INDEX(新属性投放!L$14:L$34,属性汇总!$B70)*$C70</f>
        <v>5675.1349999999993</v>
      </c>
      <c r="G70" s="14">
        <f>INDEX(新属性投放!D$14:D$34,属性汇总!$B70)*$C70</f>
        <v>56.177499999999995</v>
      </c>
      <c r="H70" s="14">
        <f>INDEX(新属性投放!E$14:E$34,属性汇总!$B70)*$C70</f>
        <v>28.088749999999997</v>
      </c>
      <c r="I70" s="14">
        <f>INDEX(新属性投放!F$14:F$34,属性汇总!$B70)*$C70</f>
        <v>168.5325</v>
      </c>
      <c r="J70" s="14">
        <f>ROUND(D70+($A70-INDEX(新属性投放!$B$14:$B$34,属性汇总!$B70))*属性汇总!G70,0)</f>
        <v>2433</v>
      </c>
      <c r="K70" s="14">
        <f>ROUND(E70+($A70-INDEX(新属性投放!$B$14:$B$34,属性汇总!$B70))*属性汇总!H70,0)</f>
        <v>1173</v>
      </c>
      <c r="L70" s="14">
        <f>ROUND(F70+($A70-INDEX(新属性投放!$B$14:$B$34,属性汇总!$B70))*属性汇总!I70,0)</f>
        <v>7529</v>
      </c>
      <c r="R70" s="13">
        <v>61</v>
      </c>
      <c r="S70" s="13">
        <v>6</v>
      </c>
      <c r="T70" s="14">
        <f>INDEX(新属性投放!$L$6:$L$10,$S$3)*INDEX(新属性投放!$Q$6:$Q$10,$U$3)</f>
        <v>1.1499999999999999</v>
      </c>
      <c r="U70" s="14">
        <f>INDEX(新属性投放!J$42:J$62,属性汇总!$S70)*$T70</f>
        <v>2119.7949999999996</v>
      </c>
      <c r="V70" s="14">
        <f>INDEX(新属性投放!K$42:K$62,属性汇总!$S70)*$T70</f>
        <v>970.77249999999992</v>
      </c>
      <c r="W70" s="14">
        <f>INDEX(新属性投放!L$42:L$62,属性汇总!$S70)*$T70</f>
        <v>10064.799999999999</v>
      </c>
      <c r="X70" s="14">
        <f>INDEX(新属性投放!$D$42:$D$62,属性汇总!$S70)*$T70</f>
        <v>56.177499999999995</v>
      </c>
      <c r="Y70" s="14">
        <f>INDEX(新属性投放!$D$42:$D$62,属性汇总!$S70)*$T70</f>
        <v>56.177499999999995</v>
      </c>
      <c r="Z70" s="14">
        <f>INDEX(新属性投放!$D$42:$D$62,属性汇总!$S70)*$T70</f>
        <v>56.177499999999995</v>
      </c>
      <c r="AA70" s="14">
        <f>ROUND(U70+($R70-INDEX(新属性投放!$B$14:$B$34,属性汇总!$S70))*属性汇总!X70,0)</f>
        <v>2738</v>
      </c>
      <c r="AB70" s="14">
        <f>ROUND(V70+($R70-INDEX(新属性投放!$B$14:$B$34,属性汇总!$S70))*属性汇总!Y70,0)</f>
        <v>1589</v>
      </c>
      <c r="AC70" s="14">
        <f>ROUND(W70+($R70-INDEX(新属性投放!$B$14:$B$34,属性汇总!$S70))*属性汇总!Z70,0)</f>
        <v>10683</v>
      </c>
    </row>
    <row r="71" spans="1:29" ht="16.5" x14ac:dyDescent="0.2">
      <c r="A71" s="13">
        <v>62</v>
      </c>
      <c r="B71" s="13">
        <v>6</v>
      </c>
      <c r="C71" s="14">
        <f>INDEX(新属性投放!$L$6:$L$10,属性汇总!$B$3)*INDEX(新属性投放!$Q$6:$Q$10,属性汇总!$D$3)</f>
        <v>1.1499999999999999</v>
      </c>
      <c r="D71" s="14">
        <f>INDEX(新属性投放!J$14:J$34,属性汇总!$B71)*$C71</f>
        <v>1815.0449999999998</v>
      </c>
      <c r="E71" s="14">
        <f>INDEX(新属性投放!K$14:K$34,属性汇总!$B71)*$C71</f>
        <v>863.82249999999988</v>
      </c>
      <c r="F71" s="14">
        <f>INDEX(新属性投放!L$14:L$34,属性汇总!$B71)*$C71</f>
        <v>5675.1349999999993</v>
      </c>
      <c r="G71" s="14">
        <f>INDEX(新属性投放!D$14:D$34,属性汇总!$B71)*$C71</f>
        <v>56.177499999999995</v>
      </c>
      <c r="H71" s="14">
        <f>INDEX(新属性投放!E$14:E$34,属性汇总!$B71)*$C71</f>
        <v>28.088749999999997</v>
      </c>
      <c r="I71" s="14">
        <f>INDEX(新属性投放!F$14:F$34,属性汇总!$B71)*$C71</f>
        <v>168.5325</v>
      </c>
      <c r="J71" s="14">
        <f>ROUND(D71+($A71-INDEX(新属性投放!$B$14:$B$34,属性汇总!$B71))*属性汇总!G71,0)</f>
        <v>2489</v>
      </c>
      <c r="K71" s="14">
        <f>ROUND(E71+($A71-INDEX(新属性投放!$B$14:$B$34,属性汇总!$B71))*属性汇总!H71,0)</f>
        <v>1201</v>
      </c>
      <c r="L71" s="14">
        <f>ROUND(F71+($A71-INDEX(新属性投放!$B$14:$B$34,属性汇总!$B71))*属性汇总!I71,0)</f>
        <v>7698</v>
      </c>
      <c r="R71" s="13">
        <v>62</v>
      </c>
      <c r="S71" s="13">
        <v>6</v>
      </c>
      <c r="T71" s="14">
        <f>INDEX(新属性投放!$L$6:$L$10,$S$3)*INDEX(新属性投放!$Q$6:$Q$10,$U$3)</f>
        <v>1.1499999999999999</v>
      </c>
      <c r="U71" s="14">
        <f>INDEX(新属性投放!J$42:J$62,属性汇总!$S71)*$T71</f>
        <v>2119.7949999999996</v>
      </c>
      <c r="V71" s="14">
        <f>INDEX(新属性投放!K$42:K$62,属性汇总!$S71)*$T71</f>
        <v>970.77249999999992</v>
      </c>
      <c r="W71" s="14">
        <f>INDEX(新属性投放!L$42:L$62,属性汇总!$S71)*$T71</f>
        <v>10064.799999999999</v>
      </c>
      <c r="X71" s="14">
        <f>INDEX(新属性投放!$D$42:$D$62,属性汇总!$S71)*$T71</f>
        <v>56.177499999999995</v>
      </c>
      <c r="Y71" s="14">
        <f>INDEX(新属性投放!$D$42:$D$62,属性汇总!$S71)*$T71</f>
        <v>56.177499999999995</v>
      </c>
      <c r="Z71" s="14">
        <f>INDEX(新属性投放!$D$42:$D$62,属性汇总!$S71)*$T71</f>
        <v>56.177499999999995</v>
      </c>
      <c r="AA71" s="14">
        <f>ROUND(U71+($R71-INDEX(新属性投放!$B$14:$B$34,属性汇总!$S71))*属性汇总!X71,0)</f>
        <v>2794</v>
      </c>
      <c r="AB71" s="14">
        <f>ROUND(V71+($R71-INDEX(新属性投放!$B$14:$B$34,属性汇总!$S71))*属性汇总!Y71,0)</f>
        <v>1645</v>
      </c>
      <c r="AC71" s="14">
        <f>ROUND(W71+($R71-INDEX(新属性投放!$B$14:$B$34,属性汇总!$S71))*属性汇总!Z71,0)</f>
        <v>10739</v>
      </c>
    </row>
    <row r="72" spans="1:29" ht="16.5" x14ac:dyDescent="0.2">
      <c r="A72" s="13">
        <v>63</v>
      </c>
      <c r="B72" s="13">
        <v>6</v>
      </c>
      <c r="C72" s="14">
        <f>INDEX(新属性投放!$L$6:$L$10,属性汇总!$B$3)*INDEX(新属性投放!$Q$6:$Q$10,属性汇总!$D$3)</f>
        <v>1.1499999999999999</v>
      </c>
      <c r="D72" s="14">
        <f>INDEX(新属性投放!J$14:J$34,属性汇总!$B72)*$C72</f>
        <v>1815.0449999999998</v>
      </c>
      <c r="E72" s="14">
        <f>INDEX(新属性投放!K$14:K$34,属性汇总!$B72)*$C72</f>
        <v>863.82249999999988</v>
      </c>
      <c r="F72" s="14">
        <f>INDEX(新属性投放!L$14:L$34,属性汇总!$B72)*$C72</f>
        <v>5675.1349999999993</v>
      </c>
      <c r="G72" s="14">
        <f>INDEX(新属性投放!D$14:D$34,属性汇总!$B72)*$C72</f>
        <v>56.177499999999995</v>
      </c>
      <c r="H72" s="14">
        <f>INDEX(新属性投放!E$14:E$34,属性汇总!$B72)*$C72</f>
        <v>28.088749999999997</v>
      </c>
      <c r="I72" s="14">
        <f>INDEX(新属性投放!F$14:F$34,属性汇总!$B72)*$C72</f>
        <v>168.5325</v>
      </c>
      <c r="J72" s="14">
        <f>ROUND(D72+($A72-INDEX(新属性投放!$B$14:$B$34,属性汇总!$B72))*属性汇总!G72,0)</f>
        <v>2545</v>
      </c>
      <c r="K72" s="14">
        <f>ROUND(E72+($A72-INDEX(新属性投放!$B$14:$B$34,属性汇总!$B72))*属性汇总!H72,0)</f>
        <v>1229</v>
      </c>
      <c r="L72" s="14">
        <f>ROUND(F72+($A72-INDEX(新属性投放!$B$14:$B$34,属性汇总!$B72))*属性汇总!I72,0)</f>
        <v>7866</v>
      </c>
      <c r="R72" s="13">
        <v>63</v>
      </c>
      <c r="S72" s="13">
        <v>6</v>
      </c>
      <c r="T72" s="14">
        <f>INDEX(新属性投放!$L$6:$L$10,$S$3)*INDEX(新属性投放!$Q$6:$Q$10,$U$3)</f>
        <v>1.1499999999999999</v>
      </c>
      <c r="U72" s="14">
        <f>INDEX(新属性投放!J$42:J$62,属性汇总!$S72)*$T72</f>
        <v>2119.7949999999996</v>
      </c>
      <c r="V72" s="14">
        <f>INDEX(新属性投放!K$42:K$62,属性汇总!$S72)*$T72</f>
        <v>970.77249999999992</v>
      </c>
      <c r="W72" s="14">
        <f>INDEX(新属性投放!L$42:L$62,属性汇总!$S72)*$T72</f>
        <v>10064.799999999999</v>
      </c>
      <c r="X72" s="14">
        <f>INDEX(新属性投放!$D$42:$D$62,属性汇总!$S72)*$T72</f>
        <v>56.177499999999995</v>
      </c>
      <c r="Y72" s="14">
        <f>INDEX(新属性投放!$D$42:$D$62,属性汇总!$S72)*$T72</f>
        <v>56.177499999999995</v>
      </c>
      <c r="Z72" s="14">
        <f>INDEX(新属性投放!$D$42:$D$62,属性汇总!$S72)*$T72</f>
        <v>56.177499999999995</v>
      </c>
      <c r="AA72" s="14">
        <f>ROUND(U72+($R72-INDEX(新属性投放!$B$14:$B$34,属性汇总!$S72))*属性汇总!X72,0)</f>
        <v>2850</v>
      </c>
      <c r="AB72" s="14">
        <f>ROUND(V72+($R72-INDEX(新属性投放!$B$14:$B$34,属性汇总!$S72))*属性汇总!Y72,0)</f>
        <v>1701</v>
      </c>
      <c r="AC72" s="14">
        <f>ROUND(W72+($R72-INDEX(新属性投放!$B$14:$B$34,属性汇总!$S72))*属性汇总!Z72,0)</f>
        <v>10795</v>
      </c>
    </row>
    <row r="73" spans="1:29" ht="16.5" x14ac:dyDescent="0.2">
      <c r="A73" s="13">
        <v>64</v>
      </c>
      <c r="B73" s="13">
        <v>6</v>
      </c>
      <c r="C73" s="14">
        <f>INDEX(新属性投放!$L$6:$L$10,属性汇总!$B$3)*INDEX(新属性投放!$Q$6:$Q$10,属性汇总!$D$3)</f>
        <v>1.1499999999999999</v>
      </c>
      <c r="D73" s="14">
        <f>INDEX(新属性投放!J$14:J$34,属性汇总!$B73)*$C73</f>
        <v>1815.0449999999998</v>
      </c>
      <c r="E73" s="14">
        <f>INDEX(新属性投放!K$14:K$34,属性汇总!$B73)*$C73</f>
        <v>863.82249999999988</v>
      </c>
      <c r="F73" s="14">
        <f>INDEX(新属性投放!L$14:L$34,属性汇总!$B73)*$C73</f>
        <v>5675.1349999999993</v>
      </c>
      <c r="G73" s="14">
        <f>INDEX(新属性投放!D$14:D$34,属性汇总!$B73)*$C73</f>
        <v>56.177499999999995</v>
      </c>
      <c r="H73" s="14">
        <f>INDEX(新属性投放!E$14:E$34,属性汇总!$B73)*$C73</f>
        <v>28.088749999999997</v>
      </c>
      <c r="I73" s="14">
        <f>INDEX(新属性投放!F$14:F$34,属性汇总!$B73)*$C73</f>
        <v>168.5325</v>
      </c>
      <c r="J73" s="14">
        <f>ROUND(D73+($A73-INDEX(新属性投放!$B$14:$B$34,属性汇总!$B73))*属性汇总!G73,0)</f>
        <v>2602</v>
      </c>
      <c r="K73" s="14">
        <f>ROUND(E73+($A73-INDEX(新属性投放!$B$14:$B$34,属性汇总!$B73))*属性汇总!H73,0)</f>
        <v>1257</v>
      </c>
      <c r="L73" s="14">
        <f>ROUND(F73+($A73-INDEX(新属性投放!$B$14:$B$34,属性汇总!$B73))*属性汇总!I73,0)</f>
        <v>8035</v>
      </c>
      <c r="R73" s="13">
        <v>64</v>
      </c>
      <c r="S73" s="13">
        <v>6</v>
      </c>
      <c r="T73" s="14">
        <f>INDEX(新属性投放!$L$6:$L$10,$S$3)*INDEX(新属性投放!$Q$6:$Q$10,$U$3)</f>
        <v>1.1499999999999999</v>
      </c>
      <c r="U73" s="14">
        <f>INDEX(新属性投放!J$42:J$62,属性汇总!$S73)*$T73</f>
        <v>2119.7949999999996</v>
      </c>
      <c r="V73" s="14">
        <f>INDEX(新属性投放!K$42:K$62,属性汇总!$S73)*$T73</f>
        <v>970.77249999999992</v>
      </c>
      <c r="W73" s="14">
        <f>INDEX(新属性投放!L$42:L$62,属性汇总!$S73)*$T73</f>
        <v>10064.799999999999</v>
      </c>
      <c r="X73" s="14">
        <f>INDEX(新属性投放!$D$42:$D$62,属性汇总!$S73)*$T73</f>
        <v>56.177499999999995</v>
      </c>
      <c r="Y73" s="14">
        <f>INDEX(新属性投放!$D$42:$D$62,属性汇总!$S73)*$T73</f>
        <v>56.177499999999995</v>
      </c>
      <c r="Z73" s="14">
        <f>INDEX(新属性投放!$D$42:$D$62,属性汇总!$S73)*$T73</f>
        <v>56.177499999999995</v>
      </c>
      <c r="AA73" s="14">
        <f>ROUND(U73+($R73-INDEX(新属性投放!$B$14:$B$34,属性汇总!$S73))*属性汇总!X73,0)</f>
        <v>2906</v>
      </c>
      <c r="AB73" s="14">
        <f>ROUND(V73+($R73-INDEX(新属性投放!$B$14:$B$34,属性汇总!$S73))*属性汇总!Y73,0)</f>
        <v>1757</v>
      </c>
      <c r="AC73" s="14">
        <f>ROUND(W73+($R73-INDEX(新属性投放!$B$14:$B$34,属性汇总!$S73))*属性汇总!Z73,0)</f>
        <v>10851</v>
      </c>
    </row>
    <row r="74" spans="1:29" ht="16.5" x14ac:dyDescent="0.2">
      <c r="A74" s="13">
        <v>65</v>
      </c>
      <c r="B74" s="13">
        <v>6</v>
      </c>
      <c r="C74" s="14">
        <f>INDEX(新属性投放!$L$6:$L$10,属性汇总!$B$3)*INDEX(新属性投放!$Q$6:$Q$10,属性汇总!$D$3)</f>
        <v>1.1499999999999999</v>
      </c>
      <c r="D74" s="14">
        <f>INDEX(新属性投放!J$14:J$34,属性汇总!$B74)*$C74</f>
        <v>1815.0449999999998</v>
      </c>
      <c r="E74" s="14">
        <f>INDEX(新属性投放!K$14:K$34,属性汇总!$B74)*$C74</f>
        <v>863.82249999999988</v>
      </c>
      <c r="F74" s="14">
        <f>INDEX(新属性投放!L$14:L$34,属性汇总!$B74)*$C74</f>
        <v>5675.1349999999993</v>
      </c>
      <c r="G74" s="14">
        <f>INDEX(新属性投放!D$14:D$34,属性汇总!$B74)*$C74</f>
        <v>56.177499999999995</v>
      </c>
      <c r="H74" s="14">
        <f>INDEX(新属性投放!E$14:E$34,属性汇总!$B74)*$C74</f>
        <v>28.088749999999997</v>
      </c>
      <c r="I74" s="14">
        <f>INDEX(新属性投放!F$14:F$34,属性汇总!$B74)*$C74</f>
        <v>168.5325</v>
      </c>
      <c r="J74" s="14">
        <f>ROUND(D74+($A74-INDEX(新属性投放!$B$14:$B$34,属性汇总!$B74))*属性汇总!G74,0)</f>
        <v>2658</v>
      </c>
      <c r="K74" s="14">
        <f>ROUND(E74+($A74-INDEX(新属性投放!$B$14:$B$34,属性汇总!$B74))*属性汇总!H74,0)</f>
        <v>1285</v>
      </c>
      <c r="L74" s="14">
        <f>ROUND(F74+($A74-INDEX(新属性投放!$B$14:$B$34,属性汇总!$B74))*属性汇总!I74,0)</f>
        <v>8203</v>
      </c>
      <c r="R74" s="13">
        <v>65</v>
      </c>
      <c r="S74" s="13">
        <v>6</v>
      </c>
      <c r="T74" s="14">
        <f>INDEX(新属性投放!$L$6:$L$10,$S$3)*INDEX(新属性投放!$Q$6:$Q$10,$U$3)</f>
        <v>1.1499999999999999</v>
      </c>
      <c r="U74" s="14">
        <f>INDEX(新属性投放!J$42:J$62,属性汇总!$S74)*$T74</f>
        <v>2119.7949999999996</v>
      </c>
      <c r="V74" s="14">
        <f>INDEX(新属性投放!K$42:K$62,属性汇总!$S74)*$T74</f>
        <v>970.77249999999992</v>
      </c>
      <c r="W74" s="14">
        <f>INDEX(新属性投放!L$42:L$62,属性汇总!$S74)*$T74</f>
        <v>10064.799999999999</v>
      </c>
      <c r="X74" s="14">
        <f>INDEX(新属性投放!$D$42:$D$62,属性汇总!$S74)*$T74</f>
        <v>56.177499999999995</v>
      </c>
      <c r="Y74" s="14">
        <f>INDEX(新属性投放!$D$42:$D$62,属性汇总!$S74)*$T74</f>
        <v>56.177499999999995</v>
      </c>
      <c r="Z74" s="14">
        <f>INDEX(新属性投放!$D$42:$D$62,属性汇总!$S74)*$T74</f>
        <v>56.177499999999995</v>
      </c>
      <c r="AA74" s="14">
        <f>ROUND(U74+($R74-INDEX(新属性投放!$B$14:$B$34,属性汇总!$S74))*属性汇总!X74,0)</f>
        <v>2962</v>
      </c>
      <c r="AB74" s="14">
        <f>ROUND(V74+($R74-INDEX(新属性投放!$B$14:$B$34,属性汇总!$S74))*属性汇总!Y74,0)</f>
        <v>1813</v>
      </c>
      <c r="AC74" s="14">
        <f>ROUND(W74+($R74-INDEX(新属性投放!$B$14:$B$34,属性汇总!$S74))*属性汇总!Z74,0)</f>
        <v>10907</v>
      </c>
    </row>
    <row r="75" spans="1:29" ht="16.5" x14ac:dyDescent="0.2">
      <c r="A75" s="13">
        <v>66</v>
      </c>
      <c r="B75" s="13">
        <v>6</v>
      </c>
      <c r="C75" s="14">
        <f>INDEX(新属性投放!$L$6:$L$10,属性汇总!$B$3)*INDEX(新属性投放!$Q$6:$Q$10,属性汇总!$D$3)</f>
        <v>1.1499999999999999</v>
      </c>
      <c r="D75" s="14">
        <f>INDEX(新属性投放!J$14:J$34,属性汇总!$B75)*$C75</f>
        <v>1815.0449999999998</v>
      </c>
      <c r="E75" s="14">
        <f>INDEX(新属性投放!K$14:K$34,属性汇总!$B75)*$C75</f>
        <v>863.82249999999988</v>
      </c>
      <c r="F75" s="14">
        <f>INDEX(新属性投放!L$14:L$34,属性汇总!$B75)*$C75</f>
        <v>5675.1349999999993</v>
      </c>
      <c r="G75" s="14">
        <f>INDEX(新属性投放!D$14:D$34,属性汇总!$B75)*$C75</f>
        <v>56.177499999999995</v>
      </c>
      <c r="H75" s="14">
        <f>INDEX(新属性投放!E$14:E$34,属性汇总!$B75)*$C75</f>
        <v>28.088749999999997</v>
      </c>
      <c r="I75" s="14">
        <f>INDEX(新属性投放!F$14:F$34,属性汇总!$B75)*$C75</f>
        <v>168.5325</v>
      </c>
      <c r="J75" s="14">
        <f>ROUND(D75+($A75-INDEX(新属性投放!$B$14:$B$34,属性汇总!$B75))*属性汇总!G75,0)</f>
        <v>2714</v>
      </c>
      <c r="K75" s="14">
        <f>ROUND(E75+($A75-INDEX(新属性投放!$B$14:$B$34,属性汇总!$B75))*属性汇总!H75,0)</f>
        <v>1313</v>
      </c>
      <c r="L75" s="14">
        <f>ROUND(F75+($A75-INDEX(新属性投放!$B$14:$B$34,属性汇总!$B75))*属性汇总!I75,0)</f>
        <v>8372</v>
      </c>
      <c r="R75" s="13">
        <v>66</v>
      </c>
      <c r="S75" s="13">
        <v>6</v>
      </c>
      <c r="T75" s="14">
        <f>INDEX(新属性投放!$L$6:$L$10,$S$3)*INDEX(新属性投放!$Q$6:$Q$10,$U$3)</f>
        <v>1.1499999999999999</v>
      </c>
      <c r="U75" s="14">
        <f>INDEX(新属性投放!J$42:J$62,属性汇总!$S75)*$T75</f>
        <v>2119.7949999999996</v>
      </c>
      <c r="V75" s="14">
        <f>INDEX(新属性投放!K$42:K$62,属性汇总!$S75)*$T75</f>
        <v>970.77249999999992</v>
      </c>
      <c r="W75" s="14">
        <f>INDEX(新属性投放!L$42:L$62,属性汇总!$S75)*$T75</f>
        <v>10064.799999999999</v>
      </c>
      <c r="X75" s="14">
        <f>INDEX(新属性投放!$D$42:$D$62,属性汇总!$S75)*$T75</f>
        <v>56.177499999999995</v>
      </c>
      <c r="Y75" s="14">
        <f>INDEX(新属性投放!$D$42:$D$62,属性汇总!$S75)*$T75</f>
        <v>56.177499999999995</v>
      </c>
      <c r="Z75" s="14">
        <f>INDEX(新属性投放!$D$42:$D$62,属性汇总!$S75)*$T75</f>
        <v>56.177499999999995</v>
      </c>
      <c r="AA75" s="14">
        <f>ROUND(U75+($R75-INDEX(新属性投放!$B$14:$B$34,属性汇总!$S75))*属性汇总!X75,0)</f>
        <v>3019</v>
      </c>
      <c r="AB75" s="14">
        <f>ROUND(V75+($R75-INDEX(新属性投放!$B$14:$B$34,属性汇总!$S75))*属性汇总!Y75,0)</f>
        <v>1870</v>
      </c>
      <c r="AC75" s="14">
        <f>ROUND(W75+($R75-INDEX(新属性投放!$B$14:$B$34,属性汇总!$S75))*属性汇总!Z75,0)</f>
        <v>10964</v>
      </c>
    </row>
    <row r="76" spans="1:29" ht="16.5" x14ac:dyDescent="0.2">
      <c r="A76" s="13">
        <v>67</v>
      </c>
      <c r="B76" s="13">
        <v>6</v>
      </c>
      <c r="C76" s="14">
        <f>INDEX(新属性投放!$L$6:$L$10,属性汇总!$B$3)*INDEX(新属性投放!$Q$6:$Q$10,属性汇总!$D$3)</f>
        <v>1.1499999999999999</v>
      </c>
      <c r="D76" s="14">
        <f>INDEX(新属性投放!J$14:J$34,属性汇总!$B76)*$C76</f>
        <v>1815.0449999999998</v>
      </c>
      <c r="E76" s="14">
        <f>INDEX(新属性投放!K$14:K$34,属性汇总!$B76)*$C76</f>
        <v>863.82249999999988</v>
      </c>
      <c r="F76" s="14">
        <f>INDEX(新属性投放!L$14:L$34,属性汇总!$B76)*$C76</f>
        <v>5675.1349999999993</v>
      </c>
      <c r="G76" s="14">
        <f>INDEX(新属性投放!D$14:D$34,属性汇总!$B76)*$C76</f>
        <v>56.177499999999995</v>
      </c>
      <c r="H76" s="14">
        <f>INDEX(新属性投放!E$14:E$34,属性汇总!$B76)*$C76</f>
        <v>28.088749999999997</v>
      </c>
      <c r="I76" s="14">
        <f>INDEX(新属性投放!F$14:F$34,属性汇总!$B76)*$C76</f>
        <v>168.5325</v>
      </c>
      <c r="J76" s="14">
        <f>ROUND(D76+($A76-INDEX(新属性投放!$B$14:$B$34,属性汇总!$B76))*属性汇总!G76,0)</f>
        <v>2770</v>
      </c>
      <c r="K76" s="14">
        <f>ROUND(E76+($A76-INDEX(新属性投放!$B$14:$B$34,属性汇总!$B76))*属性汇总!H76,0)</f>
        <v>1341</v>
      </c>
      <c r="L76" s="14">
        <f>ROUND(F76+($A76-INDEX(新属性投放!$B$14:$B$34,属性汇总!$B76))*属性汇总!I76,0)</f>
        <v>8540</v>
      </c>
      <c r="R76" s="13">
        <v>67</v>
      </c>
      <c r="S76" s="13">
        <v>6</v>
      </c>
      <c r="T76" s="14">
        <f>INDEX(新属性投放!$L$6:$L$10,$S$3)*INDEX(新属性投放!$Q$6:$Q$10,$U$3)</f>
        <v>1.1499999999999999</v>
      </c>
      <c r="U76" s="14">
        <f>INDEX(新属性投放!J$42:J$62,属性汇总!$S76)*$T76</f>
        <v>2119.7949999999996</v>
      </c>
      <c r="V76" s="14">
        <f>INDEX(新属性投放!K$42:K$62,属性汇总!$S76)*$T76</f>
        <v>970.77249999999992</v>
      </c>
      <c r="W76" s="14">
        <f>INDEX(新属性投放!L$42:L$62,属性汇总!$S76)*$T76</f>
        <v>10064.799999999999</v>
      </c>
      <c r="X76" s="14">
        <f>INDEX(新属性投放!$D$42:$D$62,属性汇总!$S76)*$T76</f>
        <v>56.177499999999995</v>
      </c>
      <c r="Y76" s="14">
        <f>INDEX(新属性投放!$D$42:$D$62,属性汇总!$S76)*$T76</f>
        <v>56.177499999999995</v>
      </c>
      <c r="Z76" s="14">
        <f>INDEX(新属性投放!$D$42:$D$62,属性汇总!$S76)*$T76</f>
        <v>56.177499999999995</v>
      </c>
      <c r="AA76" s="14">
        <f>ROUND(U76+($R76-INDEX(新属性投放!$B$14:$B$34,属性汇总!$S76))*属性汇总!X76,0)</f>
        <v>3075</v>
      </c>
      <c r="AB76" s="14">
        <f>ROUND(V76+($R76-INDEX(新属性投放!$B$14:$B$34,属性汇总!$S76))*属性汇总!Y76,0)</f>
        <v>1926</v>
      </c>
      <c r="AC76" s="14">
        <f>ROUND(W76+($R76-INDEX(新属性投放!$B$14:$B$34,属性汇总!$S76))*属性汇总!Z76,0)</f>
        <v>11020</v>
      </c>
    </row>
    <row r="77" spans="1:29" ht="16.5" x14ac:dyDescent="0.2">
      <c r="A77" s="13">
        <v>68</v>
      </c>
      <c r="B77" s="13">
        <v>6</v>
      </c>
      <c r="C77" s="14">
        <f>INDEX(新属性投放!$L$6:$L$10,属性汇总!$B$3)*INDEX(新属性投放!$Q$6:$Q$10,属性汇总!$D$3)</f>
        <v>1.1499999999999999</v>
      </c>
      <c r="D77" s="14">
        <f>INDEX(新属性投放!J$14:J$34,属性汇总!$B77)*$C77</f>
        <v>1815.0449999999998</v>
      </c>
      <c r="E77" s="14">
        <f>INDEX(新属性投放!K$14:K$34,属性汇总!$B77)*$C77</f>
        <v>863.82249999999988</v>
      </c>
      <c r="F77" s="14">
        <f>INDEX(新属性投放!L$14:L$34,属性汇总!$B77)*$C77</f>
        <v>5675.1349999999993</v>
      </c>
      <c r="G77" s="14">
        <f>INDEX(新属性投放!D$14:D$34,属性汇总!$B77)*$C77</f>
        <v>56.177499999999995</v>
      </c>
      <c r="H77" s="14">
        <f>INDEX(新属性投放!E$14:E$34,属性汇总!$B77)*$C77</f>
        <v>28.088749999999997</v>
      </c>
      <c r="I77" s="14">
        <f>INDEX(新属性投放!F$14:F$34,属性汇总!$B77)*$C77</f>
        <v>168.5325</v>
      </c>
      <c r="J77" s="14">
        <f>ROUND(D77+($A77-INDEX(新属性投放!$B$14:$B$34,属性汇总!$B77))*属性汇总!G77,0)</f>
        <v>2826</v>
      </c>
      <c r="K77" s="14">
        <f>ROUND(E77+($A77-INDEX(新属性投放!$B$14:$B$34,属性汇总!$B77))*属性汇总!H77,0)</f>
        <v>1369</v>
      </c>
      <c r="L77" s="14">
        <f>ROUND(F77+($A77-INDEX(新属性投放!$B$14:$B$34,属性汇总!$B77))*属性汇总!I77,0)</f>
        <v>8709</v>
      </c>
      <c r="R77" s="13">
        <v>68</v>
      </c>
      <c r="S77" s="13">
        <v>6</v>
      </c>
      <c r="T77" s="14">
        <f>INDEX(新属性投放!$L$6:$L$10,$S$3)*INDEX(新属性投放!$Q$6:$Q$10,$U$3)</f>
        <v>1.1499999999999999</v>
      </c>
      <c r="U77" s="14">
        <f>INDEX(新属性投放!J$42:J$62,属性汇总!$S77)*$T77</f>
        <v>2119.7949999999996</v>
      </c>
      <c r="V77" s="14">
        <f>INDEX(新属性投放!K$42:K$62,属性汇总!$S77)*$T77</f>
        <v>970.77249999999992</v>
      </c>
      <c r="W77" s="14">
        <f>INDEX(新属性投放!L$42:L$62,属性汇总!$S77)*$T77</f>
        <v>10064.799999999999</v>
      </c>
      <c r="X77" s="14">
        <f>INDEX(新属性投放!$D$42:$D$62,属性汇总!$S77)*$T77</f>
        <v>56.177499999999995</v>
      </c>
      <c r="Y77" s="14">
        <f>INDEX(新属性投放!$D$42:$D$62,属性汇总!$S77)*$T77</f>
        <v>56.177499999999995</v>
      </c>
      <c r="Z77" s="14">
        <f>INDEX(新属性投放!$D$42:$D$62,属性汇总!$S77)*$T77</f>
        <v>56.177499999999995</v>
      </c>
      <c r="AA77" s="14">
        <f>ROUND(U77+($R77-INDEX(新属性投放!$B$14:$B$34,属性汇总!$S77))*属性汇总!X77,0)</f>
        <v>3131</v>
      </c>
      <c r="AB77" s="14">
        <f>ROUND(V77+($R77-INDEX(新属性投放!$B$14:$B$34,属性汇总!$S77))*属性汇总!Y77,0)</f>
        <v>1982</v>
      </c>
      <c r="AC77" s="14">
        <f>ROUND(W77+($R77-INDEX(新属性投放!$B$14:$B$34,属性汇总!$S77))*属性汇总!Z77,0)</f>
        <v>11076</v>
      </c>
    </row>
    <row r="78" spans="1:29" ht="16.5" x14ac:dyDescent="0.2">
      <c r="A78" s="13">
        <v>69</v>
      </c>
      <c r="B78" s="13">
        <v>6</v>
      </c>
      <c r="C78" s="14">
        <f>INDEX(新属性投放!$L$6:$L$10,属性汇总!$B$3)*INDEX(新属性投放!$Q$6:$Q$10,属性汇总!$D$3)</f>
        <v>1.1499999999999999</v>
      </c>
      <c r="D78" s="14">
        <f>INDEX(新属性投放!J$14:J$34,属性汇总!$B78)*$C78</f>
        <v>1815.0449999999998</v>
      </c>
      <c r="E78" s="14">
        <f>INDEX(新属性投放!K$14:K$34,属性汇总!$B78)*$C78</f>
        <v>863.82249999999988</v>
      </c>
      <c r="F78" s="14">
        <f>INDEX(新属性投放!L$14:L$34,属性汇总!$B78)*$C78</f>
        <v>5675.1349999999993</v>
      </c>
      <c r="G78" s="14">
        <f>INDEX(新属性投放!D$14:D$34,属性汇总!$B78)*$C78</f>
        <v>56.177499999999995</v>
      </c>
      <c r="H78" s="14">
        <f>INDEX(新属性投放!E$14:E$34,属性汇总!$B78)*$C78</f>
        <v>28.088749999999997</v>
      </c>
      <c r="I78" s="14">
        <f>INDEX(新属性投放!F$14:F$34,属性汇总!$B78)*$C78</f>
        <v>168.5325</v>
      </c>
      <c r="J78" s="14">
        <f>ROUND(D78+($A78-INDEX(新属性投放!$B$14:$B$34,属性汇总!$B78))*属性汇总!G78,0)</f>
        <v>2882</v>
      </c>
      <c r="K78" s="14">
        <f>ROUND(E78+($A78-INDEX(新属性投放!$B$14:$B$34,属性汇总!$B78))*属性汇总!H78,0)</f>
        <v>1398</v>
      </c>
      <c r="L78" s="14">
        <f>ROUND(F78+($A78-INDEX(新属性投放!$B$14:$B$34,属性汇总!$B78))*属性汇总!I78,0)</f>
        <v>8877</v>
      </c>
      <c r="R78" s="13">
        <v>69</v>
      </c>
      <c r="S78" s="13">
        <v>6</v>
      </c>
      <c r="T78" s="14">
        <f>INDEX(新属性投放!$L$6:$L$10,$S$3)*INDEX(新属性投放!$Q$6:$Q$10,$U$3)</f>
        <v>1.1499999999999999</v>
      </c>
      <c r="U78" s="14">
        <f>INDEX(新属性投放!J$42:J$62,属性汇总!$S78)*$T78</f>
        <v>2119.7949999999996</v>
      </c>
      <c r="V78" s="14">
        <f>INDEX(新属性投放!K$42:K$62,属性汇总!$S78)*$T78</f>
        <v>970.77249999999992</v>
      </c>
      <c r="W78" s="14">
        <f>INDEX(新属性投放!L$42:L$62,属性汇总!$S78)*$T78</f>
        <v>10064.799999999999</v>
      </c>
      <c r="X78" s="14">
        <f>INDEX(新属性投放!$D$42:$D$62,属性汇总!$S78)*$T78</f>
        <v>56.177499999999995</v>
      </c>
      <c r="Y78" s="14">
        <f>INDEX(新属性投放!$D$42:$D$62,属性汇总!$S78)*$T78</f>
        <v>56.177499999999995</v>
      </c>
      <c r="Z78" s="14">
        <f>INDEX(新属性投放!$D$42:$D$62,属性汇总!$S78)*$T78</f>
        <v>56.177499999999995</v>
      </c>
      <c r="AA78" s="14">
        <f>ROUND(U78+($R78-INDEX(新属性投放!$B$14:$B$34,属性汇总!$S78))*属性汇总!X78,0)</f>
        <v>3187</v>
      </c>
      <c r="AB78" s="14">
        <f>ROUND(V78+($R78-INDEX(新属性投放!$B$14:$B$34,属性汇总!$S78))*属性汇总!Y78,0)</f>
        <v>2038</v>
      </c>
      <c r="AC78" s="14">
        <f>ROUND(W78+($R78-INDEX(新属性投放!$B$14:$B$34,属性汇总!$S78))*属性汇总!Z78,0)</f>
        <v>11132</v>
      </c>
    </row>
    <row r="79" spans="1:29" ht="16.5" x14ac:dyDescent="0.2">
      <c r="A79" s="13">
        <v>70</v>
      </c>
      <c r="B79" s="13">
        <v>6</v>
      </c>
      <c r="C79" s="14">
        <f>INDEX(新属性投放!$L$6:$L$10,属性汇总!$B$3)*INDEX(新属性投放!$Q$6:$Q$10,属性汇总!$D$3)</f>
        <v>1.1499999999999999</v>
      </c>
      <c r="D79" s="14">
        <f>INDEX(新属性投放!J$14:J$34,属性汇总!$B79)*$C79</f>
        <v>1815.0449999999998</v>
      </c>
      <c r="E79" s="14">
        <f>INDEX(新属性投放!K$14:K$34,属性汇总!$B79)*$C79</f>
        <v>863.82249999999988</v>
      </c>
      <c r="F79" s="14">
        <f>INDEX(新属性投放!L$14:L$34,属性汇总!$B79)*$C79</f>
        <v>5675.1349999999993</v>
      </c>
      <c r="G79" s="14">
        <f>INDEX(新属性投放!D$14:D$34,属性汇总!$B79)*$C79</f>
        <v>56.177499999999995</v>
      </c>
      <c r="H79" s="14">
        <f>INDEX(新属性投放!E$14:E$34,属性汇总!$B79)*$C79</f>
        <v>28.088749999999997</v>
      </c>
      <c r="I79" s="14">
        <f>INDEX(新属性投放!F$14:F$34,属性汇总!$B79)*$C79</f>
        <v>168.5325</v>
      </c>
      <c r="J79" s="14">
        <f>ROUND(D79+($A79-INDEX(新属性投放!$B$14:$B$34,属性汇总!$B79))*属性汇总!G79,0)</f>
        <v>2939</v>
      </c>
      <c r="K79" s="14">
        <f>ROUND(E79+($A79-INDEX(新属性投放!$B$14:$B$34,属性汇总!$B79))*属性汇总!H79,0)</f>
        <v>1426</v>
      </c>
      <c r="L79" s="14">
        <f>ROUND(F79+($A79-INDEX(新属性投放!$B$14:$B$34,属性汇总!$B79))*属性汇总!I79,0)</f>
        <v>9046</v>
      </c>
      <c r="R79" s="13">
        <v>70</v>
      </c>
      <c r="S79" s="13">
        <v>6</v>
      </c>
      <c r="T79" s="14">
        <f>INDEX(新属性投放!$L$6:$L$10,$S$3)*INDEX(新属性投放!$Q$6:$Q$10,$U$3)</f>
        <v>1.1499999999999999</v>
      </c>
      <c r="U79" s="14">
        <f>INDEX(新属性投放!J$42:J$62,属性汇总!$S79)*$T79</f>
        <v>2119.7949999999996</v>
      </c>
      <c r="V79" s="14">
        <f>INDEX(新属性投放!K$42:K$62,属性汇总!$S79)*$T79</f>
        <v>970.77249999999992</v>
      </c>
      <c r="W79" s="14">
        <f>INDEX(新属性投放!L$42:L$62,属性汇总!$S79)*$T79</f>
        <v>10064.799999999999</v>
      </c>
      <c r="X79" s="14">
        <f>INDEX(新属性投放!$D$42:$D$62,属性汇总!$S79)*$T79</f>
        <v>56.177499999999995</v>
      </c>
      <c r="Y79" s="14">
        <f>INDEX(新属性投放!$D$42:$D$62,属性汇总!$S79)*$T79</f>
        <v>56.177499999999995</v>
      </c>
      <c r="Z79" s="14">
        <f>INDEX(新属性投放!$D$42:$D$62,属性汇总!$S79)*$T79</f>
        <v>56.177499999999995</v>
      </c>
      <c r="AA79" s="14">
        <f>ROUND(U79+($R79-INDEX(新属性投放!$B$14:$B$34,属性汇总!$S79))*属性汇总!X79,0)</f>
        <v>3243</v>
      </c>
      <c r="AB79" s="14">
        <f>ROUND(V79+($R79-INDEX(新属性投放!$B$14:$B$34,属性汇总!$S79))*属性汇总!Y79,0)</f>
        <v>2094</v>
      </c>
      <c r="AC79" s="14">
        <f>ROUND(W79+($R79-INDEX(新属性投放!$B$14:$B$34,属性汇总!$S79))*属性汇总!Z79,0)</f>
        <v>11188</v>
      </c>
    </row>
    <row r="80" spans="1:29" s="20" customFormat="1" ht="16.5" x14ac:dyDescent="0.2">
      <c r="A80" s="13">
        <v>70</v>
      </c>
      <c r="B80" s="13">
        <v>7</v>
      </c>
      <c r="C80" s="14">
        <f>INDEX(新属性投放!$L$6:$L$10,属性汇总!$B$3)*INDEX(新属性投放!$Q$6:$Q$10,属性汇总!$D$3)</f>
        <v>1.1499999999999999</v>
      </c>
      <c r="D80" s="14">
        <f>INDEX(新属性投放!J$14:J$34,属性汇总!$B80)*$C80</f>
        <v>2517.12</v>
      </c>
      <c r="E80" s="14">
        <f>INDEX(新属性投放!K$14:K$34,属性汇总!$B80)*$C80</f>
        <v>1214.8599999999999</v>
      </c>
      <c r="F80" s="14">
        <f>INDEX(新属性投放!L$14:L$34,属性汇总!$B80)*$C80</f>
        <v>7781.3599999999988</v>
      </c>
      <c r="G80" s="14">
        <f>INDEX(新属性投放!D$14:D$34,属性汇总!$B80)*$C80</f>
        <v>69.218499999999992</v>
      </c>
      <c r="H80" s="14">
        <f>INDEX(新属性投放!E$14:E$34,属性汇总!$B80)*$C80</f>
        <v>34.609249999999996</v>
      </c>
      <c r="I80" s="14">
        <f>INDEX(新属性投放!F$14:F$34,属性汇总!$B80)*$C80</f>
        <v>207.65549999999999</v>
      </c>
      <c r="J80" s="14">
        <f>ROUND(D80+($A80-INDEX(新属性投放!$B$14:$B$34,属性汇总!$B80))*属性汇总!G80,0)</f>
        <v>3209</v>
      </c>
      <c r="K80" s="14">
        <f>ROUND(E80+($A80-INDEX(新属性投放!$B$14:$B$34,属性汇总!$B80))*属性汇总!H80,0)</f>
        <v>1561</v>
      </c>
      <c r="L80" s="14">
        <f>ROUND(F80+($A80-INDEX(新属性投放!$B$14:$B$34,属性汇总!$B80))*属性汇总!I80,0)</f>
        <v>9858</v>
      </c>
      <c r="N80" s="37"/>
      <c r="O80" s="37"/>
      <c r="P80" s="37"/>
      <c r="R80" s="13">
        <v>70</v>
      </c>
      <c r="S80" s="13">
        <v>7</v>
      </c>
      <c r="T80" s="14">
        <f>INDEX(新属性投放!$L$6:$L$10,$S$3)*INDEX(新属性投放!$Q$6:$Q$10,$U$3)</f>
        <v>1.1499999999999999</v>
      </c>
      <c r="U80" s="14">
        <f>INDEX(新属性投放!J$42:J$62,属性汇总!$S80)*$T80</f>
        <v>2821.87</v>
      </c>
      <c r="V80" s="14">
        <f>INDEX(新属性投放!K$42:K$62,属性汇总!$S80)*$T80</f>
        <v>1321.81</v>
      </c>
      <c r="W80" s="14">
        <f>INDEX(新属性投放!L$42:L$62,属性汇总!$S80)*$T80</f>
        <v>13845.999999999998</v>
      </c>
      <c r="X80" s="14">
        <f>INDEX(新属性投放!$D$42:$D$62,属性汇总!$S80)*$T80</f>
        <v>69.218499999999992</v>
      </c>
      <c r="Y80" s="14">
        <f>INDEX(新属性投放!$D$42:$D$62,属性汇总!$S80)*$T80</f>
        <v>69.218499999999992</v>
      </c>
      <c r="Z80" s="14">
        <f>INDEX(新属性投放!$D$42:$D$62,属性汇总!$S80)*$T80</f>
        <v>69.218499999999992</v>
      </c>
      <c r="AA80" s="14">
        <f>ROUND(U80+($R80-INDEX(新属性投放!$B$14:$B$34,属性汇总!$S80))*属性汇总!X80,0)</f>
        <v>3514</v>
      </c>
      <c r="AB80" s="14">
        <f>ROUND(V80+($R80-INDEX(新属性投放!$B$14:$B$34,属性汇总!$S80))*属性汇总!Y80,0)</f>
        <v>2014</v>
      </c>
      <c r="AC80" s="14">
        <f>ROUND(W80+($R80-INDEX(新属性投放!$B$14:$B$34,属性汇总!$S80))*属性汇总!Z80,0)</f>
        <v>14538</v>
      </c>
    </row>
    <row r="81" spans="1:29" ht="16.5" x14ac:dyDescent="0.2">
      <c r="A81" s="13">
        <v>71</v>
      </c>
      <c r="B81" s="13">
        <v>7</v>
      </c>
      <c r="C81" s="14">
        <f>INDEX(新属性投放!$L$6:$L$10,属性汇总!$B$3)*INDEX(新属性投放!$Q$6:$Q$10,属性汇总!$D$3)</f>
        <v>1.1499999999999999</v>
      </c>
      <c r="D81" s="14">
        <f>INDEX(新属性投放!J$14:J$34,属性汇总!$B81)*$C81</f>
        <v>2517.12</v>
      </c>
      <c r="E81" s="14">
        <f>INDEX(新属性投放!K$14:K$34,属性汇总!$B81)*$C81</f>
        <v>1214.8599999999999</v>
      </c>
      <c r="F81" s="14">
        <f>INDEX(新属性投放!L$14:L$34,属性汇总!$B81)*$C81</f>
        <v>7781.3599999999988</v>
      </c>
      <c r="G81" s="14">
        <f>INDEX(新属性投放!D$14:D$34,属性汇总!$B81)*$C81</f>
        <v>69.218499999999992</v>
      </c>
      <c r="H81" s="14">
        <f>INDEX(新属性投放!E$14:E$34,属性汇总!$B81)*$C81</f>
        <v>34.609249999999996</v>
      </c>
      <c r="I81" s="14">
        <f>INDEX(新属性投放!F$14:F$34,属性汇总!$B81)*$C81</f>
        <v>207.65549999999999</v>
      </c>
      <c r="J81" s="14">
        <f>ROUND(D81+($A81-INDEX(新属性投放!$B$14:$B$34,属性汇总!$B81))*属性汇总!G81,0)</f>
        <v>3279</v>
      </c>
      <c r="K81" s="14">
        <f>ROUND(E81+($A81-INDEX(新属性投放!$B$14:$B$34,属性汇总!$B81))*属性汇总!H81,0)</f>
        <v>1596</v>
      </c>
      <c r="L81" s="14">
        <f>ROUND(F81+($A81-INDEX(新属性投放!$B$14:$B$34,属性汇总!$B81))*属性汇总!I81,0)</f>
        <v>10066</v>
      </c>
      <c r="R81" s="13">
        <v>71</v>
      </c>
      <c r="S81" s="13">
        <v>7</v>
      </c>
      <c r="T81" s="14">
        <f>INDEX(新属性投放!$L$6:$L$10,$S$3)*INDEX(新属性投放!$Q$6:$Q$10,$U$3)</f>
        <v>1.1499999999999999</v>
      </c>
      <c r="U81" s="14">
        <f>INDEX(新属性投放!J$42:J$62,属性汇总!$S81)*$T81</f>
        <v>2821.87</v>
      </c>
      <c r="V81" s="14">
        <f>INDEX(新属性投放!K$42:K$62,属性汇总!$S81)*$T81</f>
        <v>1321.81</v>
      </c>
      <c r="W81" s="14">
        <f>INDEX(新属性投放!L$42:L$62,属性汇总!$S81)*$T81</f>
        <v>13845.999999999998</v>
      </c>
      <c r="X81" s="14">
        <f>INDEX(新属性投放!$D$42:$D$62,属性汇总!$S81)*$T81</f>
        <v>69.218499999999992</v>
      </c>
      <c r="Y81" s="14">
        <f>INDEX(新属性投放!$D$42:$D$62,属性汇总!$S81)*$T81</f>
        <v>69.218499999999992</v>
      </c>
      <c r="Z81" s="14">
        <f>INDEX(新属性投放!$D$42:$D$62,属性汇总!$S81)*$T81</f>
        <v>69.218499999999992</v>
      </c>
      <c r="AA81" s="14">
        <f>ROUND(U81+($R81-INDEX(新属性投放!$B$14:$B$34,属性汇总!$S81))*属性汇总!X81,0)</f>
        <v>3583</v>
      </c>
      <c r="AB81" s="14">
        <f>ROUND(V81+($R81-INDEX(新属性投放!$B$14:$B$34,属性汇总!$S81))*属性汇总!Y81,0)</f>
        <v>2083</v>
      </c>
      <c r="AC81" s="14">
        <f>ROUND(W81+($R81-INDEX(新属性投放!$B$14:$B$34,属性汇总!$S81))*属性汇总!Z81,0)</f>
        <v>14607</v>
      </c>
    </row>
    <row r="82" spans="1:29" ht="16.5" x14ac:dyDescent="0.2">
      <c r="A82" s="13">
        <v>72</v>
      </c>
      <c r="B82" s="13">
        <v>7</v>
      </c>
      <c r="C82" s="14">
        <f>INDEX(新属性投放!$L$6:$L$10,属性汇总!$B$3)*INDEX(新属性投放!$Q$6:$Q$10,属性汇总!$D$3)</f>
        <v>1.1499999999999999</v>
      </c>
      <c r="D82" s="14">
        <f>INDEX(新属性投放!J$14:J$34,属性汇总!$B82)*$C82</f>
        <v>2517.12</v>
      </c>
      <c r="E82" s="14">
        <f>INDEX(新属性投放!K$14:K$34,属性汇总!$B82)*$C82</f>
        <v>1214.8599999999999</v>
      </c>
      <c r="F82" s="14">
        <f>INDEX(新属性投放!L$14:L$34,属性汇总!$B82)*$C82</f>
        <v>7781.3599999999988</v>
      </c>
      <c r="G82" s="14">
        <f>INDEX(新属性投放!D$14:D$34,属性汇总!$B82)*$C82</f>
        <v>69.218499999999992</v>
      </c>
      <c r="H82" s="14">
        <f>INDEX(新属性投放!E$14:E$34,属性汇总!$B82)*$C82</f>
        <v>34.609249999999996</v>
      </c>
      <c r="I82" s="14">
        <f>INDEX(新属性投放!F$14:F$34,属性汇总!$B82)*$C82</f>
        <v>207.65549999999999</v>
      </c>
      <c r="J82" s="14">
        <f>ROUND(D82+($A82-INDEX(新属性投放!$B$14:$B$34,属性汇总!$B82))*属性汇总!G82,0)</f>
        <v>3348</v>
      </c>
      <c r="K82" s="14">
        <f>ROUND(E82+($A82-INDEX(新属性投放!$B$14:$B$34,属性汇总!$B82))*属性汇总!H82,0)</f>
        <v>1630</v>
      </c>
      <c r="L82" s="14">
        <f>ROUND(F82+($A82-INDEX(新属性投放!$B$14:$B$34,属性汇总!$B82))*属性汇总!I82,0)</f>
        <v>10273</v>
      </c>
      <c r="R82" s="13">
        <v>72</v>
      </c>
      <c r="S82" s="13">
        <v>7</v>
      </c>
      <c r="T82" s="14">
        <f>INDEX(新属性投放!$L$6:$L$10,$S$3)*INDEX(新属性投放!$Q$6:$Q$10,$U$3)</f>
        <v>1.1499999999999999</v>
      </c>
      <c r="U82" s="14">
        <f>INDEX(新属性投放!J$42:J$62,属性汇总!$S82)*$T82</f>
        <v>2821.87</v>
      </c>
      <c r="V82" s="14">
        <f>INDEX(新属性投放!K$42:K$62,属性汇总!$S82)*$T82</f>
        <v>1321.81</v>
      </c>
      <c r="W82" s="14">
        <f>INDEX(新属性投放!L$42:L$62,属性汇总!$S82)*$T82</f>
        <v>13845.999999999998</v>
      </c>
      <c r="X82" s="14">
        <f>INDEX(新属性投放!$D$42:$D$62,属性汇总!$S82)*$T82</f>
        <v>69.218499999999992</v>
      </c>
      <c r="Y82" s="14">
        <f>INDEX(新属性投放!$D$42:$D$62,属性汇总!$S82)*$T82</f>
        <v>69.218499999999992</v>
      </c>
      <c r="Z82" s="14">
        <f>INDEX(新属性投放!$D$42:$D$62,属性汇总!$S82)*$T82</f>
        <v>69.218499999999992</v>
      </c>
      <c r="AA82" s="14">
        <f>ROUND(U82+($R82-INDEX(新属性投放!$B$14:$B$34,属性汇总!$S82))*属性汇总!X82,0)</f>
        <v>3652</v>
      </c>
      <c r="AB82" s="14">
        <f>ROUND(V82+($R82-INDEX(新属性投放!$B$14:$B$34,属性汇总!$S82))*属性汇总!Y82,0)</f>
        <v>2152</v>
      </c>
      <c r="AC82" s="14">
        <f>ROUND(W82+($R82-INDEX(新属性投放!$B$14:$B$34,属性汇总!$S82))*属性汇总!Z82,0)</f>
        <v>14677</v>
      </c>
    </row>
    <row r="83" spans="1:29" ht="16.5" x14ac:dyDescent="0.2">
      <c r="A83" s="13">
        <v>73</v>
      </c>
      <c r="B83" s="13">
        <v>7</v>
      </c>
      <c r="C83" s="14">
        <f>INDEX(新属性投放!$L$6:$L$10,属性汇总!$B$3)*INDEX(新属性投放!$Q$6:$Q$10,属性汇总!$D$3)</f>
        <v>1.1499999999999999</v>
      </c>
      <c r="D83" s="14">
        <f>INDEX(新属性投放!J$14:J$34,属性汇总!$B83)*$C83</f>
        <v>2517.12</v>
      </c>
      <c r="E83" s="14">
        <f>INDEX(新属性投放!K$14:K$34,属性汇总!$B83)*$C83</f>
        <v>1214.8599999999999</v>
      </c>
      <c r="F83" s="14">
        <f>INDEX(新属性投放!L$14:L$34,属性汇总!$B83)*$C83</f>
        <v>7781.3599999999988</v>
      </c>
      <c r="G83" s="14">
        <f>INDEX(新属性投放!D$14:D$34,属性汇总!$B83)*$C83</f>
        <v>69.218499999999992</v>
      </c>
      <c r="H83" s="14">
        <f>INDEX(新属性投放!E$14:E$34,属性汇总!$B83)*$C83</f>
        <v>34.609249999999996</v>
      </c>
      <c r="I83" s="14">
        <f>INDEX(新属性投放!F$14:F$34,属性汇总!$B83)*$C83</f>
        <v>207.65549999999999</v>
      </c>
      <c r="J83" s="14">
        <f>ROUND(D83+($A83-INDEX(新属性投放!$B$14:$B$34,属性汇总!$B83))*属性汇总!G83,0)</f>
        <v>3417</v>
      </c>
      <c r="K83" s="14">
        <f>ROUND(E83+($A83-INDEX(新属性投放!$B$14:$B$34,属性汇总!$B83))*属性汇总!H83,0)</f>
        <v>1665</v>
      </c>
      <c r="L83" s="14">
        <f>ROUND(F83+($A83-INDEX(新属性投放!$B$14:$B$34,属性汇总!$B83))*属性汇总!I83,0)</f>
        <v>10481</v>
      </c>
      <c r="R83" s="13">
        <v>73</v>
      </c>
      <c r="S83" s="13">
        <v>7</v>
      </c>
      <c r="T83" s="14">
        <f>INDEX(新属性投放!$L$6:$L$10,$S$3)*INDEX(新属性投放!$Q$6:$Q$10,$U$3)</f>
        <v>1.1499999999999999</v>
      </c>
      <c r="U83" s="14">
        <f>INDEX(新属性投放!J$42:J$62,属性汇总!$S83)*$T83</f>
        <v>2821.87</v>
      </c>
      <c r="V83" s="14">
        <f>INDEX(新属性投放!K$42:K$62,属性汇总!$S83)*$T83</f>
        <v>1321.81</v>
      </c>
      <c r="W83" s="14">
        <f>INDEX(新属性投放!L$42:L$62,属性汇总!$S83)*$T83</f>
        <v>13845.999999999998</v>
      </c>
      <c r="X83" s="14">
        <f>INDEX(新属性投放!$D$42:$D$62,属性汇总!$S83)*$T83</f>
        <v>69.218499999999992</v>
      </c>
      <c r="Y83" s="14">
        <f>INDEX(新属性投放!$D$42:$D$62,属性汇总!$S83)*$T83</f>
        <v>69.218499999999992</v>
      </c>
      <c r="Z83" s="14">
        <f>INDEX(新属性投放!$D$42:$D$62,属性汇总!$S83)*$T83</f>
        <v>69.218499999999992</v>
      </c>
      <c r="AA83" s="14">
        <f>ROUND(U83+($R83-INDEX(新属性投放!$B$14:$B$34,属性汇总!$S83))*属性汇总!X83,0)</f>
        <v>3722</v>
      </c>
      <c r="AB83" s="14">
        <f>ROUND(V83+($R83-INDEX(新属性投放!$B$14:$B$34,属性汇总!$S83))*属性汇总!Y83,0)</f>
        <v>2222</v>
      </c>
      <c r="AC83" s="14">
        <f>ROUND(W83+($R83-INDEX(新属性投放!$B$14:$B$34,属性汇总!$S83))*属性汇总!Z83,0)</f>
        <v>14746</v>
      </c>
    </row>
    <row r="84" spans="1:29" ht="16.5" x14ac:dyDescent="0.2">
      <c r="A84" s="13">
        <v>74</v>
      </c>
      <c r="B84" s="13">
        <v>7</v>
      </c>
      <c r="C84" s="14">
        <f>INDEX(新属性投放!$L$6:$L$10,属性汇总!$B$3)*INDEX(新属性投放!$Q$6:$Q$10,属性汇总!$D$3)</f>
        <v>1.1499999999999999</v>
      </c>
      <c r="D84" s="14">
        <f>INDEX(新属性投放!J$14:J$34,属性汇总!$B84)*$C84</f>
        <v>2517.12</v>
      </c>
      <c r="E84" s="14">
        <f>INDEX(新属性投放!K$14:K$34,属性汇总!$B84)*$C84</f>
        <v>1214.8599999999999</v>
      </c>
      <c r="F84" s="14">
        <f>INDEX(新属性投放!L$14:L$34,属性汇总!$B84)*$C84</f>
        <v>7781.3599999999988</v>
      </c>
      <c r="G84" s="14">
        <f>INDEX(新属性投放!D$14:D$34,属性汇总!$B84)*$C84</f>
        <v>69.218499999999992</v>
      </c>
      <c r="H84" s="14">
        <f>INDEX(新属性投放!E$14:E$34,属性汇总!$B84)*$C84</f>
        <v>34.609249999999996</v>
      </c>
      <c r="I84" s="14">
        <f>INDEX(新属性投放!F$14:F$34,属性汇总!$B84)*$C84</f>
        <v>207.65549999999999</v>
      </c>
      <c r="J84" s="14">
        <f>ROUND(D84+($A84-INDEX(新属性投放!$B$14:$B$34,属性汇总!$B84))*属性汇总!G84,0)</f>
        <v>3486</v>
      </c>
      <c r="K84" s="14">
        <f>ROUND(E84+($A84-INDEX(新属性投放!$B$14:$B$34,属性汇总!$B84))*属性汇总!H84,0)</f>
        <v>1699</v>
      </c>
      <c r="L84" s="14">
        <f>ROUND(F84+($A84-INDEX(新属性投放!$B$14:$B$34,属性汇总!$B84))*属性汇总!I84,0)</f>
        <v>10689</v>
      </c>
      <c r="R84" s="13">
        <v>74</v>
      </c>
      <c r="S84" s="13">
        <v>7</v>
      </c>
      <c r="T84" s="14">
        <f>INDEX(新属性投放!$L$6:$L$10,$S$3)*INDEX(新属性投放!$Q$6:$Q$10,$U$3)</f>
        <v>1.1499999999999999</v>
      </c>
      <c r="U84" s="14">
        <f>INDEX(新属性投放!J$42:J$62,属性汇总!$S84)*$T84</f>
        <v>2821.87</v>
      </c>
      <c r="V84" s="14">
        <f>INDEX(新属性投放!K$42:K$62,属性汇总!$S84)*$T84</f>
        <v>1321.81</v>
      </c>
      <c r="W84" s="14">
        <f>INDEX(新属性投放!L$42:L$62,属性汇总!$S84)*$T84</f>
        <v>13845.999999999998</v>
      </c>
      <c r="X84" s="14">
        <f>INDEX(新属性投放!$D$42:$D$62,属性汇总!$S84)*$T84</f>
        <v>69.218499999999992</v>
      </c>
      <c r="Y84" s="14">
        <f>INDEX(新属性投放!$D$42:$D$62,属性汇总!$S84)*$T84</f>
        <v>69.218499999999992</v>
      </c>
      <c r="Z84" s="14">
        <f>INDEX(新属性投放!$D$42:$D$62,属性汇总!$S84)*$T84</f>
        <v>69.218499999999992</v>
      </c>
      <c r="AA84" s="14">
        <f>ROUND(U84+($R84-INDEX(新属性投放!$B$14:$B$34,属性汇总!$S84))*属性汇总!X84,0)</f>
        <v>3791</v>
      </c>
      <c r="AB84" s="14">
        <f>ROUND(V84+($R84-INDEX(新属性投放!$B$14:$B$34,属性汇总!$S84))*属性汇总!Y84,0)</f>
        <v>2291</v>
      </c>
      <c r="AC84" s="14">
        <f>ROUND(W84+($R84-INDEX(新属性投放!$B$14:$B$34,属性汇总!$S84))*属性汇总!Z84,0)</f>
        <v>14815</v>
      </c>
    </row>
    <row r="85" spans="1:29" ht="16.5" x14ac:dyDescent="0.2">
      <c r="A85" s="13">
        <v>75</v>
      </c>
      <c r="B85" s="13">
        <v>7</v>
      </c>
      <c r="C85" s="14">
        <f>INDEX(新属性投放!$L$6:$L$10,属性汇总!$B$3)*INDEX(新属性投放!$Q$6:$Q$10,属性汇总!$D$3)</f>
        <v>1.1499999999999999</v>
      </c>
      <c r="D85" s="14">
        <f>INDEX(新属性投放!J$14:J$34,属性汇总!$B85)*$C85</f>
        <v>2517.12</v>
      </c>
      <c r="E85" s="14">
        <f>INDEX(新属性投放!K$14:K$34,属性汇总!$B85)*$C85</f>
        <v>1214.8599999999999</v>
      </c>
      <c r="F85" s="14">
        <f>INDEX(新属性投放!L$14:L$34,属性汇总!$B85)*$C85</f>
        <v>7781.3599999999988</v>
      </c>
      <c r="G85" s="14">
        <f>INDEX(新属性投放!D$14:D$34,属性汇总!$B85)*$C85</f>
        <v>69.218499999999992</v>
      </c>
      <c r="H85" s="14">
        <f>INDEX(新属性投放!E$14:E$34,属性汇总!$B85)*$C85</f>
        <v>34.609249999999996</v>
      </c>
      <c r="I85" s="14">
        <f>INDEX(新属性投放!F$14:F$34,属性汇总!$B85)*$C85</f>
        <v>207.65549999999999</v>
      </c>
      <c r="J85" s="14">
        <f>ROUND(D85+($A85-INDEX(新属性投放!$B$14:$B$34,属性汇总!$B85))*属性汇总!G85,0)</f>
        <v>3555</v>
      </c>
      <c r="K85" s="14">
        <f>ROUND(E85+($A85-INDEX(新属性投放!$B$14:$B$34,属性汇总!$B85))*属性汇总!H85,0)</f>
        <v>1734</v>
      </c>
      <c r="L85" s="14">
        <f>ROUND(F85+($A85-INDEX(新属性投放!$B$14:$B$34,属性汇总!$B85))*属性汇总!I85,0)</f>
        <v>10896</v>
      </c>
      <c r="R85" s="13">
        <v>75</v>
      </c>
      <c r="S85" s="13">
        <v>7</v>
      </c>
      <c r="T85" s="14">
        <f>INDEX(新属性投放!$L$6:$L$10,$S$3)*INDEX(新属性投放!$Q$6:$Q$10,$U$3)</f>
        <v>1.1499999999999999</v>
      </c>
      <c r="U85" s="14">
        <f>INDEX(新属性投放!J$42:J$62,属性汇总!$S85)*$T85</f>
        <v>2821.87</v>
      </c>
      <c r="V85" s="14">
        <f>INDEX(新属性投放!K$42:K$62,属性汇总!$S85)*$T85</f>
        <v>1321.81</v>
      </c>
      <c r="W85" s="14">
        <f>INDEX(新属性投放!L$42:L$62,属性汇总!$S85)*$T85</f>
        <v>13845.999999999998</v>
      </c>
      <c r="X85" s="14">
        <f>INDEX(新属性投放!$D$42:$D$62,属性汇总!$S85)*$T85</f>
        <v>69.218499999999992</v>
      </c>
      <c r="Y85" s="14">
        <f>INDEX(新属性投放!$D$42:$D$62,属性汇总!$S85)*$T85</f>
        <v>69.218499999999992</v>
      </c>
      <c r="Z85" s="14">
        <f>INDEX(新属性投放!$D$42:$D$62,属性汇总!$S85)*$T85</f>
        <v>69.218499999999992</v>
      </c>
      <c r="AA85" s="14">
        <f>ROUND(U85+($R85-INDEX(新属性投放!$B$14:$B$34,属性汇总!$S85))*属性汇总!X85,0)</f>
        <v>3860</v>
      </c>
      <c r="AB85" s="14">
        <f>ROUND(V85+($R85-INDEX(新属性投放!$B$14:$B$34,属性汇总!$S85))*属性汇总!Y85,0)</f>
        <v>2360</v>
      </c>
      <c r="AC85" s="14">
        <f>ROUND(W85+($R85-INDEX(新属性投放!$B$14:$B$34,属性汇总!$S85))*属性汇总!Z85,0)</f>
        <v>14884</v>
      </c>
    </row>
    <row r="86" spans="1:29" ht="16.5" x14ac:dyDescent="0.2">
      <c r="A86" s="13">
        <v>76</v>
      </c>
      <c r="B86" s="13">
        <v>7</v>
      </c>
      <c r="C86" s="14">
        <f>INDEX(新属性投放!$L$6:$L$10,属性汇总!$B$3)*INDEX(新属性投放!$Q$6:$Q$10,属性汇总!$D$3)</f>
        <v>1.1499999999999999</v>
      </c>
      <c r="D86" s="14">
        <f>INDEX(新属性投放!J$14:J$34,属性汇总!$B86)*$C86</f>
        <v>2517.12</v>
      </c>
      <c r="E86" s="14">
        <f>INDEX(新属性投放!K$14:K$34,属性汇总!$B86)*$C86</f>
        <v>1214.8599999999999</v>
      </c>
      <c r="F86" s="14">
        <f>INDEX(新属性投放!L$14:L$34,属性汇总!$B86)*$C86</f>
        <v>7781.3599999999988</v>
      </c>
      <c r="G86" s="14">
        <f>INDEX(新属性投放!D$14:D$34,属性汇总!$B86)*$C86</f>
        <v>69.218499999999992</v>
      </c>
      <c r="H86" s="14">
        <f>INDEX(新属性投放!E$14:E$34,属性汇总!$B86)*$C86</f>
        <v>34.609249999999996</v>
      </c>
      <c r="I86" s="14">
        <f>INDEX(新属性投放!F$14:F$34,属性汇总!$B86)*$C86</f>
        <v>207.65549999999999</v>
      </c>
      <c r="J86" s="14">
        <f>ROUND(D86+($A86-INDEX(新属性投放!$B$14:$B$34,属性汇总!$B86))*属性汇总!G86,0)</f>
        <v>3625</v>
      </c>
      <c r="K86" s="14">
        <f>ROUND(E86+($A86-INDEX(新属性投放!$B$14:$B$34,属性汇总!$B86))*属性汇总!H86,0)</f>
        <v>1769</v>
      </c>
      <c r="L86" s="14">
        <f>ROUND(F86+($A86-INDEX(新属性投放!$B$14:$B$34,属性汇总!$B86))*属性汇总!I86,0)</f>
        <v>11104</v>
      </c>
      <c r="R86" s="13">
        <v>76</v>
      </c>
      <c r="S86" s="13">
        <v>7</v>
      </c>
      <c r="T86" s="14">
        <f>INDEX(新属性投放!$L$6:$L$10,$S$3)*INDEX(新属性投放!$Q$6:$Q$10,$U$3)</f>
        <v>1.1499999999999999</v>
      </c>
      <c r="U86" s="14">
        <f>INDEX(新属性投放!J$42:J$62,属性汇总!$S86)*$T86</f>
        <v>2821.87</v>
      </c>
      <c r="V86" s="14">
        <f>INDEX(新属性投放!K$42:K$62,属性汇总!$S86)*$T86</f>
        <v>1321.81</v>
      </c>
      <c r="W86" s="14">
        <f>INDEX(新属性投放!L$42:L$62,属性汇总!$S86)*$T86</f>
        <v>13845.999999999998</v>
      </c>
      <c r="X86" s="14">
        <f>INDEX(新属性投放!$D$42:$D$62,属性汇总!$S86)*$T86</f>
        <v>69.218499999999992</v>
      </c>
      <c r="Y86" s="14">
        <f>INDEX(新属性投放!$D$42:$D$62,属性汇总!$S86)*$T86</f>
        <v>69.218499999999992</v>
      </c>
      <c r="Z86" s="14">
        <f>INDEX(新属性投放!$D$42:$D$62,属性汇总!$S86)*$T86</f>
        <v>69.218499999999992</v>
      </c>
      <c r="AA86" s="14">
        <f>ROUND(U86+($R86-INDEX(新属性投放!$B$14:$B$34,属性汇总!$S86))*属性汇总!X86,0)</f>
        <v>3929</v>
      </c>
      <c r="AB86" s="14">
        <f>ROUND(V86+($R86-INDEX(新属性投放!$B$14:$B$34,属性汇总!$S86))*属性汇总!Y86,0)</f>
        <v>2429</v>
      </c>
      <c r="AC86" s="14">
        <f>ROUND(W86+($R86-INDEX(新属性投放!$B$14:$B$34,属性汇总!$S86))*属性汇总!Z86,0)</f>
        <v>14953</v>
      </c>
    </row>
    <row r="87" spans="1:29" ht="16.5" x14ac:dyDescent="0.2">
      <c r="A87" s="13">
        <v>77</v>
      </c>
      <c r="B87" s="13">
        <v>7</v>
      </c>
      <c r="C87" s="14">
        <f>INDEX(新属性投放!$L$6:$L$10,属性汇总!$B$3)*INDEX(新属性投放!$Q$6:$Q$10,属性汇总!$D$3)</f>
        <v>1.1499999999999999</v>
      </c>
      <c r="D87" s="14">
        <f>INDEX(新属性投放!J$14:J$34,属性汇总!$B87)*$C87</f>
        <v>2517.12</v>
      </c>
      <c r="E87" s="14">
        <f>INDEX(新属性投放!K$14:K$34,属性汇总!$B87)*$C87</f>
        <v>1214.8599999999999</v>
      </c>
      <c r="F87" s="14">
        <f>INDEX(新属性投放!L$14:L$34,属性汇总!$B87)*$C87</f>
        <v>7781.3599999999988</v>
      </c>
      <c r="G87" s="14">
        <f>INDEX(新属性投放!D$14:D$34,属性汇总!$B87)*$C87</f>
        <v>69.218499999999992</v>
      </c>
      <c r="H87" s="14">
        <f>INDEX(新属性投放!E$14:E$34,属性汇总!$B87)*$C87</f>
        <v>34.609249999999996</v>
      </c>
      <c r="I87" s="14">
        <f>INDEX(新属性投放!F$14:F$34,属性汇总!$B87)*$C87</f>
        <v>207.65549999999999</v>
      </c>
      <c r="J87" s="14">
        <f>ROUND(D87+($A87-INDEX(新属性投放!$B$14:$B$34,属性汇总!$B87))*属性汇总!G87,0)</f>
        <v>3694</v>
      </c>
      <c r="K87" s="14">
        <f>ROUND(E87+($A87-INDEX(新属性投放!$B$14:$B$34,属性汇总!$B87))*属性汇总!H87,0)</f>
        <v>1803</v>
      </c>
      <c r="L87" s="14">
        <f>ROUND(F87+($A87-INDEX(新属性投放!$B$14:$B$34,属性汇总!$B87))*属性汇总!I87,0)</f>
        <v>11312</v>
      </c>
      <c r="R87" s="13">
        <v>77</v>
      </c>
      <c r="S87" s="13">
        <v>7</v>
      </c>
      <c r="T87" s="14">
        <f>INDEX(新属性投放!$L$6:$L$10,$S$3)*INDEX(新属性投放!$Q$6:$Q$10,$U$3)</f>
        <v>1.1499999999999999</v>
      </c>
      <c r="U87" s="14">
        <f>INDEX(新属性投放!J$42:J$62,属性汇总!$S87)*$T87</f>
        <v>2821.87</v>
      </c>
      <c r="V87" s="14">
        <f>INDEX(新属性投放!K$42:K$62,属性汇总!$S87)*$T87</f>
        <v>1321.81</v>
      </c>
      <c r="W87" s="14">
        <f>INDEX(新属性投放!L$42:L$62,属性汇总!$S87)*$T87</f>
        <v>13845.999999999998</v>
      </c>
      <c r="X87" s="14">
        <f>INDEX(新属性投放!$D$42:$D$62,属性汇总!$S87)*$T87</f>
        <v>69.218499999999992</v>
      </c>
      <c r="Y87" s="14">
        <f>INDEX(新属性投放!$D$42:$D$62,属性汇总!$S87)*$T87</f>
        <v>69.218499999999992</v>
      </c>
      <c r="Z87" s="14">
        <f>INDEX(新属性投放!$D$42:$D$62,属性汇总!$S87)*$T87</f>
        <v>69.218499999999992</v>
      </c>
      <c r="AA87" s="14">
        <f>ROUND(U87+($R87-INDEX(新属性投放!$B$14:$B$34,属性汇总!$S87))*属性汇总!X87,0)</f>
        <v>3999</v>
      </c>
      <c r="AB87" s="14">
        <f>ROUND(V87+($R87-INDEX(新属性投放!$B$14:$B$34,属性汇总!$S87))*属性汇总!Y87,0)</f>
        <v>2499</v>
      </c>
      <c r="AC87" s="14">
        <f>ROUND(W87+($R87-INDEX(新属性投放!$B$14:$B$34,属性汇总!$S87))*属性汇总!Z87,0)</f>
        <v>15023</v>
      </c>
    </row>
    <row r="88" spans="1:29" ht="16.5" x14ac:dyDescent="0.2">
      <c r="A88" s="13">
        <v>78</v>
      </c>
      <c r="B88" s="13">
        <v>7</v>
      </c>
      <c r="C88" s="14">
        <f>INDEX(新属性投放!$L$6:$L$10,属性汇总!$B$3)*INDEX(新属性投放!$Q$6:$Q$10,属性汇总!$D$3)</f>
        <v>1.1499999999999999</v>
      </c>
      <c r="D88" s="14">
        <f>INDEX(新属性投放!J$14:J$34,属性汇总!$B88)*$C88</f>
        <v>2517.12</v>
      </c>
      <c r="E88" s="14">
        <f>INDEX(新属性投放!K$14:K$34,属性汇总!$B88)*$C88</f>
        <v>1214.8599999999999</v>
      </c>
      <c r="F88" s="14">
        <f>INDEX(新属性投放!L$14:L$34,属性汇总!$B88)*$C88</f>
        <v>7781.3599999999988</v>
      </c>
      <c r="G88" s="14">
        <f>INDEX(新属性投放!D$14:D$34,属性汇总!$B88)*$C88</f>
        <v>69.218499999999992</v>
      </c>
      <c r="H88" s="14">
        <f>INDEX(新属性投放!E$14:E$34,属性汇总!$B88)*$C88</f>
        <v>34.609249999999996</v>
      </c>
      <c r="I88" s="14">
        <f>INDEX(新属性投放!F$14:F$34,属性汇总!$B88)*$C88</f>
        <v>207.65549999999999</v>
      </c>
      <c r="J88" s="14">
        <f>ROUND(D88+($A88-INDEX(新属性投放!$B$14:$B$34,属性汇总!$B88))*属性汇总!G88,0)</f>
        <v>3763</v>
      </c>
      <c r="K88" s="14">
        <f>ROUND(E88+($A88-INDEX(新属性投放!$B$14:$B$34,属性汇总!$B88))*属性汇总!H88,0)</f>
        <v>1838</v>
      </c>
      <c r="L88" s="14">
        <f>ROUND(F88+($A88-INDEX(新属性投放!$B$14:$B$34,属性汇总!$B88))*属性汇总!I88,0)</f>
        <v>11519</v>
      </c>
      <c r="R88" s="13">
        <v>78</v>
      </c>
      <c r="S88" s="13">
        <v>7</v>
      </c>
      <c r="T88" s="14">
        <f>INDEX(新属性投放!$L$6:$L$10,$S$3)*INDEX(新属性投放!$Q$6:$Q$10,$U$3)</f>
        <v>1.1499999999999999</v>
      </c>
      <c r="U88" s="14">
        <f>INDEX(新属性投放!J$42:J$62,属性汇总!$S88)*$T88</f>
        <v>2821.87</v>
      </c>
      <c r="V88" s="14">
        <f>INDEX(新属性投放!K$42:K$62,属性汇总!$S88)*$T88</f>
        <v>1321.81</v>
      </c>
      <c r="W88" s="14">
        <f>INDEX(新属性投放!L$42:L$62,属性汇总!$S88)*$T88</f>
        <v>13845.999999999998</v>
      </c>
      <c r="X88" s="14">
        <f>INDEX(新属性投放!$D$42:$D$62,属性汇总!$S88)*$T88</f>
        <v>69.218499999999992</v>
      </c>
      <c r="Y88" s="14">
        <f>INDEX(新属性投放!$D$42:$D$62,属性汇总!$S88)*$T88</f>
        <v>69.218499999999992</v>
      </c>
      <c r="Z88" s="14">
        <f>INDEX(新属性投放!$D$42:$D$62,属性汇总!$S88)*$T88</f>
        <v>69.218499999999992</v>
      </c>
      <c r="AA88" s="14">
        <f>ROUND(U88+($R88-INDEX(新属性投放!$B$14:$B$34,属性汇总!$S88))*属性汇总!X88,0)</f>
        <v>4068</v>
      </c>
      <c r="AB88" s="14">
        <f>ROUND(V88+($R88-INDEX(新属性投放!$B$14:$B$34,属性汇总!$S88))*属性汇总!Y88,0)</f>
        <v>2568</v>
      </c>
      <c r="AC88" s="14">
        <f>ROUND(W88+($R88-INDEX(新属性投放!$B$14:$B$34,属性汇总!$S88))*属性汇总!Z88,0)</f>
        <v>15092</v>
      </c>
    </row>
    <row r="89" spans="1:29" ht="16.5" x14ac:dyDescent="0.2">
      <c r="A89" s="13">
        <v>79</v>
      </c>
      <c r="B89" s="13">
        <v>7</v>
      </c>
      <c r="C89" s="14">
        <f>INDEX(新属性投放!$L$6:$L$10,属性汇总!$B$3)*INDEX(新属性投放!$Q$6:$Q$10,属性汇总!$D$3)</f>
        <v>1.1499999999999999</v>
      </c>
      <c r="D89" s="14">
        <f>INDEX(新属性投放!J$14:J$34,属性汇总!$B89)*$C89</f>
        <v>2517.12</v>
      </c>
      <c r="E89" s="14">
        <f>INDEX(新属性投放!K$14:K$34,属性汇总!$B89)*$C89</f>
        <v>1214.8599999999999</v>
      </c>
      <c r="F89" s="14">
        <f>INDEX(新属性投放!L$14:L$34,属性汇总!$B89)*$C89</f>
        <v>7781.3599999999988</v>
      </c>
      <c r="G89" s="14">
        <f>INDEX(新属性投放!D$14:D$34,属性汇总!$B89)*$C89</f>
        <v>69.218499999999992</v>
      </c>
      <c r="H89" s="14">
        <f>INDEX(新属性投放!E$14:E$34,属性汇总!$B89)*$C89</f>
        <v>34.609249999999996</v>
      </c>
      <c r="I89" s="14">
        <f>INDEX(新属性投放!F$14:F$34,属性汇总!$B89)*$C89</f>
        <v>207.65549999999999</v>
      </c>
      <c r="J89" s="14">
        <f>ROUND(D89+($A89-INDEX(新属性投放!$B$14:$B$34,属性汇总!$B89))*属性汇总!G89,0)</f>
        <v>3832</v>
      </c>
      <c r="K89" s="14">
        <f>ROUND(E89+($A89-INDEX(新属性投放!$B$14:$B$34,属性汇总!$B89))*属性汇总!H89,0)</f>
        <v>1872</v>
      </c>
      <c r="L89" s="14">
        <f>ROUND(F89+($A89-INDEX(新属性投放!$B$14:$B$34,属性汇总!$B89))*属性汇总!I89,0)</f>
        <v>11727</v>
      </c>
      <c r="R89" s="13">
        <v>79</v>
      </c>
      <c r="S89" s="13">
        <v>7</v>
      </c>
      <c r="T89" s="14">
        <f>INDEX(新属性投放!$L$6:$L$10,$S$3)*INDEX(新属性投放!$Q$6:$Q$10,$U$3)</f>
        <v>1.1499999999999999</v>
      </c>
      <c r="U89" s="14">
        <f>INDEX(新属性投放!J$42:J$62,属性汇总!$S89)*$T89</f>
        <v>2821.87</v>
      </c>
      <c r="V89" s="14">
        <f>INDEX(新属性投放!K$42:K$62,属性汇总!$S89)*$T89</f>
        <v>1321.81</v>
      </c>
      <c r="W89" s="14">
        <f>INDEX(新属性投放!L$42:L$62,属性汇总!$S89)*$T89</f>
        <v>13845.999999999998</v>
      </c>
      <c r="X89" s="14">
        <f>INDEX(新属性投放!$D$42:$D$62,属性汇总!$S89)*$T89</f>
        <v>69.218499999999992</v>
      </c>
      <c r="Y89" s="14">
        <f>INDEX(新属性投放!$D$42:$D$62,属性汇总!$S89)*$T89</f>
        <v>69.218499999999992</v>
      </c>
      <c r="Z89" s="14">
        <f>INDEX(新属性投放!$D$42:$D$62,属性汇总!$S89)*$T89</f>
        <v>69.218499999999992</v>
      </c>
      <c r="AA89" s="14">
        <f>ROUND(U89+($R89-INDEX(新属性投放!$B$14:$B$34,属性汇总!$S89))*属性汇总!X89,0)</f>
        <v>4137</v>
      </c>
      <c r="AB89" s="14">
        <f>ROUND(V89+($R89-INDEX(新属性投放!$B$14:$B$34,属性汇总!$S89))*属性汇总!Y89,0)</f>
        <v>2637</v>
      </c>
      <c r="AC89" s="14">
        <f>ROUND(W89+($R89-INDEX(新属性投放!$B$14:$B$34,属性汇总!$S89))*属性汇总!Z89,0)</f>
        <v>15161</v>
      </c>
    </row>
    <row r="90" spans="1:29" ht="16.5" x14ac:dyDescent="0.2">
      <c r="A90" s="13">
        <v>80</v>
      </c>
      <c r="B90" s="13">
        <v>7</v>
      </c>
      <c r="C90" s="14">
        <f>INDEX(新属性投放!$L$6:$L$10,属性汇总!$B$3)*INDEX(新属性投放!$Q$6:$Q$10,属性汇总!$D$3)</f>
        <v>1.1499999999999999</v>
      </c>
      <c r="D90" s="14">
        <f>INDEX(新属性投放!J$14:J$34,属性汇总!$B90)*$C90</f>
        <v>2517.12</v>
      </c>
      <c r="E90" s="14">
        <f>INDEX(新属性投放!K$14:K$34,属性汇总!$B90)*$C90</f>
        <v>1214.8599999999999</v>
      </c>
      <c r="F90" s="14">
        <f>INDEX(新属性投放!L$14:L$34,属性汇总!$B90)*$C90</f>
        <v>7781.3599999999988</v>
      </c>
      <c r="G90" s="14">
        <f>INDEX(新属性投放!D$14:D$34,属性汇总!$B90)*$C90</f>
        <v>69.218499999999992</v>
      </c>
      <c r="H90" s="14">
        <f>INDEX(新属性投放!E$14:E$34,属性汇总!$B90)*$C90</f>
        <v>34.609249999999996</v>
      </c>
      <c r="I90" s="14">
        <f>INDEX(新属性投放!F$14:F$34,属性汇总!$B90)*$C90</f>
        <v>207.65549999999999</v>
      </c>
      <c r="J90" s="14">
        <f>ROUND(D90+($A90-INDEX(新属性投放!$B$14:$B$34,属性汇总!$B90))*属性汇总!G90,0)</f>
        <v>3901</v>
      </c>
      <c r="K90" s="14">
        <f>ROUND(E90+($A90-INDEX(新属性投放!$B$14:$B$34,属性汇总!$B90))*属性汇总!H90,0)</f>
        <v>1907</v>
      </c>
      <c r="L90" s="14">
        <f>ROUND(F90+($A90-INDEX(新属性投放!$B$14:$B$34,属性汇总!$B90))*属性汇总!I90,0)</f>
        <v>11934</v>
      </c>
      <c r="R90" s="13">
        <v>80</v>
      </c>
      <c r="S90" s="13">
        <v>7</v>
      </c>
      <c r="T90" s="14">
        <f>INDEX(新属性投放!$L$6:$L$10,$S$3)*INDEX(新属性投放!$Q$6:$Q$10,$U$3)</f>
        <v>1.1499999999999999</v>
      </c>
      <c r="U90" s="14">
        <f>INDEX(新属性投放!J$42:J$62,属性汇总!$S90)*$T90</f>
        <v>2821.87</v>
      </c>
      <c r="V90" s="14">
        <f>INDEX(新属性投放!K$42:K$62,属性汇总!$S90)*$T90</f>
        <v>1321.81</v>
      </c>
      <c r="W90" s="14">
        <f>INDEX(新属性投放!L$42:L$62,属性汇总!$S90)*$T90</f>
        <v>13845.999999999998</v>
      </c>
      <c r="X90" s="14">
        <f>INDEX(新属性投放!$D$42:$D$62,属性汇总!$S90)*$T90</f>
        <v>69.218499999999992</v>
      </c>
      <c r="Y90" s="14">
        <f>INDEX(新属性投放!$D$42:$D$62,属性汇总!$S90)*$T90</f>
        <v>69.218499999999992</v>
      </c>
      <c r="Z90" s="14">
        <f>INDEX(新属性投放!$D$42:$D$62,属性汇总!$S90)*$T90</f>
        <v>69.218499999999992</v>
      </c>
      <c r="AA90" s="14">
        <f>ROUND(U90+($R90-INDEX(新属性投放!$B$14:$B$34,属性汇总!$S90))*属性汇总!X90,0)</f>
        <v>4206</v>
      </c>
      <c r="AB90" s="14">
        <f>ROUND(V90+($R90-INDEX(新属性投放!$B$14:$B$34,属性汇总!$S90))*属性汇总!Y90,0)</f>
        <v>2706</v>
      </c>
      <c r="AC90" s="14">
        <f>ROUND(W90+($R90-INDEX(新属性投放!$B$14:$B$34,属性汇总!$S90))*属性汇总!Z90,0)</f>
        <v>15230</v>
      </c>
    </row>
    <row r="91" spans="1:29" s="20" customFormat="1" ht="16.5" x14ac:dyDescent="0.2">
      <c r="A91" s="13">
        <v>80</v>
      </c>
      <c r="B91" s="13">
        <v>8</v>
      </c>
      <c r="C91" s="14">
        <f>INDEX(新属性投放!$L$6:$L$10,属性汇总!$B$3)*INDEX(新属性投放!$Q$6:$Q$10,属性汇总!$D$3)</f>
        <v>1.1499999999999999</v>
      </c>
      <c r="D91" s="14">
        <f>INDEX(新属性投放!J$14:J$34,属性汇总!$B91)*$C91</f>
        <v>3381.8049999999998</v>
      </c>
      <c r="E91" s="14">
        <f>INDEX(新属性投放!K$14:K$34,属性汇总!$B91)*$C91</f>
        <v>1647.2025000000001</v>
      </c>
      <c r="F91" s="14">
        <f>INDEX(新属性投放!L$14:L$34,属性汇总!$B91)*$C91</f>
        <v>10375.414999999997</v>
      </c>
      <c r="G91" s="14">
        <f>INDEX(新属性投放!D$14:D$34,属性汇总!$B91)*$C91</f>
        <v>86.468499999999992</v>
      </c>
      <c r="H91" s="14">
        <f>INDEX(新属性投放!E$14:E$34,属性汇总!$B91)*$C91</f>
        <v>43.234249999999996</v>
      </c>
      <c r="I91" s="14">
        <f>INDEX(新属性投放!F$14:F$34,属性汇总!$B91)*$C91</f>
        <v>259.40549999999996</v>
      </c>
      <c r="J91" s="14">
        <f>ROUND(D91+($A91-INDEX(新属性投放!$B$14:$B$34,属性汇总!$B91))*属性汇总!G91,0)</f>
        <v>4246</v>
      </c>
      <c r="K91" s="14">
        <f>ROUND(E91+($A91-INDEX(新属性投放!$B$14:$B$34,属性汇总!$B91))*属性汇总!H91,0)</f>
        <v>2080</v>
      </c>
      <c r="L91" s="14">
        <f>ROUND(F91+($A91-INDEX(新属性投放!$B$14:$B$34,属性汇总!$B91))*属性汇总!I91,0)</f>
        <v>12969</v>
      </c>
      <c r="N91" s="37"/>
      <c r="O91" s="37"/>
      <c r="P91" s="37"/>
      <c r="R91" s="13">
        <v>80</v>
      </c>
      <c r="S91" s="13">
        <v>8</v>
      </c>
      <c r="T91" s="14">
        <f>INDEX(新属性投放!$L$6:$L$10,$S$3)*INDEX(新属性投放!$Q$6:$Q$10,$U$3)</f>
        <v>1.1499999999999999</v>
      </c>
      <c r="U91" s="14">
        <f>INDEX(新属性投放!J$42:J$62,属性汇总!$S91)*$T91</f>
        <v>3686.5549999999998</v>
      </c>
      <c r="V91" s="14">
        <f>INDEX(新属性投放!K$42:K$62,属性汇总!$S91)*$T91</f>
        <v>1754.1524999999999</v>
      </c>
      <c r="W91" s="14">
        <f>INDEX(新属性投放!L$42:L$62,属性汇总!$S91)*$T91</f>
        <v>18503.5</v>
      </c>
      <c r="X91" s="14">
        <f>INDEX(新属性投放!$D$42:$D$62,属性汇总!$S91)*$T91</f>
        <v>86.468499999999992</v>
      </c>
      <c r="Y91" s="14">
        <f>INDEX(新属性投放!$D$42:$D$62,属性汇总!$S91)*$T91</f>
        <v>86.468499999999992</v>
      </c>
      <c r="Z91" s="14">
        <f>INDEX(新属性投放!$D$42:$D$62,属性汇总!$S91)*$T91</f>
        <v>86.468499999999992</v>
      </c>
      <c r="AA91" s="14">
        <f>ROUND(U91+($R91-INDEX(新属性投放!$B$14:$B$34,属性汇总!$S91))*属性汇总!X91,0)</f>
        <v>4551</v>
      </c>
      <c r="AB91" s="14">
        <f>ROUND(V91+($R91-INDEX(新属性投放!$B$14:$B$34,属性汇总!$S91))*属性汇总!Y91,0)</f>
        <v>2619</v>
      </c>
      <c r="AC91" s="14">
        <f>ROUND(W91+($R91-INDEX(新属性投放!$B$14:$B$34,属性汇总!$S91))*属性汇总!Z91,0)</f>
        <v>19368</v>
      </c>
    </row>
    <row r="92" spans="1:29" ht="16.5" x14ac:dyDescent="0.2">
      <c r="A92" s="13">
        <v>81</v>
      </c>
      <c r="B92" s="13">
        <v>8</v>
      </c>
      <c r="C92" s="14">
        <f>INDEX(新属性投放!$L$6:$L$10,属性汇总!$B$3)*INDEX(新属性投放!$Q$6:$Q$10,属性汇总!$D$3)</f>
        <v>1.1499999999999999</v>
      </c>
      <c r="D92" s="14">
        <f>INDEX(新属性投放!J$14:J$34,属性汇总!$B92)*$C92</f>
        <v>3381.8049999999998</v>
      </c>
      <c r="E92" s="14">
        <f>INDEX(新属性投放!K$14:K$34,属性汇总!$B92)*$C92</f>
        <v>1647.2025000000001</v>
      </c>
      <c r="F92" s="14">
        <f>INDEX(新属性投放!L$14:L$34,属性汇总!$B92)*$C92</f>
        <v>10375.414999999997</v>
      </c>
      <c r="G92" s="14">
        <f>INDEX(新属性投放!D$14:D$34,属性汇总!$B92)*$C92</f>
        <v>86.468499999999992</v>
      </c>
      <c r="H92" s="14">
        <f>INDEX(新属性投放!E$14:E$34,属性汇总!$B92)*$C92</f>
        <v>43.234249999999996</v>
      </c>
      <c r="I92" s="14">
        <f>INDEX(新属性投放!F$14:F$34,属性汇总!$B92)*$C92</f>
        <v>259.40549999999996</v>
      </c>
      <c r="J92" s="14">
        <f>ROUND(D92+($A92-INDEX(新属性投放!$B$14:$B$34,属性汇总!$B92))*属性汇总!G92,0)</f>
        <v>4333</v>
      </c>
      <c r="K92" s="14">
        <f>ROUND(E92+($A92-INDEX(新属性投放!$B$14:$B$34,属性汇总!$B92))*属性汇总!H92,0)</f>
        <v>2123</v>
      </c>
      <c r="L92" s="14">
        <f>ROUND(F92+($A92-INDEX(新属性投放!$B$14:$B$34,属性汇总!$B92))*属性汇总!I92,0)</f>
        <v>13229</v>
      </c>
      <c r="R92" s="13">
        <v>81</v>
      </c>
      <c r="S92" s="13">
        <v>8</v>
      </c>
      <c r="T92" s="14">
        <f>INDEX(新属性投放!$L$6:$L$10,$S$3)*INDEX(新属性投放!$Q$6:$Q$10,$U$3)</f>
        <v>1.1499999999999999</v>
      </c>
      <c r="U92" s="14">
        <f>INDEX(新属性投放!J$42:J$62,属性汇总!$S92)*$T92</f>
        <v>3686.5549999999998</v>
      </c>
      <c r="V92" s="14">
        <f>INDEX(新属性投放!K$42:K$62,属性汇总!$S92)*$T92</f>
        <v>1754.1524999999999</v>
      </c>
      <c r="W92" s="14">
        <f>INDEX(新属性投放!L$42:L$62,属性汇总!$S92)*$T92</f>
        <v>18503.5</v>
      </c>
      <c r="X92" s="14">
        <f>INDEX(新属性投放!$D$42:$D$62,属性汇总!$S92)*$T92</f>
        <v>86.468499999999992</v>
      </c>
      <c r="Y92" s="14">
        <f>INDEX(新属性投放!$D$42:$D$62,属性汇总!$S92)*$T92</f>
        <v>86.468499999999992</v>
      </c>
      <c r="Z92" s="14">
        <f>INDEX(新属性投放!$D$42:$D$62,属性汇总!$S92)*$T92</f>
        <v>86.468499999999992</v>
      </c>
      <c r="AA92" s="14">
        <f>ROUND(U92+($R92-INDEX(新属性投放!$B$14:$B$34,属性汇总!$S92))*属性汇总!X92,0)</f>
        <v>4638</v>
      </c>
      <c r="AB92" s="14">
        <f>ROUND(V92+($R92-INDEX(新属性投放!$B$14:$B$34,属性汇总!$S92))*属性汇总!Y92,0)</f>
        <v>2705</v>
      </c>
      <c r="AC92" s="14">
        <f>ROUND(W92+($R92-INDEX(新属性投放!$B$14:$B$34,属性汇总!$S92))*属性汇总!Z92,0)</f>
        <v>19455</v>
      </c>
    </row>
    <row r="93" spans="1:29" ht="16.5" x14ac:dyDescent="0.2">
      <c r="A93" s="13">
        <v>82</v>
      </c>
      <c r="B93" s="13">
        <v>8</v>
      </c>
      <c r="C93" s="14">
        <f>INDEX(新属性投放!$L$6:$L$10,属性汇总!$B$3)*INDEX(新属性投放!$Q$6:$Q$10,属性汇总!$D$3)</f>
        <v>1.1499999999999999</v>
      </c>
      <c r="D93" s="14">
        <f>INDEX(新属性投放!J$14:J$34,属性汇总!$B93)*$C93</f>
        <v>3381.8049999999998</v>
      </c>
      <c r="E93" s="14">
        <f>INDEX(新属性投放!K$14:K$34,属性汇总!$B93)*$C93</f>
        <v>1647.2025000000001</v>
      </c>
      <c r="F93" s="14">
        <f>INDEX(新属性投放!L$14:L$34,属性汇总!$B93)*$C93</f>
        <v>10375.414999999997</v>
      </c>
      <c r="G93" s="14">
        <f>INDEX(新属性投放!D$14:D$34,属性汇总!$B93)*$C93</f>
        <v>86.468499999999992</v>
      </c>
      <c r="H93" s="14">
        <f>INDEX(新属性投放!E$14:E$34,属性汇总!$B93)*$C93</f>
        <v>43.234249999999996</v>
      </c>
      <c r="I93" s="14">
        <f>INDEX(新属性投放!F$14:F$34,属性汇总!$B93)*$C93</f>
        <v>259.40549999999996</v>
      </c>
      <c r="J93" s="14">
        <f>ROUND(D93+($A93-INDEX(新属性投放!$B$14:$B$34,属性汇总!$B93))*属性汇总!G93,0)</f>
        <v>4419</v>
      </c>
      <c r="K93" s="14">
        <f>ROUND(E93+($A93-INDEX(新属性投放!$B$14:$B$34,属性汇总!$B93))*属性汇总!H93,0)</f>
        <v>2166</v>
      </c>
      <c r="L93" s="14">
        <f>ROUND(F93+($A93-INDEX(新属性投放!$B$14:$B$34,属性汇总!$B93))*属性汇总!I93,0)</f>
        <v>13488</v>
      </c>
      <c r="R93" s="13">
        <v>82</v>
      </c>
      <c r="S93" s="13">
        <v>8</v>
      </c>
      <c r="T93" s="14">
        <f>INDEX(新属性投放!$L$6:$L$10,$S$3)*INDEX(新属性投放!$Q$6:$Q$10,$U$3)</f>
        <v>1.1499999999999999</v>
      </c>
      <c r="U93" s="14">
        <f>INDEX(新属性投放!J$42:J$62,属性汇总!$S93)*$T93</f>
        <v>3686.5549999999998</v>
      </c>
      <c r="V93" s="14">
        <f>INDEX(新属性投放!K$42:K$62,属性汇总!$S93)*$T93</f>
        <v>1754.1524999999999</v>
      </c>
      <c r="W93" s="14">
        <f>INDEX(新属性投放!L$42:L$62,属性汇总!$S93)*$T93</f>
        <v>18503.5</v>
      </c>
      <c r="X93" s="14">
        <f>INDEX(新属性投放!$D$42:$D$62,属性汇总!$S93)*$T93</f>
        <v>86.468499999999992</v>
      </c>
      <c r="Y93" s="14">
        <f>INDEX(新属性投放!$D$42:$D$62,属性汇总!$S93)*$T93</f>
        <v>86.468499999999992</v>
      </c>
      <c r="Z93" s="14">
        <f>INDEX(新属性投放!$D$42:$D$62,属性汇总!$S93)*$T93</f>
        <v>86.468499999999992</v>
      </c>
      <c r="AA93" s="14">
        <f>ROUND(U93+($R93-INDEX(新属性投放!$B$14:$B$34,属性汇总!$S93))*属性汇总!X93,0)</f>
        <v>4724</v>
      </c>
      <c r="AB93" s="14">
        <f>ROUND(V93+($R93-INDEX(新属性投放!$B$14:$B$34,属性汇总!$S93))*属性汇总!Y93,0)</f>
        <v>2792</v>
      </c>
      <c r="AC93" s="14">
        <f>ROUND(W93+($R93-INDEX(新属性投放!$B$14:$B$34,属性汇总!$S93))*属性汇总!Z93,0)</f>
        <v>19541</v>
      </c>
    </row>
    <row r="94" spans="1:29" ht="16.5" x14ac:dyDescent="0.2">
      <c r="A94" s="13">
        <v>83</v>
      </c>
      <c r="B94" s="13">
        <v>8</v>
      </c>
      <c r="C94" s="14">
        <f>INDEX(新属性投放!$L$6:$L$10,属性汇总!$B$3)*INDEX(新属性投放!$Q$6:$Q$10,属性汇总!$D$3)</f>
        <v>1.1499999999999999</v>
      </c>
      <c r="D94" s="14">
        <f>INDEX(新属性投放!J$14:J$34,属性汇总!$B94)*$C94</f>
        <v>3381.8049999999998</v>
      </c>
      <c r="E94" s="14">
        <f>INDEX(新属性投放!K$14:K$34,属性汇总!$B94)*$C94</f>
        <v>1647.2025000000001</v>
      </c>
      <c r="F94" s="14">
        <f>INDEX(新属性投放!L$14:L$34,属性汇总!$B94)*$C94</f>
        <v>10375.414999999997</v>
      </c>
      <c r="G94" s="14">
        <f>INDEX(新属性投放!D$14:D$34,属性汇总!$B94)*$C94</f>
        <v>86.468499999999992</v>
      </c>
      <c r="H94" s="14">
        <f>INDEX(新属性投放!E$14:E$34,属性汇总!$B94)*$C94</f>
        <v>43.234249999999996</v>
      </c>
      <c r="I94" s="14">
        <f>INDEX(新属性投放!F$14:F$34,属性汇总!$B94)*$C94</f>
        <v>259.40549999999996</v>
      </c>
      <c r="J94" s="14">
        <f>ROUND(D94+($A94-INDEX(新属性投放!$B$14:$B$34,属性汇总!$B94))*属性汇总!G94,0)</f>
        <v>4506</v>
      </c>
      <c r="K94" s="14">
        <f>ROUND(E94+($A94-INDEX(新属性投放!$B$14:$B$34,属性汇总!$B94))*属性汇总!H94,0)</f>
        <v>2209</v>
      </c>
      <c r="L94" s="14">
        <f>ROUND(F94+($A94-INDEX(新属性投放!$B$14:$B$34,属性汇总!$B94))*属性汇总!I94,0)</f>
        <v>13748</v>
      </c>
      <c r="R94" s="13">
        <v>83</v>
      </c>
      <c r="S94" s="13">
        <v>8</v>
      </c>
      <c r="T94" s="14">
        <f>INDEX(新属性投放!$L$6:$L$10,$S$3)*INDEX(新属性投放!$Q$6:$Q$10,$U$3)</f>
        <v>1.1499999999999999</v>
      </c>
      <c r="U94" s="14">
        <f>INDEX(新属性投放!J$42:J$62,属性汇总!$S94)*$T94</f>
        <v>3686.5549999999998</v>
      </c>
      <c r="V94" s="14">
        <f>INDEX(新属性投放!K$42:K$62,属性汇总!$S94)*$T94</f>
        <v>1754.1524999999999</v>
      </c>
      <c r="W94" s="14">
        <f>INDEX(新属性投放!L$42:L$62,属性汇总!$S94)*$T94</f>
        <v>18503.5</v>
      </c>
      <c r="X94" s="14">
        <f>INDEX(新属性投放!$D$42:$D$62,属性汇总!$S94)*$T94</f>
        <v>86.468499999999992</v>
      </c>
      <c r="Y94" s="14">
        <f>INDEX(新属性投放!$D$42:$D$62,属性汇总!$S94)*$T94</f>
        <v>86.468499999999992</v>
      </c>
      <c r="Z94" s="14">
        <f>INDEX(新属性投放!$D$42:$D$62,属性汇总!$S94)*$T94</f>
        <v>86.468499999999992</v>
      </c>
      <c r="AA94" s="14">
        <f>ROUND(U94+($R94-INDEX(新属性投放!$B$14:$B$34,属性汇总!$S94))*属性汇总!X94,0)</f>
        <v>4811</v>
      </c>
      <c r="AB94" s="14">
        <f>ROUND(V94+($R94-INDEX(新属性投放!$B$14:$B$34,属性汇总!$S94))*属性汇总!Y94,0)</f>
        <v>2878</v>
      </c>
      <c r="AC94" s="14">
        <f>ROUND(W94+($R94-INDEX(新属性投放!$B$14:$B$34,属性汇总!$S94))*属性汇总!Z94,0)</f>
        <v>19628</v>
      </c>
    </row>
    <row r="95" spans="1:29" ht="16.5" x14ac:dyDescent="0.2">
      <c r="A95" s="13">
        <v>84</v>
      </c>
      <c r="B95" s="13">
        <v>8</v>
      </c>
      <c r="C95" s="14">
        <f>INDEX(新属性投放!$L$6:$L$10,属性汇总!$B$3)*INDEX(新属性投放!$Q$6:$Q$10,属性汇总!$D$3)</f>
        <v>1.1499999999999999</v>
      </c>
      <c r="D95" s="14">
        <f>INDEX(新属性投放!J$14:J$34,属性汇总!$B95)*$C95</f>
        <v>3381.8049999999998</v>
      </c>
      <c r="E95" s="14">
        <f>INDEX(新属性投放!K$14:K$34,属性汇总!$B95)*$C95</f>
        <v>1647.2025000000001</v>
      </c>
      <c r="F95" s="14">
        <f>INDEX(新属性投放!L$14:L$34,属性汇总!$B95)*$C95</f>
        <v>10375.414999999997</v>
      </c>
      <c r="G95" s="14">
        <f>INDEX(新属性投放!D$14:D$34,属性汇总!$B95)*$C95</f>
        <v>86.468499999999992</v>
      </c>
      <c r="H95" s="14">
        <f>INDEX(新属性投放!E$14:E$34,属性汇总!$B95)*$C95</f>
        <v>43.234249999999996</v>
      </c>
      <c r="I95" s="14">
        <f>INDEX(新属性投放!F$14:F$34,属性汇总!$B95)*$C95</f>
        <v>259.40549999999996</v>
      </c>
      <c r="J95" s="14">
        <f>ROUND(D95+($A95-INDEX(新属性投放!$B$14:$B$34,属性汇总!$B95))*属性汇总!G95,0)</f>
        <v>4592</v>
      </c>
      <c r="K95" s="14">
        <f>ROUND(E95+($A95-INDEX(新属性投放!$B$14:$B$34,属性汇总!$B95))*属性汇总!H95,0)</f>
        <v>2252</v>
      </c>
      <c r="L95" s="14">
        <f>ROUND(F95+($A95-INDEX(新属性投放!$B$14:$B$34,属性汇总!$B95))*属性汇总!I95,0)</f>
        <v>14007</v>
      </c>
      <c r="R95" s="13">
        <v>84</v>
      </c>
      <c r="S95" s="13">
        <v>8</v>
      </c>
      <c r="T95" s="14">
        <f>INDEX(新属性投放!$L$6:$L$10,$S$3)*INDEX(新属性投放!$Q$6:$Q$10,$U$3)</f>
        <v>1.1499999999999999</v>
      </c>
      <c r="U95" s="14">
        <f>INDEX(新属性投放!J$42:J$62,属性汇总!$S95)*$T95</f>
        <v>3686.5549999999998</v>
      </c>
      <c r="V95" s="14">
        <f>INDEX(新属性投放!K$42:K$62,属性汇总!$S95)*$T95</f>
        <v>1754.1524999999999</v>
      </c>
      <c r="W95" s="14">
        <f>INDEX(新属性投放!L$42:L$62,属性汇总!$S95)*$T95</f>
        <v>18503.5</v>
      </c>
      <c r="X95" s="14">
        <f>INDEX(新属性投放!$D$42:$D$62,属性汇总!$S95)*$T95</f>
        <v>86.468499999999992</v>
      </c>
      <c r="Y95" s="14">
        <f>INDEX(新属性投放!$D$42:$D$62,属性汇总!$S95)*$T95</f>
        <v>86.468499999999992</v>
      </c>
      <c r="Z95" s="14">
        <f>INDEX(新属性投放!$D$42:$D$62,属性汇总!$S95)*$T95</f>
        <v>86.468499999999992</v>
      </c>
      <c r="AA95" s="14">
        <f>ROUND(U95+($R95-INDEX(新属性投放!$B$14:$B$34,属性汇总!$S95))*属性汇总!X95,0)</f>
        <v>4897</v>
      </c>
      <c r="AB95" s="14">
        <f>ROUND(V95+($R95-INDEX(新属性投放!$B$14:$B$34,属性汇总!$S95))*属性汇总!Y95,0)</f>
        <v>2965</v>
      </c>
      <c r="AC95" s="14">
        <f>ROUND(W95+($R95-INDEX(新属性投放!$B$14:$B$34,属性汇总!$S95))*属性汇总!Z95,0)</f>
        <v>19714</v>
      </c>
    </row>
    <row r="96" spans="1:29" ht="16.5" x14ac:dyDescent="0.2">
      <c r="A96" s="13">
        <v>85</v>
      </c>
      <c r="B96" s="13">
        <v>8</v>
      </c>
      <c r="C96" s="14">
        <f>INDEX(新属性投放!$L$6:$L$10,属性汇总!$B$3)*INDEX(新属性投放!$Q$6:$Q$10,属性汇总!$D$3)</f>
        <v>1.1499999999999999</v>
      </c>
      <c r="D96" s="14">
        <f>INDEX(新属性投放!J$14:J$34,属性汇总!$B96)*$C96</f>
        <v>3381.8049999999998</v>
      </c>
      <c r="E96" s="14">
        <f>INDEX(新属性投放!K$14:K$34,属性汇总!$B96)*$C96</f>
        <v>1647.2025000000001</v>
      </c>
      <c r="F96" s="14">
        <f>INDEX(新属性投放!L$14:L$34,属性汇总!$B96)*$C96</f>
        <v>10375.414999999997</v>
      </c>
      <c r="G96" s="14">
        <f>INDEX(新属性投放!D$14:D$34,属性汇总!$B96)*$C96</f>
        <v>86.468499999999992</v>
      </c>
      <c r="H96" s="14">
        <f>INDEX(新属性投放!E$14:E$34,属性汇总!$B96)*$C96</f>
        <v>43.234249999999996</v>
      </c>
      <c r="I96" s="14">
        <f>INDEX(新属性投放!F$14:F$34,属性汇总!$B96)*$C96</f>
        <v>259.40549999999996</v>
      </c>
      <c r="J96" s="14">
        <f>ROUND(D96+($A96-INDEX(新属性投放!$B$14:$B$34,属性汇总!$B96))*属性汇总!G96,0)</f>
        <v>4679</v>
      </c>
      <c r="K96" s="14">
        <f>ROUND(E96+($A96-INDEX(新属性投放!$B$14:$B$34,属性汇总!$B96))*属性汇总!H96,0)</f>
        <v>2296</v>
      </c>
      <c r="L96" s="14">
        <f>ROUND(F96+($A96-INDEX(新属性投放!$B$14:$B$34,属性汇总!$B96))*属性汇总!I96,0)</f>
        <v>14266</v>
      </c>
      <c r="R96" s="13">
        <v>85</v>
      </c>
      <c r="S96" s="13">
        <v>8</v>
      </c>
      <c r="T96" s="14">
        <f>INDEX(新属性投放!$L$6:$L$10,$S$3)*INDEX(新属性投放!$Q$6:$Q$10,$U$3)</f>
        <v>1.1499999999999999</v>
      </c>
      <c r="U96" s="14">
        <f>INDEX(新属性投放!J$42:J$62,属性汇总!$S96)*$T96</f>
        <v>3686.5549999999998</v>
      </c>
      <c r="V96" s="14">
        <f>INDEX(新属性投放!K$42:K$62,属性汇总!$S96)*$T96</f>
        <v>1754.1524999999999</v>
      </c>
      <c r="W96" s="14">
        <f>INDEX(新属性投放!L$42:L$62,属性汇总!$S96)*$T96</f>
        <v>18503.5</v>
      </c>
      <c r="X96" s="14">
        <f>INDEX(新属性投放!$D$42:$D$62,属性汇总!$S96)*$T96</f>
        <v>86.468499999999992</v>
      </c>
      <c r="Y96" s="14">
        <f>INDEX(新属性投放!$D$42:$D$62,属性汇总!$S96)*$T96</f>
        <v>86.468499999999992</v>
      </c>
      <c r="Z96" s="14">
        <f>INDEX(新属性投放!$D$42:$D$62,属性汇总!$S96)*$T96</f>
        <v>86.468499999999992</v>
      </c>
      <c r="AA96" s="14">
        <f>ROUND(U96+($R96-INDEX(新属性投放!$B$14:$B$34,属性汇总!$S96))*属性汇总!X96,0)</f>
        <v>4984</v>
      </c>
      <c r="AB96" s="14">
        <f>ROUND(V96+($R96-INDEX(新属性投放!$B$14:$B$34,属性汇总!$S96))*属性汇总!Y96,0)</f>
        <v>3051</v>
      </c>
      <c r="AC96" s="14">
        <f>ROUND(W96+($R96-INDEX(新属性投放!$B$14:$B$34,属性汇总!$S96))*属性汇总!Z96,0)</f>
        <v>19801</v>
      </c>
    </row>
    <row r="97" spans="1:29" s="20" customFormat="1" ht="16.5" x14ac:dyDescent="0.2">
      <c r="A97" s="13">
        <v>85</v>
      </c>
      <c r="B97" s="13">
        <v>9</v>
      </c>
      <c r="C97" s="14">
        <f>INDEX(新属性投放!$L$6:$L$10,属性汇总!$B$3)*INDEX(新属性投放!$Q$6:$Q$10,属性汇总!$D$3)</f>
        <v>1.1499999999999999</v>
      </c>
      <c r="D97" s="14">
        <f>INDEX(新属性投放!J$14:J$34,属性汇总!$B97)*$C97</f>
        <v>4462.6900000000005</v>
      </c>
      <c r="E97" s="14">
        <f>INDEX(新属性投放!K$14:K$34,属性汇总!$B97)*$C97</f>
        <v>2187.645</v>
      </c>
      <c r="F97" s="14">
        <f>INDEX(新属性投放!L$14:L$34,属性汇总!$B97)*$C97</f>
        <v>13618.069999999998</v>
      </c>
      <c r="G97" s="14">
        <f>INDEX(新属性投放!D$14:D$34,属性汇总!$B97)*$C97</f>
        <v>112.4585</v>
      </c>
      <c r="H97" s="14">
        <f>INDEX(新属性投放!E$14:E$34,属性汇总!$B97)*$C97</f>
        <v>56.22925</v>
      </c>
      <c r="I97" s="14">
        <f>INDEX(新属性投放!F$14:F$34,属性汇总!$B97)*$C97</f>
        <v>337.37549999999999</v>
      </c>
      <c r="J97" s="14">
        <f>ROUND(D97+($A97-INDEX(新属性投放!$B$14:$B$34,属性汇总!$B97))*属性汇总!G97,0)</f>
        <v>5025</v>
      </c>
      <c r="K97" s="14">
        <f>ROUND(E97+($A97-INDEX(新属性投放!$B$14:$B$34,属性汇总!$B97))*属性汇总!H97,0)</f>
        <v>2469</v>
      </c>
      <c r="L97" s="14">
        <f>ROUND(F97+($A97-INDEX(新属性投放!$B$14:$B$34,属性汇总!$B97))*属性汇总!I97,0)</f>
        <v>15305</v>
      </c>
      <c r="N97" s="37"/>
      <c r="O97" s="37"/>
      <c r="P97" s="37"/>
      <c r="R97" s="13">
        <v>85</v>
      </c>
      <c r="S97" s="13">
        <v>9</v>
      </c>
      <c r="T97" s="14">
        <f>INDEX(新属性投放!$L$6:$L$10,$S$3)*INDEX(新属性投放!$Q$6:$Q$10,$U$3)</f>
        <v>1.1499999999999999</v>
      </c>
      <c r="U97" s="14">
        <f>INDEX(新属性投放!J$42:J$62,属性汇总!$S97)*$T97</f>
        <v>4767.4399999999996</v>
      </c>
      <c r="V97" s="14">
        <f>INDEX(新属性投放!K$42:K$62,属性汇总!$S97)*$T97</f>
        <v>2294.5950000000003</v>
      </c>
      <c r="W97" s="14">
        <f>INDEX(新属性投放!L$42:L$62,属性汇总!$S97)*$T97</f>
        <v>24336.3</v>
      </c>
      <c r="X97" s="14">
        <f>INDEX(新属性投放!$D$42:$D$62,属性汇总!$S97)*$T97</f>
        <v>112.4585</v>
      </c>
      <c r="Y97" s="14">
        <f>INDEX(新属性投放!$D$42:$D$62,属性汇总!$S97)*$T97</f>
        <v>112.4585</v>
      </c>
      <c r="Z97" s="14">
        <f>INDEX(新属性投放!$D$42:$D$62,属性汇总!$S97)*$T97</f>
        <v>112.4585</v>
      </c>
      <c r="AA97" s="14">
        <f>ROUND(U97+($R97-INDEX(新属性投放!$B$14:$B$34,属性汇总!$S97))*属性汇总!X97,0)</f>
        <v>5330</v>
      </c>
      <c r="AB97" s="14">
        <f>ROUND(V97+($R97-INDEX(新属性投放!$B$14:$B$34,属性汇总!$S97))*属性汇总!Y97,0)</f>
        <v>2857</v>
      </c>
      <c r="AC97" s="14">
        <f>ROUND(W97+($R97-INDEX(新属性投放!$B$14:$B$34,属性汇总!$S97))*属性汇总!Z97,0)</f>
        <v>24899</v>
      </c>
    </row>
    <row r="98" spans="1:29" ht="16.5" x14ac:dyDescent="0.2">
      <c r="A98" s="13">
        <v>86</v>
      </c>
      <c r="B98" s="13">
        <v>9</v>
      </c>
      <c r="C98" s="14">
        <f>INDEX(新属性投放!$L$6:$L$10,属性汇总!$B$3)*INDEX(新属性投放!$Q$6:$Q$10,属性汇总!$D$3)</f>
        <v>1.1499999999999999</v>
      </c>
      <c r="D98" s="14">
        <f>INDEX(新属性投放!J$14:J$34,属性汇总!$B98)*$C98</f>
        <v>4462.6900000000005</v>
      </c>
      <c r="E98" s="14">
        <f>INDEX(新属性投放!K$14:K$34,属性汇总!$B98)*$C98</f>
        <v>2187.645</v>
      </c>
      <c r="F98" s="14">
        <f>INDEX(新属性投放!L$14:L$34,属性汇总!$B98)*$C98</f>
        <v>13618.069999999998</v>
      </c>
      <c r="G98" s="14">
        <f>INDEX(新属性投放!D$14:D$34,属性汇总!$B98)*$C98</f>
        <v>112.4585</v>
      </c>
      <c r="H98" s="14">
        <f>INDEX(新属性投放!E$14:E$34,属性汇总!$B98)*$C98</f>
        <v>56.22925</v>
      </c>
      <c r="I98" s="14">
        <f>INDEX(新属性投放!F$14:F$34,属性汇总!$B98)*$C98</f>
        <v>337.37549999999999</v>
      </c>
      <c r="J98" s="14">
        <f>ROUND(D98+($A98-INDEX(新属性投放!$B$14:$B$34,属性汇总!$B98))*属性汇总!G98,0)</f>
        <v>5137</v>
      </c>
      <c r="K98" s="14">
        <f>ROUND(E98+($A98-INDEX(新属性投放!$B$14:$B$34,属性汇总!$B98))*属性汇总!H98,0)</f>
        <v>2525</v>
      </c>
      <c r="L98" s="14">
        <f>ROUND(F98+($A98-INDEX(新属性投放!$B$14:$B$34,属性汇总!$B98))*属性汇总!I98,0)</f>
        <v>15642</v>
      </c>
      <c r="R98" s="13">
        <v>86</v>
      </c>
      <c r="S98" s="13">
        <v>9</v>
      </c>
      <c r="T98" s="14">
        <f>INDEX(新属性投放!$L$6:$L$10,$S$3)*INDEX(新属性投放!$Q$6:$Q$10,$U$3)</f>
        <v>1.1499999999999999</v>
      </c>
      <c r="U98" s="14">
        <f>INDEX(新属性投放!J$42:J$62,属性汇总!$S98)*$T98</f>
        <v>4767.4399999999996</v>
      </c>
      <c r="V98" s="14">
        <f>INDEX(新属性投放!K$42:K$62,属性汇总!$S98)*$T98</f>
        <v>2294.5950000000003</v>
      </c>
      <c r="W98" s="14">
        <f>INDEX(新属性投放!L$42:L$62,属性汇总!$S98)*$T98</f>
        <v>24336.3</v>
      </c>
      <c r="X98" s="14">
        <f>INDEX(新属性投放!$D$42:$D$62,属性汇总!$S98)*$T98</f>
        <v>112.4585</v>
      </c>
      <c r="Y98" s="14">
        <f>INDEX(新属性投放!$D$42:$D$62,属性汇总!$S98)*$T98</f>
        <v>112.4585</v>
      </c>
      <c r="Z98" s="14">
        <f>INDEX(新属性投放!$D$42:$D$62,属性汇总!$S98)*$T98</f>
        <v>112.4585</v>
      </c>
      <c r="AA98" s="14">
        <f>ROUND(U98+($R98-INDEX(新属性投放!$B$14:$B$34,属性汇总!$S98))*属性汇总!X98,0)</f>
        <v>5442</v>
      </c>
      <c r="AB98" s="14">
        <f>ROUND(V98+($R98-INDEX(新属性投放!$B$14:$B$34,属性汇总!$S98))*属性汇总!Y98,0)</f>
        <v>2969</v>
      </c>
      <c r="AC98" s="14">
        <f>ROUND(W98+($R98-INDEX(新属性投放!$B$14:$B$34,属性汇总!$S98))*属性汇总!Z98,0)</f>
        <v>25011</v>
      </c>
    </row>
    <row r="99" spans="1:29" ht="16.5" x14ac:dyDescent="0.2">
      <c r="A99" s="13">
        <v>87</v>
      </c>
      <c r="B99" s="13">
        <v>9</v>
      </c>
      <c r="C99" s="14">
        <f>INDEX(新属性投放!$L$6:$L$10,属性汇总!$B$3)*INDEX(新属性投放!$Q$6:$Q$10,属性汇总!$D$3)</f>
        <v>1.1499999999999999</v>
      </c>
      <c r="D99" s="14">
        <f>INDEX(新属性投放!J$14:J$34,属性汇总!$B99)*$C99</f>
        <v>4462.6900000000005</v>
      </c>
      <c r="E99" s="14">
        <f>INDEX(新属性投放!K$14:K$34,属性汇总!$B99)*$C99</f>
        <v>2187.645</v>
      </c>
      <c r="F99" s="14">
        <f>INDEX(新属性投放!L$14:L$34,属性汇总!$B99)*$C99</f>
        <v>13618.069999999998</v>
      </c>
      <c r="G99" s="14">
        <f>INDEX(新属性投放!D$14:D$34,属性汇总!$B99)*$C99</f>
        <v>112.4585</v>
      </c>
      <c r="H99" s="14">
        <f>INDEX(新属性投放!E$14:E$34,属性汇总!$B99)*$C99</f>
        <v>56.22925</v>
      </c>
      <c r="I99" s="14">
        <f>INDEX(新属性投放!F$14:F$34,属性汇总!$B99)*$C99</f>
        <v>337.37549999999999</v>
      </c>
      <c r="J99" s="14">
        <f>ROUND(D99+($A99-INDEX(新属性投放!$B$14:$B$34,属性汇总!$B99))*属性汇总!G99,0)</f>
        <v>5250</v>
      </c>
      <c r="K99" s="14">
        <f>ROUND(E99+($A99-INDEX(新属性投放!$B$14:$B$34,属性汇总!$B99))*属性汇总!H99,0)</f>
        <v>2581</v>
      </c>
      <c r="L99" s="14">
        <f>ROUND(F99+($A99-INDEX(新属性投放!$B$14:$B$34,属性汇总!$B99))*属性汇总!I99,0)</f>
        <v>15980</v>
      </c>
      <c r="R99" s="13">
        <v>87</v>
      </c>
      <c r="S99" s="13">
        <v>9</v>
      </c>
      <c r="T99" s="14">
        <f>INDEX(新属性投放!$L$6:$L$10,$S$3)*INDEX(新属性投放!$Q$6:$Q$10,$U$3)</f>
        <v>1.1499999999999999</v>
      </c>
      <c r="U99" s="14">
        <f>INDEX(新属性投放!J$42:J$62,属性汇总!$S99)*$T99</f>
        <v>4767.4399999999996</v>
      </c>
      <c r="V99" s="14">
        <f>INDEX(新属性投放!K$42:K$62,属性汇总!$S99)*$T99</f>
        <v>2294.5950000000003</v>
      </c>
      <c r="W99" s="14">
        <f>INDEX(新属性投放!L$42:L$62,属性汇总!$S99)*$T99</f>
        <v>24336.3</v>
      </c>
      <c r="X99" s="14">
        <f>INDEX(新属性投放!$D$42:$D$62,属性汇总!$S99)*$T99</f>
        <v>112.4585</v>
      </c>
      <c r="Y99" s="14">
        <f>INDEX(新属性投放!$D$42:$D$62,属性汇总!$S99)*$T99</f>
        <v>112.4585</v>
      </c>
      <c r="Z99" s="14">
        <f>INDEX(新属性投放!$D$42:$D$62,属性汇总!$S99)*$T99</f>
        <v>112.4585</v>
      </c>
      <c r="AA99" s="14">
        <f>ROUND(U99+($R99-INDEX(新属性投放!$B$14:$B$34,属性汇总!$S99))*属性汇总!X99,0)</f>
        <v>5555</v>
      </c>
      <c r="AB99" s="14">
        <f>ROUND(V99+($R99-INDEX(新属性投放!$B$14:$B$34,属性汇总!$S99))*属性汇总!Y99,0)</f>
        <v>3082</v>
      </c>
      <c r="AC99" s="14">
        <f>ROUND(W99+($R99-INDEX(新属性投放!$B$14:$B$34,属性汇总!$S99))*属性汇总!Z99,0)</f>
        <v>25124</v>
      </c>
    </row>
    <row r="100" spans="1:29" ht="16.5" x14ac:dyDescent="0.2">
      <c r="A100" s="13">
        <v>88</v>
      </c>
      <c r="B100" s="13">
        <v>9</v>
      </c>
      <c r="C100" s="14">
        <f>INDEX(新属性投放!$L$6:$L$10,属性汇总!$B$3)*INDEX(新属性投放!$Q$6:$Q$10,属性汇总!$D$3)</f>
        <v>1.1499999999999999</v>
      </c>
      <c r="D100" s="14">
        <f>INDEX(新属性投放!J$14:J$34,属性汇总!$B100)*$C100</f>
        <v>4462.6900000000005</v>
      </c>
      <c r="E100" s="14">
        <f>INDEX(新属性投放!K$14:K$34,属性汇总!$B100)*$C100</f>
        <v>2187.645</v>
      </c>
      <c r="F100" s="14">
        <f>INDEX(新属性投放!L$14:L$34,属性汇总!$B100)*$C100</f>
        <v>13618.069999999998</v>
      </c>
      <c r="G100" s="14">
        <f>INDEX(新属性投放!D$14:D$34,属性汇总!$B100)*$C100</f>
        <v>112.4585</v>
      </c>
      <c r="H100" s="14">
        <f>INDEX(新属性投放!E$14:E$34,属性汇总!$B100)*$C100</f>
        <v>56.22925</v>
      </c>
      <c r="I100" s="14">
        <f>INDEX(新属性投放!F$14:F$34,属性汇总!$B100)*$C100</f>
        <v>337.37549999999999</v>
      </c>
      <c r="J100" s="14">
        <f>ROUND(D100+($A100-INDEX(新属性投放!$B$14:$B$34,属性汇总!$B100))*属性汇总!G100,0)</f>
        <v>5362</v>
      </c>
      <c r="K100" s="14">
        <f>ROUND(E100+($A100-INDEX(新属性投放!$B$14:$B$34,属性汇总!$B100))*属性汇总!H100,0)</f>
        <v>2637</v>
      </c>
      <c r="L100" s="14">
        <f>ROUND(F100+($A100-INDEX(新属性投放!$B$14:$B$34,属性汇总!$B100))*属性汇总!I100,0)</f>
        <v>16317</v>
      </c>
      <c r="R100" s="13">
        <v>88</v>
      </c>
      <c r="S100" s="13">
        <v>9</v>
      </c>
      <c r="T100" s="14">
        <f>INDEX(新属性投放!$L$6:$L$10,$S$3)*INDEX(新属性投放!$Q$6:$Q$10,$U$3)</f>
        <v>1.1499999999999999</v>
      </c>
      <c r="U100" s="14">
        <f>INDEX(新属性投放!J$42:J$62,属性汇总!$S100)*$T100</f>
        <v>4767.4399999999996</v>
      </c>
      <c r="V100" s="14">
        <f>INDEX(新属性投放!K$42:K$62,属性汇总!$S100)*$T100</f>
        <v>2294.5950000000003</v>
      </c>
      <c r="W100" s="14">
        <f>INDEX(新属性投放!L$42:L$62,属性汇总!$S100)*$T100</f>
        <v>24336.3</v>
      </c>
      <c r="X100" s="14">
        <f>INDEX(新属性投放!$D$42:$D$62,属性汇总!$S100)*$T100</f>
        <v>112.4585</v>
      </c>
      <c r="Y100" s="14">
        <f>INDEX(新属性投放!$D$42:$D$62,属性汇总!$S100)*$T100</f>
        <v>112.4585</v>
      </c>
      <c r="Z100" s="14">
        <f>INDEX(新属性投放!$D$42:$D$62,属性汇总!$S100)*$T100</f>
        <v>112.4585</v>
      </c>
      <c r="AA100" s="14">
        <f>ROUND(U100+($R100-INDEX(新属性投放!$B$14:$B$34,属性汇总!$S100))*属性汇总!X100,0)</f>
        <v>5667</v>
      </c>
      <c r="AB100" s="14">
        <f>ROUND(V100+($R100-INDEX(新属性投放!$B$14:$B$34,属性汇总!$S100))*属性汇总!Y100,0)</f>
        <v>3194</v>
      </c>
      <c r="AC100" s="14">
        <f>ROUND(W100+($R100-INDEX(新属性投放!$B$14:$B$34,属性汇总!$S100))*属性汇总!Z100,0)</f>
        <v>25236</v>
      </c>
    </row>
    <row r="101" spans="1:29" ht="16.5" x14ac:dyDescent="0.2">
      <c r="A101" s="13">
        <v>89</v>
      </c>
      <c r="B101" s="13">
        <v>9</v>
      </c>
      <c r="C101" s="14">
        <f>INDEX(新属性投放!$L$6:$L$10,属性汇总!$B$3)*INDEX(新属性投放!$Q$6:$Q$10,属性汇总!$D$3)</f>
        <v>1.1499999999999999</v>
      </c>
      <c r="D101" s="14">
        <f>INDEX(新属性投放!J$14:J$34,属性汇总!$B101)*$C101</f>
        <v>4462.6900000000005</v>
      </c>
      <c r="E101" s="14">
        <f>INDEX(新属性投放!K$14:K$34,属性汇总!$B101)*$C101</f>
        <v>2187.645</v>
      </c>
      <c r="F101" s="14">
        <f>INDEX(新属性投放!L$14:L$34,属性汇总!$B101)*$C101</f>
        <v>13618.069999999998</v>
      </c>
      <c r="G101" s="14">
        <f>INDEX(新属性投放!D$14:D$34,属性汇总!$B101)*$C101</f>
        <v>112.4585</v>
      </c>
      <c r="H101" s="14">
        <f>INDEX(新属性投放!E$14:E$34,属性汇总!$B101)*$C101</f>
        <v>56.22925</v>
      </c>
      <c r="I101" s="14">
        <f>INDEX(新属性投放!F$14:F$34,属性汇总!$B101)*$C101</f>
        <v>337.37549999999999</v>
      </c>
      <c r="J101" s="14">
        <f>ROUND(D101+($A101-INDEX(新属性投放!$B$14:$B$34,属性汇总!$B101))*属性汇总!G101,0)</f>
        <v>5475</v>
      </c>
      <c r="K101" s="14">
        <f>ROUND(E101+($A101-INDEX(新属性投放!$B$14:$B$34,属性汇总!$B101))*属性汇总!H101,0)</f>
        <v>2694</v>
      </c>
      <c r="L101" s="14">
        <f>ROUND(F101+($A101-INDEX(新属性投放!$B$14:$B$34,属性汇总!$B101))*属性汇总!I101,0)</f>
        <v>16654</v>
      </c>
      <c r="R101" s="13">
        <v>89</v>
      </c>
      <c r="S101" s="13">
        <v>9</v>
      </c>
      <c r="T101" s="14">
        <f>INDEX(新属性投放!$L$6:$L$10,$S$3)*INDEX(新属性投放!$Q$6:$Q$10,$U$3)</f>
        <v>1.1499999999999999</v>
      </c>
      <c r="U101" s="14">
        <f>INDEX(新属性投放!J$42:J$62,属性汇总!$S101)*$T101</f>
        <v>4767.4399999999996</v>
      </c>
      <c r="V101" s="14">
        <f>INDEX(新属性投放!K$42:K$62,属性汇总!$S101)*$T101</f>
        <v>2294.5950000000003</v>
      </c>
      <c r="W101" s="14">
        <f>INDEX(新属性投放!L$42:L$62,属性汇总!$S101)*$T101</f>
        <v>24336.3</v>
      </c>
      <c r="X101" s="14">
        <f>INDEX(新属性投放!$D$42:$D$62,属性汇总!$S101)*$T101</f>
        <v>112.4585</v>
      </c>
      <c r="Y101" s="14">
        <f>INDEX(新属性投放!$D$42:$D$62,属性汇总!$S101)*$T101</f>
        <v>112.4585</v>
      </c>
      <c r="Z101" s="14">
        <f>INDEX(新属性投放!$D$42:$D$62,属性汇总!$S101)*$T101</f>
        <v>112.4585</v>
      </c>
      <c r="AA101" s="14">
        <f>ROUND(U101+($R101-INDEX(新属性投放!$B$14:$B$34,属性汇总!$S101))*属性汇总!X101,0)</f>
        <v>5780</v>
      </c>
      <c r="AB101" s="14">
        <f>ROUND(V101+($R101-INDEX(新属性投放!$B$14:$B$34,属性汇总!$S101))*属性汇总!Y101,0)</f>
        <v>3307</v>
      </c>
      <c r="AC101" s="14">
        <f>ROUND(W101+($R101-INDEX(新属性投放!$B$14:$B$34,属性汇总!$S101))*属性汇总!Z101,0)</f>
        <v>25348</v>
      </c>
    </row>
    <row r="102" spans="1:29" ht="16.5" x14ac:dyDescent="0.2">
      <c r="A102" s="13">
        <v>90</v>
      </c>
      <c r="B102" s="13">
        <v>9</v>
      </c>
      <c r="C102" s="14">
        <f>INDEX(新属性投放!$L$6:$L$10,属性汇总!$B$3)*INDEX(新属性投放!$Q$6:$Q$10,属性汇总!$D$3)</f>
        <v>1.1499999999999999</v>
      </c>
      <c r="D102" s="14">
        <f>INDEX(新属性投放!J$14:J$34,属性汇总!$B102)*$C102</f>
        <v>4462.6900000000005</v>
      </c>
      <c r="E102" s="14">
        <f>INDEX(新属性投放!K$14:K$34,属性汇总!$B102)*$C102</f>
        <v>2187.645</v>
      </c>
      <c r="F102" s="14">
        <f>INDEX(新属性投放!L$14:L$34,属性汇总!$B102)*$C102</f>
        <v>13618.069999999998</v>
      </c>
      <c r="G102" s="14">
        <f>INDEX(新属性投放!D$14:D$34,属性汇总!$B102)*$C102</f>
        <v>112.4585</v>
      </c>
      <c r="H102" s="14">
        <f>INDEX(新属性投放!E$14:E$34,属性汇总!$B102)*$C102</f>
        <v>56.22925</v>
      </c>
      <c r="I102" s="14">
        <f>INDEX(新属性投放!F$14:F$34,属性汇总!$B102)*$C102</f>
        <v>337.37549999999999</v>
      </c>
      <c r="J102" s="14">
        <f>ROUND(D102+($A102-INDEX(新属性投放!$B$14:$B$34,属性汇总!$B102))*属性汇总!G102,0)</f>
        <v>5587</v>
      </c>
      <c r="K102" s="14">
        <f>ROUND(E102+($A102-INDEX(新属性投放!$B$14:$B$34,属性汇总!$B102))*属性汇总!H102,0)</f>
        <v>2750</v>
      </c>
      <c r="L102" s="14">
        <f>ROUND(F102+($A102-INDEX(新属性投放!$B$14:$B$34,属性汇总!$B102))*属性汇总!I102,0)</f>
        <v>16992</v>
      </c>
      <c r="R102" s="13">
        <v>90</v>
      </c>
      <c r="S102" s="13">
        <v>9</v>
      </c>
      <c r="T102" s="14">
        <f>INDEX(新属性投放!$L$6:$L$10,$S$3)*INDEX(新属性投放!$Q$6:$Q$10,$U$3)</f>
        <v>1.1499999999999999</v>
      </c>
      <c r="U102" s="14">
        <f>INDEX(新属性投放!J$42:J$62,属性汇总!$S102)*$T102</f>
        <v>4767.4399999999996</v>
      </c>
      <c r="V102" s="14">
        <f>INDEX(新属性投放!K$42:K$62,属性汇总!$S102)*$T102</f>
        <v>2294.5950000000003</v>
      </c>
      <c r="W102" s="14">
        <f>INDEX(新属性投放!L$42:L$62,属性汇总!$S102)*$T102</f>
        <v>24336.3</v>
      </c>
      <c r="X102" s="14">
        <f>INDEX(新属性投放!$D$42:$D$62,属性汇总!$S102)*$T102</f>
        <v>112.4585</v>
      </c>
      <c r="Y102" s="14">
        <f>INDEX(新属性投放!$D$42:$D$62,属性汇总!$S102)*$T102</f>
        <v>112.4585</v>
      </c>
      <c r="Z102" s="14">
        <f>INDEX(新属性投放!$D$42:$D$62,属性汇总!$S102)*$T102</f>
        <v>112.4585</v>
      </c>
      <c r="AA102" s="14">
        <f>ROUND(U102+($R102-INDEX(新属性投放!$B$14:$B$34,属性汇总!$S102))*属性汇总!X102,0)</f>
        <v>5892</v>
      </c>
      <c r="AB102" s="14">
        <f>ROUND(V102+($R102-INDEX(新属性投放!$B$14:$B$34,属性汇总!$S102))*属性汇总!Y102,0)</f>
        <v>3419</v>
      </c>
      <c r="AC102" s="14">
        <f>ROUND(W102+($R102-INDEX(新属性投放!$B$14:$B$34,属性汇总!$S102))*属性汇总!Z102,0)</f>
        <v>25461</v>
      </c>
    </row>
    <row r="103" spans="1:29" s="20" customFormat="1" ht="16.5" x14ac:dyDescent="0.2">
      <c r="A103" s="13">
        <v>90</v>
      </c>
      <c r="B103" s="13">
        <v>10</v>
      </c>
      <c r="C103" s="14">
        <f>INDEX(新属性投放!$L$6:$L$10,属性汇总!$B$3)*INDEX(新属性投放!$Q$6:$Q$10,属性汇总!$D$3)</f>
        <v>1.1499999999999999</v>
      </c>
      <c r="D103" s="14">
        <f>INDEX(新属性投放!J$14:J$34,属性汇总!$B103)*$C103</f>
        <v>5165.2825000000003</v>
      </c>
      <c r="E103" s="14">
        <f>INDEX(新属性投放!K$14:K$34,属性汇总!$B103)*$C103</f>
        <v>2538.9412499999999</v>
      </c>
      <c r="F103" s="14">
        <f>INDEX(新属性投放!L$14:L$34,属性汇总!$B103)*$C103</f>
        <v>15725.847499999998</v>
      </c>
      <c r="G103" s="14">
        <f>INDEX(新属性投放!D$14:D$34,属性汇总!$B103)*$C103</f>
        <v>129.75449999999998</v>
      </c>
      <c r="H103" s="14">
        <f>INDEX(新属性投放!E$14:E$34,属性汇总!$B103)*$C103</f>
        <v>64.877249999999989</v>
      </c>
      <c r="I103" s="14">
        <f>INDEX(新属性投放!F$14:F$34,属性汇总!$B103)*$C103</f>
        <v>389.26349999999996</v>
      </c>
      <c r="J103" s="14">
        <f>ROUND(D103+($A103-INDEX(新属性投放!$B$14:$B$34,属性汇总!$B103))*属性汇总!G103,0)</f>
        <v>5814</v>
      </c>
      <c r="K103" s="14">
        <f>ROUND(E103+($A103-INDEX(新属性投放!$B$14:$B$34,属性汇总!$B103))*属性汇总!H103,0)</f>
        <v>2863</v>
      </c>
      <c r="L103" s="14">
        <f>ROUND(F103+($A103-INDEX(新属性投放!$B$14:$B$34,属性汇总!$B103))*属性汇总!I103,0)</f>
        <v>17672</v>
      </c>
      <c r="N103" s="37"/>
      <c r="O103" s="37"/>
      <c r="P103" s="37"/>
      <c r="R103" s="13">
        <v>90</v>
      </c>
      <c r="S103" s="13">
        <v>10</v>
      </c>
      <c r="T103" s="14">
        <f>INDEX(新属性投放!$L$6:$L$10,$S$3)*INDEX(新属性投放!$Q$6:$Q$10,$U$3)</f>
        <v>1.1499999999999999</v>
      </c>
      <c r="U103" s="14">
        <f>INDEX(新属性投放!J$42:J$62,属性汇总!$S103)*$T103</f>
        <v>5470.0324999999993</v>
      </c>
      <c r="V103" s="14">
        <f>INDEX(新属性投放!K$42:K$62,属性汇总!$S103)*$T103</f>
        <v>2645.8912500000001</v>
      </c>
      <c r="W103" s="14">
        <f>INDEX(新属性投放!L$42:L$62,属性汇总!$S103)*$T103</f>
        <v>28128.999999999996</v>
      </c>
      <c r="X103" s="14">
        <f>INDEX(新属性投放!$D$42:$D$62,属性汇总!$S103)*$T103</f>
        <v>129.75449999999998</v>
      </c>
      <c r="Y103" s="14">
        <f>INDEX(新属性投放!$D$42:$D$62,属性汇总!$S103)*$T103</f>
        <v>129.75449999999998</v>
      </c>
      <c r="Z103" s="14">
        <f>INDEX(新属性投放!$D$42:$D$62,属性汇总!$S103)*$T103</f>
        <v>129.75449999999998</v>
      </c>
      <c r="AA103" s="14">
        <f>ROUND(U103+($R103-INDEX(新属性投放!$B$14:$B$34,属性汇总!$S103))*属性汇总!X103,0)</f>
        <v>6119</v>
      </c>
      <c r="AB103" s="14">
        <f>ROUND(V103+($R103-INDEX(新属性投放!$B$14:$B$34,属性汇总!$S103))*属性汇总!Y103,0)</f>
        <v>3295</v>
      </c>
      <c r="AC103" s="14">
        <f>ROUND(W103+($R103-INDEX(新属性投放!$B$14:$B$34,属性汇总!$S103))*属性汇总!Z103,0)</f>
        <v>28778</v>
      </c>
    </row>
    <row r="104" spans="1:29" ht="16.5" x14ac:dyDescent="0.2">
      <c r="A104" s="13">
        <v>91</v>
      </c>
      <c r="B104" s="13">
        <v>10</v>
      </c>
      <c r="C104" s="14">
        <f>INDEX(新属性投放!$L$6:$L$10,属性汇总!$B$3)*INDEX(新属性投放!$Q$6:$Q$10,属性汇总!$D$3)</f>
        <v>1.1499999999999999</v>
      </c>
      <c r="D104" s="14">
        <f>INDEX(新属性投放!J$14:J$34,属性汇总!$B104)*$C104</f>
        <v>5165.2825000000003</v>
      </c>
      <c r="E104" s="14">
        <f>INDEX(新属性投放!K$14:K$34,属性汇总!$B104)*$C104</f>
        <v>2538.9412499999999</v>
      </c>
      <c r="F104" s="14">
        <f>INDEX(新属性投放!L$14:L$34,属性汇总!$B104)*$C104</f>
        <v>15725.847499999998</v>
      </c>
      <c r="G104" s="14">
        <f>INDEX(新属性投放!D$14:D$34,属性汇总!$B104)*$C104</f>
        <v>129.75449999999998</v>
      </c>
      <c r="H104" s="14">
        <f>INDEX(新属性投放!E$14:E$34,属性汇总!$B104)*$C104</f>
        <v>64.877249999999989</v>
      </c>
      <c r="I104" s="14">
        <f>INDEX(新属性投放!F$14:F$34,属性汇总!$B104)*$C104</f>
        <v>389.26349999999996</v>
      </c>
      <c r="J104" s="14">
        <f>ROUND(D104+($A104-INDEX(新属性投放!$B$14:$B$34,属性汇总!$B104))*属性汇总!G104,0)</f>
        <v>5944</v>
      </c>
      <c r="K104" s="14">
        <f>ROUND(E104+($A104-INDEX(新属性投放!$B$14:$B$34,属性汇总!$B104))*属性汇总!H104,0)</f>
        <v>2928</v>
      </c>
      <c r="L104" s="14">
        <f>ROUND(F104+($A104-INDEX(新属性投放!$B$14:$B$34,属性汇总!$B104))*属性汇总!I104,0)</f>
        <v>18061</v>
      </c>
      <c r="R104" s="13">
        <v>91</v>
      </c>
      <c r="S104" s="13">
        <v>10</v>
      </c>
      <c r="T104" s="14">
        <f>INDEX(新属性投放!$L$6:$L$10,$S$3)*INDEX(新属性投放!$Q$6:$Q$10,$U$3)</f>
        <v>1.1499999999999999</v>
      </c>
      <c r="U104" s="14">
        <f>INDEX(新属性投放!J$42:J$62,属性汇总!$S104)*$T104</f>
        <v>5470.0324999999993</v>
      </c>
      <c r="V104" s="14">
        <f>INDEX(新属性投放!K$42:K$62,属性汇总!$S104)*$T104</f>
        <v>2645.8912500000001</v>
      </c>
      <c r="W104" s="14">
        <f>INDEX(新属性投放!L$42:L$62,属性汇总!$S104)*$T104</f>
        <v>28128.999999999996</v>
      </c>
      <c r="X104" s="14">
        <f>INDEX(新属性投放!$D$42:$D$62,属性汇总!$S104)*$T104</f>
        <v>129.75449999999998</v>
      </c>
      <c r="Y104" s="14">
        <f>INDEX(新属性投放!$D$42:$D$62,属性汇总!$S104)*$T104</f>
        <v>129.75449999999998</v>
      </c>
      <c r="Z104" s="14">
        <f>INDEX(新属性投放!$D$42:$D$62,属性汇总!$S104)*$T104</f>
        <v>129.75449999999998</v>
      </c>
      <c r="AA104" s="14">
        <f>ROUND(U104+($R104-INDEX(新属性投放!$B$14:$B$34,属性汇总!$S104))*属性汇总!X104,0)</f>
        <v>6249</v>
      </c>
      <c r="AB104" s="14">
        <f>ROUND(V104+($R104-INDEX(新属性投放!$B$14:$B$34,属性汇总!$S104))*属性汇总!Y104,0)</f>
        <v>3424</v>
      </c>
      <c r="AC104" s="14">
        <f>ROUND(W104+($R104-INDEX(新属性投放!$B$14:$B$34,属性汇总!$S104))*属性汇总!Z104,0)</f>
        <v>28908</v>
      </c>
    </row>
    <row r="105" spans="1:29" ht="16.5" x14ac:dyDescent="0.2">
      <c r="A105" s="13">
        <v>92</v>
      </c>
      <c r="B105" s="13">
        <v>10</v>
      </c>
      <c r="C105" s="14">
        <f>INDEX(新属性投放!$L$6:$L$10,属性汇总!$B$3)*INDEX(新属性投放!$Q$6:$Q$10,属性汇总!$D$3)</f>
        <v>1.1499999999999999</v>
      </c>
      <c r="D105" s="14">
        <f>INDEX(新属性投放!J$14:J$34,属性汇总!$B105)*$C105</f>
        <v>5165.2825000000003</v>
      </c>
      <c r="E105" s="14">
        <f>INDEX(新属性投放!K$14:K$34,属性汇总!$B105)*$C105</f>
        <v>2538.9412499999999</v>
      </c>
      <c r="F105" s="14">
        <f>INDEX(新属性投放!L$14:L$34,属性汇总!$B105)*$C105</f>
        <v>15725.847499999998</v>
      </c>
      <c r="G105" s="14">
        <f>INDEX(新属性投放!D$14:D$34,属性汇总!$B105)*$C105</f>
        <v>129.75449999999998</v>
      </c>
      <c r="H105" s="14">
        <f>INDEX(新属性投放!E$14:E$34,属性汇总!$B105)*$C105</f>
        <v>64.877249999999989</v>
      </c>
      <c r="I105" s="14">
        <f>INDEX(新属性投放!F$14:F$34,属性汇总!$B105)*$C105</f>
        <v>389.26349999999996</v>
      </c>
      <c r="J105" s="14">
        <f>ROUND(D105+($A105-INDEX(新属性投放!$B$14:$B$34,属性汇总!$B105))*属性汇总!G105,0)</f>
        <v>6074</v>
      </c>
      <c r="K105" s="14">
        <f>ROUND(E105+($A105-INDEX(新属性投放!$B$14:$B$34,属性汇总!$B105))*属性汇总!H105,0)</f>
        <v>2993</v>
      </c>
      <c r="L105" s="14">
        <f>ROUND(F105+($A105-INDEX(新属性投放!$B$14:$B$34,属性汇总!$B105))*属性汇总!I105,0)</f>
        <v>18451</v>
      </c>
      <c r="R105" s="13">
        <v>92</v>
      </c>
      <c r="S105" s="13">
        <v>10</v>
      </c>
      <c r="T105" s="14">
        <f>INDEX(新属性投放!$L$6:$L$10,$S$3)*INDEX(新属性投放!$Q$6:$Q$10,$U$3)</f>
        <v>1.1499999999999999</v>
      </c>
      <c r="U105" s="14">
        <f>INDEX(新属性投放!J$42:J$62,属性汇总!$S105)*$T105</f>
        <v>5470.0324999999993</v>
      </c>
      <c r="V105" s="14">
        <f>INDEX(新属性投放!K$42:K$62,属性汇总!$S105)*$T105</f>
        <v>2645.8912500000001</v>
      </c>
      <c r="W105" s="14">
        <f>INDEX(新属性投放!L$42:L$62,属性汇总!$S105)*$T105</f>
        <v>28128.999999999996</v>
      </c>
      <c r="X105" s="14">
        <f>INDEX(新属性投放!$D$42:$D$62,属性汇总!$S105)*$T105</f>
        <v>129.75449999999998</v>
      </c>
      <c r="Y105" s="14">
        <f>INDEX(新属性投放!$D$42:$D$62,属性汇总!$S105)*$T105</f>
        <v>129.75449999999998</v>
      </c>
      <c r="Z105" s="14">
        <f>INDEX(新属性投放!$D$42:$D$62,属性汇总!$S105)*$T105</f>
        <v>129.75449999999998</v>
      </c>
      <c r="AA105" s="14">
        <f>ROUND(U105+($R105-INDEX(新属性投放!$B$14:$B$34,属性汇总!$S105))*属性汇总!X105,0)</f>
        <v>6378</v>
      </c>
      <c r="AB105" s="14">
        <f>ROUND(V105+($R105-INDEX(新属性投放!$B$14:$B$34,属性汇总!$S105))*属性汇总!Y105,0)</f>
        <v>3554</v>
      </c>
      <c r="AC105" s="14">
        <f>ROUND(W105+($R105-INDEX(新属性投放!$B$14:$B$34,属性汇总!$S105))*属性汇总!Z105,0)</f>
        <v>29037</v>
      </c>
    </row>
    <row r="106" spans="1:29" ht="16.5" x14ac:dyDescent="0.2">
      <c r="A106" s="13">
        <v>93</v>
      </c>
      <c r="B106" s="13">
        <v>10</v>
      </c>
      <c r="C106" s="14">
        <f>INDEX(新属性投放!$L$6:$L$10,属性汇总!$B$3)*INDEX(新属性投放!$Q$6:$Q$10,属性汇总!$D$3)</f>
        <v>1.1499999999999999</v>
      </c>
      <c r="D106" s="14">
        <f>INDEX(新属性投放!J$14:J$34,属性汇总!$B106)*$C106</f>
        <v>5165.2825000000003</v>
      </c>
      <c r="E106" s="14">
        <f>INDEX(新属性投放!K$14:K$34,属性汇总!$B106)*$C106</f>
        <v>2538.9412499999999</v>
      </c>
      <c r="F106" s="14">
        <f>INDEX(新属性投放!L$14:L$34,属性汇总!$B106)*$C106</f>
        <v>15725.847499999998</v>
      </c>
      <c r="G106" s="14">
        <f>INDEX(新属性投放!D$14:D$34,属性汇总!$B106)*$C106</f>
        <v>129.75449999999998</v>
      </c>
      <c r="H106" s="14">
        <f>INDEX(新属性投放!E$14:E$34,属性汇总!$B106)*$C106</f>
        <v>64.877249999999989</v>
      </c>
      <c r="I106" s="14">
        <f>INDEX(新属性投放!F$14:F$34,属性汇总!$B106)*$C106</f>
        <v>389.26349999999996</v>
      </c>
      <c r="J106" s="14">
        <f>ROUND(D106+($A106-INDEX(新属性投放!$B$14:$B$34,属性汇总!$B106))*属性汇总!G106,0)</f>
        <v>6203</v>
      </c>
      <c r="K106" s="14">
        <f>ROUND(E106+($A106-INDEX(新属性投放!$B$14:$B$34,属性汇总!$B106))*属性汇总!H106,0)</f>
        <v>3058</v>
      </c>
      <c r="L106" s="14">
        <f>ROUND(F106+($A106-INDEX(新属性投放!$B$14:$B$34,属性汇总!$B106))*属性汇总!I106,0)</f>
        <v>18840</v>
      </c>
      <c r="R106" s="13">
        <v>93</v>
      </c>
      <c r="S106" s="13">
        <v>10</v>
      </c>
      <c r="T106" s="14">
        <f>INDEX(新属性投放!$L$6:$L$10,$S$3)*INDEX(新属性投放!$Q$6:$Q$10,$U$3)</f>
        <v>1.1499999999999999</v>
      </c>
      <c r="U106" s="14">
        <f>INDEX(新属性投放!J$42:J$62,属性汇总!$S106)*$T106</f>
        <v>5470.0324999999993</v>
      </c>
      <c r="V106" s="14">
        <f>INDEX(新属性投放!K$42:K$62,属性汇总!$S106)*$T106</f>
        <v>2645.8912500000001</v>
      </c>
      <c r="W106" s="14">
        <f>INDEX(新属性投放!L$42:L$62,属性汇总!$S106)*$T106</f>
        <v>28128.999999999996</v>
      </c>
      <c r="X106" s="14">
        <f>INDEX(新属性投放!$D$42:$D$62,属性汇总!$S106)*$T106</f>
        <v>129.75449999999998</v>
      </c>
      <c r="Y106" s="14">
        <f>INDEX(新属性投放!$D$42:$D$62,属性汇总!$S106)*$T106</f>
        <v>129.75449999999998</v>
      </c>
      <c r="Z106" s="14">
        <f>INDEX(新属性投放!$D$42:$D$62,属性汇总!$S106)*$T106</f>
        <v>129.75449999999998</v>
      </c>
      <c r="AA106" s="14">
        <f>ROUND(U106+($R106-INDEX(新属性投放!$B$14:$B$34,属性汇总!$S106))*属性汇总!X106,0)</f>
        <v>6508</v>
      </c>
      <c r="AB106" s="14">
        <f>ROUND(V106+($R106-INDEX(新属性投放!$B$14:$B$34,属性汇总!$S106))*属性汇总!Y106,0)</f>
        <v>3684</v>
      </c>
      <c r="AC106" s="14">
        <f>ROUND(W106+($R106-INDEX(新属性投放!$B$14:$B$34,属性汇总!$S106))*属性汇总!Z106,0)</f>
        <v>29167</v>
      </c>
    </row>
    <row r="107" spans="1:29" ht="16.5" x14ac:dyDescent="0.2">
      <c r="A107" s="13">
        <v>94</v>
      </c>
      <c r="B107" s="13">
        <v>10</v>
      </c>
      <c r="C107" s="14">
        <f>INDEX(新属性投放!$L$6:$L$10,属性汇总!$B$3)*INDEX(新属性投放!$Q$6:$Q$10,属性汇总!$D$3)</f>
        <v>1.1499999999999999</v>
      </c>
      <c r="D107" s="14">
        <f>INDEX(新属性投放!J$14:J$34,属性汇总!$B107)*$C107</f>
        <v>5165.2825000000003</v>
      </c>
      <c r="E107" s="14">
        <f>INDEX(新属性投放!K$14:K$34,属性汇总!$B107)*$C107</f>
        <v>2538.9412499999999</v>
      </c>
      <c r="F107" s="14">
        <f>INDEX(新属性投放!L$14:L$34,属性汇总!$B107)*$C107</f>
        <v>15725.847499999998</v>
      </c>
      <c r="G107" s="14">
        <f>INDEX(新属性投放!D$14:D$34,属性汇总!$B107)*$C107</f>
        <v>129.75449999999998</v>
      </c>
      <c r="H107" s="14">
        <f>INDEX(新属性投放!E$14:E$34,属性汇总!$B107)*$C107</f>
        <v>64.877249999999989</v>
      </c>
      <c r="I107" s="14">
        <f>INDEX(新属性投放!F$14:F$34,属性汇总!$B107)*$C107</f>
        <v>389.26349999999996</v>
      </c>
      <c r="J107" s="14">
        <f>ROUND(D107+($A107-INDEX(新属性投放!$B$14:$B$34,属性汇总!$B107))*属性汇总!G107,0)</f>
        <v>6333</v>
      </c>
      <c r="K107" s="14">
        <f>ROUND(E107+($A107-INDEX(新属性投放!$B$14:$B$34,属性汇总!$B107))*属性汇总!H107,0)</f>
        <v>3123</v>
      </c>
      <c r="L107" s="14">
        <f>ROUND(F107+($A107-INDEX(新属性投放!$B$14:$B$34,属性汇总!$B107))*属性汇总!I107,0)</f>
        <v>19229</v>
      </c>
      <c r="R107" s="13">
        <v>94</v>
      </c>
      <c r="S107" s="13">
        <v>10</v>
      </c>
      <c r="T107" s="14">
        <f>INDEX(新属性投放!$L$6:$L$10,$S$3)*INDEX(新属性投放!$Q$6:$Q$10,$U$3)</f>
        <v>1.1499999999999999</v>
      </c>
      <c r="U107" s="14">
        <f>INDEX(新属性投放!J$42:J$62,属性汇总!$S107)*$T107</f>
        <v>5470.0324999999993</v>
      </c>
      <c r="V107" s="14">
        <f>INDEX(新属性投放!K$42:K$62,属性汇总!$S107)*$T107</f>
        <v>2645.8912500000001</v>
      </c>
      <c r="W107" s="14">
        <f>INDEX(新属性投放!L$42:L$62,属性汇总!$S107)*$T107</f>
        <v>28128.999999999996</v>
      </c>
      <c r="X107" s="14">
        <f>INDEX(新属性投放!$D$42:$D$62,属性汇总!$S107)*$T107</f>
        <v>129.75449999999998</v>
      </c>
      <c r="Y107" s="14">
        <f>INDEX(新属性投放!$D$42:$D$62,属性汇总!$S107)*$T107</f>
        <v>129.75449999999998</v>
      </c>
      <c r="Z107" s="14">
        <f>INDEX(新属性投放!$D$42:$D$62,属性汇总!$S107)*$T107</f>
        <v>129.75449999999998</v>
      </c>
      <c r="AA107" s="14">
        <f>ROUND(U107+($R107-INDEX(新属性投放!$B$14:$B$34,属性汇总!$S107))*属性汇总!X107,0)</f>
        <v>6638</v>
      </c>
      <c r="AB107" s="14">
        <f>ROUND(V107+($R107-INDEX(新属性投放!$B$14:$B$34,属性汇总!$S107))*属性汇总!Y107,0)</f>
        <v>3814</v>
      </c>
      <c r="AC107" s="14">
        <f>ROUND(W107+($R107-INDEX(新属性投放!$B$14:$B$34,属性汇总!$S107))*属性汇总!Z107,0)</f>
        <v>29297</v>
      </c>
    </row>
    <row r="108" spans="1:29" ht="16.5" x14ac:dyDescent="0.2">
      <c r="A108" s="13">
        <v>95</v>
      </c>
      <c r="B108" s="13">
        <v>10</v>
      </c>
      <c r="C108" s="14">
        <f>INDEX(新属性投放!$L$6:$L$10,属性汇总!$B$3)*INDEX(新属性投放!$Q$6:$Q$10,属性汇总!$D$3)</f>
        <v>1.1499999999999999</v>
      </c>
      <c r="D108" s="14">
        <f>INDEX(新属性投放!J$14:J$34,属性汇总!$B108)*$C108</f>
        <v>5165.2825000000003</v>
      </c>
      <c r="E108" s="14">
        <f>INDEX(新属性投放!K$14:K$34,属性汇总!$B108)*$C108</f>
        <v>2538.9412499999999</v>
      </c>
      <c r="F108" s="14">
        <f>INDEX(新属性投放!L$14:L$34,属性汇总!$B108)*$C108</f>
        <v>15725.847499999998</v>
      </c>
      <c r="G108" s="14">
        <f>INDEX(新属性投放!D$14:D$34,属性汇总!$B108)*$C108</f>
        <v>129.75449999999998</v>
      </c>
      <c r="H108" s="14">
        <f>INDEX(新属性投放!E$14:E$34,属性汇总!$B108)*$C108</f>
        <v>64.877249999999989</v>
      </c>
      <c r="I108" s="14">
        <f>INDEX(新属性投放!F$14:F$34,属性汇总!$B108)*$C108</f>
        <v>389.26349999999996</v>
      </c>
      <c r="J108" s="14">
        <f>ROUND(D108+($A108-INDEX(新属性投放!$B$14:$B$34,属性汇总!$B108))*属性汇总!G108,0)</f>
        <v>6463</v>
      </c>
      <c r="K108" s="14">
        <f>ROUND(E108+($A108-INDEX(新属性投放!$B$14:$B$34,属性汇总!$B108))*属性汇总!H108,0)</f>
        <v>3188</v>
      </c>
      <c r="L108" s="14">
        <f>ROUND(F108+($A108-INDEX(新属性投放!$B$14:$B$34,属性汇总!$B108))*属性汇总!I108,0)</f>
        <v>19618</v>
      </c>
      <c r="R108" s="13">
        <v>95</v>
      </c>
      <c r="S108" s="13">
        <v>10</v>
      </c>
      <c r="T108" s="14">
        <f>INDEX(新属性投放!$L$6:$L$10,$S$3)*INDEX(新属性投放!$Q$6:$Q$10,$U$3)</f>
        <v>1.1499999999999999</v>
      </c>
      <c r="U108" s="14">
        <f>INDEX(新属性投放!J$42:J$62,属性汇总!$S108)*$T108</f>
        <v>5470.0324999999993</v>
      </c>
      <c r="V108" s="14">
        <f>INDEX(新属性投放!K$42:K$62,属性汇总!$S108)*$T108</f>
        <v>2645.8912500000001</v>
      </c>
      <c r="W108" s="14">
        <f>INDEX(新属性投放!L$42:L$62,属性汇总!$S108)*$T108</f>
        <v>28128.999999999996</v>
      </c>
      <c r="X108" s="14">
        <f>INDEX(新属性投放!$D$42:$D$62,属性汇总!$S108)*$T108</f>
        <v>129.75449999999998</v>
      </c>
      <c r="Y108" s="14">
        <f>INDEX(新属性投放!$D$42:$D$62,属性汇总!$S108)*$T108</f>
        <v>129.75449999999998</v>
      </c>
      <c r="Z108" s="14">
        <f>INDEX(新属性投放!$D$42:$D$62,属性汇总!$S108)*$T108</f>
        <v>129.75449999999998</v>
      </c>
      <c r="AA108" s="14">
        <f>ROUND(U108+($R108-INDEX(新属性投放!$B$14:$B$34,属性汇总!$S108))*属性汇总!X108,0)</f>
        <v>6768</v>
      </c>
      <c r="AB108" s="14">
        <f>ROUND(V108+($R108-INDEX(新属性投放!$B$14:$B$34,属性汇总!$S108))*属性汇总!Y108,0)</f>
        <v>3943</v>
      </c>
      <c r="AC108" s="14">
        <f>ROUND(W108+($R108-INDEX(新属性投放!$B$14:$B$34,属性汇总!$S108))*属性汇总!Z108,0)</f>
        <v>29427</v>
      </c>
    </row>
    <row r="109" spans="1:29" s="20" customFormat="1" ht="16.5" x14ac:dyDescent="0.2">
      <c r="A109" s="13">
        <v>95</v>
      </c>
      <c r="B109" s="13">
        <v>11</v>
      </c>
      <c r="C109" s="14">
        <f>INDEX(新属性投放!$L$6:$L$10,属性汇总!$B$3)*INDEX(新属性投放!$Q$6:$Q$10,属性汇总!$D$3)</f>
        <v>1.1499999999999999</v>
      </c>
      <c r="D109" s="14">
        <f>INDEX(新属性投放!J$14:J$34,属性汇总!$B109)*$C109</f>
        <v>5976.204999999999</v>
      </c>
      <c r="E109" s="14">
        <f>INDEX(新属性投放!K$14:K$34,属性汇总!$B109)*$C109</f>
        <v>2944.9774999999995</v>
      </c>
      <c r="F109" s="14">
        <f>INDEX(新属性投放!L$14:L$34,属性汇总!$B109)*$C109</f>
        <v>18158.614999999998</v>
      </c>
      <c r="G109" s="14">
        <f>INDEX(新属性投放!D$14:D$34,属性汇总!$B109)*$C109</f>
        <v>151.31700000000001</v>
      </c>
      <c r="H109" s="14">
        <f>INDEX(新属性投放!E$14:E$34,属性汇总!$B109)*$C109</f>
        <v>75.658500000000004</v>
      </c>
      <c r="I109" s="14">
        <f>INDEX(新属性投放!F$14:F$34,属性汇总!$B109)*$C109</f>
        <v>453.95099999999996</v>
      </c>
      <c r="J109" s="14">
        <f>ROUND(D109+($A109-INDEX(新属性投放!$B$14:$B$34,属性汇总!$B109))*属性汇总!G109,0)</f>
        <v>6733</v>
      </c>
      <c r="K109" s="14">
        <f>ROUND(E109+($A109-INDEX(新属性投放!$B$14:$B$34,属性汇总!$B109))*属性汇总!H109,0)</f>
        <v>3323</v>
      </c>
      <c r="L109" s="14">
        <f>ROUND(F109+($A109-INDEX(新属性投放!$B$14:$B$34,属性汇总!$B109))*属性汇总!I109,0)</f>
        <v>20428</v>
      </c>
      <c r="N109" s="37"/>
      <c r="O109" s="37"/>
      <c r="P109" s="37"/>
      <c r="R109" s="13">
        <v>95</v>
      </c>
      <c r="S109" s="13">
        <v>11</v>
      </c>
      <c r="T109" s="14">
        <f>INDEX(新属性投放!$L$6:$L$10,$S$3)*INDEX(新属性投放!$Q$6:$Q$10,$U$3)</f>
        <v>1.1499999999999999</v>
      </c>
      <c r="U109" s="14">
        <f>INDEX(新属性投放!J$42:J$62,属性汇总!$S109)*$T109</f>
        <v>6280.954999999999</v>
      </c>
      <c r="V109" s="14">
        <f>INDEX(新属性投放!K$42:K$62,属性汇总!$S109)*$T109</f>
        <v>3051.9274999999998</v>
      </c>
      <c r="W109" s="14">
        <f>INDEX(新属性投放!L$42:L$62,属性汇总!$S109)*$T109</f>
        <v>32503.599999999999</v>
      </c>
      <c r="X109" s="14">
        <f>INDEX(新属性投放!$D$42:$D$62,属性汇总!$S109)*$T109</f>
        <v>151.31700000000001</v>
      </c>
      <c r="Y109" s="14">
        <f>INDEX(新属性投放!$D$42:$D$62,属性汇总!$S109)*$T109</f>
        <v>151.31700000000001</v>
      </c>
      <c r="Z109" s="14">
        <f>INDEX(新属性投放!$D$42:$D$62,属性汇总!$S109)*$T109</f>
        <v>151.31700000000001</v>
      </c>
      <c r="AA109" s="14">
        <f>ROUND(U109+($R109-INDEX(新属性投放!$B$14:$B$34,属性汇总!$S109))*属性汇总!X109,0)</f>
        <v>7038</v>
      </c>
      <c r="AB109" s="14">
        <f>ROUND(V109+($R109-INDEX(新属性投放!$B$14:$B$34,属性汇总!$S109))*属性汇总!Y109,0)</f>
        <v>3809</v>
      </c>
      <c r="AC109" s="14">
        <f>ROUND(W109+($R109-INDEX(新属性投放!$B$14:$B$34,属性汇总!$S109))*属性汇总!Z109,0)</f>
        <v>33260</v>
      </c>
    </row>
    <row r="110" spans="1:29" ht="16.5" x14ac:dyDescent="0.2">
      <c r="A110" s="13">
        <v>96</v>
      </c>
      <c r="B110" s="13">
        <v>11</v>
      </c>
      <c r="C110" s="14">
        <f>INDEX(新属性投放!$L$6:$L$10,属性汇总!$B$3)*INDEX(新属性投放!$Q$6:$Q$10,属性汇总!$D$3)</f>
        <v>1.1499999999999999</v>
      </c>
      <c r="D110" s="14">
        <f>INDEX(新属性投放!J$14:J$34,属性汇总!$B110)*$C110</f>
        <v>5976.204999999999</v>
      </c>
      <c r="E110" s="14">
        <f>INDEX(新属性投放!K$14:K$34,属性汇总!$B110)*$C110</f>
        <v>2944.9774999999995</v>
      </c>
      <c r="F110" s="14">
        <f>INDEX(新属性投放!L$14:L$34,属性汇总!$B110)*$C110</f>
        <v>18158.614999999998</v>
      </c>
      <c r="G110" s="14">
        <f>INDEX(新属性投放!D$14:D$34,属性汇总!$B110)*$C110</f>
        <v>151.31700000000001</v>
      </c>
      <c r="H110" s="14">
        <f>INDEX(新属性投放!E$14:E$34,属性汇总!$B110)*$C110</f>
        <v>75.658500000000004</v>
      </c>
      <c r="I110" s="14">
        <f>INDEX(新属性投放!F$14:F$34,属性汇总!$B110)*$C110</f>
        <v>453.95099999999996</v>
      </c>
      <c r="J110" s="14">
        <f>ROUND(D110+($A110-INDEX(新属性投放!$B$14:$B$34,属性汇总!$B110))*属性汇总!G110,0)</f>
        <v>6884</v>
      </c>
      <c r="K110" s="14">
        <f>ROUND(E110+($A110-INDEX(新属性投放!$B$14:$B$34,属性汇总!$B110))*属性汇总!H110,0)</f>
        <v>3399</v>
      </c>
      <c r="L110" s="14">
        <f>ROUND(F110+($A110-INDEX(新属性投放!$B$14:$B$34,属性汇总!$B110))*属性汇总!I110,0)</f>
        <v>20882</v>
      </c>
      <c r="R110" s="13">
        <v>96</v>
      </c>
      <c r="S110" s="13">
        <v>11</v>
      </c>
      <c r="T110" s="14">
        <f>INDEX(新属性投放!$L$6:$L$10,$S$3)*INDEX(新属性投放!$Q$6:$Q$10,$U$3)</f>
        <v>1.1499999999999999</v>
      </c>
      <c r="U110" s="14">
        <f>INDEX(新属性投放!J$42:J$62,属性汇总!$S110)*$T110</f>
        <v>6280.954999999999</v>
      </c>
      <c r="V110" s="14">
        <f>INDEX(新属性投放!K$42:K$62,属性汇总!$S110)*$T110</f>
        <v>3051.9274999999998</v>
      </c>
      <c r="W110" s="14">
        <f>INDEX(新属性投放!L$42:L$62,属性汇总!$S110)*$T110</f>
        <v>32503.599999999999</v>
      </c>
      <c r="X110" s="14">
        <f>INDEX(新属性投放!$D$42:$D$62,属性汇总!$S110)*$T110</f>
        <v>151.31700000000001</v>
      </c>
      <c r="Y110" s="14">
        <f>INDEX(新属性投放!$D$42:$D$62,属性汇总!$S110)*$T110</f>
        <v>151.31700000000001</v>
      </c>
      <c r="Z110" s="14">
        <f>INDEX(新属性投放!$D$42:$D$62,属性汇总!$S110)*$T110</f>
        <v>151.31700000000001</v>
      </c>
      <c r="AA110" s="14">
        <f>ROUND(U110+($R110-INDEX(新属性投放!$B$14:$B$34,属性汇总!$S110))*属性汇总!X110,0)</f>
        <v>7189</v>
      </c>
      <c r="AB110" s="14">
        <f>ROUND(V110+($R110-INDEX(新属性投放!$B$14:$B$34,属性汇总!$S110))*属性汇总!Y110,0)</f>
        <v>3960</v>
      </c>
      <c r="AC110" s="14">
        <f>ROUND(W110+($R110-INDEX(新属性投放!$B$14:$B$34,属性汇总!$S110))*属性汇总!Z110,0)</f>
        <v>33412</v>
      </c>
    </row>
    <row r="111" spans="1:29" ht="16.5" x14ac:dyDescent="0.2">
      <c r="A111" s="13">
        <v>97</v>
      </c>
      <c r="B111" s="13">
        <v>11</v>
      </c>
      <c r="C111" s="14">
        <f>INDEX(新属性投放!$L$6:$L$10,属性汇总!$B$3)*INDEX(新属性投放!$Q$6:$Q$10,属性汇总!$D$3)</f>
        <v>1.1499999999999999</v>
      </c>
      <c r="D111" s="14">
        <f>INDEX(新属性投放!J$14:J$34,属性汇总!$B111)*$C111</f>
        <v>5976.204999999999</v>
      </c>
      <c r="E111" s="14">
        <f>INDEX(新属性投放!K$14:K$34,属性汇总!$B111)*$C111</f>
        <v>2944.9774999999995</v>
      </c>
      <c r="F111" s="14">
        <f>INDEX(新属性投放!L$14:L$34,属性汇总!$B111)*$C111</f>
        <v>18158.614999999998</v>
      </c>
      <c r="G111" s="14">
        <f>INDEX(新属性投放!D$14:D$34,属性汇总!$B111)*$C111</f>
        <v>151.31700000000001</v>
      </c>
      <c r="H111" s="14">
        <f>INDEX(新属性投放!E$14:E$34,属性汇总!$B111)*$C111</f>
        <v>75.658500000000004</v>
      </c>
      <c r="I111" s="14">
        <f>INDEX(新属性投放!F$14:F$34,属性汇总!$B111)*$C111</f>
        <v>453.95099999999996</v>
      </c>
      <c r="J111" s="14">
        <f>ROUND(D111+($A111-INDEX(新属性投放!$B$14:$B$34,属性汇总!$B111))*属性汇总!G111,0)</f>
        <v>7035</v>
      </c>
      <c r="K111" s="14">
        <f>ROUND(E111+($A111-INDEX(新属性投放!$B$14:$B$34,属性汇总!$B111))*属性汇总!H111,0)</f>
        <v>3475</v>
      </c>
      <c r="L111" s="14">
        <f>ROUND(F111+($A111-INDEX(新属性投放!$B$14:$B$34,属性汇总!$B111))*属性汇总!I111,0)</f>
        <v>21336</v>
      </c>
      <c r="R111" s="13">
        <v>97</v>
      </c>
      <c r="S111" s="13">
        <v>11</v>
      </c>
      <c r="T111" s="14">
        <f>INDEX(新属性投放!$L$6:$L$10,$S$3)*INDEX(新属性投放!$Q$6:$Q$10,$U$3)</f>
        <v>1.1499999999999999</v>
      </c>
      <c r="U111" s="14">
        <f>INDEX(新属性投放!J$42:J$62,属性汇总!$S111)*$T111</f>
        <v>6280.954999999999</v>
      </c>
      <c r="V111" s="14">
        <f>INDEX(新属性投放!K$42:K$62,属性汇总!$S111)*$T111</f>
        <v>3051.9274999999998</v>
      </c>
      <c r="W111" s="14">
        <f>INDEX(新属性投放!L$42:L$62,属性汇总!$S111)*$T111</f>
        <v>32503.599999999999</v>
      </c>
      <c r="X111" s="14">
        <f>INDEX(新属性投放!$D$42:$D$62,属性汇总!$S111)*$T111</f>
        <v>151.31700000000001</v>
      </c>
      <c r="Y111" s="14">
        <f>INDEX(新属性投放!$D$42:$D$62,属性汇总!$S111)*$T111</f>
        <v>151.31700000000001</v>
      </c>
      <c r="Z111" s="14">
        <f>INDEX(新属性投放!$D$42:$D$62,属性汇总!$S111)*$T111</f>
        <v>151.31700000000001</v>
      </c>
      <c r="AA111" s="14">
        <f>ROUND(U111+($R111-INDEX(新属性投放!$B$14:$B$34,属性汇总!$S111))*属性汇总!X111,0)</f>
        <v>7340</v>
      </c>
      <c r="AB111" s="14">
        <f>ROUND(V111+($R111-INDEX(新属性投放!$B$14:$B$34,属性汇总!$S111))*属性汇总!Y111,0)</f>
        <v>4111</v>
      </c>
      <c r="AC111" s="14">
        <f>ROUND(W111+($R111-INDEX(新属性投放!$B$14:$B$34,属性汇总!$S111))*属性汇总!Z111,0)</f>
        <v>33563</v>
      </c>
    </row>
    <row r="112" spans="1:29" ht="16.5" x14ac:dyDescent="0.2">
      <c r="A112" s="13">
        <v>98</v>
      </c>
      <c r="B112" s="13">
        <v>11</v>
      </c>
      <c r="C112" s="14">
        <f>INDEX(新属性投放!$L$6:$L$10,属性汇总!$B$3)*INDEX(新属性投放!$Q$6:$Q$10,属性汇总!$D$3)</f>
        <v>1.1499999999999999</v>
      </c>
      <c r="D112" s="14">
        <f>INDEX(新属性投放!J$14:J$34,属性汇总!$B112)*$C112</f>
        <v>5976.204999999999</v>
      </c>
      <c r="E112" s="14">
        <f>INDEX(新属性投放!K$14:K$34,属性汇总!$B112)*$C112</f>
        <v>2944.9774999999995</v>
      </c>
      <c r="F112" s="14">
        <f>INDEX(新属性投放!L$14:L$34,属性汇总!$B112)*$C112</f>
        <v>18158.614999999998</v>
      </c>
      <c r="G112" s="14">
        <f>INDEX(新属性投放!D$14:D$34,属性汇总!$B112)*$C112</f>
        <v>151.31700000000001</v>
      </c>
      <c r="H112" s="14">
        <f>INDEX(新属性投放!E$14:E$34,属性汇总!$B112)*$C112</f>
        <v>75.658500000000004</v>
      </c>
      <c r="I112" s="14">
        <f>INDEX(新属性投放!F$14:F$34,属性汇总!$B112)*$C112</f>
        <v>453.95099999999996</v>
      </c>
      <c r="J112" s="14">
        <f>ROUND(D112+($A112-INDEX(新属性投放!$B$14:$B$34,属性汇总!$B112))*属性汇总!G112,0)</f>
        <v>7187</v>
      </c>
      <c r="K112" s="14">
        <f>ROUND(E112+($A112-INDEX(新属性投放!$B$14:$B$34,属性汇总!$B112))*属性汇总!H112,0)</f>
        <v>3550</v>
      </c>
      <c r="L112" s="14">
        <f>ROUND(F112+($A112-INDEX(新属性投放!$B$14:$B$34,属性汇总!$B112))*属性汇总!I112,0)</f>
        <v>21790</v>
      </c>
      <c r="R112" s="13">
        <v>98</v>
      </c>
      <c r="S112" s="13">
        <v>11</v>
      </c>
      <c r="T112" s="14">
        <f>INDEX(新属性投放!$L$6:$L$10,$S$3)*INDEX(新属性投放!$Q$6:$Q$10,$U$3)</f>
        <v>1.1499999999999999</v>
      </c>
      <c r="U112" s="14">
        <f>INDEX(新属性投放!J$42:J$62,属性汇总!$S112)*$T112</f>
        <v>6280.954999999999</v>
      </c>
      <c r="V112" s="14">
        <f>INDEX(新属性投放!K$42:K$62,属性汇总!$S112)*$T112</f>
        <v>3051.9274999999998</v>
      </c>
      <c r="W112" s="14">
        <f>INDEX(新属性投放!L$42:L$62,属性汇总!$S112)*$T112</f>
        <v>32503.599999999999</v>
      </c>
      <c r="X112" s="14">
        <f>INDEX(新属性投放!$D$42:$D$62,属性汇总!$S112)*$T112</f>
        <v>151.31700000000001</v>
      </c>
      <c r="Y112" s="14">
        <f>INDEX(新属性投放!$D$42:$D$62,属性汇总!$S112)*$T112</f>
        <v>151.31700000000001</v>
      </c>
      <c r="Z112" s="14">
        <f>INDEX(新属性投放!$D$42:$D$62,属性汇总!$S112)*$T112</f>
        <v>151.31700000000001</v>
      </c>
      <c r="AA112" s="14">
        <f>ROUND(U112+($R112-INDEX(新属性投放!$B$14:$B$34,属性汇总!$S112))*属性汇总!X112,0)</f>
        <v>7491</v>
      </c>
      <c r="AB112" s="14">
        <f>ROUND(V112+($R112-INDEX(新属性投放!$B$14:$B$34,属性汇总!$S112))*属性汇总!Y112,0)</f>
        <v>4262</v>
      </c>
      <c r="AC112" s="14">
        <f>ROUND(W112+($R112-INDEX(新属性投放!$B$14:$B$34,属性汇总!$S112))*属性汇总!Z112,0)</f>
        <v>33714</v>
      </c>
    </row>
    <row r="113" spans="1:29" ht="16.5" x14ac:dyDescent="0.2">
      <c r="A113" s="13">
        <v>99</v>
      </c>
      <c r="B113" s="13">
        <v>11</v>
      </c>
      <c r="C113" s="14">
        <f>INDEX(新属性投放!$L$6:$L$10,属性汇总!$B$3)*INDEX(新属性投放!$Q$6:$Q$10,属性汇总!$D$3)</f>
        <v>1.1499999999999999</v>
      </c>
      <c r="D113" s="14">
        <f>INDEX(新属性投放!J$14:J$34,属性汇总!$B113)*$C113</f>
        <v>5976.204999999999</v>
      </c>
      <c r="E113" s="14">
        <f>INDEX(新属性投放!K$14:K$34,属性汇总!$B113)*$C113</f>
        <v>2944.9774999999995</v>
      </c>
      <c r="F113" s="14">
        <f>INDEX(新属性投放!L$14:L$34,属性汇总!$B113)*$C113</f>
        <v>18158.614999999998</v>
      </c>
      <c r="G113" s="14">
        <f>INDEX(新属性投放!D$14:D$34,属性汇总!$B113)*$C113</f>
        <v>151.31700000000001</v>
      </c>
      <c r="H113" s="14">
        <f>INDEX(新属性投放!E$14:E$34,属性汇总!$B113)*$C113</f>
        <v>75.658500000000004</v>
      </c>
      <c r="I113" s="14">
        <f>INDEX(新属性投放!F$14:F$34,属性汇总!$B113)*$C113</f>
        <v>453.95099999999996</v>
      </c>
      <c r="J113" s="14">
        <f>ROUND(D113+($A113-INDEX(新属性投放!$B$14:$B$34,属性汇总!$B113))*属性汇总!G113,0)</f>
        <v>7338</v>
      </c>
      <c r="K113" s="14">
        <f>ROUND(E113+($A113-INDEX(新属性投放!$B$14:$B$34,属性汇总!$B113))*属性汇总!H113,0)</f>
        <v>3626</v>
      </c>
      <c r="L113" s="14">
        <f>ROUND(F113+($A113-INDEX(新属性投放!$B$14:$B$34,属性汇总!$B113))*属性汇总!I113,0)</f>
        <v>22244</v>
      </c>
      <c r="R113" s="13">
        <v>99</v>
      </c>
      <c r="S113" s="13">
        <v>11</v>
      </c>
      <c r="T113" s="14">
        <f>INDEX(新属性投放!$L$6:$L$10,$S$3)*INDEX(新属性投放!$Q$6:$Q$10,$U$3)</f>
        <v>1.1499999999999999</v>
      </c>
      <c r="U113" s="14">
        <f>INDEX(新属性投放!J$42:J$62,属性汇总!$S113)*$T113</f>
        <v>6280.954999999999</v>
      </c>
      <c r="V113" s="14">
        <f>INDEX(新属性投放!K$42:K$62,属性汇总!$S113)*$T113</f>
        <v>3051.9274999999998</v>
      </c>
      <c r="W113" s="14">
        <f>INDEX(新属性投放!L$42:L$62,属性汇总!$S113)*$T113</f>
        <v>32503.599999999999</v>
      </c>
      <c r="X113" s="14">
        <f>INDEX(新属性投放!$D$42:$D$62,属性汇总!$S113)*$T113</f>
        <v>151.31700000000001</v>
      </c>
      <c r="Y113" s="14">
        <f>INDEX(新属性投放!$D$42:$D$62,属性汇总!$S113)*$T113</f>
        <v>151.31700000000001</v>
      </c>
      <c r="Z113" s="14">
        <f>INDEX(新属性投放!$D$42:$D$62,属性汇总!$S113)*$T113</f>
        <v>151.31700000000001</v>
      </c>
      <c r="AA113" s="14">
        <f>ROUND(U113+($R113-INDEX(新属性投放!$B$14:$B$34,属性汇总!$S113))*属性汇总!X113,0)</f>
        <v>7643</v>
      </c>
      <c r="AB113" s="14">
        <f>ROUND(V113+($R113-INDEX(新属性投放!$B$14:$B$34,属性汇总!$S113))*属性汇总!Y113,0)</f>
        <v>4414</v>
      </c>
      <c r="AC113" s="14">
        <f>ROUND(W113+($R113-INDEX(新属性投放!$B$14:$B$34,属性汇总!$S113))*属性汇总!Z113,0)</f>
        <v>33865</v>
      </c>
    </row>
    <row r="114" spans="1:29" ht="16.5" x14ac:dyDescent="0.2">
      <c r="A114" s="13">
        <v>100</v>
      </c>
      <c r="B114" s="13">
        <v>11</v>
      </c>
      <c r="C114" s="14">
        <f>INDEX(新属性投放!$L$6:$L$10,属性汇总!$B$3)*INDEX(新属性投放!$Q$6:$Q$10,属性汇总!$D$3)</f>
        <v>1.1499999999999999</v>
      </c>
      <c r="D114" s="14">
        <f>INDEX(新属性投放!J$14:J$34,属性汇总!$B114)*$C114</f>
        <v>5976.204999999999</v>
      </c>
      <c r="E114" s="14">
        <f>INDEX(新属性投放!K$14:K$34,属性汇总!$B114)*$C114</f>
        <v>2944.9774999999995</v>
      </c>
      <c r="F114" s="14">
        <f>INDEX(新属性投放!L$14:L$34,属性汇总!$B114)*$C114</f>
        <v>18158.614999999998</v>
      </c>
      <c r="G114" s="14">
        <f>INDEX(新属性投放!D$14:D$34,属性汇总!$B114)*$C114</f>
        <v>151.31700000000001</v>
      </c>
      <c r="H114" s="14">
        <f>INDEX(新属性投放!E$14:E$34,属性汇总!$B114)*$C114</f>
        <v>75.658500000000004</v>
      </c>
      <c r="I114" s="14">
        <f>INDEX(新属性投放!F$14:F$34,属性汇总!$B114)*$C114</f>
        <v>453.95099999999996</v>
      </c>
      <c r="J114" s="14">
        <f>ROUND(D114+($A114-INDEX(新属性投放!$B$14:$B$34,属性汇总!$B114))*属性汇总!G114,0)</f>
        <v>7489</v>
      </c>
      <c r="K114" s="14">
        <f>ROUND(E114+($A114-INDEX(新属性投放!$B$14:$B$34,属性汇总!$B114))*属性汇总!H114,0)</f>
        <v>3702</v>
      </c>
      <c r="L114" s="14">
        <f>ROUND(F114+($A114-INDEX(新属性投放!$B$14:$B$34,属性汇总!$B114))*属性汇总!I114,0)</f>
        <v>22698</v>
      </c>
      <c r="R114" s="13">
        <v>100</v>
      </c>
      <c r="S114" s="13">
        <v>11</v>
      </c>
      <c r="T114" s="14">
        <f>INDEX(新属性投放!$L$6:$L$10,$S$3)*INDEX(新属性投放!$Q$6:$Q$10,$U$3)</f>
        <v>1.1499999999999999</v>
      </c>
      <c r="U114" s="14">
        <f>INDEX(新属性投放!J$42:J$62,属性汇总!$S114)*$T114</f>
        <v>6280.954999999999</v>
      </c>
      <c r="V114" s="14">
        <f>INDEX(新属性投放!K$42:K$62,属性汇总!$S114)*$T114</f>
        <v>3051.9274999999998</v>
      </c>
      <c r="W114" s="14">
        <f>INDEX(新属性投放!L$42:L$62,属性汇总!$S114)*$T114</f>
        <v>32503.599999999999</v>
      </c>
      <c r="X114" s="14">
        <f>INDEX(新属性投放!$D$42:$D$62,属性汇总!$S114)*$T114</f>
        <v>151.31700000000001</v>
      </c>
      <c r="Y114" s="14">
        <f>INDEX(新属性投放!$D$42:$D$62,属性汇总!$S114)*$T114</f>
        <v>151.31700000000001</v>
      </c>
      <c r="Z114" s="14">
        <f>INDEX(新属性投放!$D$42:$D$62,属性汇总!$S114)*$T114</f>
        <v>151.31700000000001</v>
      </c>
      <c r="AA114" s="14">
        <f>ROUND(U114+($R114-INDEX(新属性投放!$B$14:$B$34,属性汇总!$S114))*属性汇总!X114,0)</f>
        <v>7794</v>
      </c>
      <c r="AB114" s="14">
        <f>ROUND(V114+($R114-INDEX(新属性投放!$B$14:$B$34,属性汇总!$S114))*属性汇总!Y114,0)</f>
        <v>4565</v>
      </c>
      <c r="AC114" s="14">
        <f>ROUND(W114+($R114-INDEX(新属性投放!$B$14:$B$34,属性汇总!$S114))*属性汇总!Z114,0)</f>
        <v>34017</v>
      </c>
    </row>
    <row r="115" spans="1:29" s="20" customFormat="1" ht="16.5" x14ac:dyDescent="0.2">
      <c r="A115" s="13">
        <v>100</v>
      </c>
      <c r="B115" s="13">
        <v>12</v>
      </c>
      <c r="C115" s="14">
        <f>INDEX(新属性投放!$L$6:$L$10,属性汇总!$B$3)*INDEX(新属性投放!$Q$6:$Q$10,属性汇总!$D$3)</f>
        <v>1.1499999999999999</v>
      </c>
      <c r="D115" s="14">
        <f>INDEX(新属性投放!J$14:J$34,属性汇总!$B115)*$C115</f>
        <v>6921.39</v>
      </c>
      <c r="E115" s="14">
        <f>INDEX(新属性投放!K$14:K$34,属性汇总!$B115)*$C115</f>
        <v>3417.57</v>
      </c>
      <c r="F115" s="14">
        <f>INDEX(新属性投放!L$14:L$34,属性汇总!$B115)*$C115</f>
        <v>20994.17</v>
      </c>
      <c r="G115" s="14">
        <f>INDEX(新属性投放!D$14:D$34,属性汇总!$B115)*$C115</f>
        <v>173.04049999999998</v>
      </c>
      <c r="H115" s="14">
        <f>INDEX(新属性投放!E$14:E$34,属性汇总!$B115)*$C115</f>
        <v>86.52024999999999</v>
      </c>
      <c r="I115" s="14">
        <f>INDEX(新属性投放!F$14:F$34,属性汇总!$B115)*$C115</f>
        <v>519.12149999999997</v>
      </c>
      <c r="J115" s="14">
        <f>ROUND(D115+($A115-INDEX(新属性投放!$B$14:$B$34,属性汇总!$B115))*属性汇总!G115,0)</f>
        <v>7787</v>
      </c>
      <c r="K115" s="14">
        <f>ROUND(E115+($A115-INDEX(新属性投放!$B$14:$B$34,属性汇总!$B115))*属性汇总!H115,0)</f>
        <v>3850</v>
      </c>
      <c r="L115" s="14">
        <f>ROUND(F115+($A115-INDEX(新属性投放!$B$14:$B$34,属性汇总!$B115))*属性汇总!I115,0)</f>
        <v>23590</v>
      </c>
      <c r="N115" s="37"/>
      <c r="O115" s="37"/>
      <c r="P115" s="37"/>
      <c r="R115" s="13">
        <v>100</v>
      </c>
      <c r="S115" s="13">
        <v>12</v>
      </c>
      <c r="T115" s="14">
        <f>INDEX(新属性投放!$L$6:$L$10,$S$3)*INDEX(新属性投放!$Q$6:$Q$10,$U$3)</f>
        <v>1.1499999999999999</v>
      </c>
      <c r="U115" s="14">
        <f>INDEX(新属性投放!J$42:J$62,属性汇总!$S115)*$T115</f>
        <v>7226.1399999999994</v>
      </c>
      <c r="V115" s="14">
        <f>INDEX(新属性投放!K$42:K$62,属性汇总!$S115)*$T115</f>
        <v>3524.52</v>
      </c>
      <c r="W115" s="14">
        <f>INDEX(新属性投放!L$42:L$62,属性汇总!$S115)*$T115</f>
        <v>37605</v>
      </c>
      <c r="X115" s="14">
        <f>INDEX(新属性投放!$D$42:$D$62,属性汇总!$S115)*$T115</f>
        <v>173.04049999999998</v>
      </c>
      <c r="Y115" s="14">
        <f>INDEX(新属性投放!$D$42:$D$62,属性汇总!$S115)*$T115</f>
        <v>173.04049999999998</v>
      </c>
      <c r="Z115" s="14">
        <f>INDEX(新属性投放!$D$42:$D$62,属性汇总!$S115)*$T115</f>
        <v>173.04049999999998</v>
      </c>
      <c r="AA115" s="14">
        <f>ROUND(U115+($R115-INDEX(新属性投放!$B$14:$B$34,属性汇总!$S115))*属性汇总!X115,0)</f>
        <v>8091</v>
      </c>
      <c r="AB115" s="14">
        <f>ROUND(V115+($R115-INDEX(新属性投放!$B$14:$B$34,属性汇总!$S115))*属性汇总!Y115,0)</f>
        <v>4390</v>
      </c>
      <c r="AC115" s="14">
        <f>ROUND(W115+($R115-INDEX(新属性投放!$B$14:$B$34,属性汇总!$S115))*属性汇总!Z115,0)</f>
        <v>38470</v>
      </c>
    </row>
    <row r="116" spans="1:29" ht="16.5" x14ac:dyDescent="0.2">
      <c r="A116" s="13">
        <v>101</v>
      </c>
      <c r="B116" s="13">
        <v>12</v>
      </c>
      <c r="C116" s="14">
        <f>INDEX(新属性投放!$L$6:$L$10,属性汇总!$B$3)*INDEX(新属性投放!$Q$6:$Q$10,属性汇总!$D$3)</f>
        <v>1.1499999999999999</v>
      </c>
      <c r="D116" s="14">
        <f>INDEX(新属性投放!J$14:J$34,属性汇总!$B116)*$C116</f>
        <v>6921.39</v>
      </c>
      <c r="E116" s="14">
        <f>INDEX(新属性投放!K$14:K$34,属性汇总!$B116)*$C116</f>
        <v>3417.57</v>
      </c>
      <c r="F116" s="14">
        <f>INDEX(新属性投放!L$14:L$34,属性汇总!$B116)*$C116</f>
        <v>20994.17</v>
      </c>
      <c r="G116" s="14">
        <f>INDEX(新属性投放!D$14:D$34,属性汇总!$B116)*$C116</f>
        <v>173.04049999999998</v>
      </c>
      <c r="H116" s="14">
        <f>INDEX(新属性投放!E$14:E$34,属性汇总!$B116)*$C116</f>
        <v>86.52024999999999</v>
      </c>
      <c r="I116" s="14">
        <f>INDEX(新属性投放!F$14:F$34,属性汇总!$B116)*$C116</f>
        <v>519.12149999999997</v>
      </c>
      <c r="J116" s="14">
        <f>ROUND(D116+($A116-INDEX(新属性投放!$B$14:$B$34,属性汇总!$B116))*属性汇总!G116,0)</f>
        <v>7960</v>
      </c>
      <c r="K116" s="14">
        <f>ROUND(E116+($A116-INDEX(新属性投放!$B$14:$B$34,属性汇总!$B116))*属性汇总!H116,0)</f>
        <v>3937</v>
      </c>
      <c r="L116" s="14">
        <f>ROUND(F116+($A116-INDEX(新属性投放!$B$14:$B$34,属性汇总!$B116))*属性汇总!I116,0)</f>
        <v>24109</v>
      </c>
      <c r="R116" s="13">
        <v>101</v>
      </c>
      <c r="S116" s="13">
        <v>12</v>
      </c>
      <c r="T116" s="14">
        <f>INDEX(新属性投放!$L$6:$L$10,$S$3)*INDEX(新属性投放!$Q$6:$Q$10,$U$3)</f>
        <v>1.1499999999999999</v>
      </c>
      <c r="U116" s="14">
        <f>INDEX(新属性投放!J$42:J$62,属性汇总!$S116)*$T116</f>
        <v>7226.1399999999994</v>
      </c>
      <c r="V116" s="14">
        <f>INDEX(新属性投放!K$42:K$62,属性汇总!$S116)*$T116</f>
        <v>3524.52</v>
      </c>
      <c r="W116" s="14">
        <f>INDEX(新属性投放!L$42:L$62,属性汇总!$S116)*$T116</f>
        <v>37605</v>
      </c>
      <c r="X116" s="14">
        <f>INDEX(新属性投放!$D$42:$D$62,属性汇总!$S116)*$T116</f>
        <v>173.04049999999998</v>
      </c>
      <c r="Y116" s="14">
        <f>INDEX(新属性投放!$D$42:$D$62,属性汇总!$S116)*$T116</f>
        <v>173.04049999999998</v>
      </c>
      <c r="Z116" s="14">
        <f>INDEX(新属性投放!$D$42:$D$62,属性汇总!$S116)*$T116</f>
        <v>173.04049999999998</v>
      </c>
      <c r="AA116" s="14">
        <f>ROUND(U116+($R116-INDEX(新属性投放!$B$14:$B$34,属性汇总!$S116))*属性汇总!X116,0)</f>
        <v>8264</v>
      </c>
      <c r="AB116" s="14">
        <f>ROUND(V116+($R116-INDEX(新属性投放!$B$14:$B$34,属性汇总!$S116))*属性汇总!Y116,0)</f>
        <v>4563</v>
      </c>
      <c r="AC116" s="14">
        <f>ROUND(W116+($R116-INDEX(新属性投放!$B$14:$B$34,属性汇总!$S116))*属性汇总!Z116,0)</f>
        <v>38643</v>
      </c>
    </row>
    <row r="117" spans="1:29" ht="16.5" x14ac:dyDescent="0.2">
      <c r="A117" s="13">
        <v>102</v>
      </c>
      <c r="B117" s="13">
        <v>12</v>
      </c>
      <c r="C117" s="14">
        <f>INDEX(新属性投放!$L$6:$L$10,属性汇总!$B$3)*INDEX(新属性投放!$Q$6:$Q$10,属性汇总!$D$3)</f>
        <v>1.1499999999999999</v>
      </c>
      <c r="D117" s="14">
        <f>INDEX(新属性投放!J$14:J$34,属性汇总!$B117)*$C117</f>
        <v>6921.39</v>
      </c>
      <c r="E117" s="14">
        <f>INDEX(新属性投放!K$14:K$34,属性汇总!$B117)*$C117</f>
        <v>3417.57</v>
      </c>
      <c r="F117" s="14">
        <f>INDEX(新属性投放!L$14:L$34,属性汇总!$B117)*$C117</f>
        <v>20994.17</v>
      </c>
      <c r="G117" s="14">
        <f>INDEX(新属性投放!D$14:D$34,属性汇总!$B117)*$C117</f>
        <v>173.04049999999998</v>
      </c>
      <c r="H117" s="14">
        <f>INDEX(新属性投放!E$14:E$34,属性汇总!$B117)*$C117</f>
        <v>86.52024999999999</v>
      </c>
      <c r="I117" s="14">
        <f>INDEX(新属性投放!F$14:F$34,属性汇总!$B117)*$C117</f>
        <v>519.12149999999997</v>
      </c>
      <c r="J117" s="14">
        <f>ROUND(D117+($A117-INDEX(新属性投放!$B$14:$B$34,属性汇总!$B117))*属性汇总!G117,0)</f>
        <v>8133</v>
      </c>
      <c r="K117" s="14">
        <f>ROUND(E117+($A117-INDEX(新属性投放!$B$14:$B$34,属性汇总!$B117))*属性汇总!H117,0)</f>
        <v>4023</v>
      </c>
      <c r="L117" s="14">
        <f>ROUND(F117+($A117-INDEX(新属性投放!$B$14:$B$34,属性汇总!$B117))*属性汇总!I117,0)</f>
        <v>24628</v>
      </c>
      <c r="R117" s="13">
        <v>102</v>
      </c>
      <c r="S117" s="13">
        <v>12</v>
      </c>
      <c r="T117" s="14">
        <f>INDEX(新属性投放!$L$6:$L$10,$S$3)*INDEX(新属性投放!$Q$6:$Q$10,$U$3)</f>
        <v>1.1499999999999999</v>
      </c>
      <c r="U117" s="14">
        <f>INDEX(新属性投放!J$42:J$62,属性汇总!$S117)*$T117</f>
        <v>7226.1399999999994</v>
      </c>
      <c r="V117" s="14">
        <f>INDEX(新属性投放!K$42:K$62,属性汇总!$S117)*$T117</f>
        <v>3524.52</v>
      </c>
      <c r="W117" s="14">
        <f>INDEX(新属性投放!L$42:L$62,属性汇总!$S117)*$T117</f>
        <v>37605</v>
      </c>
      <c r="X117" s="14">
        <f>INDEX(新属性投放!$D$42:$D$62,属性汇总!$S117)*$T117</f>
        <v>173.04049999999998</v>
      </c>
      <c r="Y117" s="14">
        <f>INDEX(新属性投放!$D$42:$D$62,属性汇总!$S117)*$T117</f>
        <v>173.04049999999998</v>
      </c>
      <c r="Z117" s="14">
        <f>INDEX(新属性投放!$D$42:$D$62,属性汇总!$S117)*$T117</f>
        <v>173.04049999999998</v>
      </c>
      <c r="AA117" s="14">
        <f>ROUND(U117+($R117-INDEX(新属性投放!$B$14:$B$34,属性汇总!$S117))*属性汇总!X117,0)</f>
        <v>8437</v>
      </c>
      <c r="AB117" s="14">
        <f>ROUND(V117+($R117-INDEX(新属性投放!$B$14:$B$34,属性汇总!$S117))*属性汇总!Y117,0)</f>
        <v>4736</v>
      </c>
      <c r="AC117" s="14">
        <f>ROUND(W117+($R117-INDEX(新属性投放!$B$14:$B$34,属性汇总!$S117))*属性汇总!Z117,0)</f>
        <v>38816</v>
      </c>
    </row>
    <row r="118" spans="1:29" ht="16.5" x14ac:dyDescent="0.2">
      <c r="A118" s="13">
        <v>103</v>
      </c>
      <c r="B118" s="13">
        <v>12</v>
      </c>
      <c r="C118" s="14">
        <f>INDEX(新属性投放!$L$6:$L$10,属性汇总!$B$3)*INDEX(新属性投放!$Q$6:$Q$10,属性汇总!$D$3)</f>
        <v>1.1499999999999999</v>
      </c>
      <c r="D118" s="14">
        <f>INDEX(新属性投放!J$14:J$34,属性汇总!$B118)*$C118</f>
        <v>6921.39</v>
      </c>
      <c r="E118" s="14">
        <f>INDEX(新属性投放!K$14:K$34,属性汇总!$B118)*$C118</f>
        <v>3417.57</v>
      </c>
      <c r="F118" s="14">
        <f>INDEX(新属性投放!L$14:L$34,属性汇总!$B118)*$C118</f>
        <v>20994.17</v>
      </c>
      <c r="G118" s="14">
        <f>INDEX(新属性投放!D$14:D$34,属性汇总!$B118)*$C118</f>
        <v>173.04049999999998</v>
      </c>
      <c r="H118" s="14">
        <f>INDEX(新属性投放!E$14:E$34,属性汇总!$B118)*$C118</f>
        <v>86.52024999999999</v>
      </c>
      <c r="I118" s="14">
        <f>INDEX(新属性投放!F$14:F$34,属性汇总!$B118)*$C118</f>
        <v>519.12149999999997</v>
      </c>
      <c r="J118" s="14">
        <f>ROUND(D118+($A118-INDEX(新属性投放!$B$14:$B$34,属性汇总!$B118))*属性汇总!G118,0)</f>
        <v>8306</v>
      </c>
      <c r="K118" s="14">
        <f>ROUND(E118+($A118-INDEX(新属性投放!$B$14:$B$34,属性汇总!$B118))*属性汇总!H118,0)</f>
        <v>4110</v>
      </c>
      <c r="L118" s="14">
        <f>ROUND(F118+($A118-INDEX(新属性投放!$B$14:$B$34,属性汇总!$B118))*属性汇总!I118,0)</f>
        <v>25147</v>
      </c>
      <c r="R118" s="13">
        <v>103</v>
      </c>
      <c r="S118" s="13">
        <v>12</v>
      </c>
      <c r="T118" s="14">
        <f>INDEX(新属性投放!$L$6:$L$10,$S$3)*INDEX(新属性投放!$Q$6:$Q$10,$U$3)</f>
        <v>1.1499999999999999</v>
      </c>
      <c r="U118" s="14">
        <f>INDEX(新属性投放!J$42:J$62,属性汇总!$S118)*$T118</f>
        <v>7226.1399999999994</v>
      </c>
      <c r="V118" s="14">
        <f>INDEX(新属性投放!K$42:K$62,属性汇总!$S118)*$T118</f>
        <v>3524.52</v>
      </c>
      <c r="W118" s="14">
        <f>INDEX(新属性投放!L$42:L$62,属性汇总!$S118)*$T118</f>
        <v>37605</v>
      </c>
      <c r="X118" s="14">
        <f>INDEX(新属性投放!$D$42:$D$62,属性汇总!$S118)*$T118</f>
        <v>173.04049999999998</v>
      </c>
      <c r="Y118" s="14">
        <f>INDEX(新属性投放!$D$42:$D$62,属性汇总!$S118)*$T118</f>
        <v>173.04049999999998</v>
      </c>
      <c r="Z118" s="14">
        <f>INDEX(新属性投放!$D$42:$D$62,属性汇总!$S118)*$T118</f>
        <v>173.04049999999998</v>
      </c>
      <c r="AA118" s="14">
        <f>ROUND(U118+($R118-INDEX(新属性投放!$B$14:$B$34,属性汇总!$S118))*属性汇总!X118,0)</f>
        <v>8610</v>
      </c>
      <c r="AB118" s="14">
        <f>ROUND(V118+($R118-INDEX(新属性投放!$B$14:$B$34,属性汇总!$S118))*属性汇总!Y118,0)</f>
        <v>4909</v>
      </c>
      <c r="AC118" s="14">
        <f>ROUND(W118+($R118-INDEX(新属性投放!$B$14:$B$34,属性汇总!$S118))*属性汇总!Z118,0)</f>
        <v>38989</v>
      </c>
    </row>
    <row r="119" spans="1:29" ht="16.5" x14ac:dyDescent="0.2">
      <c r="A119" s="13">
        <v>104</v>
      </c>
      <c r="B119" s="13">
        <v>12</v>
      </c>
      <c r="C119" s="14">
        <f>INDEX(新属性投放!$L$6:$L$10,属性汇总!$B$3)*INDEX(新属性投放!$Q$6:$Q$10,属性汇总!$D$3)</f>
        <v>1.1499999999999999</v>
      </c>
      <c r="D119" s="14">
        <f>INDEX(新属性投放!J$14:J$34,属性汇总!$B119)*$C119</f>
        <v>6921.39</v>
      </c>
      <c r="E119" s="14">
        <f>INDEX(新属性投放!K$14:K$34,属性汇总!$B119)*$C119</f>
        <v>3417.57</v>
      </c>
      <c r="F119" s="14">
        <f>INDEX(新属性投放!L$14:L$34,属性汇总!$B119)*$C119</f>
        <v>20994.17</v>
      </c>
      <c r="G119" s="14">
        <f>INDEX(新属性投放!D$14:D$34,属性汇总!$B119)*$C119</f>
        <v>173.04049999999998</v>
      </c>
      <c r="H119" s="14">
        <f>INDEX(新属性投放!E$14:E$34,属性汇总!$B119)*$C119</f>
        <v>86.52024999999999</v>
      </c>
      <c r="I119" s="14">
        <f>INDEX(新属性投放!F$14:F$34,属性汇总!$B119)*$C119</f>
        <v>519.12149999999997</v>
      </c>
      <c r="J119" s="14">
        <f>ROUND(D119+($A119-INDEX(新属性投放!$B$14:$B$34,属性汇总!$B119))*属性汇总!G119,0)</f>
        <v>8479</v>
      </c>
      <c r="K119" s="14">
        <f>ROUND(E119+($A119-INDEX(新属性投放!$B$14:$B$34,属性汇总!$B119))*属性汇总!H119,0)</f>
        <v>4196</v>
      </c>
      <c r="L119" s="14">
        <f>ROUND(F119+($A119-INDEX(新属性投放!$B$14:$B$34,属性汇总!$B119))*属性汇总!I119,0)</f>
        <v>25666</v>
      </c>
      <c r="R119" s="13">
        <v>104</v>
      </c>
      <c r="S119" s="13">
        <v>12</v>
      </c>
      <c r="T119" s="14">
        <f>INDEX(新属性投放!$L$6:$L$10,$S$3)*INDEX(新属性投放!$Q$6:$Q$10,$U$3)</f>
        <v>1.1499999999999999</v>
      </c>
      <c r="U119" s="14">
        <f>INDEX(新属性投放!J$42:J$62,属性汇总!$S119)*$T119</f>
        <v>7226.1399999999994</v>
      </c>
      <c r="V119" s="14">
        <f>INDEX(新属性投放!K$42:K$62,属性汇总!$S119)*$T119</f>
        <v>3524.52</v>
      </c>
      <c r="W119" s="14">
        <f>INDEX(新属性投放!L$42:L$62,属性汇总!$S119)*$T119</f>
        <v>37605</v>
      </c>
      <c r="X119" s="14">
        <f>INDEX(新属性投放!$D$42:$D$62,属性汇总!$S119)*$T119</f>
        <v>173.04049999999998</v>
      </c>
      <c r="Y119" s="14">
        <f>INDEX(新属性投放!$D$42:$D$62,属性汇总!$S119)*$T119</f>
        <v>173.04049999999998</v>
      </c>
      <c r="Z119" s="14">
        <f>INDEX(新属性投放!$D$42:$D$62,属性汇总!$S119)*$T119</f>
        <v>173.04049999999998</v>
      </c>
      <c r="AA119" s="14">
        <f>ROUND(U119+($R119-INDEX(新属性投放!$B$14:$B$34,属性汇总!$S119))*属性汇总!X119,0)</f>
        <v>8784</v>
      </c>
      <c r="AB119" s="14">
        <f>ROUND(V119+($R119-INDEX(新属性投放!$B$14:$B$34,属性汇总!$S119))*属性汇总!Y119,0)</f>
        <v>5082</v>
      </c>
      <c r="AC119" s="14">
        <f>ROUND(W119+($R119-INDEX(新属性投放!$B$14:$B$34,属性汇总!$S119))*属性汇总!Z119,0)</f>
        <v>39162</v>
      </c>
    </row>
    <row r="120" spans="1:29" ht="16.5" x14ac:dyDescent="0.2">
      <c r="A120" s="13">
        <v>105</v>
      </c>
      <c r="B120" s="13">
        <v>12</v>
      </c>
      <c r="C120" s="14">
        <f>INDEX(新属性投放!$L$6:$L$10,属性汇总!$B$3)*INDEX(新属性投放!$Q$6:$Q$10,属性汇总!$D$3)</f>
        <v>1.1499999999999999</v>
      </c>
      <c r="D120" s="14">
        <f>INDEX(新属性投放!J$14:J$34,属性汇总!$B120)*$C120</f>
        <v>6921.39</v>
      </c>
      <c r="E120" s="14">
        <f>INDEX(新属性投放!K$14:K$34,属性汇总!$B120)*$C120</f>
        <v>3417.57</v>
      </c>
      <c r="F120" s="14">
        <f>INDEX(新属性投放!L$14:L$34,属性汇总!$B120)*$C120</f>
        <v>20994.17</v>
      </c>
      <c r="G120" s="14">
        <f>INDEX(新属性投放!D$14:D$34,属性汇总!$B120)*$C120</f>
        <v>173.04049999999998</v>
      </c>
      <c r="H120" s="14">
        <f>INDEX(新属性投放!E$14:E$34,属性汇总!$B120)*$C120</f>
        <v>86.52024999999999</v>
      </c>
      <c r="I120" s="14">
        <f>INDEX(新属性投放!F$14:F$34,属性汇总!$B120)*$C120</f>
        <v>519.12149999999997</v>
      </c>
      <c r="J120" s="14">
        <f>ROUND(D120+($A120-INDEX(新属性投放!$B$14:$B$34,属性汇总!$B120))*属性汇总!G120,0)</f>
        <v>8652</v>
      </c>
      <c r="K120" s="14">
        <f>ROUND(E120+($A120-INDEX(新属性投放!$B$14:$B$34,属性汇总!$B120))*属性汇总!H120,0)</f>
        <v>4283</v>
      </c>
      <c r="L120" s="14">
        <f>ROUND(F120+($A120-INDEX(新属性投放!$B$14:$B$34,属性汇总!$B120))*属性汇总!I120,0)</f>
        <v>26185</v>
      </c>
      <c r="R120" s="13">
        <v>105</v>
      </c>
      <c r="S120" s="13">
        <v>12</v>
      </c>
      <c r="T120" s="14">
        <f>INDEX(新属性投放!$L$6:$L$10,$S$3)*INDEX(新属性投放!$Q$6:$Q$10,$U$3)</f>
        <v>1.1499999999999999</v>
      </c>
      <c r="U120" s="14">
        <f>INDEX(新属性投放!J$42:J$62,属性汇总!$S120)*$T120</f>
        <v>7226.1399999999994</v>
      </c>
      <c r="V120" s="14">
        <f>INDEX(新属性投放!K$42:K$62,属性汇总!$S120)*$T120</f>
        <v>3524.52</v>
      </c>
      <c r="W120" s="14">
        <f>INDEX(新属性投放!L$42:L$62,属性汇总!$S120)*$T120</f>
        <v>37605</v>
      </c>
      <c r="X120" s="14">
        <f>INDEX(新属性投放!$D$42:$D$62,属性汇总!$S120)*$T120</f>
        <v>173.04049999999998</v>
      </c>
      <c r="Y120" s="14">
        <f>INDEX(新属性投放!$D$42:$D$62,属性汇总!$S120)*$T120</f>
        <v>173.04049999999998</v>
      </c>
      <c r="Z120" s="14">
        <f>INDEX(新属性投放!$D$42:$D$62,属性汇总!$S120)*$T120</f>
        <v>173.04049999999998</v>
      </c>
      <c r="AA120" s="14">
        <f>ROUND(U120+($R120-INDEX(新属性投放!$B$14:$B$34,属性汇总!$S120))*属性汇总!X120,0)</f>
        <v>8957</v>
      </c>
      <c r="AB120" s="14">
        <f>ROUND(V120+($R120-INDEX(新属性投放!$B$14:$B$34,属性汇总!$S120))*属性汇总!Y120,0)</f>
        <v>5255</v>
      </c>
      <c r="AC120" s="14">
        <f>ROUND(W120+($R120-INDEX(新属性投放!$B$14:$B$34,属性汇总!$S120))*属性汇总!Z120,0)</f>
        <v>39335</v>
      </c>
    </row>
    <row r="121" spans="1:29" s="20" customFormat="1" ht="16.5" x14ac:dyDescent="0.2">
      <c r="A121" s="13">
        <v>105</v>
      </c>
      <c r="B121" s="13">
        <v>13</v>
      </c>
      <c r="C121" s="14">
        <f>INDEX(新属性投放!$L$6:$L$10,属性汇总!$B$3)*INDEX(新属性投放!$Q$6:$Q$10,属性汇总!$D$3)</f>
        <v>1.1499999999999999</v>
      </c>
      <c r="D121" s="14">
        <f>INDEX(新属性投放!J$14:J$34,属性汇总!$B121)*$C121</f>
        <v>8002.7925000000005</v>
      </c>
      <c r="E121" s="14">
        <f>INDEX(新属性投放!K$14:K$34,属性汇总!$B121)*$C121</f>
        <v>3958.2712500000002</v>
      </c>
      <c r="F121" s="14">
        <f>INDEX(新属性投放!L$14:L$34,属性汇总!$B121)*$C121</f>
        <v>24238.377499999995</v>
      </c>
      <c r="G121" s="14">
        <f>INDEX(新属性投放!D$14:D$34,属性汇总!$B121)*$C121</f>
        <v>200.06549999999999</v>
      </c>
      <c r="H121" s="14">
        <f>INDEX(新属性投放!E$14:E$34,属性汇总!$B121)*$C121</f>
        <v>100.03274999999999</v>
      </c>
      <c r="I121" s="14">
        <f>INDEX(新属性投放!F$14:F$34,属性汇总!$B121)*$C121</f>
        <v>600.1964999999999</v>
      </c>
      <c r="J121" s="14">
        <f>ROUND(D121+($A121-INDEX(新属性投放!$B$14:$B$34,属性汇总!$B121))*属性汇总!G121,0)</f>
        <v>9003</v>
      </c>
      <c r="K121" s="14">
        <f>ROUND(E121+($A121-INDEX(新属性投放!$B$14:$B$34,属性汇总!$B121))*属性汇总!H121,0)</f>
        <v>4458</v>
      </c>
      <c r="L121" s="14">
        <f>ROUND(F121+($A121-INDEX(新属性投放!$B$14:$B$34,属性汇总!$B121))*属性汇总!I121,0)</f>
        <v>27239</v>
      </c>
      <c r="N121" s="37"/>
      <c r="O121" s="37"/>
      <c r="P121" s="37"/>
      <c r="R121" s="13">
        <v>105</v>
      </c>
      <c r="S121" s="13">
        <v>13</v>
      </c>
      <c r="T121" s="14">
        <f>INDEX(新属性投放!$L$6:$L$10,$S$3)*INDEX(新属性投放!$Q$6:$Q$10,$U$3)</f>
        <v>1.1499999999999999</v>
      </c>
      <c r="U121" s="14">
        <f>INDEX(新属性投放!J$42:J$62,属性汇总!$S121)*$T121</f>
        <v>8307.5424999999996</v>
      </c>
      <c r="V121" s="14">
        <f>INDEX(新属性投放!K$42:K$62,属性汇总!$S121)*$T121</f>
        <v>4065.2212500000001</v>
      </c>
      <c r="W121" s="14">
        <f>INDEX(新属性投放!L$42:L$62,属性汇总!$S121)*$T121</f>
        <v>43443.549999999996</v>
      </c>
      <c r="X121" s="14">
        <f>INDEX(新属性投放!$D$42:$D$62,属性汇总!$S121)*$T121</f>
        <v>200.06549999999999</v>
      </c>
      <c r="Y121" s="14">
        <f>INDEX(新属性投放!$D$42:$D$62,属性汇总!$S121)*$T121</f>
        <v>200.06549999999999</v>
      </c>
      <c r="Z121" s="14">
        <f>INDEX(新属性投放!$D$42:$D$62,属性汇总!$S121)*$T121</f>
        <v>200.06549999999999</v>
      </c>
      <c r="AA121" s="14">
        <f>ROUND(U121+($R121-INDEX(新属性投放!$B$14:$B$34,属性汇总!$S121))*属性汇总!X121,0)</f>
        <v>9308</v>
      </c>
      <c r="AB121" s="14">
        <f>ROUND(V121+($R121-INDEX(新属性投放!$B$14:$B$34,属性汇总!$S121))*属性汇总!Y121,0)</f>
        <v>5066</v>
      </c>
      <c r="AC121" s="14">
        <f>ROUND(W121+($R121-INDEX(新属性投放!$B$14:$B$34,属性汇总!$S121))*属性汇总!Z121,0)</f>
        <v>44444</v>
      </c>
    </row>
    <row r="122" spans="1:29" ht="16.5" x14ac:dyDescent="0.2">
      <c r="A122" s="13">
        <v>106</v>
      </c>
      <c r="B122" s="13">
        <v>13</v>
      </c>
      <c r="C122" s="14">
        <f>INDEX(新属性投放!$L$6:$L$10,属性汇总!$B$3)*INDEX(新属性投放!$Q$6:$Q$10,属性汇总!$D$3)</f>
        <v>1.1499999999999999</v>
      </c>
      <c r="D122" s="14">
        <f>INDEX(新属性投放!J$14:J$34,属性汇总!$B122)*$C122</f>
        <v>8002.7925000000005</v>
      </c>
      <c r="E122" s="14">
        <f>INDEX(新属性投放!K$14:K$34,属性汇总!$B122)*$C122</f>
        <v>3958.2712500000002</v>
      </c>
      <c r="F122" s="14">
        <f>INDEX(新属性投放!L$14:L$34,属性汇总!$B122)*$C122</f>
        <v>24238.377499999995</v>
      </c>
      <c r="G122" s="14">
        <f>INDEX(新属性投放!D$14:D$34,属性汇总!$B122)*$C122</f>
        <v>200.06549999999999</v>
      </c>
      <c r="H122" s="14">
        <f>INDEX(新属性投放!E$14:E$34,属性汇总!$B122)*$C122</f>
        <v>100.03274999999999</v>
      </c>
      <c r="I122" s="14">
        <f>INDEX(新属性投放!F$14:F$34,属性汇总!$B122)*$C122</f>
        <v>600.1964999999999</v>
      </c>
      <c r="J122" s="14">
        <f>ROUND(D122+($A122-INDEX(新属性投放!$B$14:$B$34,属性汇总!$B122))*属性汇总!G122,0)</f>
        <v>9203</v>
      </c>
      <c r="K122" s="14">
        <f>ROUND(E122+($A122-INDEX(新属性投放!$B$14:$B$34,属性汇总!$B122))*属性汇总!H122,0)</f>
        <v>4558</v>
      </c>
      <c r="L122" s="14">
        <f>ROUND(F122+($A122-INDEX(新属性投放!$B$14:$B$34,属性汇总!$B122))*属性汇总!I122,0)</f>
        <v>27840</v>
      </c>
      <c r="R122" s="13">
        <v>106</v>
      </c>
      <c r="S122" s="13">
        <v>13</v>
      </c>
      <c r="T122" s="14">
        <f>INDEX(新属性投放!$L$6:$L$10,$S$3)*INDEX(新属性投放!$Q$6:$Q$10,$U$3)</f>
        <v>1.1499999999999999</v>
      </c>
      <c r="U122" s="14">
        <f>INDEX(新属性投放!J$42:J$62,属性汇总!$S122)*$T122</f>
        <v>8307.5424999999996</v>
      </c>
      <c r="V122" s="14">
        <f>INDEX(新属性投放!K$42:K$62,属性汇总!$S122)*$T122</f>
        <v>4065.2212500000001</v>
      </c>
      <c r="W122" s="14">
        <f>INDEX(新属性投放!L$42:L$62,属性汇总!$S122)*$T122</f>
        <v>43443.549999999996</v>
      </c>
      <c r="X122" s="14">
        <f>INDEX(新属性投放!$D$42:$D$62,属性汇总!$S122)*$T122</f>
        <v>200.06549999999999</v>
      </c>
      <c r="Y122" s="14">
        <f>INDEX(新属性投放!$D$42:$D$62,属性汇总!$S122)*$T122</f>
        <v>200.06549999999999</v>
      </c>
      <c r="Z122" s="14">
        <f>INDEX(新属性投放!$D$42:$D$62,属性汇总!$S122)*$T122</f>
        <v>200.06549999999999</v>
      </c>
      <c r="AA122" s="14">
        <f>ROUND(U122+($R122-INDEX(新属性投放!$B$14:$B$34,属性汇总!$S122))*属性汇总!X122,0)</f>
        <v>9508</v>
      </c>
      <c r="AB122" s="14">
        <f>ROUND(V122+($R122-INDEX(新属性投放!$B$14:$B$34,属性汇总!$S122))*属性汇总!Y122,0)</f>
        <v>5266</v>
      </c>
      <c r="AC122" s="14">
        <f>ROUND(W122+($R122-INDEX(新属性投放!$B$14:$B$34,属性汇总!$S122))*属性汇总!Z122,0)</f>
        <v>44644</v>
      </c>
    </row>
    <row r="123" spans="1:29" ht="16.5" x14ac:dyDescent="0.2">
      <c r="A123" s="13">
        <v>107</v>
      </c>
      <c r="B123" s="13">
        <v>13</v>
      </c>
      <c r="C123" s="14">
        <f>INDEX(新属性投放!$L$6:$L$10,属性汇总!$B$3)*INDEX(新属性投放!$Q$6:$Q$10,属性汇总!$D$3)</f>
        <v>1.1499999999999999</v>
      </c>
      <c r="D123" s="14">
        <f>INDEX(新属性投放!J$14:J$34,属性汇总!$B123)*$C123</f>
        <v>8002.7925000000005</v>
      </c>
      <c r="E123" s="14">
        <f>INDEX(新属性投放!K$14:K$34,属性汇总!$B123)*$C123</f>
        <v>3958.2712500000002</v>
      </c>
      <c r="F123" s="14">
        <f>INDEX(新属性投放!L$14:L$34,属性汇总!$B123)*$C123</f>
        <v>24238.377499999995</v>
      </c>
      <c r="G123" s="14">
        <f>INDEX(新属性投放!D$14:D$34,属性汇总!$B123)*$C123</f>
        <v>200.06549999999999</v>
      </c>
      <c r="H123" s="14">
        <f>INDEX(新属性投放!E$14:E$34,属性汇总!$B123)*$C123</f>
        <v>100.03274999999999</v>
      </c>
      <c r="I123" s="14">
        <f>INDEX(新属性投放!F$14:F$34,属性汇总!$B123)*$C123</f>
        <v>600.1964999999999</v>
      </c>
      <c r="J123" s="14">
        <f>ROUND(D123+($A123-INDEX(新属性投放!$B$14:$B$34,属性汇总!$B123))*属性汇总!G123,0)</f>
        <v>9403</v>
      </c>
      <c r="K123" s="14">
        <f>ROUND(E123+($A123-INDEX(新属性投放!$B$14:$B$34,属性汇总!$B123))*属性汇总!H123,0)</f>
        <v>4659</v>
      </c>
      <c r="L123" s="14">
        <f>ROUND(F123+($A123-INDEX(新属性投放!$B$14:$B$34,属性汇总!$B123))*属性汇总!I123,0)</f>
        <v>28440</v>
      </c>
      <c r="R123" s="13">
        <v>107</v>
      </c>
      <c r="S123" s="13">
        <v>13</v>
      </c>
      <c r="T123" s="14">
        <f>INDEX(新属性投放!$L$6:$L$10,$S$3)*INDEX(新属性投放!$Q$6:$Q$10,$U$3)</f>
        <v>1.1499999999999999</v>
      </c>
      <c r="U123" s="14">
        <f>INDEX(新属性投放!J$42:J$62,属性汇总!$S123)*$T123</f>
        <v>8307.5424999999996</v>
      </c>
      <c r="V123" s="14">
        <f>INDEX(新属性投放!K$42:K$62,属性汇总!$S123)*$T123</f>
        <v>4065.2212500000001</v>
      </c>
      <c r="W123" s="14">
        <f>INDEX(新属性投放!L$42:L$62,属性汇总!$S123)*$T123</f>
        <v>43443.549999999996</v>
      </c>
      <c r="X123" s="14">
        <f>INDEX(新属性投放!$D$42:$D$62,属性汇总!$S123)*$T123</f>
        <v>200.06549999999999</v>
      </c>
      <c r="Y123" s="14">
        <f>INDEX(新属性投放!$D$42:$D$62,属性汇总!$S123)*$T123</f>
        <v>200.06549999999999</v>
      </c>
      <c r="Z123" s="14">
        <f>INDEX(新属性投放!$D$42:$D$62,属性汇总!$S123)*$T123</f>
        <v>200.06549999999999</v>
      </c>
      <c r="AA123" s="14">
        <f>ROUND(U123+($R123-INDEX(新属性投放!$B$14:$B$34,属性汇总!$S123))*属性汇总!X123,0)</f>
        <v>9708</v>
      </c>
      <c r="AB123" s="14">
        <f>ROUND(V123+($R123-INDEX(新属性投放!$B$14:$B$34,属性汇总!$S123))*属性汇总!Y123,0)</f>
        <v>5466</v>
      </c>
      <c r="AC123" s="14">
        <f>ROUND(W123+($R123-INDEX(新属性投放!$B$14:$B$34,属性汇总!$S123))*属性汇总!Z123,0)</f>
        <v>44844</v>
      </c>
    </row>
    <row r="124" spans="1:29" ht="16.5" x14ac:dyDescent="0.2">
      <c r="A124" s="13">
        <v>108</v>
      </c>
      <c r="B124" s="13">
        <v>13</v>
      </c>
      <c r="C124" s="14">
        <f>INDEX(新属性投放!$L$6:$L$10,属性汇总!$B$3)*INDEX(新属性投放!$Q$6:$Q$10,属性汇总!$D$3)</f>
        <v>1.1499999999999999</v>
      </c>
      <c r="D124" s="14">
        <f>INDEX(新属性投放!J$14:J$34,属性汇总!$B124)*$C124</f>
        <v>8002.7925000000005</v>
      </c>
      <c r="E124" s="14">
        <f>INDEX(新属性投放!K$14:K$34,属性汇总!$B124)*$C124</f>
        <v>3958.2712500000002</v>
      </c>
      <c r="F124" s="14">
        <f>INDEX(新属性投放!L$14:L$34,属性汇总!$B124)*$C124</f>
        <v>24238.377499999995</v>
      </c>
      <c r="G124" s="14">
        <f>INDEX(新属性投放!D$14:D$34,属性汇总!$B124)*$C124</f>
        <v>200.06549999999999</v>
      </c>
      <c r="H124" s="14">
        <f>INDEX(新属性投放!E$14:E$34,属性汇总!$B124)*$C124</f>
        <v>100.03274999999999</v>
      </c>
      <c r="I124" s="14">
        <f>INDEX(新属性投放!F$14:F$34,属性汇总!$B124)*$C124</f>
        <v>600.1964999999999</v>
      </c>
      <c r="J124" s="14">
        <f>ROUND(D124+($A124-INDEX(新属性投放!$B$14:$B$34,属性汇总!$B124))*属性汇总!G124,0)</f>
        <v>9603</v>
      </c>
      <c r="K124" s="14">
        <f>ROUND(E124+($A124-INDEX(新属性投放!$B$14:$B$34,属性汇总!$B124))*属性汇总!H124,0)</f>
        <v>4759</v>
      </c>
      <c r="L124" s="14">
        <f>ROUND(F124+($A124-INDEX(新属性投放!$B$14:$B$34,属性汇总!$B124))*属性汇总!I124,0)</f>
        <v>29040</v>
      </c>
      <c r="R124" s="13">
        <v>108</v>
      </c>
      <c r="S124" s="13">
        <v>13</v>
      </c>
      <c r="T124" s="14">
        <f>INDEX(新属性投放!$L$6:$L$10,$S$3)*INDEX(新属性投放!$Q$6:$Q$10,$U$3)</f>
        <v>1.1499999999999999</v>
      </c>
      <c r="U124" s="14">
        <f>INDEX(新属性投放!J$42:J$62,属性汇总!$S124)*$T124</f>
        <v>8307.5424999999996</v>
      </c>
      <c r="V124" s="14">
        <f>INDEX(新属性投放!K$42:K$62,属性汇总!$S124)*$T124</f>
        <v>4065.2212500000001</v>
      </c>
      <c r="W124" s="14">
        <f>INDEX(新属性投放!L$42:L$62,属性汇总!$S124)*$T124</f>
        <v>43443.549999999996</v>
      </c>
      <c r="X124" s="14">
        <f>INDEX(新属性投放!$D$42:$D$62,属性汇总!$S124)*$T124</f>
        <v>200.06549999999999</v>
      </c>
      <c r="Y124" s="14">
        <f>INDEX(新属性投放!$D$42:$D$62,属性汇总!$S124)*$T124</f>
        <v>200.06549999999999</v>
      </c>
      <c r="Z124" s="14">
        <f>INDEX(新属性投放!$D$42:$D$62,属性汇总!$S124)*$T124</f>
        <v>200.06549999999999</v>
      </c>
      <c r="AA124" s="14">
        <f>ROUND(U124+($R124-INDEX(新属性投放!$B$14:$B$34,属性汇总!$S124))*属性汇总!X124,0)</f>
        <v>9908</v>
      </c>
      <c r="AB124" s="14">
        <f>ROUND(V124+($R124-INDEX(新属性投放!$B$14:$B$34,属性汇总!$S124))*属性汇总!Y124,0)</f>
        <v>5666</v>
      </c>
      <c r="AC124" s="14">
        <f>ROUND(W124+($R124-INDEX(新属性投放!$B$14:$B$34,属性汇总!$S124))*属性汇总!Z124,0)</f>
        <v>45044</v>
      </c>
    </row>
    <row r="125" spans="1:29" ht="16.5" x14ac:dyDescent="0.2">
      <c r="A125" s="13">
        <v>109</v>
      </c>
      <c r="B125" s="13">
        <v>13</v>
      </c>
      <c r="C125" s="14">
        <f>INDEX(新属性投放!$L$6:$L$10,属性汇总!$B$3)*INDEX(新属性投放!$Q$6:$Q$10,属性汇总!$D$3)</f>
        <v>1.1499999999999999</v>
      </c>
      <c r="D125" s="14">
        <f>INDEX(新属性投放!J$14:J$34,属性汇总!$B125)*$C125</f>
        <v>8002.7925000000005</v>
      </c>
      <c r="E125" s="14">
        <f>INDEX(新属性投放!K$14:K$34,属性汇总!$B125)*$C125</f>
        <v>3958.2712500000002</v>
      </c>
      <c r="F125" s="14">
        <f>INDEX(新属性投放!L$14:L$34,属性汇总!$B125)*$C125</f>
        <v>24238.377499999995</v>
      </c>
      <c r="G125" s="14">
        <f>INDEX(新属性投放!D$14:D$34,属性汇总!$B125)*$C125</f>
        <v>200.06549999999999</v>
      </c>
      <c r="H125" s="14">
        <f>INDEX(新属性投放!E$14:E$34,属性汇总!$B125)*$C125</f>
        <v>100.03274999999999</v>
      </c>
      <c r="I125" s="14">
        <f>INDEX(新属性投放!F$14:F$34,属性汇总!$B125)*$C125</f>
        <v>600.1964999999999</v>
      </c>
      <c r="J125" s="14">
        <f>ROUND(D125+($A125-INDEX(新属性投放!$B$14:$B$34,属性汇总!$B125))*属性汇总!G125,0)</f>
        <v>9803</v>
      </c>
      <c r="K125" s="14">
        <f>ROUND(E125+($A125-INDEX(新属性投放!$B$14:$B$34,属性汇总!$B125))*属性汇总!H125,0)</f>
        <v>4859</v>
      </c>
      <c r="L125" s="14">
        <f>ROUND(F125+($A125-INDEX(新属性投放!$B$14:$B$34,属性汇总!$B125))*属性汇总!I125,0)</f>
        <v>29640</v>
      </c>
      <c r="R125" s="13">
        <v>109</v>
      </c>
      <c r="S125" s="13">
        <v>13</v>
      </c>
      <c r="T125" s="14">
        <f>INDEX(新属性投放!$L$6:$L$10,$S$3)*INDEX(新属性投放!$Q$6:$Q$10,$U$3)</f>
        <v>1.1499999999999999</v>
      </c>
      <c r="U125" s="14">
        <f>INDEX(新属性投放!J$42:J$62,属性汇总!$S125)*$T125</f>
        <v>8307.5424999999996</v>
      </c>
      <c r="V125" s="14">
        <f>INDEX(新属性投放!K$42:K$62,属性汇总!$S125)*$T125</f>
        <v>4065.2212500000001</v>
      </c>
      <c r="W125" s="14">
        <f>INDEX(新属性投放!L$42:L$62,属性汇总!$S125)*$T125</f>
        <v>43443.549999999996</v>
      </c>
      <c r="X125" s="14">
        <f>INDEX(新属性投放!$D$42:$D$62,属性汇总!$S125)*$T125</f>
        <v>200.06549999999999</v>
      </c>
      <c r="Y125" s="14">
        <f>INDEX(新属性投放!$D$42:$D$62,属性汇总!$S125)*$T125</f>
        <v>200.06549999999999</v>
      </c>
      <c r="Z125" s="14">
        <f>INDEX(新属性投放!$D$42:$D$62,属性汇总!$S125)*$T125</f>
        <v>200.06549999999999</v>
      </c>
      <c r="AA125" s="14">
        <f>ROUND(U125+($R125-INDEX(新属性投放!$B$14:$B$34,属性汇总!$S125))*属性汇总!X125,0)</f>
        <v>10108</v>
      </c>
      <c r="AB125" s="14">
        <f>ROUND(V125+($R125-INDEX(新属性投放!$B$14:$B$34,属性汇总!$S125))*属性汇总!Y125,0)</f>
        <v>5866</v>
      </c>
      <c r="AC125" s="14">
        <f>ROUND(W125+($R125-INDEX(新属性投放!$B$14:$B$34,属性汇总!$S125))*属性汇总!Z125,0)</f>
        <v>45244</v>
      </c>
    </row>
    <row r="126" spans="1:29" ht="16.5" x14ac:dyDescent="0.2">
      <c r="A126" s="13">
        <v>110</v>
      </c>
      <c r="B126" s="13">
        <v>13</v>
      </c>
      <c r="C126" s="14">
        <f>INDEX(新属性投放!$L$6:$L$10,属性汇总!$B$3)*INDEX(新属性投放!$Q$6:$Q$10,属性汇总!$D$3)</f>
        <v>1.1499999999999999</v>
      </c>
      <c r="D126" s="14">
        <f>INDEX(新属性投放!J$14:J$34,属性汇总!$B126)*$C126</f>
        <v>8002.7925000000005</v>
      </c>
      <c r="E126" s="14">
        <f>INDEX(新属性投放!K$14:K$34,属性汇总!$B126)*$C126</f>
        <v>3958.2712500000002</v>
      </c>
      <c r="F126" s="14">
        <f>INDEX(新属性投放!L$14:L$34,属性汇总!$B126)*$C126</f>
        <v>24238.377499999995</v>
      </c>
      <c r="G126" s="14">
        <f>INDEX(新属性投放!D$14:D$34,属性汇总!$B126)*$C126</f>
        <v>200.06549999999999</v>
      </c>
      <c r="H126" s="14">
        <f>INDEX(新属性投放!E$14:E$34,属性汇总!$B126)*$C126</f>
        <v>100.03274999999999</v>
      </c>
      <c r="I126" s="14">
        <f>INDEX(新属性投放!F$14:F$34,属性汇总!$B126)*$C126</f>
        <v>600.1964999999999</v>
      </c>
      <c r="J126" s="14">
        <f>ROUND(D126+($A126-INDEX(新属性投放!$B$14:$B$34,属性汇总!$B126))*属性汇总!G126,0)</f>
        <v>10003</v>
      </c>
      <c r="K126" s="14">
        <f>ROUND(E126+($A126-INDEX(新属性投放!$B$14:$B$34,属性汇总!$B126))*属性汇总!H126,0)</f>
        <v>4959</v>
      </c>
      <c r="L126" s="14">
        <f>ROUND(F126+($A126-INDEX(新属性投放!$B$14:$B$34,属性汇总!$B126))*属性汇总!I126,0)</f>
        <v>30240</v>
      </c>
      <c r="R126" s="13">
        <v>110</v>
      </c>
      <c r="S126" s="13">
        <v>13</v>
      </c>
      <c r="T126" s="14">
        <f>INDEX(新属性投放!$L$6:$L$10,$S$3)*INDEX(新属性投放!$Q$6:$Q$10,$U$3)</f>
        <v>1.1499999999999999</v>
      </c>
      <c r="U126" s="14">
        <f>INDEX(新属性投放!J$42:J$62,属性汇总!$S126)*$T126</f>
        <v>8307.5424999999996</v>
      </c>
      <c r="V126" s="14">
        <f>INDEX(新属性投放!K$42:K$62,属性汇总!$S126)*$T126</f>
        <v>4065.2212500000001</v>
      </c>
      <c r="W126" s="14">
        <f>INDEX(新属性投放!L$42:L$62,属性汇总!$S126)*$T126</f>
        <v>43443.549999999996</v>
      </c>
      <c r="X126" s="14">
        <f>INDEX(新属性投放!$D$42:$D$62,属性汇总!$S126)*$T126</f>
        <v>200.06549999999999</v>
      </c>
      <c r="Y126" s="14">
        <f>INDEX(新属性投放!$D$42:$D$62,属性汇总!$S126)*$T126</f>
        <v>200.06549999999999</v>
      </c>
      <c r="Z126" s="14">
        <f>INDEX(新属性投放!$D$42:$D$62,属性汇总!$S126)*$T126</f>
        <v>200.06549999999999</v>
      </c>
      <c r="AA126" s="14">
        <f>ROUND(U126+($R126-INDEX(新属性投放!$B$14:$B$34,属性汇总!$S126))*属性汇总!X126,0)</f>
        <v>10308</v>
      </c>
      <c r="AB126" s="14">
        <f>ROUND(V126+($R126-INDEX(新属性投放!$B$14:$B$34,属性汇总!$S126))*属性汇总!Y126,0)</f>
        <v>6066</v>
      </c>
      <c r="AC126" s="14">
        <f>ROUND(W126+($R126-INDEX(新属性投放!$B$14:$B$34,属性汇总!$S126))*属性汇总!Z126,0)</f>
        <v>45444</v>
      </c>
    </row>
    <row r="127" spans="1:29" s="20" customFormat="1" ht="16.5" x14ac:dyDescent="0.2">
      <c r="A127" s="13">
        <v>110</v>
      </c>
      <c r="B127" s="13">
        <v>14</v>
      </c>
      <c r="C127" s="14">
        <f>INDEX(新属性投放!$L$6:$L$10,属性汇总!$B$3)*INDEX(新属性投放!$Q$6:$Q$10,属性汇总!$D$3)</f>
        <v>1.1499999999999999</v>
      </c>
      <c r="D127" s="14">
        <f>INDEX(新属性投放!J$14:J$34,属性汇总!$B127)*$C127</f>
        <v>9252.67</v>
      </c>
      <c r="E127" s="14">
        <f>INDEX(新属性投放!K$14:K$34,属性汇总!$B127)*$C127</f>
        <v>4583.7849999999999</v>
      </c>
      <c r="F127" s="14">
        <f>INDEX(新属性投放!L$14:L$34,属性汇总!$B127)*$C127</f>
        <v>27988.009999999995</v>
      </c>
      <c r="G127" s="14">
        <f>INDEX(新属性投放!D$14:D$34,属性汇总!$B127)*$C127</f>
        <v>231.32249999999999</v>
      </c>
      <c r="H127" s="14">
        <f>INDEX(新属性投放!E$14:E$34,属性汇总!$B127)*$C127</f>
        <v>115.66125</v>
      </c>
      <c r="I127" s="14">
        <f>INDEX(新属性投放!F$14:F$34,属性汇总!$B127)*$C127</f>
        <v>693.96749999999997</v>
      </c>
      <c r="J127" s="14">
        <f>ROUND(D127+($A127-INDEX(新属性投放!$B$14:$B$34,属性汇总!$B127))*属性汇总!G127,0)</f>
        <v>10409</v>
      </c>
      <c r="K127" s="14">
        <f>ROUND(E127+($A127-INDEX(新属性投放!$B$14:$B$34,属性汇总!$B127))*属性汇总!H127,0)</f>
        <v>5162</v>
      </c>
      <c r="L127" s="14">
        <f>ROUND(F127+($A127-INDEX(新属性投放!$B$14:$B$34,属性汇总!$B127))*属性汇总!I127,0)</f>
        <v>31458</v>
      </c>
      <c r="N127" s="37"/>
      <c r="O127" s="37"/>
      <c r="P127" s="37"/>
      <c r="R127" s="13">
        <v>110</v>
      </c>
      <c r="S127" s="13">
        <v>14</v>
      </c>
      <c r="T127" s="14">
        <f>INDEX(新属性投放!$L$6:$L$10,$S$3)*INDEX(新属性投放!$Q$6:$Q$10,$U$3)</f>
        <v>1.1499999999999999</v>
      </c>
      <c r="U127" s="14">
        <f>INDEX(新属性投放!J$42:J$62,属性汇总!$S127)*$T127</f>
        <v>9557.42</v>
      </c>
      <c r="V127" s="14">
        <f>INDEX(新属性投放!K$42:K$62,属性汇总!$S127)*$T127</f>
        <v>4690.7350000000006</v>
      </c>
      <c r="W127" s="14">
        <f>INDEX(新属性投放!L$42:L$62,属性汇总!$S127)*$T127</f>
        <v>50185.999999999993</v>
      </c>
      <c r="X127" s="14">
        <f>INDEX(新属性投放!$D$42:$D$62,属性汇总!$S127)*$T127</f>
        <v>231.32249999999999</v>
      </c>
      <c r="Y127" s="14">
        <f>INDEX(新属性投放!$D$42:$D$62,属性汇总!$S127)*$T127</f>
        <v>231.32249999999999</v>
      </c>
      <c r="Z127" s="14">
        <f>INDEX(新属性投放!$D$42:$D$62,属性汇总!$S127)*$T127</f>
        <v>231.32249999999999</v>
      </c>
      <c r="AA127" s="14">
        <f>ROUND(U127+($R127-INDEX(新属性投放!$B$14:$B$34,属性汇总!$S127))*属性汇总!X127,0)</f>
        <v>10714</v>
      </c>
      <c r="AB127" s="14">
        <f>ROUND(V127+($R127-INDEX(新属性投放!$B$14:$B$34,属性汇总!$S127))*属性汇总!Y127,0)</f>
        <v>5847</v>
      </c>
      <c r="AC127" s="14">
        <f>ROUND(W127+($R127-INDEX(新属性投放!$B$14:$B$34,属性汇总!$S127))*属性汇总!Z127,0)</f>
        <v>51343</v>
      </c>
    </row>
    <row r="128" spans="1:29" ht="16.5" x14ac:dyDescent="0.2">
      <c r="A128" s="13">
        <v>111</v>
      </c>
      <c r="B128" s="13">
        <v>14</v>
      </c>
      <c r="C128" s="14">
        <f>INDEX(新属性投放!$L$6:$L$10,属性汇总!$B$3)*INDEX(新属性投放!$Q$6:$Q$10,属性汇总!$D$3)</f>
        <v>1.1499999999999999</v>
      </c>
      <c r="D128" s="14">
        <f>INDEX(新属性投放!J$14:J$34,属性汇总!$B128)*$C128</f>
        <v>9252.67</v>
      </c>
      <c r="E128" s="14">
        <f>INDEX(新属性投放!K$14:K$34,属性汇总!$B128)*$C128</f>
        <v>4583.7849999999999</v>
      </c>
      <c r="F128" s="14">
        <f>INDEX(新属性投放!L$14:L$34,属性汇总!$B128)*$C128</f>
        <v>27988.009999999995</v>
      </c>
      <c r="G128" s="14">
        <f>INDEX(新属性投放!D$14:D$34,属性汇总!$B128)*$C128</f>
        <v>231.32249999999999</v>
      </c>
      <c r="H128" s="14">
        <f>INDEX(新属性投放!E$14:E$34,属性汇总!$B128)*$C128</f>
        <v>115.66125</v>
      </c>
      <c r="I128" s="14">
        <f>INDEX(新属性投放!F$14:F$34,属性汇总!$B128)*$C128</f>
        <v>693.96749999999997</v>
      </c>
      <c r="J128" s="14">
        <f>ROUND(D128+($A128-INDEX(新属性投放!$B$14:$B$34,属性汇总!$B128))*属性汇总!G128,0)</f>
        <v>10641</v>
      </c>
      <c r="K128" s="14">
        <f>ROUND(E128+($A128-INDEX(新属性投放!$B$14:$B$34,属性汇总!$B128))*属性汇总!H128,0)</f>
        <v>5278</v>
      </c>
      <c r="L128" s="14">
        <f>ROUND(F128+($A128-INDEX(新属性投放!$B$14:$B$34,属性汇总!$B128))*属性汇总!I128,0)</f>
        <v>32152</v>
      </c>
      <c r="R128" s="13">
        <v>111</v>
      </c>
      <c r="S128" s="13">
        <v>14</v>
      </c>
      <c r="T128" s="14">
        <f>INDEX(新属性投放!$L$6:$L$10,$S$3)*INDEX(新属性投放!$Q$6:$Q$10,$U$3)</f>
        <v>1.1499999999999999</v>
      </c>
      <c r="U128" s="14">
        <f>INDEX(新属性投放!J$42:J$62,属性汇总!$S128)*$T128</f>
        <v>9557.42</v>
      </c>
      <c r="V128" s="14">
        <f>INDEX(新属性投放!K$42:K$62,属性汇总!$S128)*$T128</f>
        <v>4690.7350000000006</v>
      </c>
      <c r="W128" s="14">
        <f>INDEX(新属性投放!L$42:L$62,属性汇总!$S128)*$T128</f>
        <v>50185.999999999993</v>
      </c>
      <c r="X128" s="14">
        <f>INDEX(新属性投放!$D$42:$D$62,属性汇总!$S128)*$T128</f>
        <v>231.32249999999999</v>
      </c>
      <c r="Y128" s="14">
        <f>INDEX(新属性投放!$D$42:$D$62,属性汇总!$S128)*$T128</f>
        <v>231.32249999999999</v>
      </c>
      <c r="Z128" s="14">
        <f>INDEX(新属性投放!$D$42:$D$62,属性汇总!$S128)*$T128</f>
        <v>231.32249999999999</v>
      </c>
      <c r="AA128" s="14">
        <f>ROUND(U128+($R128-INDEX(新属性投放!$B$14:$B$34,属性汇总!$S128))*属性汇总!X128,0)</f>
        <v>10945</v>
      </c>
      <c r="AB128" s="14">
        <f>ROUND(V128+($R128-INDEX(新属性投放!$B$14:$B$34,属性汇总!$S128))*属性汇总!Y128,0)</f>
        <v>6079</v>
      </c>
      <c r="AC128" s="14">
        <f>ROUND(W128+($R128-INDEX(新属性投放!$B$14:$B$34,属性汇总!$S128))*属性汇总!Z128,0)</f>
        <v>51574</v>
      </c>
    </row>
    <row r="129" spans="1:29" ht="16.5" x14ac:dyDescent="0.2">
      <c r="A129" s="13">
        <v>112</v>
      </c>
      <c r="B129" s="13">
        <v>14</v>
      </c>
      <c r="C129" s="14">
        <f>INDEX(新属性投放!$L$6:$L$10,属性汇总!$B$3)*INDEX(新属性投放!$Q$6:$Q$10,属性汇总!$D$3)</f>
        <v>1.1499999999999999</v>
      </c>
      <c r="D129" s="14">
        <f>INDEX(新属性投放!J$14:J$34,属性汇总!$B129)*$C129</f>
        <v>9252.67</v>
      </c>
      <c r="E129" s="14">
        <f>INDEX(新属性投放!K$14:K$34,属性汇总!$B129)*$C129</f>
        <v>4583.7849999999999</v>
      </c>
      <c r="F129" s="14">
        <f>INDEX(新属性投放!L$14:L$34,属性汇总!$B129)*$C129</f>
        <v>27988.009999999995</v>
      </c>
      <c r="G129" s="14">
        <f>INDEX(新属性投放!D$14:D$34,属性汇总!$B129)*$C129</f>
        <v>231.32249999999999</v>
      </c>
      <c r="H129" s="14">
        <f>INDEX(新属性投放!E$14:E$34,属性汇总!$B129)*$C129</f>
        <v>115.66125</v>
      </c>
      <c r="I129" s="14">
        <f>INDEX(新属性投放!F$14:F$34,属性汇总!$B129)*$C129</f>
        <v>693.96749999999997</v>
      </c>
      <c r="J129" s="14">
        <f>ROUND(D129+($A129-INDEX(新属性投放!$B$14:$B$34,属性汇总!$B129))*属性汇总!G129,0)</f>
        <v>10872</v>
      </c>
      <c r="K129" s="14">
        <f>ROUND(E129+($A129-INDEX(新属性投放!$B$14:$B$34,属性汇总!$B129))*属性汇总!H129,0)</f>
        <v>5393</v>
      </c>
      <c r="L129" s="14">
        <f>ROUND(F129+($A129-INDEX(新属性投放!$B$14:$B$34,属性汇总!$B129))*属性汇总!I129,0)</f>
        <v>32846</v>
      </c>
      <c r="R129" s="13">
        <v>112</v>
      </c>
      <c r="S129" s="13">
        <v>14</v>
      </c>
      <c r="T129" s="14">
        <f>INDEX(新属性投放!$L$6:$L$10,$S$3)*INDEX(新属性投放!$Q$6:$Q$10,$U$3)</f>
        <v>1.1499999999999999</v>
      </c>
      <c r="U129" s="14">
        <f>INDEX(新属性投放!J$42:J$62,属性汇总!$S129)*$T129</f>
        <v>9557.42</v>
      </c>
      <c r="V129" s="14">
        <f>INDEX(新属性投放!K$42:K$62,属性汇总!$S129)*$T129</f>
        <v>4690.7350000000006</v>
      </c>
      <c r="W129" s="14">
        <f>INDEX(新属性投放!L$42:L$62,属性汇总!$S129)*$T129</f>
        <v>50185.999999999993</v>
      </c>
      <c r="X129" s="14">
        <f>INDEX(新属性投放!$D$42:$D$62,属性汇总!$S129)*$T129</f>
        <v>231.32249999999999</v>
      </c>
      <c r="Y129" s="14">
        <f>INDEX(新属性投放!$D$42:$D$62,属性汇总!$S129)*$T129</f>
        <v>231.32249999999999</v>
      </c>
      <c r="Z129" s="14">
        <f>INDEX(新属性投放!$D$42:$D$62,属性汇总!$S129)*$T129</f>
        <v>231.32249999999999</v>
      </c>
      <c r="AA129" s="14">
        <f>ROUND(U129+($R129-INDEX(新属性投放!$B$14:$B$34,属性汇总!$S129))*属性汇总!X129,0)</f>
        <v>11177</v>
      </c>
      <c r="AB129" s="14">
        <f>ROUND(V129+($R129-INDEX(新属性投放!$B$14:$B$34,属性汇总!$S129))*属性汇总!Y129,0)</f>
        <v>6310</v>
      </c>
      <c r="AC129" s="14">
        <f>ROUND(W129+($R129-INDEX(新属性投放!$B$14:$B$34,属性汇总!$S129))*属性汇总!Z129,0)</f>
        <v>51805</v>
      </c>
    </row>
    <row r="130" spans="1:29" ht="16.5" x14ac:dyDescent="0.2">
      <c r="A130" s="13">
        <v>113</v>
      </c>
      <c r="B130" s="13">
        <v>14</v>
      </c>
      <c r="C130" s="14">
        <f>INDEX(新属性投放!$L$6:$L$10,属性汇总!$B$3)*INDEX(新属性投放!$Q$6:$Q$10,属性汇总!$D$3)</f>
        <v>1.1499999999999999</v>
      </c>
      <c r="D130" s="14">
        <f>INDEX(新属性投放!J$14:J$34,属性汇总!$B130)*$C130</f>
        <v>9252.67</v>
      </c>
      <c r="E130" s="14">
        <f>INDEX(新属性投放!K$14:K$34,属性汇总!$B130)*$C130</f>
        <v>4583.7849999999999</v>
      </c>
      <c r="F130" s="14">
        <f>INDEX(新属性投放!L$14:L$34,属性汇总!$B130)*$C130</f>
        <v>27988.009999999995</v>
      </c>
      <c r="G130" s="14">
        <f>INDEX(新属性投放!D$14:D$34,属性汇总!$B130)*$C130</f>
        <v>231.32249999999999</v>
      </c>
      <c r="H130" s="14">
        <f>INDEX(新属性投放!E$14:E$34,属性汇总!$B130)*$C130</f>
        <v>115.66125</v>
      </c>
      <c r="I130" s="14">
        <f>INDEX(新属性投放!F$14:F$34,属性汇总!$B130)*$C130</f>
        <v>693.96749999999997</v>
      </c>
      <c r="J130" s="14">
        <f>ROUND(D130+($A130-INDEX(新属性投放!$B$14:$B$34,属性汇总!$B130))*属性汇总!G130,0)</f>
        <v>11103</v>
      </c>
      <c r="K130" s="14">
        <f>ROUND(E130+($A130-INDEX(新属性投放!$B$14:$B$34,属性汇总!$B130))*属性汇总!H130,0)</f>
        <v>5509</v>
      </c>
      <c r="L130" s="14">
        <f>ROUND(F130+($A130-INDEX(新属性投放!$B$14:$B$34,属性汇总!$B130))*属性汇总!I130,0)</f>
        <v>33540</v>
      </c>
      <c r="R130" s="13">
        <v>113</v>
      </c>
      <c r="S130" s="13">
        <v>14</v>
      </c>
      <c r="T130" s="14">
        <f>INDEX(新属性投放!$L$6:$L$10,$S$3)*INDEX(新属性投放!$Q$6:$Q$10,$U$3)</f>
        <v>1.1499999999999999</v>
      </c>
      <c r="U130" s="14">
        <f>INDEX(新属性投放!J$42:J$62,属性汇总!$S130)*$T130</f>
        <v>9557.42</v>
      </c>
      <c r="V130" s="14">
        <f>INDEX(新属性投放!K$42:K$62,属性汇总!$S130)*$T130</f>
        <v>4690.7350000000006</v>
      </c>
      <c r="W130" s="14">
        <f>INDEX(新属性投放!L$42:L$62,属性汇总!$S130)*$T130</f>
        <v>50185.999999999993</v>
      </c>
      <c r="X130" s="14">
        <f>INDEX(新属性投放!$D$42:$D$62,属性汇总!$S130)*$T130</f>
        <v>231.32249999999999</v>
      </c>
      <c r="Y130" s="14">
        <f>INDEX(新属性投放!$D$42:$D$62,属性汇总!$S130)*$T130</f>
        <v>231.32249999999999</v>
      </c>
      <c r="Z130" s="14">
        <f>INDEX(新属性投放!$D$42:$D$62,属性汇总!$S130)*$T130</f>
        <v>231.32249999999999</v>
      </c>
      <c r="AA130" s="14">
        <f>ROUND(U130+($R130-INDEX(新属性投放!$B$14:$B$34,属性汇总!$S130))*属性汇总!X130,0)</f>
        <v>11408</v>
      </c>
      <c r="AB130" s="14">
        <f>ROUND(V130+($R130-INDEX(新属性投放!$B$14:$B$34,属性汇总!$S130))*属性汇总!Y130,0)</f>
        <v>6541</v>
      </c>
      <c r="AC130" s="14">
        <f>ROUND(W130+($R130-INDEX(新属性投放!$B$14:$B$34,属性汇总!$S130))*属性汇总!Z130,0)</f>
        <v>52037</v>
      </c>
    </row>
    <row r="131" spans="1:29" ht="16.5" x14ac:dyDescent="0.2">
      <c r="A131" s="13">
        <v>114</v>
      </c>
      <c r="B131" s="13">
        <v>14</v>
      </c>
      <c r="C131" s="14">
        <f>INDEX(新属性投放!$L$6:$L$10,属性汇总!$B$3)*INDEX(新属性投放!$Q$6:$Q$10,属性汇总!$D$3)</f>
        <v>1.1499999999999999</v>
      </c>
      <c r="D131" s="14">
        <f>INDEX(新属性投放!J$14:J$34,属性汇总!$B131)*$C131</f>
        <v>9252.67</v>
      </c>
      <c r="E131" s="14">
        <f>INDEX(新属性投放!K$14:K$34,属性汇总!$B131)*$C131</f>
        <v>4583.7849999999999</v>
      </c>
      <c r="F131" s="14">
        <f>INDEX(新属性投放!L$14:L$34,属性汇总!$B131)*$C131</f>
        <v>27988.009999999995</v>
      </c>
      <c r="G131" s="14">
        <f>INDEX(新属性投放!D$14:D$34,属性汇总!$B131)*$C131</f>
        <v>231.32249999999999</v>
      </c>
      <c r="H131" s="14">
        <f>INDEX(新属性投放!E$14:E$34,属性汇总!$B131)*$C131</f>
        <v>115.66125</v>
      </c>
      <c r="I131" s="14">
        <f>INDEX(新属性投放!F$14:F$34,属性汇总!$B131)*$C131</f>
        <v>693.96749999999997</v>
      </c>
      <c r="J131" s="14">
        <f>ROUND(D131+($A131-INDEX(新属性投放!$B$14:$B$34,属性汇总!$B131))*属性汇总!G131,0)</f>
        <v>11335</v>
      </c>
      <c r="K131" s="14">
        <f>ROUND(E131+($A131-INDEX(新属性投放!$B$14:$B$34,属性汇总!$B131))*属性汇总!H131,0)</f>
        <v>5625</v>
      </c>
      <c r="L131" s="14">
        <f>ROUND(F131+($A131-INDEX(新属性投放!$B$14:$B$34,属性汇总!$B131))*属性汇总!I131,0)</f>
        <v>34234</v>
      </c>
      <c r="R131" s="13">
        <v>114</v>
      </c>
      <c r="S131" s="13">
        <v>14</v>
      </c>
      <c r="T131" s="14">
        <f>INDEX(新属性投放!$L$6:$L$10,$S$3)*INDEX(新属性投放!$Q$6:$Q$10,$U$3)</f>
        <v>1.1499999999999999</v>
      </c>
      <c r="U131" s="14">
        <f>INDEX(新属性投放!J$42:J$62,属性汇总!$S131)*$T131</f>
        <v>9557.42</v>
      </c>
      <c r="V131" s="14">
        <f>INDEX(新属性投放!K$42:K$62,属性汇总!$S131)*$T131</f>
        <v>4690.7350000000006</v>
      </c>
      <c r="W131" s="14">
        <f>INDEX(新属性投放!L$42:L$62,属性汇总!$S131)*$T131</f>
        <v>50185.999999999993</v>
      </c>
      <c r="X131" s="14">
        <f>INDEX(新属性投放!$D$42:$D$62,属性汇总!$S131)*$T131</f>
        <v>231.32249999999999</v>
      </c>
      <c r="Y131" s="14">
        <f>INDEX(新属性投放!$D$42:$D$62,属性汇总!$S131)*$T131</f>
        <v>231.32249999999999</v>
      </c>
      <c r="Z131" s="14">
        <f>INDEX(新属性投放!$D$42:$D$62,属性汇总!$S131)*$T131</f>
        <v>231.32249999999999</v>
      </c>
      <c r="AA131" s="14">
        <f>ROUND(U131+($R131-INDEX(新属性投放!$B$14:$B$34,属性汇总!$S131))*属性汇总!X131,0)</f>
        <v>11639</v>
      </c>
      <c r="AB131" s="14">
        <f>ROUND(V131+($R131-INDEX(新属性投放!$B$14:$B$34,属性汇总!$S131))*属性汇总!Y131,0)</f>
        <v>6773</v>
      </c>
      <c r="AC131" s="14">
        <f>ROUND(W131+($R131-INDEX(新属性投放!$B$14:$B$34,属性汇总!$S131))*属性汇总!Z131,0)</f>
        <v>52268</v>
      </c>
    </row>
    <row r="132" spans="1:29" ht="16.5" x14ac:dyDescent="0.2">
      <c r="A132" s="13">
        <v>115</v>
      </c>
      <c r="B132" s="13">
        <v>14</v>
      </c>
      <c r="C132" s="14">
        <f>INDEX(新属性投放!$L$6:$L$10,属性汇总!$B$3)*INDEX(新属性投放!$Q$6:$Q$10,属性汇总!$D$3)</f>
        <v>1.1499999999999999</v>
      </c>
      <c r="D132" s="14">
        <f>INDEX(新属性投放!J$14:J$34,属性汇总!$B132)*$C132</f>
        <v>9252.67</v>
      </c>
      <c r="E132" s="14">
        <f>INDEX(新属性投放!K$14:K$34,属性汇总!$B132)*$C132</f>
        <v>4583.7849999999999</v>
      </c>
      <c r="F132" s="14">
        <f>INDEX(新属性投放!L$14:L$34,属性汇总!$B132)*$C132</f>
        <v>27988.009999999995</v>
      </c>
      <c r="G132" s="14">
        <f>INDEX(新属性投放!D$14:D$34,属性汇总!$B132)*$C132</f>
        <v>231.32249999999999</v>
      </c>
      <c r="H132" s="14">
        <f>INDEX(新属性投放!E$14:E$34,属性汇总!$B132)*$C132</f>
        <v>115.66125</v>
      </c>
      <c r="I132" s="14">
        <f>INDEX(新属性投放!F$14:F$34,属性汇总!$B132)*$C132</f>
        <v>693.96749999999997</v>
      </c>
      <c r="J132" s="14">
        <f>ROUND(D132+($A132-INDEX(新属性投放!$B$14:$B$34,属性汇总!$B132))*属性汇总!G132,0)</f>
        <v>11566</v>
      </c>
      <c r="K132" s="14">
        <f>ROUND(E132+($A132-INDEX(新属性投放!$B$14:$B$34,属性汇总!$B132))*属性汇总!H132,0)</f>
        <v>5740</v>
      </c>
      <c r="L132" s="14">
        <f>ROUND(F132+($A132-INDEX(新属性投放!$B$14:$B$34,属性汇总!$B132))*属性汇总!I132,0)</f>
        <v>34928</v>
      </c>
      <c r="R132" s="13">
        <v>115</v>
      </c>
      <c r="S132" s="13">
        <v>14</v>
      </c>
      <c r="T132" s="14">
        <f>INDEX(新属性投放!$L$6:$L$10,$S$3)*INDEX(新属性投放!$Q$6:$Q$10,$U$3)</f>
        <v>1.1499999999999999</v>
      </c>
      <c r="U132" s="14">
        <f>INDEX(新属性投放!J$42:J$62,属性汇总!$S132)*$T132</f>
        <v>9557.42</v>
      </c>
      <c r="V132" s="14">
        <f>INDEX(新属性投放!K$42:K$62,属性汇总!$S132)*$T132</f>
        <v>4690.7350000000006</v>
      </c>
      <c r="W132" s="14">
        <f>INDEX(新属性投放!L$42:L$62,属性汇总!$S132)*$T132</f>
        <v>50185.999999999993</v>
      </c>
      <c r="X132" s="14">
        <f>INDEX(新属性投放!$D$42:$D$62,属性汇总!$S132)*$T132</f>
        <v>231.32249999999999</v>
      </c>
      <c r="Y132" s="14">
        <f>INDEX(新属性投放!$D$42:$D$62,属性汇总!$S132)*$T132</f>
        <v>231.32249999999999</v>
      </c>
      <c r="Z132" s="14">
        <f>INDEX(新属性投放!$D$42:$D$62,属性汇总!$S132)*$T132</f>
        <v>231.32249999999999</v>
      </c>
      <c r="AA132" s="14">
        <f>ROUND(U132+($R132-INDEX(新属性投放!$B$14:$B$34,属性汇总!$S132))*属性汇总!X132,0)</f>
        <v>11871</v>
      </c>
      <c r="AB132" s="14">
        <f>ROUND(V132+($R132-INDEX(新属性投放!$B$14:$B$34,属性汇总!$S132))*属性汇总!Y132,0)</f>
        <v>7004</v>
      </c>
      <c r="AC132" s="14">
        <f>ROUND(W132+($R132-INDEX(新属性投放!$B$14:$B$34,属性汇总!$S132))*属性汇总!Z132,0)</f>
        <v>52499</v>
      </c>
    </row>
    <row r="133" spans="1:29" s="20" customFormat="1" ht="16.5" x14ac:dyDescent="0.2">
      <c r="A133" s="13">
        <v>115</v>
      </c>
      <c r="B133" s="13">
        <v>15</v>
      </c>
      <c r="C133" s="14">
        <f>INDEX(新属性投放!$L$6:$L$10,属性汇总!$B$3)*INDEX(新属性投放!$Q$6:$Q$10,属性汇总!$D$3)</f>
        <v>1.1499999999999999</v>
      </c>
      <c r="D133" s="14">
        <f>INDEX(新属性投放!J$14:J$34,属性汇总!$B133)*$C133</f>
        <v>10697.932500000001</v>
      </c>
      <c r="E133" s="14">
        <f>INDEX(新属性投放!K$14:K$34,属性汇总!$B133)*$C133</f>
        <v>5306.99125</v>
      </c>
      <c r="F133" s="14">
        <f>INDEX(新属性投放!L$14:L$34,属性汇总!$B133)*$C133</f>
        <v>32323.797499999993</v>
      </c>
      <c r="G133" s="14">
        <f>INDEX(新属性投放!D$14:D$34,属性汇总!$B133)*$C133</f>
        <v>267.44399999999996</v>
      </c>
      <c r="H133" s="14">
        <f>INDEX(新属性投放!E$14:E$34,属性汇总!$B133)*$C133</f>
        <v>133.72199999999998</v>
      </c>
      <c r="I133" s="14">
        <f>INDEX(新属性投放!F$14:F$34,属性汇总!$B133)*$C133</f>
        <v>802.33199999999999</v>
      </c>
      <c r="J133" s="14">
        <f>ROUND(D133+($A133-INDEX(新属性投放!$B$14:$B$34,属性汇总!$B133))*属性汇总!G133,0)</f>
        <v>12035</v>
      </c>
      <c r="K133" s="14">
        <f>ROUND(E133+($A133-INDEX(新属性投放!$B$14:$B$34,属性汇总!$B133))*属性汇总!H133,0)</f>
        <v>5976</v>
      </c>
      <c r="L133" s="14">
        <f>ROUND(F133+($A133-INDEX(新属性投放!$B$14:$B$34,属性汇总!$B133))*属性汇总!I133,0)</f>
        <v>36335</v>
      </c>
      <c r="N133" s="37"/>
      <c r="O133" s="37"/>
      <c r="P133" s="37"/>
      <c r="R133" s="13">
        <v>115</v>
      </c>
      <c r="S133" s="13">
        <v>15</v>
      </c>
      <c r="T133" s="14">
        <f>INDEX(新属性投放!$L$6:$L$10,$S$3)*INDEX(新属性投放!$Q$6:$Q$10,$U$3)</f>
        <v>1.1499999999999999</v>
      </c>
      <c r="U133" s="14">
        <f>INDEX(新属性投放!J$42:J$62,属性汇总!$S133)*$T133</f>
        <v>11002.682500000001</v>
      </c>
      <c r="V133" s="14">
        <f>INDEX(新属性投放!K$42:K$62,属性汇总!$S133)*$T133</f>
        <v>5413.9412499999999</v>
      </c>
      <c r="W133" s="14">
        <f>INDEX(新属性投放!L$42:L$62,属性汇总!$S133)*$T133</f>
        <v>57987.6</v>
      </c>
      <c r="X133" s="14">
        <f>INDEX(新属性投放!$D$42:$D$62,属性汇总!$S133)*$T133</f>
        <v>267.44399999999996</v>
      </c>
      <c r="Y133" s="14">
        <f>INDEX(新属性投放!$D$42:$D$62,属性汇总!$S133)*$T133</f>
        <v>267.44399999999996</v>
      </c>
      <c r="Z133" s="14">
        <f>INDEX(新属性投放!$D$42:$D$62,属性汇总!$S133)*$T133</f>
        <v>267.44399999999996</v>
      </c>
      <c r="AA133" s="14">
        <f>ROUND(U133+($R133-INDEX(新属性投放!$B$14:$B$34,属性汇总!$S133))*属性汇总!X133,0)</f>
        <v>12340</v>
      </c>
      <c r="AB133" s="14">
        <f>ROUND(V133+($R133-INDEX(新属性投放!$B$14:$B$34,属性汇总!$S133))*属性汇总!Y133,0)</f>
        <v>6751</v>
      </c>
      <c r="AC133" s="14">
        <f>ROUND(W133+($R133-INDEX(新属性投放!$B$14:$B$34,属性汇总!$S133))*属性汇总!Z133,0)</f>
        <v>59325</v>
      </c>
    </row>
    <row r="134" spans="1:29" ht="16.5" x14ac:dyDescent="0.2">
      <c r="A134" s="13">
        <v>116</v>
      </c>
      <c r="B134" s="13">
        <v>15</v>
      </c>
      <c r="C134" s="14">
        <f>INDEX(新属性投放!$L$6:$L$10,属性汇总!$B$3)*INDEX(新属性投放!$Q$6:$Q$10,属性汇总!$D$3)</f>
        <v>1.1499999999999999</v>
      </c>
      <c r="D134" s="14">
        <f>INDEX(新属性投放!J$14:J$34,属性汇总!$B134)*$C134</f>
        <v>10697.932500000001</v>
      </c>
      <c r="E134" s="14">
        <f>INDEX(新属性投放!K$14:K$34,属性汇总!$B134)*$C134</f>
        <v>5306.99125</v>
      </c>
      <c r="F134" s="14">
        <f>INDEX(新属性投放!L$14:L$34,属性汇总!$B134)*$C134</f>
        <v>32323.797499999993</v>
      </c>
      <c r="G134" s="14">
        <f>INDEX(新属性投放!D$14:D$34,属性汇总!$B134)*$C134</f>
        <v>267.44399999999996</v>
      </c>
      <c r="H134" s="14">
        <f>INDEX(新属性投放!E$14:E$34,属性汇总!$B134)*$C134</f>
        <v>133.72199999999998</v>
      </c>
      <c r="I134" s="14">
        <f>INDEX(新属性投放!F$14:F$34,属性汇总!$B134)*$C134</f>
        <v>802.33199999999999</v>
      </c>
      <c r="J134" s="14">
        <f>ROUND(D134+($A134-INDEX(新属性投放!$B$14:$B$34,属性汇总!$B134))*属性汇总!G134,0)</f>
        <v>12303</v>
      </c>
      <c r="K134" s="14">
        <f>ROUND(E134+($A134-INDEX(新属性投放!$B$14:$B$34,属性汇总!$B134))*属性汇总!H134,0)</f>
        <v>6109</v>
      </c>
      <c r="L134" s="14">
        <f>ROUND(F134+($A134-INDEX(新属性投放!$B$14:$B$34,属性汇总!$B134))*属性汇总!I134,0)</f>
        <v>37138</v>
      </c>
      <c r="R134" s="13">
        <v>116</v>
      </c>
      <c r="S134" s="13">
        <v>15</v>
      </c>
      <c r="T134" s="14">
        <f>INDEX(新属性投放!$L$6:$L$10,$S$3)*INDEX(新属性投放!$Q$6:$Q$10,$U$3)</f>
        <v>1.1499999999999999</v>
      </c>
      <c r="U134" s="14">
        <f>INDEX(新属性投放!J$42:J$62,属性汇总!$S134)*$T134</f>
        <v>11002.682500000001</v>
      </c>
      <c r="V134" s="14">
        <f>INDEX(新属性投放!K$42:K$62,属性汇总!$S134)*$T134</f>
        <v>5413.9412499999999</v>
      </c>
      <c r="W134" s="14">
        <f>INDEX(新属性投放!L$42:L$62,属性汇总!$S134)*$T134</f>
        <v>57987.6</v>
      </c>
      <c r="X134" s="14">
        <f>INDEX(新属性投放!$D$42:$D$62,属性汇总!$S134)*$T134</f>
        <v>267.44399999999996</v>
      </c>
      <c r="Y134" s="14">
        <f>INDEX(新属性投放!$D$42:$D$62,属性汇总!$S134)*$T134</f>
        <v>267.44399999999996</v>
      </c>
      <c r="Z134" s="14">
        <f>INDEX(新属性投放!$D$42:$D$62,属性汇总!$S134)*$T134</f>
        <v>267.44399999999996</v>
      </c>
      <c r="AA134" s="14">
        <f>ROUND(U134+($R134-INDEX(新属性投放!$B$14:$B$34,属性汇总!$S134))*属性汇总!X134,0)</f>
        <v>12607</v>
      </c>
      <c r="AB134" s="14">
        <f>ROUND(V134+($R134-INDEX(新属性投放!$B$14:$B$34,属性汇总!$S134))*属性汇总!Y134,0)</f>
        <v>7019</v>
      </c>
      <c r="AC134" s="14">
        <f>ROUND(W134+($R134-INDEX(新属性投放!$B$14:$B$34,属性汇总!$S134))*属性汇总!Z134,0)</f>
        <v>59592</v>
      </c>
    </row>
    <row r="135" spans="1:29" ht="16.5" x14ac:dyDescent="0.2">
      <c r="A135" s="13">
        <v>117</v>
      </c>
      <c r="B135" s="13">
        <v>15</v>
      </c>
      <c r="C135" s="14">
        <f>INDEX(新属性投放!$L$6:$L$10,属性汇总!$B$3)*INDEX(新属性投放!$Q$6:$Q$10,属性汇总!$D$3)</f>
        <v>1.1499999999999999</v>
      </c>
      <c r="D135" s="14">
        <f>INDEX(新属性投放!J$14:J$34,属性汇总!$B135)*$C135</f>
        <v>10697.932500000001</v>
      </c>
      <c r="E135" s="14">
        <f>INDEX(新属性投放!K$14:K$34,属性汇总!$B135)*$C135</f>
        <v>5306.99125</v>
      </c>
      <c r="F135" s="14">
        <f>INDEX(新属性投放!L$14:L$34,属性汇总!$B135)*$C135</f>
        <v>32323.797499999993</v>
      </c>
      <c r="G135" s="14">
        <f>INDEX(新属性投放!D$14:D$34,属性汇总!$B135)*$C135</f>
        <v>267.44399999999996</v>
      </c>
      <c r="H135" s="14">
        <f>INDEX(新属性投放!E$14:E$34,属性汇总!$B135)*$C135</f>
        <v>133.72199999999998</v>
      </c>
      <c r="I135" s="14">
        <f>INDEX(新属性投放!F$14:F$34,属性汇总!$B135)*$C135</f>
        <v>802.33199999999999</v>
      </c>
      <c r="J135" s="14">
        <f>ROUND(D135+($A135-INDEX(新属性投放!$B$14:$B$34,属性汇总!$B135))*属性汇总!G135,0)</f>
        <v>12570</v>
      </c>
      <c r="K135" s="14">
        <f>ROUND(E135+($A135-INDEX(新属性投放!$B$14:$B$34,属性汇总!$B135))*属性汇总!H135,0)</f>
        <v>6243</v>
      </c>
      <c r="L135" s="14">
        <f>ROUND(F135+($A135-INDEX(新属性投放!$B$14:$B$34,属性汇总!$B135))*属性汇总!I135,0)</f>
        <v>37940</v>
      </c>
      <c r="R135" s="13">
        <v>117</v>
      </c>
      <c r="S135" s="13">
        <v>15</v>
      </c>
      <c r="T135" s="14">
        <f>INDEX(新属性投放!$L$6:$L$10,$S$3)*INDEX(新属性投放!$Q$6:$Q$10,$U$3)</f>
        <v>1.1499999999999999</v>
      </c>
      <c r="U135" s="14">
        <f>INDEX(新属性投放!J$42:J$62,属性汇总!$S135)*$T135</f>
        <v>11002.682500000001</v>
      </c>
      <c r="V135" s="14">
        <f>INDEX(新属性投放!K$42:K$62,属性汇总!$S135)*$T135</f>
        <v>5413.9412499999999</v>
      </c>
      <c r="W135" s="14">
        <f>INDEX(新属性投放!L$42:L$62,属性汇总!$S135)*$T135</f>
        <v>57987.6</v>
      </c>
      <c r="X135" s="14">
        <f>INDEX(新属性投放!$D$42:$D$62,属性汇总!$S135)*$T135</f>
        <v>267.44399999999996</v>
      </c>
      <c r="Y135" s="14">
        <f>INDEX(新属性投放!$D$42:$D$62,属性汇总!$S135)*$T135</f>
        <v>267.44399999999996</v>
      </c>
      <c r="Z135" s="14">
        <f>INDEX(新属性投放!$D$42:$D$62,属性汇总!$S135)*$T135</f>
        <v>267.44399999999996</v>
      </c>
      <c r="AA135" s="14">
        <f>ROUND(U135+($R135-INDEX(新属性投放!$B$14:$B$34,属性汇总!$S135))*属性汇总!X135,0)</f>
        <v>12875</v>
      </c>
      <c r="AB135" s="14">
        <f>ROUND(V135+($R135-INDEX(新属性投放!$B$14:$B$34,属性汇总!$S135))*属性汇总!Y135,0)</f>
        <v>7286</v>
      </c>
      <c r="AC135" s="14">
        <f>ROUND(W135+($R135-INDEX(新属性投放!$B$14:$B$34,属性汇总!$S135))*属性汇总!Z135,0)</f>
        <v>59860</v>
      </c>
    </row>
    <row r="136" spans="1:29" ht="16.5" x14ac:dyDescent="0.2">
      <c r="A136" s="13">
        <v>118</v>
      </c>
      <c r="B136" s="13">
        <v>15</v>
      </c>
      <c r="C136" s="14">
        <f>INDEX(新属性投放!$L$6:$L$10,属性汇总!$B$3)*INDEX(新属性投放!$Q$6:$Q$10,属性汇总!$D$3)</f>
        <v>1.1499999999999999</v>
      </c>
      <c r="D136" s="14">
        <f>INDEX(新属性投放!J$14:J$34,属性汇总!$B136)*$C136</f>
        <v>10697.932500000001</v>
      </c>
      <c r="E136" s="14">
        <f>INDEX(新属性投放!K$14:K$34,属性汇总!$B136)*$C136</f>
        <v>5306.99125</v>
      </c>
      <c r="F136" s="14">
        <f>INDEX(新属性投放!L$14:L$34,属性汇总!$B136)*$C136</f>
        <v>32323.797499999993</v>
      </c>
      <c r="G136" s="14">
        <f>INDEX(新属性投放!D$14:D$34,属性汇总!$B136)*$C136</f>
        <v>267.44399999999996</v>
      </c>
      <c r="H136" s="14">
        <f>INDEX(新属性投放!E$14:E$34,属性汇总!$B136)*$C136</f>
        <v>133.72199999999998</v>
      </c>
      <c r="I136" s="14">
        <f>INDEX(新属性投放!F$14:F$34,属性汇总!$B136)*$C136</f>
        <v>802.33199999999999</v>
      </c>
      <c r="J136" s="14">
        <f>ROUND(D136+($A136-INDEX(新属性投放!$B$14:$B$34,属性汇总!$B136))*属性汇总!G136,0)</f>
        <v>12837</v>
      </c>
      <c r="K136" s="14">
        <f>ROUND(E136+($A136-INDEX(新属性投放!$B$14:$B$34,属性汇总!$B136))*属性汇总!H136,0)</f>
        <v>6377</v>
      </c>
      <c r="L136" s="14">
        <f>ROUND(F136+($A136-INDEX(新属性投放!$B$14:$B$34,属性汇总!$B136))*属性汇总!I136,0)</f>
        <v>38742</v>
      </c>
      <c r="R136" s="13">
        <v>118</v>
      </c>
      <c r="S136" s="13">
        <v>15</v>
      </c>
      <c r="T136" s="14">
        <f>INDEX(新属性投放!$L$6:$L$10,$S$3)*INDEX(新属性投放!$Q$6:$Q$10,$U$3)</f>
        <v>1.1499999999999999</v>
      </c>
      <c r="U136" s="14">
        <f>INDEX(新属性投放!J$42:J$62,属性汇总!$S136)*$T136</f>
        <v>11002.682500000001</v>
      </c>
      <c r="V136" s="14">
        <f>INDEX(新属性投放!K$42:K$62,属性汇总!$S136)*$T136</f>
        <v>5413.9412499999999</v>
      </c>
      <c r="W136" s="14">
        <f>INDEX(新属性投放!L$42:L$62,属性汇总!$S136)*$T136</f>
        <v>57987.6</v>
      </c>
      <c r="X136" s="14">
        <f>INDEX(新属性投放!$D$42:$D$62,属性汇总!$S136)*$T136</f>
        <v>267.44399999999996</v>
      </c>
      <c r="Y136" s="14">
        <f>INDEX(新属性投放!$D$42:$D$62,属性汇总!$S136)*$T136</f>
        <v>267.44399999999996</v>
      </c>
      <c r="Z136" s="14">
        <f>INDEX(新属性投放!$D$42:$D$62,属性汇总!$S136)*$T136</f>
        <v>267.44399999999996</v>
      </c>
      <c r="AA136" s="14">
        <f>ROUND(U136+($R136-INDEX(新属性投放!$B$14:$B$34,属性汇总!$S136))*属性汇总!X136,0)</f>
        <v>13142</v>
      </c>
      <c r="AB136" s="14">
        <f>ROUND(V136+($R136-INDEX(新属性投放!$B$14:$B$34,属性汇总!$S136))*属性汇总!Y136,0)</f>
        <v>7553</v>
      </c>
      <c r="AC136" s="14">
        <f>ROUND(W136+($R136-INDEX(新属性投放!$B$14:$B$34,属性汇总!$S136))*属性汇总!Z136,0)</f>
        <v>60127</v>
      </c>
    </row>
    <row r="137" spans="1:29" ht="16.5" x14ac:dyDescent="0.2">
      <c r="A137" s="13">
        <v>119</v>
      </c>
      <c r="B137" s="13">
        <v>15</v>
      </c>
      <c r="C137" s="14">
        <f>INDEX(新属性投放!$L$6:$L$10,属性汇总!$B$3)*INDEX(新属性投放!$Q$6:$Q$10,属性汇总!$D$3)</f>
        <v>1.1499999999999999</v>
      </c>
      <c r="D137" s="14">
        <f>INDEX(新属性投放!J$14:J$34,属性汇总!$B137)*$C137</f>
        <v>10697.932500000001</v>
      </c>
      <c r="E137" s="14">
        <f>INDEX(新属性投放!K$14:K$34,属性汇总!$B137)*$C137</f>
        <v>5306.99125</v>
      </c>
      <c r="F137" s="14">
        <f>INDEX(新属性投放!L$14:L$34,属性汇总!$B137)*$C137</f>
        <v>32323.797499999993</v>
      </c>
      <c r="G137" s="14">
        <f>INDEX(新属性投放!D$14:D$34,属性汇总!$B137)*$C137</f>
        <v>267.44399999999996</v>
      </c>
      <c r="H137" s="14">
        <f>INDEX(新属性投放!E$14:E$34,属性汇总!$B137)*$C137</f>
        <v>133.72199999999998</v>
      </c>
      <c r="I137" s="14">
        <f>INDEX(新属性投放!F$14:F$34,属性汇总!$B137)*$C137</f>
        <v>802.33199999999999</v>
      </c>
      <c r="J137" s="14">
        <f>ROUND(D137+($A137-INDEX(新属性投放!$B$14:$B$34,属性汇总!$B137))*属性汇总!G137,0)</f>
        <v>13105</v>
      </c>
      <c r="K137" s="14">
        <f>ROUND(E137+($A137-INDEX(新属性投放!$B$14:$B$34,属性汇总!$B137))*属性汇总!H137,0)</f>
        <v>6510</v>
      </c>
      <c r="L137" s="14">
        <f>ROUND(F137+($A137-INDEX(新属性投放!$B$14:$B$34,属性汇总!$B137))*属性汇总!I137,0)</f>
        <v>39545</v>
      </c>
      <c r="R137" s="13">
        <v>119</v>
      </c>
      <c r="S137" s="13">
        <v>15</v>
      </c>
      <c r="T137" s="14">
        <f>INDEX(新属性投放!$L$6:$L$10,$S$3)*INDEX(新属性投放!$Q$6:$Q$10,$U$3)</f>
        <v>1.1499999999999999</v>
      </c>
      <c r="U137" s="14">
        <f>INDEX(新属性投放!J$42:J$62,属性汇总!$S137)*$T137</f>
        <v>11002.682500000001</v>
      </c>
      <c r="V137" s="14">
        <f>INDEX(新属性投放!K$42:K$62,属性汇总!$S137)*$T137</f>
        <v>5413.9412499999999</v>
      </c>
      <c r="W137" s="14">
        <f>INDEX(新属性投放!L$42:L$62,属性汇总!$S137)*$T137</f>
        <v>57987.6</v>
      </c>
      <c r="X137" s="14">
        <f>INDEX(新属性投放!$D$42:$D$62,属性汇总!$S137)*$T137</f>
        <v>267.44399999999996</v>
      </c>
      <c r="Y137" s="14">
        <f>INDEX(新属性投放!$D$42:$D$62,属性汇总!$S137)*$T137</f>
        <v>267.44399999999996</v>
      </c>
      <c r="Z137" s="14">
        <f>INDEX(新属性投放!$D$42:$D$62,属性汇总!$S137)*$T137</f>
        <v>267.44399999999996</v>
      </c>
      <c r="AA137" s="14">
        <f>ROUND(U137+($R137-INDEX(新属性投放!$B$14:$B$34,属性汇总!$S137))*属性汇总!X137,0)</f>
        <v>13410</v>
      </c>
      <c r="AB137" s="14">
        <f>ROUND(V137+($R137-INDEX(新属性投放!$B$14:$B$34,属性汇总!$S137))*属性汇总!Y137,0)</f>
        <v>7821</v>
      </c>
      <c r="AC137" s="14">
        <f>ROUND(W137+($R137-INDEX(新属性投放!$B$14:$B$34,属性汇总!$S137))*属性汇总!Z137,0)</f>
        <v>60395</v>
      </c>
    </row>
    <row r="138" spans="1:29" ht="16.5" x14ac:dyDescent="0.2">
      <c r="A138" s="13">
        <v>120</v>
      </c>
      <c r="B138" s="13">
        <v>15</v>
      </c>
      <c r="C138" s="14">
        <f>INDEX(新属性投放!$L$6:$L$10,属性汇总!$B$3)*INDEX(新属性投放!$Q$6:$Q$10,属性汇总!$D$3)</f>
        <v>1.1499999999999999</v>
      </c>
      <c r="D138" s="14">
        <f>INDEX(新属性投放!J$14:J$34,属性汇总!$B138)*$C138</f>
        <v>10697.932500000001</v>
      </c>
      <c r="E138" s="14">
        <f>INDEX(新属性投放!K$14:K$34,属性汇总!$B138)*$C138</f>
        <v>5306.99125</v>
      </c>
      <c r="F138" s="14">
        <f>INDEX(新属性投放!L$14:L$34,属性汇总!$B138)*$C138</f>
        <v>32323.797499999993</v>
      </c>
      <c r="G138" s="14">
        <f>INDEX(新属性投放!D$14:D$34,属性汇总!$B138)*$C138</f>
        <v>267.44399999999996</v>
      </c>
      <c r="H138" s="14">
        <f>INDEX(新属性投放!E$14:E$34,属性汇总!$B138)*$C138</f>
        <v>133.72199999999998</v>
      </c>
      <c r="I138" s="14">
        <f>INDEX(新属性投放!F$14:F$34,属性汇总!$B138)*$C138</f>
        <v>802.33199999999999</v>
      </c>
      <c r="J138" s="14">
        <f>ROUND(D138+($A138-INDEX(新属性投放!$B$14:$B$34,属性汇总!$B138))*属性汇总!G138,0)</f>
        <v>13372</v>
      </c>
      <c r="K138" s="14">
        <f>ROUND(E138+($A138-INDEX(新属性投放!$B$14:$B$34,属性汇总!$B138))*属性汇总!H138,0)</f>
        <v>6644</v>
      </c>
      <c r="L138" s="14">
        <f>ROUND(F138+($A138-INDEX(新属性投放!$B$14:$B$34,属性汇总!$B138))*属性汇总!I138,0)</f>
        <v>40347</v>
      </c>
      <c r="R138" s="13">
        <v>120</v>
      </c>
      <c r="S138" s="13">
        <v>15</v>
      </c>
      <c r="T138" s="14">
        <f>INDEX(新属性投放!$L$6:$L$10,$S$3)*INDEX(新属性投放!$Q$6:$Q$10,$U$3)</f>
        <v>1.1499999999999999</v>
      </c>
      <c r="U138" s="14">
        <f>INDEX(新属性投放!J$42:J$62,属性汇总!$S138)*$T138</f>
        <v>11002.682500000001</v>
      </c>
      <c r="V138" s="14">
        <f>INDEX(新属性投放!K$42:K$62,属性汇总!$S138)*$T138</f>
        <v>5413.9412499999999</v>
      </c>
      <c r="W138" s="14">
        <f>INDEX(新属性投放!L$42:L$62,属性汇总!$S138)*$T138</f>
        <v>57987.6</v>
      </c>
      <c r="X138" s="14">
        <f>INDEX(新属性投放!$D$42:$D$62,属性汇总!$S138)*$T138</f>
        <v>267.44399999999996</v>
      </c>
      <c r="Y138" s="14">
        <f>INDEX(新属性投放!$D$42:$D$62,属性汇总!$S138)*$T138</f>
        <v>267.44399999999996</v>
      </c>
      <c r="Z138" s="14">
        <f>INDEX(新属性投放!$D$42:$D$62,属性汇总!$S138)*$T138</f>
        <v>267.44399999999996</v>
      </c>
      <c r="AA138" s="14">
        <f>ROUND(U138+($R138-INDEX(新属性投放!$B$14:$B$34,属性汇总!$S138))*属性汇总!X138,0)</f>
        <v>13677</v>
      </c>
      <c r="AB138" s="14">
        <f>ROUND(V138+($R138-INDEX(新属性投放!$B$14:$B$34,属性汇总!$S138))*属性汇总!Y138,0)</f>
        <v>8088</v>
      </c>
      <c r="AC138" s="14">
        <f>ROUND(W138+($R138-INDEX(新属性投放!$B$14:$B$34,属性汇总!$S138))*属性汇总!Z138,0)</f>
        <v>60662</v>
      </c>
    </row>
    <row r="139" spans="1:29" s="20" customFormat="1" ht="16.5" x14ac:dyDescent="0.2">
      <c r="A139" s="13">
        <v>120</v>
      </c>
      <c r="B139" s="13">
        <v>16</v>
      </c>
      <c r="C139" s="14">
        <f>INDEX(新属性投放!$L$6:$L$10,属性汇总!$B$3)*INDEX(新属性投放!$Q$6:$Q$10,属性汇总!$D$3)</f>
        <v>1.1499999999999999</v>
      </c>
      <c r="D139" s="14">
        <f>INDEX(新属性投放!J$14:J$34,属性汇总!$B139)*$C139</f>
        <v>12369.8025</v>
      </c>
      <c r="E139" s="14">
        <f>INDEX(新属性投放!K$14:K$34,属性汇总!$B139)*$C139</f>
        <v>6142.3512499999997</v>
      </c>
      <c r="F139" s="14">
        <f>INDEX(新属性投放!L$14:L$34,属性汇总!$B139)*$C139</f>
        <v>37339.407499999994</v>
      </c>
      <c r="G139" s="14">
        <f>INDEX(新属性投放!D$14:D$34,属性汇总!$B139)*$C139</f>
        <v>309.24650000000003</v>
      </c>
      <c r="H139" s="14">
        <f>INDEX(新属性投放!E$14:E$34,属性汇总!$B139)*$C139</f>
        <v>154.62325000000001</v>
      </c>
      <c r="I139" s="14">
        <f>INDEX(新属性投放!F$14:F$34,属性汇总!$B139)*$C139</f>
        <v>927.73949999999991</v>
      </c>
      <c r="J139" s="14">
        <f>ROUND(D139+($A139-INDEX(新属性投放!$B$14:$B$34,属性汇总!$B139))*属性汇总!G139,0)</f>
        <v>13916</v>
      </c>
      <c r="K139" s="14">
        <f>ROUND(E139+($A139-INDEX(新属性投放!$B$14:$B$34,属性汇总!$B139))*属性汇总!H139,0)</f>
        <v>6915</v>
      </c>
      <c r="L139" s="14">
        <f>ROUND(F139+($A139-INDEX(新属性投放!$B$14:$B$34,属性汇总!$B139))*属性汇总!I139,0)</f>
        <v>41978</v>
      </c>
      <c r="N139" s="37"/>
      <c r="O139" s="37"/>
      <c r="P139" s="37"/>
      <c r="R139" s="13">
        <v>120</v>
      </c>
      <c r="S139" s="13">
        <v>16</v>
      </c>
      <c r="T139" s="14">
        <f>INDEX(新属性投放!$L$6:$L$10,$S$3)*INDEX(新属性投放!$Q$6:$Q$10,$U$3)</f>
        <v>1.1499999999999999</v>
      </c>
      <c r="U139" s="14">
        <f>INDEX(新属性投放!J$42:J$62,属性汇总!$S139)*$T139</f>
        <v>12674.5525</v>
      </c>
      <c r="V139" s="14">
        <f>INDEX(新属性投放!K$42:K$62,属性汇总!$S139)*$T139</f>
        <v>6249.3012499999995</v>
      </c>
      <c r="W139" s="14">
        <f>INDEX(新属性投放!L$42:L$62,属性汇总!$S139)*$T139</f>
        <v>67013.95</v>
      </c>
      <c r="X139" s="14">
        <f>INDEX(新属性投放!$D$42:$D$62,属性汇总!$S139)*$T139</f>
        <v>309.24650000000003</v>
      </c>
      <c r="Y139" s="14">
        <f>INDEX(新属性投放!$D$42:$D$62,属性汇总!$S139)*$T139</f>
        <v>309.24650000000003</v>
      </c>
      <c r="Z139" s="14">
        <f>INDEX(新属性投放!$D$42:$D$62,属性汇总!$S139)*$T139</f>
        <v>309.24650000000003</v>
      </c>
      <c r="AA139" s="14">
        <f>ROUND(U139+($R139-INDEX(新属性投放!$B$14:$B$34,属性汇总!$S139))*属性汇总!X139,0)</f>
        <v>14221</v>
      </c>
      <c r="AB139" s="14">
        <f>ROUND(V139+($R139-INDEX(新属性投放!$B$14:$B$34,属性汇总!$S139))*属性汇总!Y139,0)</f>
        <v>7796</v>
      </c>
      <c r="AC139" s="14">
        <f>ROUND(W139+($R139-INDEX(新属性投放!$B$14:$B$34,属性汇总!$S139))*属性汇总!Z139,0)</f>
        <v>68560</v>
      </c>
    </row>
    <row r="140" spans="1:29" ht="16.5" x14ac:dyDescent="0.2">
      <c r="A140" s="13">
        <v>121</v>
      </c>
      <c r="B140" s="13">
        <v>16</v>
      </c>
      <c r="C140" s="14">
        <f>INDEX(新属性投放!$L$6:$L$10,属性汇总!$B$3)*INDEX(新属性投放!$Q$6:$Q$10,属性汇总!$D$3)</f>
        <v>1.1499999999999999</v>
      </c>
      <c r="D140" s="14">
        <f>INDEX(新属性投放!J$14:J$34,属性汇总!$B140)*$C140</f>
        <v>12369.8025</v>
      </c>
      <c r="E140" s="14">
        <f>INDEX(新属性投放!K$14:K$34,属性汇总!$B140)*$C140</f>
        <v>6142.3512499999997</v>
      </c>
      <c r="F140" s="14">
        <f>INDEX(新属性投放!L$14:L$34,属性汇总!$B140)*$C140</f>
        <v>37339.407499999994</v>
      </c>
      <c r="G140" s="14">
        <f>INDEX(新属性投放!D$14:D$34,属性汇总!$B140)*$C140</f>
        <v>309.24650000000003</v>
      </c>
      <c r="H140" s="14">
        <f>INDEX(新属性投放!E$14:E$34,属性汇总!$B140)*$C140</f>
        <v>154.62325000000001</v>
      </c>
      <c r="I140" s="14">
        <f>INDEX(新属性投放!F$14:F$34,属性汇总!$B140)*$C140</f>
        <v>927.73949999999991</v>
      </c>
      <c r="J140" s="14">
        <f>ROUND(D140+($A140-INDEX(新属性投放!$B$14:$B$34,属性汇总!$B140))*属性汇总!G140,0)</f>
        <v>14225</v>
      </c>
      <c r="K140" s="14">
        <f>ROUND(E140+($A140-INDEX(新属性投放!$B$14:$B$34,属性汇总!$B140))*属性汇总!H140,0)</f>
        <v>7070</v>
      </c>
      <c r="L140" s="14">
        <f>ROUND(F140+($A140-INDEX(新属性投放!$B$14:$B$34,属性汇总!$B140))*属性汇总!I140,0)</f>
        <v>42906</v>
      </c>
      <c r="R140" s="13">
        <v>121</v>
      </c>
      <c r="S140" s="13">
        <v>16</v>
      </c>
      <c r="T140" s="14">
        <f>INDEX(新属性投放!$L$6:$L$10,$S$3)*INDEX(新属性投放!$Q$6:$Q$10,$U$3)</f>
        <v>1.1499999999999999</v>
      </c>
      <c r="U140" s="14">
        <f>INDEX(新属性投放!J$42:J$62,属性汇总!$S140)*$T140</f>
        <v>12674.5525</v>
      </c>
      <c r="V140" s="14">
        <f>INDEX(新属性投放!K$42:K$62,属性汇总!$S140)*$T140</f>
        <v>6249.3012499999995</v>
      </c>
      <c r="W140" s="14">
        <f>INDEX(新属性投放!L$42:L$62,属性汇总!$S140)*$T140</f>
        <v>67013.95</v>
      </c>
      <c r="X140" s="14">
        <f>INDEX(新属性投放!$D$42:$D$62,属性汇总!$S140)*$T140</f>
        <v>309.24650000000003</v>
      </c>
      <c r="Y140" s="14">
        <f>INDEX(新属性投放!$D$42:$D$62,属性汇总!$S140)*$T140</f>
        <v>309.24650000000003</v>
      </c>
      <c r="Z140" s="14">
        <f>INDEX(新属性投放!$D$42:$D$62,属性汇总!$S140)*$T140</f>
        <v>309.24650000000003</v>
      </c>
      <c r="AA140" s="14">
        <f>ROUND(U140+($R140-INDEX(新属性投放!$B$14:$B$34,属性汇总!$S140))*属性汇总!X140,0)</f>
        <v>14530</v>
      </c>
      <c r="AB140" s="14">
        <f>ROUND(V140+($R140-INDEX(新属性投放!$B$14:$B$34,属性汇总!$S140))*属性汇总!Y140,0)</f>
        <v>8105</v>
      </c>
      <c r="AC140" s="14">
        <f>ROUND(W140+($R140-INDEX(新属性投放!$B$14:$B$34,属性汇总!$S140))*属性汇总!Z140,0)</f>
        <v>68869</v>
      </c>
    </row>
    <row r="141" spans="1:29" ht="16.5" x14ac:dyDescent="0.2">
      <c r="A141" s="13">
        <v>122</v>
      </c>
      <c r="B141" s="13">
        <v>16</v>
      </c>
      <c r="C141" s="14">
        <f>INDEX(新属性投放!$L$6:$L$10,属性汇总!$B$3)*INDEX(新属性投放!$Q$6:$Q$10,属性汇总!$D$3)</f>
        <v>1.1499999999999999</v>
      </c>
      <c r="D141" s="14">
        <f>INDEX(新属性投放!J$14:J$34,属性汇总!$B141)*$C141</f>
        <v>12369.8025</v>
      </c>
      <c r="E141" s="14">
        <f>INDEX(新属性投放!K$14:K$34,属性汇总!$B141)*$C141</f>
        <v>6142.3512499999997</v>
      </c>
      <c r="F141" s="14">
        <f>INDEX(新属性投放!L$14:L$34,属性汇总!$B141)*$C141</f>
        <v>37339.407499999994</v>
      </c>
      <c r="G141" s="14">
        <f>INDEX(新属性投放!D$14:D$34,属性汇总!$B141)*$C141</f>
        <v>309.24650000000003</v>
      </c>
      <c r="H141" s="14">
        <f>INDEX(新属性投放!E$14:E$34,属性汇总!$B141)*$C141</f>
        <v>154.62325000000001</v>
      </c>
      <c r="I141" s="14">
        <f>INDEX(新属性投放!F$14:F$34,属性汇总!$B141)*$C141</f>
        <v>927.73949999999991</v>
      </c>
      <c r="J141" s="14">
        <f>ROUND(D141+($A141-INDEX(新属性投放!$B$14:$B$34,属性汇总!$B141))*属性汇总!G141,0)</f>
        <v>14535</v>
      </c>
      <c r="K141" s="14">
        <f>ROUND(E141+($A141-INDEX(新属性投放!$B$14:$B$34,属性汇总!$B141))*属性汇总!H141,0)</f>
        <v>7225</v>
      </c>
      <c r="L141" s="14">
        <f>ROUND(F141+($A141-INDEX(新属性投放!$B$14:$B$34,属性汇总!$B141))*属性汇总!I141,0)</f>
        <v>43834</v>
      </c>
      <c r="R141" s="13">
        <v>122</v>
      </c>
      <c r="S141" s="13">
        <v>16</v>
      </c>
      <c r="T141" s="14">
        <f>INDEX(新属性投放!$L$6:$L$10,$S$3)*INDEX(新属性投放!$Q$6:$Q$10,$U$3)</f>
        <v>1.1499999999999999</v>
      </c>
      <c r="U141" s="14">
        <f>INDEX(新属性投放!J$42:J$62,属性汇总!$S141)*$T141</f>
        <v>12674.5525</v>
      </c>
      <c r="V141" s="14">
        <f>INDEX(新属性投放!K$42:K$62,属性汇总!$S141)*$T141</f>
        <v>6249.3012499999995</v>
      </c>
      <c r="W141" s="14">
        <f>INDEX(新属性投放!L$42:L$62,属性汇总!$S141)*$T141</f>
        <v>67013.95</v>
      </c>
      <c r="X141" s="14">
        <f>INDEX(新属性投放!$D$42:$D$62,属性汇总!$S141)*$T141</f>
        <v>309.24650000000003</v>
      </c>
      <c r="Y141" s="14">
        <f>INDEX(新属性投放!$D$42:$D$62,属性汇总!$S141)*$T141</f>
        <v>309.24650000000003</v>
      </c>
      <c r="Z141" s="14">
        <f>INDEX(新属性投放!$D$42:$D$62,属性汇总!$S141)*$T141</f>
        <v>309.24650000000003</v>
      </c>
      <c r="AA141" s="14">
        <f>ROUND(U141+($R141-INDEX(新属性投放!$B$14:$B$34,属性汇总!$S141))*属性汇总!X141,0)</f>
        <v>14839</v>
      </c>
      <c r="AB141" s="14">
        <f>ROUND(V141+($R141-INDEX(新属性投放!$B$14:$B$34,属性汇总!$S141))*属性汇总!Y141,0)</f>
        <v>8414</v>
      </c>
      <c r="AC141" s="14">
        <f>ROUND(W141+($R141-INDEX(新属性投放!$B$14:$B$34,属性汇总!$S141))*属性汇总!Z141,0)</f>
        <v>69179</v>
      </c>
    </row>
    <row r="142" spans="1:29" ht="16.5" x14ac:dyDescent="0.2">
      <c r="A142" s="13">
        <v>123</v>
      </c>
      <c r="B142" s="13">
        <v>16</v>
      </c>
      <c r="C142" s="14">
        <f>INDEX(新属性投放!$L$6:$L$10,属性汇总!$B$3)*INDEX(新属性投放!$Q$6:$Q$10,属性汇总!$D$3)</f>
        <v>1.1499999999999999</v>
      </c>
      <c r="D142" s="14">
        <f>INDEX(新属性投放!J$14:J$34,属性汇总!$B142)*$C142</f>
        <v>12369.8025</v>
      </c>
      <c r="E142" s="14">
        <f>INDEX(新属性投放!K$14:K$34,属性汇总!$B142)*$C142</f>
        <v>6142.3512499999997</v>
      </c>
      <c r="F142" s="14">
        <f>INDEX(新属性投放!L$14:L$34,属性汇总!$B142)*$C142</f>
        <v>37339.407499999994</v>
      </c>
      <c r="G142" s="14">
        <f>INDEX(新属性投放!D$14:D$34,属性汇总!$B142)*$C142</f>
        <v>309.24650000000003</v>
      </c>
      <c r="H142" s="14">
        <f>INDEX(新属性投放!E$14:E$34,属性汇总!$B142)*$C142</f>
        <v>154.62325000000001</v>
      </c>
      <c r="I142" s="14">
        <f>INDEX(新属性投放!F$14:F$34,属性汇总!$B142)*$C142</f>
        <v>927.73949999999991</v>
      </c>
      <c r="J142" s="14">
        <f>ROUND(D142+($A142-INDEX(新属性投放!$B$14:$B$34,属性汇总!$B142))*属性汇总!G142,0)</f>
        <v>14844</v>
      </c>
      <c r="K142" s="14">
        <f>ROUND(E142+($A142-INDEX(新属性投放!$B$14:$B$34,属性汇总!$B142))*属性汇总!H142,0)</f>
        <v>7379</v>
      </c>
      <c r="L142" s="14">
        <f>ROUND(F142+($A142-INDEX(新属性投放!$B$14:$B$34,属性汇总!$B142))*属性汇总!I142,0)</f>
        <v>44761</v>
      </c>
      <c r="R142" s="13">
        <v>123</v>
      </c>
      <c r="S142" s="13">
        <v>16</v>
      </c>
      <c r="T142" s="14">
        <f>INDEX(新属性投放!$L$6:$L$10,$S$3)*INDEX(新属性投放!$Q$6:$Q$10,$U$3)</f>
        <v>1.1499999999999999</v>
      </c>
      <c r="U142" s="14">
        <f>INDEX(新属性投放!J$42:J$62,属性汇总!$S142)*$T142</f>
        <v>12674.5525</v>
      </c>
      <c r="V142" s="14">
        <f>INDEX(新属性投放!K$42:K$62,属性汇总!$S142)*$T142</f>
        <v>6249.3012499999995</v>
      </c>
      <c r="W142" s="14">
        <f>INDEX(新属性投放!L$42:L$62,属性汇总!$S142)*$T142</f>
        <v>67013.95</v>
      </c>
      <c r="X142" s="14">
        <f>INDEX(新属性投放!$D$42:$D$62,属性汇总!$S142)*$T142</f>
        <v>309.24650000000003</v>
      </c>
      <c r="Y142" s="14">
        <f>INDEX(新属性投放!$D$42:$D$62,属性汇总!$S142)*$T142</f>
        <v>309.24650000000003</v>
      </c>
      <c r="Z142" s="14">
        <f>INDEX(新属性投放!$D$42:$D$62,属性汇总!$S142)*$T142</f>
        <v>309.24650000000003</v>
      </c>
      <c r="AA142" s="14">
        <f>ROUND(U142+($R142-INDEX(新属性投放!$B$14:$B$34,属性汇总!$S142))*属性汇总!X142,0)</f>
        <v>15149</v>
      </c>
      <c r="AB142" s="14">
        <f>ROUND(V142+($R142-INDEX(新属性投放!$B$14:$B$34,属性汇总!$S142))*属性汇总!Y142,0)</f>
        <v>8723</v>
      </c>
      <c r="AC142" s="14">
        <f>ROUND(W142+($R142-INDEX(新属性投放!$B$14:$B$34,属性汇总!$S142))*属性汇总!Z142,0)</f>
        <v>69488</v>
      </c>
    </row>
    <row r="143" spans="1:29" ht="16.5" x14ac:dyDescent="0.2">
      <c r="A143" s="13">
        <v>124</v>
      </c>
      <c r="B143" s="13">
        <v>16</v>
      </c>
      <c r="C143" s="14">
        <f>INDEX(新属性投放!$L$6:$L$10,属性汇总!$B$3)*INDEX(新属性投放!$Q$6:$Q$10,属性汇总!$D$3)</f>
        <v>1.1499999999999999</v>
      </c>
      <c r="D143" s="14">
        <f>INDEX(新属性投放!J$14:J$34,属性汇总!$B143)*$C143</f>
        <v>12369.8025</v>
      </c>
      <c r="E143" s="14">
        <f>INDEX(新属性投放!K$14:K$34,属性汇总!$B143)*$C143</f>
        <v>6142.3512499999997</v>
      </c>
      <c r="F143" s="14">
        <f>INDEX(新属性投放!L$14:L$34,属性汇总!$B143)*$C143</f>
        <v>37339.407499999994</v>
      </c>
      <c r="G143" s="14">
        <f>INDEX(新属性投放!D$14:D$34,属性汇总!$B143)*$C143</f>
        <v>309.24650000000003</v>
      </c>
      <c r="H143" s="14">
        <f>INDEX(新属性投放!E$14:E$34,属性汇总!$B143)*$C143</f>
        <v>154.62325000000001</v>
      </c>
      <c r="I143" s="14">
        <f>INDEX(新属性投放!F$14:F$34,属性汇总!$B143)*$C143</f>
        <v>927.73949999999991</v>
      </c>
      <c r="J143" s="14">
        <f>ROUND(D143+($A143-INDEX(新属性投放!$B$14:$B$34,属性汇总!$B143))*属性汇总!G143,0)</f>
        <v>15153</v>
      </c>
      <c r="K143" s="14">
        <f>ROUND(E143+($A143-INDEX(新属性投放!$B$14:$B$34,属性汇总!$B143))*属性汇总!H143,0)</f>
        <v>7534</v>
      </c>
      <c r="L143" s="14">
        <f>ROUND(F143+($A143-INDEX(新属性投放!$B$14:$B$34,属性汇总!$B143))*属性汇总!I143,0)</f>
        <v>45689</v>
      </c>
      <c r="R143" s="13">
        <v>124</v>
      </c>
      <c r="S143" s="13">
        <v>16</v>
      </c>
      <c r="T143" s="14">
        <f>INDEX(新属性投放!$L$6:$L$10,$S$3)*INDEX(新属性投放!$Q$6:$Q$10,$U$3)</f>
        <v>1.1499999999999999</v>
      </c>
      <c r="U143" s="14">
        <f>INDEX(新属性投放!J$42:J$62,属性汇总!$S143)*$T143</f>
        <v>12674.5525</v>
      </c>
      <c r="V143" s="14">
        <f>INDEX(新属性投放!K$42:K$62,属性汇总!$S143)*$T143</f>
        <v>6249.3012499999995</v>
      </c>
      <c r="W143" s="14">
        <f>INDEX(新属性投放!L$42:L$62,属性汇总!$S143)*$T143</f>
        <v>67013.95</v>
      </c>
      <c r="X143" s="14">
        <f>INDEX(新属性投放!$D$42:$D$62,属性汇总!$S143)*$T143</f>
        <v>309.24650000000003</v>
      </c>
      <c r="Y143" s="14">
        <f>INDEX(新属性投放!$D$42:$D$62,属性汇总!$S143)*$T143</f>
        <v>309.24650000000003</v>
      </c>
      <c r="Z143" s="14">
        <f>INDEX(新属性投放!$D$42:$D$62,属性汇总!$S143)*$T143</f>
        <v>309.24650000000003</v>
      </c>
      <c r="AA143" s="14">
        <f>ROUND(U143+($R143-INDEX(新属性投放!$B$14:$B$34,属性汇总!$S143))*属性汇总!X143,0)</f>
        <v>15458</v>
      </c>
      <c r="AB143" s="14">
        <f>ROUND(V143+($R143-INDEX(新属性投放!$B$14:$B$34,属性汇总!$S143))*属性汇总!Y143,0)</f>
        <v>9033</v>
      </c>
      <c r="AC143" s="14">
        <f>ROUND(W143+($R143-INDEX(新属性投放!$B$14:$B$34,属性汇总!$S143))*属性汇总!Z143,0)</f>
        <v>69797</v>
      </c>
    </row>
    <row r="144" spans="1:29" ht="16.5" x14ac:dyDescent="0.2">
      <c r="A144" s="13">
        <v>125</v>
      </c>
      <c r="B144" s="13">
        <v>16</v>
      </c>
      <c r="C144" s="14">
        <f>INDEX(新属性投放!$L$6:$L$10,属性汇总!$B$3)*INDEX(新属性投放!$Q$6:$Q$10,属性汇总!$D$3)</f>
        <v>1.1499999999999999</v>
      </c>
      <c r="D144" s="14">
        <f>INDEX(新属性投放!J$14:J$34,属性汇总!$B144)*$C144</f>
        <v>12369.8025</v>
      </c>
      <c r="E144" s="14">
        <f>INDEX(新属性投放!K$14:K$34,属性汇总!$B144)*$C144</f>
        <v>6142.3512499999997</v>
      </c>
      <c r="F144" s="14">
        <f>INDEX(新属性投放!L$14:L$34,属性汇总!$B144)*$C144</f>
        <v>37339.407499999994</v>
      </c>
      <c r="G144" s="14">
        <f>INDEX(新属性投放!D$14:D$34,属性汇总!$B144)*$C144</f>
        <v>309.24650000000003</v>
      </c>
      <c r="H144" s="14">
        <f>INDEX(新属性投放!E$14:E$34,属性汇总!$B144)*$C144</f>
        <v>154.62325000000001</v>
      </c>
      <c r="I144" s="14">
        <f>INDEX(新属性投放!F$14:F$34,属性汇总!$B144)*$C144</f>
        <v>927.73949999999991</v>
      </c>
      <c r="J144" s="14">
        <f>ROUND(D144+($A144-INDEX(新属性投放!$B$14:$B$34,属性汇总!$B144))*属性汇总!G144,0)</f>
        <v>15462</v>
      </c>
      <c r="K144" s="14">
        <f>ROUND(E144+($A144-INDEX(新属性投放!$B$14:$B$34,属性汇总!$B144))*属性汇总!H144,0)</f>
        <v>7689</v>
      </c>
      <c r="L144" s="14">
        <f>ROUND(F144+($A144-INDEX(新属性投放!$B$14:$B$34,属性汇总!$B144))*属性汇总!I144,0)</f>
        <v>46617</v>
      </c>
      <c r="R144" s="13">
        <v>125</v>
      </c>
      <c r="S144" s="13">
        <v>16</v>
      </c>
      <c r="T144" s="14">
        <f>INDEX(新属性投放!$L$6:$L$10,$S$3)*INDEX(新属性投放!$Q$6:$Q$10,$U$3)</f>
        <v>1.1499999999999999</v>
      </c>
      <c r="U144" s="14">
        <f>INDEX(新属性投放!J$42:J$62,属性汇总!$S144)*$T144</f>
        <v>12674.5525</v>
      </c>
      <c r="V144" s="14">
        <f>INDEX(新属性投放!K$42:K$62,属性汇总!$S144)*$T144</f>
        <v>6249.3012499999995</v>
      </c>
      <c r="W144" s="14">
        <f>INDEX(新属性投放!L$42:L$62,属性汇总!$S144)*$T144</f>
        <v>67013.95</v>
      </c>
      <c r="X144" s="14">
        <f>INDEX(新属性投放!$D$42:$D$62,属性汇总!$S144)*$T144</f>
        <v>309.24650000000003</v>
      </c>
      <c r="Y144" s="14">
        <f>INDEX(新属性投放!$D$42:$D$62,属性汇总!$S144)*$T144</f>
        <v>309.24650000000003</v>
      </c>
      <c r="Z144" s="14">
        <f>INDEX(新属性投放!$D$42:$D$62,属性汇总!$S144)*$T144</f>
        <v>309.24650000000003</v>
      </c>
      <c r="AA144" s="14">
        <f>ROUND(U144+($R144-INDEX(新属性投放!$B$14:$B$34,属性汇总!$S144))*属性汇总!X144,0)</f>
        <v>15767</v>
      </c>
      <c r="AB144" s="14">
        <f>ROUND(V144+($R144-INDEX(新属性投放!$B$14:$B$34,属性汇总!$S144))*属性汇总!Y144,0)</f>
        <v>9342</v>
      </c>
      <c r="AC144" s="14">
        <f>ROUND(W144+($R144-INDEX(新属性投放!$B$14:$B$34,属性汇总!$S144))*属性汇总!Z144,0)</f>
        <v>70106</v>
      </c>
    </row>
    <row r="145" spans="1:29" s="20" customFormat="1" ht="16.5" x14ac:dyDescent="0.2">
      <c r="A145" s="13">
        <v>125</v>
      </c>
      <c r="B145" s="13">
        <v>17</v>
      </c>
      <c r="C145" s="14">
        <f>INDEX(新属性投放!$L$6:$L$10,属性汇总!$B$3)*INDEX(新属性投放!$Q$6:$Q$10,属性汇总!$D$3)</f>
        <v>1.1499999999999999</v>
      </c>
      <c r="D145" s="14">
        <f>INDEX(新属性投放!J$14:J$34,属性汇总!$B145)*$C145</f>
        <v>14302.435000000001</v>
      </c>
      <c r="E145" s="14">
        <f>INDEX(新属性投放!K$14:K$34,属性汇总!$B145)*$C145</f>
        <v>7108.6675000000005</v>
      </c>
      <c r="F145" s="14">
        <f>INDEX(新属性投放!L$14:L$34,属性汇总!$B145)*$C145</f>
        <v>43137.304999999993</v>
      </c>
      <c r="G145" s="14">
        <f>INDEX(新属性投放!D$14:D$34,属性汇总!$B145)*$C145</f>
        <v>357.55799999999999</v>
      </c>
      <c r="H145" s="14">
        <f>INDEX(新属性投放!E$14:E$34,属性汇总!$B145)*$C145</f>
        <v>178.779</v>
      </c>
      <c r="I145" s="14">
        <f>INDEX(新属性投放!F$14:F$34,属性汇总!$B145)*$C145</f>
        <v>1072.674</v>
      </c>
      <c r="J145" s="14">
        <f>ROUND(D145+($A145-INDEX(新属性投放!$B$14:$B$34,属性汇总!$B145))*属性汇总!G145,0)</f>
        <v>16090</v>
      </c>
      <c r="K145" s="14">
        <f>ROUND(E145+($A145-INDEX(新属性投放!$B$14:$B$34,属性汇总!$B145))*属性汇总!H145,0)</f>
        <v>8003</v>
      </c>
      <c r="L145" s="14">
        <f>ROUND(F145+($A145-INDEX(新属性投放!$B$14:$B$34,属性汇总!$B145))*属性汇总!I145,0)</f>
        <v>48501</v>
      </c>
      <c r="N145" s="37"/>
      <c r="O145" s="37"/>
      <c r="P145" s="37"/>
      <c r="R145" s="13">
        <v>125</v>
      </c>
      <c r="S145" s="13">
        <v>17</v>
      </c>
      <c r="T145" s="14">
        <f>INDEX(新属性投放!$L$6:$L$10,$S$3)*INDEX(新属性投放!$Q$6:$Q$10,$U$3)</f>
        <v>1.1499999999999999</v>
      </c>
      <c r="U145" s="14">
        <f>INDEX(新属性投放!J$42:J$62,属性汇总!$S145)*$T145</f>
        <v>14607.185000000001</v>
      </c>
      <c r="V145" s="14">
        <f>INDEX(新属性投放!K$42:K$62,属性汇总!$S145)*$T145</f>
        <v>7215.6175000000003</v>
      </c>
      <c r="W145" s="14">
        <f>INDEX(新属性投放!L$42:L$62,属性汇总!$S145)*$T145</f>
        <v>77449.049999999988</v>
      </c>
      <c r="X145" s="14">
        <f>INDEX(新属性投放!$D$42:$D$62,属性汇总!$S145)*$T145</f>
        <v>357.55799999999999</v>
      </c>
      <c r="Y145" s="14">
        <f>INDEX(新属性投放!$D$42:$D$62,属性汇总!$S145)*$T145</f>
        <v>357.55799999999999</v>
      </c>
      <c r="Z145" s="14">
        <f>INDEX(新属性投放!$D$42:$D$62,属性汇总!$S145)*$T145</f>
        <v>357.55799999999999</v>
      </c>
      <c r="AA145" s="14">
        <f>ROUND(U145+($R145-INDEX(新属性投放!$B$14:$B$34,属性汇总!$S145))*属性汇总!X145,0)</f>
        <v>16395</v>
      </c>
      <c r="AB145" s="14">
        <f>ROUND(V145+($R145-INDEX(新属性投放!$B$14:$B$34,属性汇总!$S145))*属性汇总!Y145,0)</f>
        <v>9003</v>
      </c>
      <c r="AC145" s="14">
        <f>ROUND(W145+($R145-INDEX(新属性投放!$B$14:$B$34,属性汇总!$S145))*属性汇总!Z145,0)</f>
        <v>79237</v>
      </c>
    </row>
    <row r="146" spans="1:29" ht="16.5" x14ac:dyDescent="0.2">
      <c r="A146" s="13">
        <v>126</v>
      </c>
      <c r="B146" s="13">
        <v>17</v>
      </c>
      <c r="C146" s="14">
        <f>INDEX(新属性投放!$L$6:$L$10,属性汇总!$B$3)*INDEX(新属性投放!$Q$6:$Q$10,属性汇总!$D$3)</f>
        <v>1.1499999999999999</v>
      </c>
      <c r="D146" s="14">
        <f>INDEX(新属性投放!J$14:J$34,属性汇总!$B146)*$C146</f>
        <v>14302.435000000001</v>
      </c>
      <c r="E146" s="14">
        <f>INDEX(新属性投放!K$14:K$34,属性汇总!$B146)*$C146</f>
        <v>7108.6675000000005</v>
      </c>
      <c r="F146" s="14">
        <f>INDEX(新属性投放!L$14:L$34,属性汇总!$B146)*$C146</f>
        <v>43137.304999999993</v>
      </c>
      <c r="G146" s="14">
        <f>INDEX(新属性投放!D$14:D$34,属性汇总!$B146)*$C146</f>
        <v>357.55799999999999</v>
      </c>
      <c r="H146" s="14">
        <f>INDEX(新属性投放!E$14:E$34,属性汇总!$B146)*$C146</f>
        <v>178.779</v>
      </c>
      <c r="I146" s="14">
        <f>INDEX(新属性投放!F$14:F$34,属性汇总!$B146)*$C146</f>
        <v>1072.674</v>
      </c>
      <c r="J146" s="14">
        <f>ROUND(D146+($A146-INDEX(新属性投放!$B$14:$B$34,属性汇总!$B146))*属性汇总!G146,0)</f>
        <v>16448</v>
      </c>
      <c r="K146" s="14">
        <f>ROUND(E146+($A146-INDEX(新属性投放!$B$14:$B$34,属性汇总!$B146))*属性汇总!H146,0)</f>
        <v>8181</v>
      </c>
      <c r="L146" s="14">
        <f>ROUND(F146+($A146-INDEX(新属性投放!$B$14:$B$34,属性汇总!$B146))*属性汇总!I146,0)</f>
        <v>49573</v>
      </c>
      <c r="R146" s="13">
        <v>126</v>
      </c>
      <c r="S146" s="13">
        <v>17</v>
      </c>
      <c r="T146" s="14">
        <f>INDEX(新属性投放!$L$6:$L$10,$S$3)*INDEX(新属性投放!$Q$6:$Q$10,$U$3)</f>
        <v>1.1499999999999999</v>
      </c>
      <c r="U146" s="14">
        <f>INDEX(新属性投放!J$42:J$62,属性汇总!$S146)*$T146</f>
        <v>14607.185000000001</v>
      </c>
      <c r="V146" s="14">
        <f>INDEX(新属性投放!K$42:K$62,属性汇总!$S146)*$T146</f>
        <v>7215.6175000000003</v>
      </c>
      <c r="W146" s="14">
        <f>INDEX(新属性投放!L$42:L$62,属性汇总!$S146)*$T146</f>
        <v>77449.049999999988</v>
      </c>
      <c r="X146" s="14">
        <f>INDEX(新属性投放!$D$42:$D$62,属性汇总!$S146)*$T146</f>
        <v>357.55799999999999</v>
      </c>
      <c r="Y146" s="14">
        <f>INDEX(新属性投放!$D$42:$D$62,属性汇总!$S146)*$T146</f>
        <v>357.55799999999999</v>
      </c>
      <c r="Z146" s="14">
        <f>INDEX(新属性投放!$D$42:$D$62,属性汇总!$S146)*$T146</f>
        <v>357.55799999999999</v>
      </c>
      <c r="AA146" s="14">
        <f>ROUND(U146+($R146-INDEX(新属性投放!$B$14:$B$34,属性汇总!$S146))*属性汇总!X146,0)</f>
        <v>16753</v>
      </c>
      <c r="AB146" s="14">
        <f>ROUND(V146+($R146-INDEX(新属性投放!$B$14:$B$34,属性汇总!$S146))*属性汇总!Y146,0)</f>
        <v>9361</v>
      </c>
      <c r="AC146" s="14">
        <f>ROUND(W146+($R146-INDEX(新属性投放!$B$14:$B$34,属性汇总!$S146))*属性汇总!Z146,0)</f>
        <v>79594</v>
      </c>
    </row>
    <row r="147" spans="1:29" ht="16.5" x14ac:dyDescent="0.2">
      <c r="A147" s="13">
        <v>127</v>
      </c>
      <c r="B147" s="13">
        <v>17</v>
      </c>
      <c r="C147" s="14">
        <f>INDEX(新属性投放!$L$6:$L$10,属性汇总!$B$3)*INDEX(新属性投放!$Q$6:$Q$10,属性汇总!$D$3)</f>
        <v>1.1499999999999999</v>
      </c>
      <c r="D147" s="14">
        <f>INDEX(新属性投放!J$14:J$34,属性汇总!$B147)*$C147</f>
        <v>14302.435000000001</v>
      </c>
      <c r="E147" s="14">
        <f>INDEX(新属性投放!K$14:K$34,属性汇总!$B147)*$C147</f>
        <v>7108.6675000000005</v>
      </c>
      <c r="F147" s="14">
        <f>INDEX(新属性投放!L$14:L$34,属性汇总!$B147)*$C147</f>
        <v>43137.304999999993</v>
      </c>
      <c r="G147" s="14">
        <f>INDEX(新属性投放!D$14:D$34,属性汇总!$B147)*$C147</f>
        <v>357.55799999999999</v>
      </c>
      <c r="H147" s="14">
        <f>INDEX(新属性投放!E$14:E$34,属性汇总!$B147)*$C147</f>
        <v>178.779</v>
      </c>
      <c r="I147" s="14">
        <f>INDEX(新属性投放!F$14:F$34,属性汇总!$B147)*$C147</f>
        <v>1072.674</v>
      </c>
      <c r="J147" s="14">
        <f>ROUND(D147+($A147-INDEX(新属性投放!$B$14:$B$34,属性汇总!$B147))*属性汇总!G147,0)</f>
        <v>16805</v>
      </c>
      <c r="K147" s="14">
        <f>ROUND(E147+($A147-INDEX(新属性投放!$B$14:$B$34,属性汇总!$B147))*属性汇总!H147,0)</f>
        <v>8360</v>
      </c>
      <c r="L147" s="14">
        <f>ROUND(F147+($A147-INDEX(新属性投放!$B$14:$B$34,属性汇总!$B147))*属性汇总!I147,0)</f>
        <v>50646</v>
      </c>
      <c r="R147" s="13">
        <v>127</v>
      </c>
      <c r="S147" s="13">
        <v>17</v>
      </c>
      <c r="T147" s="14">
        <f>INDEX(新属性投放!$L$6:$L$10,$S$3)*INDEX(新属性投放!$Q$6:$Q$10,$U$3)</f>
        <v>1.1499999999999999</v>
      </c>
      <c r="U147" s="14">
        <f>INDEX(新属性投放!J$42:J$62,属性汇总!$S147)*$T147</f>
        <v>14607.185000000001</v>
      </c>
      <c r="V147" s="14">
        <f>INDEX(新属性投放!K$42:K$62,属性汇总!$S147)*$T147</f>
        <v>7215.6175000000003</v>
      </c>
      <c r="W147" s="14">
        <f>INDEX(新属性投放!L$42:L$62,属性汇总!$S147)*$T147</f>
        <v>77449.049999999988</v>
      </c>
      <c r="X147" s="14">
        <f>INDEX(新属性投放!$D$42:$D$62,属性汇总!$S147)*$T147</f>
        <v>357.55799999999999</v>
      </c>
      <c r="Y147" s="14">
        <f>INDEX(新属性投放!$D$42:$D$62,属性汇总!$S147)*$T147</f>
        <v>357.55799999999999</v>
      </c>
      <c r="Z147" s="14">
        <f>INDEX(新属性投放!$D$42:$D$62,属性汇总!$S147)*$T147</f>
        <v>357.55799999999999</v>
      </c>
      <c r="AA147" s="14">
        <f>ROUND(U147+($R147-INDEX(新属性投放!$B$14:$B$34,属性汇总!$S147))*属性汇总!X147,0)</f>
        <v>17110</v>
      </c>
      <c r="AB147" s="14">
        <f>ROUND(V147+($R147-INDEX(新属性投放!$B$14:$B$34,属性汇总!$S147))*属性汇总!Y147,0)</f>
        <v>9719</v>
      </c>
      <c r="AC147" s="14">
        <f>ROUND(W147+($R147-INDEX(新属性投放!$B$14:$B$34,属性汇总!$S147))*属性汇总!Z147,0)</f>
        <v>79952</v>
      </c>
    </row>
    <row r="148" spans="1:29" ht="16.5" x14ac:dyDescent="0.2">
      <c r="A148" s="13">
        <v>128</v>
      </c>
      <c r="B148" s="13">
        <v>17</v>
      </c>
      <c r="C148" s="14">
        <f>INDEX(新属性投放!$L$6:$L$10,属性汇总!$B$3)*INDEX(新属性投放!$Q$6:$Q$10,属性汇总!$D$3)</f>
        <v>1.1499999999999999</v>
      </c>
      <c r="D148" s="14">
        <f>INDEX(新属性投放!J$14:J$34,属性汇总!$B148)*$C148</f>
        <v>14302.435000000001</v>
      </c>
      <c r="E148" s="14">
        <f>INDEX(新属性投放!K$14:K$34,属性汇总!$B148)*$C148</f>
        <v>7108.6675000000005</v>
      </c>
      <c r="F148" s="14">
        <f>INDEX(新属性投放!L$14:L$34,属性汇总!$B148)*$C148</f>
        <v>43137.304999999993</v>
      </c>
      <c r="G148" s="14">
        <f>INDEX(新属性投放!D$14:D$34,属性汇总!$B148)*$C148</f>
        <v>357.55799999999999</v>
      </c>
      <c r="H148" s="14">
        <f>INDEX(新属性投放!E$14:E$34,属性汇总!$B148)*$C148</f>
        <v>178.779</v>
      </c>
      <c r="I148" s="14">
        <f>INDEX(新属性投放!F$14:F$34,属性汇总!$B148)*$C148</f>
        <v>1072.674</v>
      </c>
      <c r="J148" s="14">
        <f>ROUND(D148+($A148-INDEX(新属性投放!$B$14:$B$34,属性汇总!$B148))*属性汇总!G148,0)</f>
        <v>17163</v>
      </c>
      <c r="K148" s="14">
        <f>ROUND(E148+($A148-INDEX(新属性投放!$B$14:$B$34,属性汇总!$B148))*属性汇总!H148,0)</f>
        <v>8539</v>
      </c>
      <c r="L148" s="14">
        <f>ROUND(F148+($A148-INDEX(新属性投放!$B$14:$B$34,属性汇总!$B148))*属性汇总!I148,0)</f>
        <v>51719</v>
      </c>
      <c r="R148" s="13">
        <v>128</v>
      </c>
      <c r="S148" s="13">
        <v>17</v>
      </c>
      <c r="T148" s="14">
        <f>INDEX(新属性投放!$L$6:$L$10,$S$3)*INDEX(新属性投放!$Q$6:$Q$10,$U$3)</f>
        <v>1.1499999999999999</v>
      </c>
      <c r="U148" s="14">
        <f>INDEX(新属性投放!J$42:J$62,属性汇总!$S148)*$T148</f>
        <v>14607.185000000001</v>
      </c>
      <c r="V148" s="14">
        <f>INDEX(新属性投放!K$42:K$62,属性汇总!$S148)*$T148</f>
        <v>7215.6175000000003</v>
      </c>
      <c r="W148" s="14">
        <f>INDEX(新属性投放!L$42:L$62,属性汇总!$S148)*$T148</f>
        <v>77449.049999999988</v>
      </c>
      <c r="X148" s="14">
        <f>INDEX(新属性投放!$D$42:$D$62,属性汇总!$S148)*$T148</f>
        <v>357.55799999999999</v>
      </c>
      <c r="Y148" s="14">
        <f>INDEX(新属性投放!$D$42:$D$62,属性汇总!$S148)*$T148</f>
        <v>357.55799999999999</v>
      </c>
      <c r="Z148" s="14">
        <f>INDEX(新属性投放!$D$42:$D$62,属性汇总!$S148)*$T148</f>
        <v>357.55799999999999</v>
      </c>
      <c r="AA148" s="14">
        <f>ROUND(U148+($R148-INDEX(新属性投放!$B$14:$B$34,属性汇总!$S148))*属性汇总!X148,0)</f>
        <v>17468</v>
      </c>
      <c r="AB148" s="14">
        <f>ROUND(V148+($R148-INDEX(新属性投放!$B$14:$B$34,属性汇总!$S148))*属性汇总!Y148,0)</f>
        <v>10076</v>
      </c>
      <c r="AC148" s="14">
        <f>ROUND(W148+($R148-INDEX(新属性投放!$B$14:$B$34,属性汇总!$S148))*属性汇总!Z148,0)</f>
        <v>80310</v>
      </c>
    </row>
    <row r="149" spans="1:29" ht="16.5" x14ac:dyDescent="0.2">
      <c r="A149" s="13">
        <v>129</v>
      </c>
      <c r="B149" s="13">
        <v>17</v>
      </c>
      <c r="C149" s="14">
        <f>INDEX(新属性投放!$L$6:$L$10,属性汇总!$B$3)*INDEX(新属性投放!$Q$6:$Q$10,属性汇总!$D$3)</f>
        <v>1.1499999999999999</v>
      </c>
      <c r="D149" s="14">
        <f>INDEX(新属性投放!J$14:J$34,属性汇总!$B149)*$C149</f>
        <v>14302.435000000001</v>
      </c>
      <c r="E149" s="14">
        <f>INDEX(新属性投放!K$14:K$34,属性汇总!$B149)*$C149</f>
        <v>7108.6675000000005</v>
      </c>
      <c r="F149" s="14">
        <f>INDEX(新属性投放!L$14:L$34,属性汇总!$B149)*$C149</f>
        <v>43137.304999999993</v>
      </c>
      <c r="G149" s="14">
        <f>INDEX(新属性投放!D$14:D$34,属性汇总!$B149)*$C149</f>
        <v>357.55799999999999</v>
      </c>
      <c r="H149" s="14">
        <f>INDEX(新属性投放!E$14:E$34,属性汇总!$B149)*$C149</f>
        <v>178.779</v>
      </c>
      <c r="I149" s="14">
        <f>INDEX(新属性投放!F$14:F$34,属性汇总!$B149)*$C149</f>
        <v>1072.674</v>
      </c>
      <c r="J149" s="14">
        <f>ROUND(D149+($A149-INDEX(新属性投放!$B$14:$B$34,属性汇总!$B149))*属性汇总!G149,0)</f>
        <v>17520</v>
      </c>
      <c r="K149" s="14">
        <f>ROUND(E149+($A149-INDEX(新属性投放!$B$14:$B$34,属性汇总!$B149))*属性汇总!H149,0)</f>
        <v>8718</v>
      </c>
      <c r="L149" s="14">
        <f>ROUND(F149+($A149-INDEX(新属性投放!$B$14:$B$34,属性汇总!$B149))*属性汇总!I149,0)</f>
        <v>52791</v>
      </c>
      <c r="R149" s="13">
        <v>129</v>
      </c>
      <c r="S149" s="13">
        <v>17</v>
      </c>
      <c r="T149" s="14">
        <f>INDEX(新属性投放!$L$6:$L$10,$S$3)*INDEX(新属性投放!$Q$6:$Q$10,$U$3)</f>
        <v>1.1499999999999999</v>
      </c>
      <c r="U149" s="14">
        <f>INDEX(新属性投放!J$42:J$62,属性汇总!$S149)*$T149</f>
        <v>14607.185000000001</v>
      </c>
      <c r="V149" s="14">
        <f>INDEX(新属性投放!K$42:K$62,属性汇总!$S149)*$T149</f>
        <v>7215.6175000000003</v>
      </c>
      <c r="W149" s="14">
        <f>INDEX(新属性投放!L$42:L$62,属性汇总!$S149)*$T149</f>
        <v>77449.049999999988</v>
      </c>
      <c r="X149" s="14">
        <f>INDEX(新属性投放!$D$42:$D$62,属性汇总!$S149)*$T149</f>
        <v>357.55799999999999</v>
      </c>
      <c r="Y149" s="14">
        <f>INDEX(新属性投放!$D$42:$D$62,属性汇总!$S149)*$T149</f>
        <v>357.55799999999999</v>
      </c>
      <c r="Z149" s="14">
        <f>INDEX(新属性投放!$D$42:$D$62,属性汇总!$S149)*$T149</f>
        <v>357.55799999999999</v>
      </c>
      <c r="AA149" s="14">
        <f>ROUND(U149+($R149-INDEX(新属性投放!$B$14:$B$34,属性汇总!$S149))*属性汇总!X149,0)</f>
        <v>17825</v>
      </c>
      <c r="AB149" s="14">
        <f>ROUND(V149+($R149-INDEX(新属性投放!$B$14:$B$34,属性汇总!$S149))*属性汇总!Y149,0)</f>
        <v>10434</v>
      </c>
      <c r="AC149" s="14">
        <f>ROUND(W149+($R149-INDEX(新属性投放!$B$14:$B$34,属性汇总!$S149))*属性汇总!Z149,0)</f>
        <v>80667</v>
      </c>
    </row>
    <row r="150" spans="1:29" ht="16.5" x14ac:dyDescent="0.2">
      <c r="A150" s="13">
        <v>130</v>
      </c>
      <c r="B150" s="13">
        <v>17</v>
      </c>
      <c r="C150" s="14">
        <f>INDEX(新属性投放!$L$6:$L$10,属性汇总!$B$3)*INDEX(新属性投放!$Q$6:$Q$10,属性汇总!$D$3)</f>
        <v>1.1499999999999999</v>
      </c>
      <c r="D150" s="14">
        <f>INDEX(新属性投放!J$14:J$34,属性汇总!$B150)*$C150</f>
        <v>14302.435000000001</v>
      </c>
      <c r="E150" s="14">
        <f>INDEX(新属性投放!K$14:K$34,属性汇总!$B150)*$C150</f>
        <v>7108.6675000000005</v>
      </c>
      <c r="F150" s="14">
        <f>INDEX(新属性投放!L$14:L$34,属性汇总!$B150)*$C150</f>
        <v>43137.304999999993</v>
      </c>
      <c r="G150" s="14">
        <f>INDEX(新属性投放!D$14:D$34,属性汇总!$B150)*$C150</f>
        <v>357.55799999999999</v>
      </c>
      <c r="H150" s="14">
        <f>INDEX(新属性投放!E$14:E$34,属性汇总!$B150)*$C150</f>
        <v>178.779</v>
      </c>
      <c r="I150" s="14">
        <f>INDEX(新属性投放!F$14:F$34,属性汇总!$B150)*$C150</f>
        <v>1072.674</v>
      </c>
      <c r="J150" s="14">
        <f>ROUND(D150+($A150-INDEX(新属性投放!$B$14:$B$34,属性汇总!$B150))*属性汇总!G150,0)</f>
        <v>17878</v>
      </c>
      <c r="K150" s="14">
        <f>ROUND(E150+($A150-INDEX(新属性投放!$B$14:$B$34,属性汇总!$B150))*属性汇总!H150,0)</f>
        <v>8896</v>
      </c>
      <c r="L150" s="14">
        <f>ROUND(F150+($A150-INDEX(新属性投放!$B$14:$B$34,属性汇总!$B150))*属性汇总!I150,0)</f>
        <v>53864</v>
      </c>
      <c r="R150" s="13">
        <v>130</v>
      </c>
      <c r="S150" s="13">
        <v>17</v>
      </c>
      <c r="T150" s="14">
        <f>INDEX(新属性投放!$L$6:$L$10,$S$3)*INDEX(新属性投放!$Q$6:$Q$10,$U$3)</f>
        <v>1.1499999999999999</v>
      </c>
      <c r="U150" s="14">
        <f>INDEX(新属性投放!J$42:J$62,属性汇总!$S150)*$T150</f>
        <v>14607.185000000001</v>
      </c>
      <c r="V150" s="14">
        <f>INDEX(新属性投放!K$42:K$62,属性汇总!$S150)*$T150</f>
        <v>7215.6175000000003</v>
      </c>
      <c r="W150" s="14">
        <f>INDEX(新属性投放!L$42:L$62,属性汇总!$S150)*$T150</f>
        <v>77449.049999999988</v>
      </c>
      <c r="X150" s="14">
        <f>INDEX(新属性投放!$D$42:$D$62,属性汇总!$S150)*$T150</f>
        <v>357.55799999999999</v>
      </c>
      <c r="Y150" s="14">
        <f>INDEX(新属性投放!$D$42:$D$62,属性汇总!$S150)*$T150</f>
        <v>357.55799999999999</v>
      </c>
      <c r="Z150" s="14">
        <f>INDEX(新属性投放!$D$42:$D$62,属性汇总!$S150)*$T150</f>
        <v>357.55799999999999</v>
      </c>
      <c r="AA150" s="14">
        <f>ROUND(U150+($R150-INDEX(新属性投放!$B$14:$B$34,属性汇总!$S150))*属性汇总!X150,0)</f>
        <v>18183</v>
      </c>
      <c r="AB150" s="14">
        <f>ROUND(V150+($R150-INDEX(新属性投放!$B$14:$B$34,属性汇总!$S150))*属性汇总!Y150,0)</f>
        <v>10791</v>
      </c>
      <c r="AC150" s="14">
        <f>ROUND(W150+($R150-INDEX(新属性投放!$B$14:$B$34,属性汇总!$S150))*属性汇总!Z150,0)</f>
        <v>81025</v>
      </c>
    </row>
    <row r="151" spans="1:29" s="20" customFormat="1" ht="16.5" x14ac:dyDescent="0.2">
      <c r="A151" s="13">
        <v>130</v>
      </c>
      <c r="B151" s="13">
        <v>18</v>
      </c>
      <c r="C151" s="14">
        <f>INDEX(新属性投放!$L$6:$L$10,属性汇总!$B$3)*INDEX(新属性投放!$Q$6:$Q$10,属性汇总!$D$3)</f>
        <v>1.1499999999999999</v>
      </c>
      <c r="D151" s="14">
        <f>INDEX(新属性投放!J$14:J$34,属性汇总!$B151)*$C151</f>
        <v>16537.575000000001</v>
      </c>
      <c r="E151" s="14">
        <f>INDEX(新属性投放!K$14:K$34,属性汇总!$B151)*$C151</f>
        <v>8225.6625000000004</v>
      </c>
      <c r="F151" s="14">
        <f>INDEX(新属性投放!L$14:L$34,属性汇总!$B151)*$C151</f>
        <v>49842.724999999999</v>
      </c>
      <c r="G151" s="14">
        <f>INDEX(新属性投放!D$14:D$34,属性汇总!$B151)*$C151</f>
        <v>413.43649999999997</v>
      </c>
      <c r="H151" s="14">
        <f>INDEX(新属性投放!E$14:E$34,属性汇总!$B151)*$C151</f>
        <v>206.71824999999998</v>
      </c>
      <c r="I151" s="14">
        <f>INDEX(新属性投放!F$14:F$34,属性汇总!$B151)*$C151</f>
        <v>1240.3094999999998</v>
      </c>
      <c r="J151" s="14">
        <f>ROUND(D151+($A151-INDEX(新属性投放!$B$14:$B$34,属性汇总!$B151))*属性汇总!G151,0)</f>
        <v>18605</v>
      </c>
      <c r="K151" s="14">
        <f>ROUND(E151+($A151-INDEX(新属性投放!$B$14:$B$34,属性汇总!$B151))*属性汇总!H151,0)</f>
        <v>9259</v>
      </c>
      <c r="L151" s="14">
        <f>ROUND(F151+($A151-INDEX(新属性投放!$B$14:$B$34,属性汇总!$B151))*属性汇总!I151,0)</f>
        <v>56044</v>
      </c>
      <c r="N151" s="37"/>
      <c r="O151" s="37"/>
      <c r="P151" s="37"/>
      <c r="R151" s="13">
        <v>130</v>
      </c>
      <c r="S151" s="13">
        <v>18</v>
      </c>
      <c r="T151" s="14">
        <f>INDEX(新属性投放!$L$6:$L$10,$S$3)*INDEX(新属性投放!$Q$6:$Q$10,$U$3)</f>
        <v>1.1499999999999999</v>
      </c>
      <c r="U151" s="14">
        <f>INDEX(新属性投放!J$42:J$62,属性汇总!$S151)*$T151</f>
        <v>16842.325000000001</v>
      </c>
      <c r="V151" s="14">
        <f>INDEX(新属性投放!K$42:K$62,属性汇总!$S151)*$T151</f>
        <v>8332.6125000000011</v>
      </c>
      <c r="W151" s="14">
        <f>INDEX(新属性投放!L$42:L$62,属性汇总!$S151)*$T151</f>
        <v>89519.45</v>
      </c>
      <c r="X151" s="14">
        <f>INDEX(新属性投放!$D$42:$D$62,属性汇总!$S151)*$T151</f>
        <v>413.43649999999997</v>
      </c>
      <c r="Y151" s="14">
        <f>INDEX(新属性投放!$D$42:$D$62,属性汇总!$S151)*$T151</f>
        <v>413.43649999999997</v>
      </c>
      <c r="Z151" s="14">
        <f>INDEX(新属性投放!$D$42:$D$62,属性汇总!$S151)*$T151</f>
        <v>413.43649999999997</v>
      </c>
      <c r="AA151" s="14">
        <f>ROUND(U151+($R151-INDEX(新属性投放!$B$14:$B$34,属性汇总!$S151))*属性汇总!X151,0)</f>
        <v>18910</v>
      </c>
      <c r="AB151" s="14">
        <f>ROUND(V151+($R151-INDEX(新属性投放!$B$14:$B$34,属性汇总!$S151))*属性汇总!Y151,0)</f>
        <v>10400</v>
      </c>
      <c r="AC151" s="14">
        <f>ROUND(W151+($R151-INDEX(新属性投放!$B$14:$B$34,属性汇总!$S151))*属性汇总!Z151,0)</f>
        <v>91587</v>
      </c>
    </row>
    <row r="152" spans="1:29" ht="16.5" x14ac:dyDescent="0.2">
      <c r="A152" s="13">
        <v>131</v>
      </c>
      <c r="B152" s="13">
        <v>18</v>
      </c>
      <c r="C152" s="14">
        <f>INDEX(新属性投放!$L$6:$L$10,属性汇总!$B$3)*INDEX(新属性投放!$Q$6:$Q$10,属性汇总!$D$3)</f>
        <v>1.1499999999999999</v>
      </c>
      <c r="D152" s="14">
        <f>INDEX(新属性投放!J$14:J$34,属性汇总!$B152)*$C152</f>
        <v>16537.575000000001</v>
      </c>
      <c r="E152" s="14">
        <f>INDEX(新属性投放!K$14:K$34,属性汇总!$B152)*$C152</f>
        <v>8225.6625000000004</v>
      </c>
      <c r="F152" s="14">
        <f>INDEX(新属性投放!L$14:L$34,属性汇总!$B152)*$C152</f>
        <v>49842.724999999999</v>
      </c>
      <c r="G152" s="14">
        <f>INDEX(新属性投放!D$14:D$34,属性汇总!$B152)*$C152</f>
        <v>413.43649999999997</v>
      </c>
      <c r="H152" s="14">
        <f>INDEX(新属性投放!E$14:E$34,属性汇总!$B152)*$C152</f>
        <v>206.71824999999998</v>
      </c>
      <c r="I152" s="14">
        <f>INDEX(新属性投放!F$14:F$34,属性汇总!$B152)*$C152</f>
        <v>1240.3094999999998</v>
      </c>
      <c r="J152" s="14">
        <f>ROUND(D152+($A152-INDEX(新属性投放!$B$14:$B$34,属性汇总!$B152))*属性汇总!G152,0)</f>
        <v>19018</v>
      </c>
      <c r="K152" s="14">
        <f>ROUND(E152+($A152-INDEX(新属性投放!$B$14:$B$34,属性汇总!$B152))*属性汇总!H152,0)</f>
        <v>9466</v>
      </c>
      <c r="L152" s="14">
        <f>ROUND(F152+($A152-INDEX(新属性投放!$B$14:$B$34,属性汇总!$B152))*属性汇总!I152,0)</f>
        <v>57285</v>
      </c>
      <c r="R152" s="13">
        <v>131</v>
      </c>
      <c r="S152" s="13">
        <v>18</v>
      </c>
      <c r="T152" s="14">
        <f>INDEX(新属性投放!$L$6:$L$10,$S$3)*INDEX(新属性投放!$Q$6:$Q$10,$U$3)</f>
        <v>1.1499999999999999</v>
      </c>
      <c r="U152" s="14">
        <f>INDEX(新属性投放!J$42:J$62,属性汇总!$S152)*$T152</f>
        <v>16842.325000000001</v>
      </c>
      <c r="V152" s="14">
        <f>INDEX(新属性投放!K$42:K$62,属性汇总!$S152)*$T152</f>
        <v>8332.6125000000011</v>
      </c>
      <c r="W152" s="14">
        <f>INDEX(新属性投放!L$42:L$62,属性汇总!$S152)*$T152</f>
        <v>89519.45</v>
      </c>
      <c r="X152" s="14">
        <f>INDEX(新属性投放!$D$42:$D$62,属性汇总!$S152)*$T152</f>
        <v>413.43649999999997</v>
      </c>
      <c r="Y152" s="14">
        <f>INDEX(新属性投放!$D$42:$D$62,属性汇总!$S152)*$T152</f>
        <v>413.43649999999997</v>
      </c>
      <c r="Z152" s="14">
        <f>INDEX(新属性投放!$D$42:$D$62,属性汇总!$S152)*$T152</f>
        <v>413.43649999999997</v>
      </c>
      <c r="AA152" s="14">
        <f>ROUND(U152+($R152-INDEX(新属性投放!$B$14:$B$34,属性汇总!$S152))*属性汇总!X152,0)</f>
        <v>19323</v>
      </c>
      <c r="AB152" s="14">
        <f>ROUND(V152+($R152-INDEX(新属性投放!$B$14:$B$34,属性汇总!$S152))*属性汇总!Y152,0)</f>
        <v>10813</v>
      </c>
      <c r="AC152" s="14">
        <f>ROUND(W152+($R152-INDEX(新属性投放!$B$14:$B$34,属性汇总!$S152))*属性汇总!Z152,0)</f>
        <v>92000</v>
      </c>
    </row>
    <row r="153" spans="1:29" ht="16.5" x14ac:dyDescent="0.2">
      <c r="A153" s="13">
        <v>132</v>
      </c>
      <c r="B153" s="13">
        <v>18</v>
      </c>
      <c r="C153" s="14">
        <f>INDEX(新属性投放!$L$6:$L$10,属性汇总!$B$3)*INDEX(新属性投放!$Q$6:$Q$10,属性汇总!$D$3)</f>
        <v>1.1499999999999999</v>
      </c>
      <c r="D153" s="14">
        <f>INDEX(新属性投放!J$14:J$34,属性汇总!$B153)*$C153</f>
        <v>16537.575000000001</v>
      </c>
      <c r="E153" s="14">
        <f>INDEX(新属性投放!K$14:K$34,属性汇总!$B153)*$C153</f>
        <v>8225.6625000000004</v>
      </c>
      <c r="F153" s="14">
        <f>INDEX(新属性投放!L$14:L$34,属性汇总!$B153)*$C153</f>
        <v>49842.724999999999</v>
      </c>
      <c r="G153" s="14">
        <f>INDEX(新属性投放!D$14:D$34,属性汇总!$B153)*$C153</f>
        <v>413.43649999999997</v>
      </c>
      <c r="H153" s="14">
        <f>INDEX(新属性投放!E$14:E$34,属性汇总!$B153)*$C153</f>
        <v>206.71824999999998</v>
      </c>
      <c r="I153" s="14">
        <f>INDEX(新属性投放!F$14:F$34,属性汇总!$B153)*$C153</f>
        <v>1240.3094999999998</v>
      </c>
      <c r="J153" s="14">
        <f>ROUND(D153+($A153-INDEX(新属性投放!$B$14:$B$34,属性汇总!$B153))*属性汇总!G153,0)</f>
        <v>19432</v>
      </c>
      <c r="K153" s="14">
        <f>ROUND(E153+($A153-INDEX(新属性投放!$B$14:$B$34,属性汇总!$B153))*属性汇总!H153,0)</f>
        <v>9673</v>
      </c>
      <c r="L153" s="14">
        <f>ROUND(F153+($A153-INDEX(新属性投放!$B$14:$B$34,属性汇总!$B153))*属性汇总!I153,0)</f>
        <v>58525</v>
      </c>
      <c r="R153" s="13">
        <v>132</v>
      </c>
      <c r="S153" s="13">
        <v>18</v>
      </c>
      <c r="T153" s="14">
        <f>INDEX(新属性投放!$L$6:$L$10,$S$3)*INDEX(新属性投放!$Q$6:$Q$10,$U$3)</f>
        <v>1.1499999999999999</v>
      </c>
      <c r="U153" s="14">
        <f>INDEX(新属性投放!J$42:J$62,属性汇总!$S153)*$T153</f>
        <v>16842.325000000001</v>
      </c>
      <c r="V153" s="14">
        <f>INDEX(新属性投放!K$42:K$62,属性汇总!$S153)*$T153</f>
        <v>8332.6125000000011</v>
      </c>
      <c r="W153" s="14">
        <f>INDEX(新属性投放!L$42:L$62,属性汇总!$S153)*$T153</f>
        <v>89519.45</v>
      </c>
      <c r="X153" s="14">
        <f>INDEX(新属性投放!$D$42:$D$62,属性汇总!$S153)*$T153</f>
        <v>413.43649999999997</v>
      </c>
      <c r="Y153" s="14">
        <f>INDEX(新属性投放!$D$42:$D$62,属性汇总!$S153)*$T153</f>
        <v>413.43649999999997</v>
      </c>
      <c r="Z153" s="14">
        <f>INDEX(新属性投放!$D$42:$D$62,属性汇总!$S153)*$T153</f>
        <v>413.43649999999997</v>
      </c>
      <c r="AA153" s="14">
        <f>ROUND(U153+($R153-INDEX(新属性投放!$B$14:$B$34,属性汇总!$S153))*属性汇总!X153,0)</f>
        <v>19736</v>
      </c>
      <c r="AB153" s="14">
        <f>ROUND(V153+($R153-INDEX(新属性投放!$B$14:$B$34,属性汇总!$S153))*属性汇总!Y153,0)</f>
        <v>11227</v>
      </c>
      <c r="AC153" s="14">
        <f>ROUND(W153+($R153-INDEX(新属性投放!$B$14:$B$34,属性汇总!$S153))*属性汇总!Z153,0)</f>
        <v>92414</v>
      </c>
    </row>
    <row r="154" spans="1:29" ht="16.5" x14ac:dyDescent="0.2">
      <c r="A154" s="13">
        <v>133</v>
      </c>
      <c r="B154" s="13">
        <v>18</v>
      </c>
      <c r="C154" s="14">
        <f>INDEX(新属性投放!$L$6:$L$10,属性汇总!$B$3)*INDEX(新属性投放!$Q$6:$Q$10,属性汇总!$D$3)</f>
        <v>1.1499999999999999</v>
      </c>
      <c r="D154" s="14">
        <f>INDEX(新属性投放!J$14:J$34,属性汇总!$B154)*$C154</f>
        <v>16537.575000000001</v>
      </c>
      <c r="E154" s="14">
        <f>INDEX(新属性投放!K$14:K$34,属性汇总!$B154)*$C154</f>
        <v>8225.6625000000004</v>
      </c>
      <c r="F154" s="14">
        <f>INDEX(新属性投放!L$14:L$34,属性汇总!$B154)*$C154</f>
        <v>49842.724999999999</v>
      </c>
      <c r="G154" s="14">
        <f>INDEX(新属性投放!D$14:D$34,属性汇总!$B154)*$C154</f>
        <v>413.43649999999997</v>
      </c>
      <c r="H154" s="14">
        <f>INDEX(新属性投放!E$14:E$34,属性汇总!$B154)*$C154</f>
        <v>206.71824999999998</v>
      </c>
      <c r="I154" s="14">
        <f>INDEX(新属性投放!F$14:F$34,属性汇总!$B154)*$C154</f>
        <v>1240.3094999999998</v>
      </c>
      <c r="J154" s="14">
        <f>ROUND(D154+($A154-INDEX(新属性投放!$B$14:$B$34,属性汇总!$B154))*属性汇总!G154,0)</f>
        <v>19845</v>
      </c>
      <c r="K154" s="14">
        <f>ROUND(E154+($A154-INDEX(新属性投放!$B$14:$B$34,属性汇总!$B154))*属性汇总!H154,0)</f>
        <v>9879</v>
      </c>
      <c r="L154" s="14">
        <f>ROUND(F154+($A154-INDEX(新属性投放!$B$14:$B$34,属性汇总!$B154))*属性汇总!I154,0)</f>
        <v>59765</v>
      </c>
      <c r="R154" s="13">
        <v>133</v>
      </c>
      <c r="S154" s="13">
        <v>18</v>
      </c>
      <c r="T154" s="14">
        <f>INDEX(新属性投放!$L$6:$L$10,$S$3)*INDEX(新属性投放!$Q$6:$Q$10,$U$3)</f>
        <v>1.1499999999999999</v>
      </c>
      <c r="U154" s="14">
        <f>INDEX(新属性投放!J$42:J$62,属性汇总!$S154)*$T154</f>
        <v>16842.325000000001</v>
      </c>
      <c r="V154" s="14">
        <f>INDEX(新属性投放!K$42:K$62,属性汇总!$S154)*$T154</f>
        <v>8332.6125000000011</v>
      </c>
      <c r="W154" s="14">
        <f>INDEX(新属性投放!L$42:L$62,属性汇总!$S154)*$T154</f>
        <v>89519.45</v>
      </c>
      <c r="X154" s="14">
        <f>INDEX(新属性投放!$D$42:$D$62,属性汇总!$S154)*$T154</f>
        <v>413.43649999999997</v>
      </c>
      <c r="Y154" s="14">
        <f>INDEX(新属性投放!$D$42:$D$62,属性汇总!$S154)*$T154</f>
        <v>413.43649999999997</v>
      </c>
      <c r="Z154" s="14">
        <f>INDEX(新属性投放!$D$42:$D$62,属性汇总!$S154)*$T154</f>
        <v>413.43649999999997</v>
      </c>
      <c r="AA154" s="14">
        <f>ROUND(U154+($R154-INDEX(新属性投放!$B$14:$B$34,属性汇总!$S154))*属性汇总!X154,0)</f>
        <v>20150</v>
      </c>
      <c r="AB154" s="14">
        <f>ROUND(V154+($R154-INDEX(新属性投放!$B$14:$B$34,属性汇总!$S154))*属性汇总!Y154,0)</f>
        <v>11640</v>
      </c>
      <c r="AC154" s="14">
        <f>ROUND(W154+($R154-INDEX(新属性投放!$B$14:$B$34,属性汇总!$S154))*属性汇总!Z154,0)</f>
        <v>92827</v>
      </c>
    </row>
    <row r="155" spans="1:29" ht="16.5" x14ac:dyDescent="0.2">
      <c r="A155" s="13">
        <v>134</v>
      </c>
      <c r="B155" s="13">
        <v>18</v>
      </c>
      <c r="C155" s="14">
        <f>INDEX(新属性投放!$L$6:$L$10,属性汇总!$B$3)*INDEX(新属性投放!$Q$6:$Q$10,属性汇总!$D$3)</f>
        <v>1.1499999999999999</v>
      </c>
      <c r="D155" s="14">
        <f>INDEX(新属性投放!J$14:J$34,属性汇总!$B155)*$C155</f>
        <v>16537.575000000001</v>
      </c>
      <c r="E155" s="14">
        <f>INDEX(新属性投放!K$14:K$34,属性汇总!$B155)*$C155</f>
        <v>8225.6625000000004</v>
      </c>
      <c r="F155" s="14">
        <f>INDEX(新属性投放!L$14:L$34,属性汇总!$B155)*$C155</f>
        <v>49842.724999999999</v>
      </c>
      <c r="G155" s="14">
        <f>INDEX(新属性投放!D$14:D$34,属性汇总!$B155)*$C155</f>
        <v>413.43649999999997</v>
      </c>
      <c r="H155" s="14">
        <f>INDEX(新属性投放!E$14:E$34,属性汇总!$B155)*$C155</f>
        <v>206.71824999999998</v>
      </c>
      <c r="I155" s="14">
        <f>INDEX(新属性投放!F$14:F$34,属性汇总!$B155)*$C155</f>
        <v>1240.3094999999998</v>
      </c>
      <c r="J155" s="14">
        <f>ROUND(D155+($A155-INDEX(新属性投放!$B$14:$B$34,属性汇总!$B155))*属性汇总!G155,0)</f>
        <v>20259</v>
      </c>
      <c r="K155" s="14">
        <f>ROUND(E155+($A155-INDEX(新属性投放!$B$14:$B$34,属性汇总!$B155))*属性汇总!H155,0)</f>
        <v>10086</v>
      </c>
      <c r="L155" s="14">
        <f>ROUND(F155+($A155-INDEX(新属性投放!$B$14:$B$34,属性汇总!$B155))*属性汇总!I155,0)</f>
        <v>61006</v>
      </c>
      <c r="R155" s="13">
        <v>134</v>
      </c>
      <c r="S155" s="13">
        <v>18</v>
      </c>
      <c r="T155" s="14">
        <f>INDEX(新属性投放!$L$6:$L$10,$S$3)*INDEX(新属性投放!$Q$6:$Q$10,$U$3)</f>
        <v>1.1499999999999999</v>
      </c>
      <c r="U155" s="14">
        <f>INDEX(新属性投放!J$42:J$62,属性汇总!$S155)*$T155</f>
        <v>16842.325000000001</v>
      </c>
      <c r="V155" s="14">
        <f>INDEX(新属性投放!K$42:K$62,属性汇总!$S155)*$T155</f>
        <v>8332.6125000000011</v>
      </c>
      <c r="W155" s="14">
        <f>INDEX(新属性投放!L$42:L$62,属性汇总!$S155)*$T155</f>
        <v>89519.45</v>
      </c>
      <c r="X155" s="14">
        <f>INDEX(新属性投放!$D$42:$D$62,属性汇总!$S155)*$T155</f>
        <v>413.43649999999997</v>
      </c>
      <c r="Y155" s="14">
        <f>INDEX(新属性投放!$D$42:$D$62,属性汇总!$S155)*$T155</f>
        <v>413.43649999999997</v>
      </c>
      <c r="Z155" s="14">
        <f>INDEX(新属性投放!$D$42:$D$62,属性汇总!$S155)*$T155</f>
        <v>413.43649999999997</v>
      </c>
      <c r="AA155" s="14">
        <f>ROUND(U155+($R155-INDEX(新属性投放!$B$14:$B$34,属性汇总!$S155))*属性汇总!X155,0)</f>
        <v>20563</v>
      </c>
      <c r="AB155" s="14">
        <f>ROUND(V155+($R155-INDEX(新属性投放!$B$14:$B$34,属性汇总!$S155))*属性汇总!Y155,0)</f>
        <v>12054</v>
      </c>
      <c r="AC155" s="14">
        <f>ROUND(W155+($R155-INDEX(新属性投放!$B$14:$B$34,属性汇总!$S155))*属性汇总!Z155,0)</f>
        <v>93240</v>
      </c>
    </row>
    <row r="156" spans="1:29" ht="16.5" x14ac:dyDescent="0.2">
      <c r="A156" s="13">
        <v>135</v>
      </c>
      <c r="B156" s="13">
        <v>18</v>
      </c>
      <c r="C156" s="14">
        <f>INDEX(新属性投放!$L$6:$L$10,属性汇总!$B$3)*INDEX(新属性投放!$Q$6:$Q$10,属性汇总!$D$3)</f>
        <v>1.1499999999999999</v>
      </c>
      <c r="D156" s="14">
        <f>INDEX(新属性投放!J$14:J$34,属性汇总!$B156)*$C156</f>
        <v>16537.575000000001</v>
      </c>
      <c r="E156" s="14">
        <f>INDEX(新属性投放!K$14:K$34,属性汇总!$B156)*$C156</f>
        <v>8225.6625000000004</v>
      </c>
      <c r="F156" s="14">
        <f>INDEX(新属性投放!L$14:L$34,属性汇总!$B156)*$C156</f>
        <v>49842.724999999999</v>
      </c>
      <c r="G156" s="14">
        <f>INDEX(新属性投放!D$14:D$34,属性汇总!$B156)*$C156</f>
        <v>413.43649999999997</v>
      </c>
      <c r="H156" s="14">
        <f>INDEX(新属性投放!E$14:E$34,属性汇总!$B156)*$C156</f>
        <v>206.71824999999998</v>
      </c>
      <c r="I156" s="14">
        <f>INDEX(新属性投放!F$14:F$34,属性汇总!$B156)*$C156</f>
        <v>1240.3094999999998</v>
      </c>
      <c r="J156" s="14">
        <f>ROUND(D156+($A156-INDEX(新属性投放!$B$14:$B$34,属性汇总!$B156))*属性汇总!G156,0)</f>
        <v>20672</v>
      </c>
      <c r="K156" s="14">
        <f>ROUND(E156+($A156-INDEX(新属性投放!$B$14:$B$34,属性汇总!$B156))*属性汇总!H156,0)</f>
        <v>10293</v>
      </c>
      <c r="L156" s="14">
        <f>ROUND(F156+($A156-INDEX(新属性投放!$B$14:$B$34,属性汇总!$B156))*属性汇总!I156,0)</f>
        <v>62246</v>
      </c>
      <c r="R156" s="13">
        <v>135</v>
      </c>
      <c r="S156" s="13">
        <v>18</v>
      </c>
      <c r="T156" s="14">
        <f>INDEX(新属性投放!$L$6:$L$10,$S$3)*INDEX(新属性投放!$Q$6:$Q$10,$U$3)</f>
        <v>1.1499999999999999</v>
      </c>
      <c r="U156" s="14">
        <f>INDEX(新属性投放!J$42:J$62,属性汇总!$S156)*$T156</f>
        <v>16842.325000000001</v>
      </c>
      <c r="V156" s="14">
        <f>INDEX(新属性投放!K$42:K$62,属性汇总!$S156)*$T156</f>
        <v>8332.6125000000011</v>
      </c>
      <c r="W156" s="14">
        <f>INDEX(新属性投放!L$42:L$62,属性汇总!$S156)*$T156</f>
        <v>89519.45</v>
      </c>
      <c r="X156" s="14">
        <f>INDEX(新属性投放!$D$42:$D$62,属性汇总!$S156)*$T156</f>
        <v>413.43649999999997</v>
      </c>
      <c r="Y156" s="14">
        <f>INDEX(新属性投放!$D$42:$D$62,属性汇总!$S156)*$T156</f>
        <v>413.43649999999997</v>
      </c>
      <c r="Z156" s="14">
        <f>INDEX(新属性投放!$D$42:$D$62,属性汇总!$S156)*$T156</f>
        <v>413.43649999999997</v>
      </c>
      <c r="AA156" s="14">
        <f>ROUND(U156+($R156-INDEX(新属性投放!$B$14:$B$34,属性汇总!$S156))*属性汇总!X156,0)</f>
        <v>20977</v>
      </c>
      <c r="AB156" s="14">
        <f>ROUND(V156+($R156-INDEX(新属性投放!$B$14:$B$34,属性汇总!$S156))*属性汇总!Y156,0)</f>
        <v>12467</v>
      </c>
      <c r="AC156" s="14">
        <f>ROUND(W156+($R156-INDEX(新属性投放!$B$14:$B$34,属性汇总!$S156))*属性汇总!Z156,0)</f>
        <v>93654</v>
      </c>
    </row>
    <row r="157" spans="1:29" s="20" customFormat="1" ht="16.5" x14ac:dyDescent="0.2">
      <c r="A157" s="13">
        <v>135</v>
      </c>
      <c r="B157" s="13">
        <v>19</v>
      </c>
      <c r="C157" s="14">
        <f>INDEX(新属性投放!$L$6:$L$10,属性汇总!$B$3)*INDEX(新属性投放!$Q$6:$Q$10,属性汇总!$D$3)</f>
        <v>1.1499999999999999</v>
      </c>
      <c r="D157" s="14">
        <f>INDEX(新属性投放!J$14:J$34,属性汇总!$B157)*$C157</f>
        <v>19121.107500000002</v>
      </c>
      <c r="E157" s="14">
        <f>INDEX(新属性投放!K$14:K$34,属性汇总!$B157)*$C157</f>
        <v>9518.0037500000017</v>
      </c>
      <c r="F157" s="14">
        <f>INDEX(新属性投放!L$14:L$34,属性汇总!$B157)*$C157</f>
        <v>57593.322499999995</v>
      </c>
      <c r="G157" s="14">
        <f>INDEX(新属性投放!D$14:D$34,属性汇总!$B157)*$C157</f>
        <v>478.03199999999998</v>
      </c>
      <c r="H157" s="14">
        <f>INDEX(新属性投放!E$14:E$34,属性汇总!$B157)*$C157</f>
        <v>239.01599999999999</v>
      </c>
      <c r="I157" s="14">
        <f>INDEX(新属性投放!F$14:F$34,属性汇总!$B157)*$C157</f>
        <v>1434.0959999999998</v>
      </c>
      <c r="J157" s="14">
        <f>ROUND(D157+($A157-INDEX(新属性投放!$B$14:$B$34,属性汇总!$B157))*属性汇总!G157,0)</f>
        <v>21511</v>
      </c>
      <c r="K157" s="14">
        <f>ROUND(E157+($A157-INDEX(新属性投放!$B$14:$B$34,属性汇总!$B157))*属性汇总!H157,0)</f>
        <v>10713</v>
      </c>
      <c r="L157" s="14">
        <f>ROUND(F157+($A157-INDEX(新属性投放!$B$14:$B$34,属性汇总!$B157))*属性汇总!I157,0)</f>
        <v>64764</v>
      </c>
      <c r="N157" s="37"/>
      <c r="O157" s="37"/>
      <c r="P157" s="37"/>
      <c r="R157" s="13">
        <v>135</v>
      </c>
      <c r="S157" s="13">
        <v>19</v>
      </c>
      <c r="T157" s="14">
        <f>INDEX(新属性投放!$L$6:$L$10,$S$3)*INDEX(新属性投放!$Q$6:$Q$10,$U$3)</f>
        <v>1.1499999999999999</v>
      </c>
      <c r="U157" s="14">
        <f>INDEX(新属性投放!J$42:J$62,属性汇总!$S157)*$T157</f>
        <v>19425.857500000002</v>
      </c>
      <c r="V157" s="14">
        <f>INDEX(新属性投放!K$42:K$62,属性汇总!$S157)*$T157</f>
        <v>9624.9537500000006</v>
      </c>
      <c r="W157" s="14">
        <f>INDEX(新属性投放!L$42:L$62,属性汇总!$S157)*$T157</f>
        <v>103464.34999999999</v>
      </c>
      <c r="X157" s="14">
        <f>INDEX(新属性投放!$D$42:$D$62,属性汇总!$S157)*$T157</f>
        <v>478.03199999999998</v>
      </c>
      <c r="Y157" s="14">
        <f>INDEX(新属性投放!$D$42:$D$62,属性汇总!$S157)*$T157</f>
        <v>478.03199999999998</v>
      </c>
      <c r="Z157" s="14">
        <f>INDEX(新属性投放!$D$42:$D$62,属性汇总!$S157)*$T157</f>
        <v>478.03199999999998</v>
      </c>
      <c r="AA157" s="14">
        <f>ROUND(U157+($R157-INDEX(新属性投放!$B$14:$B$34,属性汇总!$S157))*属性汇总!X157,0)</f>
        <v>21816</v>
      </c>
      <c r="AB157" s="14">
        <f>ROUND(V157+($R157-INDEX(新属性投放!$B$14:$B$34,属性汇总!$S157))*属性汇总!Y157,0)</f>
        <v>12015</v>
      </c>
      <c r="AC157" s="14">
        <f>ROUND(W157+($R157-INDEX(新属性投放!$B$14:$B$34,属性汇总!$S157))*属性汇总!Z157,0)</f>
        <v>105855</v>
      </c>
    </row>
    <row r="158" spans="1:29" ht="16.5" x14ac:dyDescent="0.2">
      <c r="A158" s="13">
        <v>136</v>
      </c>
      <c r="B158" s="13">
        <v>19</v>
      </c>
      <c r="C158" s="14">
        <f>INDEX(新属性投放!$L$6:$L$10,属性汇总!$B$3)*INDEX(新属性投放!$Q$6:$Q$10,属性汇总!$D$3)</f>
        <v>1.1499999999999999</v>
      </c>
      <c r="D158" s="14">
        <f>INDEX(新属性投放!J$14:J$34,属性汇总!$B158)*$C158</f>
        <v>19121.107500000002</v>
      </c>
      <c r="E158" s="14">
        <f>INDEX(新属性投放!K$14:K$34,属性汇总!$B158)*$C158</f>
        <v>9518.0037500000017</v>
      </c>
      <c r="F158" s="14">
        <f>INDEX(新属性投放!L$14:L$34,属性汇总!$B158)*$C158</f>
        <v>57593.322499999995</v>
      </c>
      <c r="G158" s="14">
        <f>INDEX(新属性投放!D$14:D$34,属性汇总!$B158)*$C158</f>
        <v>478.03199999999998</v>
      </c>
      <c r="H158" s="14">
        <f>INDEX(新属性投放!E$14:E$34,属性汇总!$B158)*$C158</f>
        <v>239.01599999999999</v>
      </c>
      <c r="I158" s="14">
        <f>INDEX(新属性投放!F$14:F$34,属性汇总!$B158)*$C158</f>
        <v>1434.0959999999998</v>
      </c>
      <c r="J158" s="14">
        <f>ROUND(D158+($A158-INDEX(新属性投放!$B$14:$B$34,属性汇总!$B158))*属性汇总!G158,0)</f>
        <v>21989</v>
      </c>
      <c r="K158" s="14">
        <f>ROUND(E158+($A158-INDEX(新属性投放!$B$14:$B$34,属性汇总!$B158))*属性汇总!H158,0)</f>
        <v>10952</v>
      </c>
      <c r="L158" s="14">
        <f>ROUND(F158+($A158-INDEX(新属性投放!$B$14:$B$34,属性汇总!$B158))*属性汇总!I158,0)</f>
        <v>66198</v>
      </c>
      <c r="R158" s="13">
        <v>136</v>
      </c>
      <c r="S158" s="13">
        <v>19</v>
      </c>
      <c r="T158" s="14">
        <f>INDEX(新属性投放!$L$6:$L$10,$S$3)*INDEX(新属性投放!$Q$6:$Q$10,$U$3)</f>
        <v>1.1499999999999999</v>
      </c>
      <c r="U158" s="14">
        <f>INDEX(新属性投放!J$42:J$62,属性汇总!$S158)*$T158</f>
        <v>19425.857500000002</v>
      </c>
      <c r="V158" s="14">
        <f>INDEX(新属性投放!K$42:K$62,属性汇总!$S158)*$T158</f>
        <v>9624.9537500000006</v>
      </c>
      <c r="W158" s="14">
        <f>INDEX(新属性投放!L$42:L$62,属性汇总!$S158)*$T158</f>
        <v>103464.34999999999</v>
      </c>
      <c r="X158" s="14">
        <f>INDEX(新属性投放!$D$42:$D$62,属性汇总!$S158)*$T158</f>
        <v>478.03199999999998</v>
      </c>
      <c r="Y158" s="14">
        <f>INDEX(新属性投放!$D$42:$D$62,属性汇总!$S158)*$T158</f>
        <v>478.03199999999998</v>
      </c>
      <c r="Z158" s="14">
        <f>INDEX(新属性投放!$D$42:$D$62,属性汇总!$S158)*$T158</f>
        <v>478.03199999999998</v>
      </c>
      <c r="AA158" s="14">
        <f>ROUND(U158+($R158-INDEX(新属性投放!$B$14:$B$34,属性汇总!$S158))*属性汇总!X158,0)</f>
        <v>22294</v>
      </c>
      <c r="AB158" s="14">
        <f>ROUND(V158+($R158-INDEX(新属性投放!$B$14:$B$34,属性汇总!$S158))*属性汇总!Y158,0)</f>
        <v>12493</v>
      </c>
      <c r="AC158" s="14">
        <f>ROUND(W158+($R158-INDEX(新属性投放!$B$14:$B$34,属性汇总!$S158))*属性汇总!Z158,0)</f>
        <v>106333</v>
      </c>
    </row>
    <row r="159" spans="1:29" ht="16.5" x14ac:dyDescent="0.2">
      <c r="A159" s="13">
        <v>137</v>
      </c>
      <c r="B159" s="13">
        <v>19</v>
      </c>
      <c r="C159" s="14">
        <f>INDEX(新属性投放!$L$6:$L$10,属性汇总!$B$3)*INDEX(新属性投放!$Q$6:$Q$10,属性汇总!$D$3)</f>
        <v>1.1499999999999999</v>
      </c>
      <c r="D159" s="14">
        <f>INDEX(新属性投放!J$14:J$34,属性汇总!$B159)*$C159</f>
        <v>19121.107500000002</v>
      </c>
      <c r="E159" s="14">
        <f>INDEX(新属性投放!K$14:K$34,属性汇总!$B159)*$C159</f>
        <v>9518.0037500000017</v>
      </c>
      <c r="F159" s="14">
        <f>INDEX(新属性投放!L$14:L$34,属性汇总!$B159)*$C159</f>
        <v>57593.322499999995</v>
      </c>
      <c r="G159" s="14">
        <f>INDEX(新属性投放!D$14:D$34,属性汇总!$B159)*$C159</f>
        <v>478.03199999999998</v>
      </c>
      <c r="H159" s="14">
        <f>INDEX(新属性投放!E$14:E$34,属性汇总!$B159)*$C159</f>
        <v>239.01599999999999</v>
      </c>
      <c r="I159" s="14">
        <f>INDEX(新属性投放!F$14:F$34,属性汇总!$B159)*$C159</f>
        <v>1434.0959999999998</v>
      </c>
      <c r="J159" s="14">
        <f>ROUND(D159+($A159-INDEX(新属性投放!$B$14:$B$34,属性汇总!$B159))*属性汇总!G159,0)</f>
        <v>22467</v>
      </c>
      <c r="K159" s="14">
        <f>ROUND(E159+($A159-INDEX(新属性投放!$B$14:$B$34,属性汇总!$B159))*属性汇总!H159,0)</f>
        <v>11191</v>
      </c>
      <c r="L159" s="14">
        <f>ROUND(F159+($A159-INDEX(新属性投放!$B$14:$B$34,属性汇总!$B159))*属性汇总!I159,0)</f>
        <v>67632</v>
      </c>
      <c r="R159" s="13">
        <v>137</v>
      </c>
      <c r="S159" s="13">
        <v>19</v>
      </c>
      <c r="T159" s="14">
        <f>INDEX(新属性投放!$L$6:$L$10,$S$3)*INDEX(新属性投放!$Q$6:$Q$10,$U$3)</f>
        <v>1.1499999999999999</v>
      </c>
      <c r="U159" s="14">
        <f>INDEX(新属性投放!J$42:J$62,属性汇总!$S159)*$T159</f>
        <v>19425.857500000002</v>
      </c>
      <c r="V159" s="14">
        <f>INDEX(新属性投放!K$42:K$62,属性汇总!$S159)*$T159</f>
        <v>9624.9537500000006</v>
      </c>
      <c r="W159" s="14">
        <f>INDEX(新属性投放!L$42:L$62,属性汇总!$S159)*$T159</f>
        <v>103464.34999999999</v>
      </c>
      <c r="X159" s="14">
        <f>INDEX(新属性投放!$D$42:$D$62,属性汇总!$S159)*$T159</f>
        <v>478.03199999999998</v>
      </c>
      <c r="Y159" s="14">
        <f>INDEX(新属性投放!$D$42:$D$62,属性汇总!$S159)*$T159</f>
        <v>478.03199999999998</v>
      </c>
      <c r="Z159" s="14">
        <f>INDEX(新属性投放!$D$42:$D$62,属性汇总!$S159)*$T159</f>
        <v>478.03199999999998</v>
      </c>
      <c r="AA159" s="14">
        <f>ROUND(U159+($R159-INDEX(新属性投放!$B$14:$B$34,属性汇总!$S159))*属性汇总!X159,0)</f>
        <v>22772</v>
      </c>
      <c r="AB159" s="14">
        <f>ROUND(V159+($R159-INDEX(新属性投放!$B$14:$B$34,属性汇总!$S159))*属性汇总!Y159,0)</f>
        <v>12971</v>
      </c>
      <c r="AC159" s="14">
        <f>ROUND(W159+($R159-INDEX(新属性投放!$B$14:$B$34,属性汇总!$S159))*属性汇总!Z159,0)</f>
        <v>106811</v>
      </c>
    </row>
    <row r="160" spans="1:29" ht="16.5" x14ac:dyDescent="0.2">
      <c r="A160" s="13">
        <v>138</v>
      </c>
      <c r="B160" s="13">
        <v>19</v>
      </c>
      <c r="C160" s="14">
        <f>INDEX(新属性投放!$L$6:$L$10,属性汇总!$B$3)*INDEX(新属性投放!$Q$6:$Q$10,属性汇总!$D$3)</f>
        <v>1.1499999999999999</v>
      </c>
      <c r="D160" s="14">
        <f>INDEX(新属性投放!J$14:J$34,属性汇总!$B160)*$C160</f>
        <v>19121.107500000002</v>
      </c>
      <c r="E160" s="14">
        <f>INDEX(新属性投放!K$14:K$34,属性汇总!$B160)*$C160</f>
        <v>9518.0037500000017</v>
      </c>
      <c r="F160" s="14">
        <f>INDEX(新属性投放!L$14:L$34,属性汇总!$B160)*$C160</f>
        <v>57593.322499999995</v>
      </c>
      <c r="G160" s="14">
        <f>INDEX(新属性投放!D$14:D$34,属性汇总!$B160)*$C160</f>
        <v>478.03199999999998</v>
      </c>
      <c r="H160" s="14">
        <f>INDEX(新属性投放!E$14:E$34,属性汇总!$B160)*$C160</f>
        <v>239.01599999999999</v>
      </c>
      <c r="I160" s="14">
        <f>INDEX(新属性投放!F$14:F$34,属性汇总!$B160)*$C160</f>
        <v>1434.0959999999998</v>
      </c>
      <c r="J160" s="14">
        <f>ROUND(D160+($A160-INDEX(新属性投放!$B$14:$B$34,属性汇总!$B160))*属性汇总!G160,0)</f>
        <v>22945</v>
      </c>
      <c r="K160" s="14">
        <f>ROUND(E160+($A160-INDEX(新属性投放!$B$14:$B$34,属性汇总!$B160))*属性汇总!H160,0)</f>
        <v>11430</v>
      </c>
      <c r="L160" s="14">
        <f>ROUND(F160+($A160-INDEX(新属性投放!$B$14:$B$34,属性汇总!$B160))*属性汇总!I160,0)</f>
        <v>69066</v>
      </c>
      <c r="R160" s="13">
        <v>138</v>
      </c>
      <c r="S160" s="13">
        <v>19</v>
      </c>
      <c r="T160" s="14">
        <f>INDEX(新属性投放!$L$6:$L$10,$S$3)*INDEX(新属性投放!$Q$6:$Q$10,$U$3)</f>
        <v>1.1499999999999999</v>
      </c>
      <c r="U160" s="14">
        <f>INDEX(新属性投放!J$42:J$62,属性汇总!$S160)*$T160</f>
        <v>19425.857500000002</v>
      </c>
      <c r="V160" s="14">
        <f>INDEX(新属性投放!K$42:K$62,属性汇总!$S160)*$T160</f>
        <v>9624.9537500000006</v>
      </c>
      <c r="W160" s="14">
        <f>INDEX(新属性投放!L$42:L$62,属性汇总!$S160)*$T160</f>
        <v>103464.34999999999</v>
      </c>
      <c r="X160" s="14">
        <f>INDEX(新属性投放!$D$42:$D$62,属性汇总!$S160)*$T160</f>
        <v>478.03199999999998</v>
      </c>
      <c r="Y160" s="14">
        <f>INDEX(新属性投放!$D$42:$D$62,属性汇总!$S160)*$T160</f>
        <v>478.03199999999998</v>
      </c>
      <c r="Z160" s="14">
        <f>INDEX(新属性投放!$D$42:$D$62,属性汇总!$S160)*$T160</f>
        <v>478.03199999999998</v>
      </c>
      <c r="AA160" s="14">
        <f>ROUND(U160+($R160-INDEX(新属性投放!$B$14:$B$34,属性汇总!$S160))*属性汇总!X160,0)</f>
        <v>23250</v>
      </c>
      <c r="AB160" s="14">
        <f>ROUND(V160+($R160-INDEX(新属性投放!$B$14:$B$34,属性汇总!$S160))*属性汇总!Y160,0)</f>
        <v>13449</v>
      </c>
      <c r="AC160" s="14">
        <f>ROUND(W160+($R160-INDEX(新属性投放!$B$14:$B$34,属性汇总!$S160))*属性汇总!Z160,0)</f>
        <v>107289</v>
      </c>
    </row>
    <row r="161" spans="1:29" ht="16.5" x14ac:dyDescent="0.2">
      <c r="A161" s="13">
        <v>139</v>
      </c>
      <c r="B161" s="13">
        <v>19</v>
      </c>
      <c r="C161" s="14">
        <f>INDEX(新属性投放!$L$6:$L$10,属性汇总!$B$3)*INDEX(新属性投放!$Q$6:$Q$10,属性汇总!$D$3)</f>
        <v>1.1499999999999999</v>
      </c>
      <c r="D161" s="14">
        <f>INDEX(新属性投放!J$14:J$34,属性汇总!$B161)*$C161</f>
        <v>19121.107500000002</v>
      </c>
      <c r="E161" s="14">
        <f>INDEX(新属性投放!K$14:K$34,属性汇总!$B161)*$C161</f>
        <v>9518.0037500000017</v>
      </c>
      <c r="F161" s="14">
        <f>INDEX(新属性投放!L$14:L$34,属性汇总!$B161)*$C161</f>
        <v>57593.322499999995</v>
      </c>
      <c r="G161" s="14">
        <f>INDEX(新属性投放!D$14:D$34,属性汇总!$B161)*$C161</f>
        <v>478.03199999999998</v>
      </c>
      <c r="H161" s="14">
        <f>INDEX(新属性投放!E$14:E$34,属性汇总!$B161)*$C161</f>
        <v>239.01599999999999</v>
      </c>
      <c r="I161" s="14">
        <f>INDEX(新属性投放!F$14:F$34,属性汇总!$B161)*$C161</f>
        <v>1434.0959999999998</v>
      </c>
      <c r="J161" s="14">
        <f>ROUND(D161+($A161-INDEX(新属性投放!$B$14:$B$34,属性汇总!$B161))*属性汇总!G161,0)</f>
        <v>23423</v>
      </c>
      <c r="K161" s="14">
        <f>ROUND(E161+($A161-INDEX(新属性投放!$B$14:$B$34,属性汇总!$B161))*属性汇总!H161,0)</f>
        <v>11669</v>
      </c>
      <c r="L161" s="14">
        <f>ROUND(F161+($A161-INDEX(新属性投放!$B$14:$B$34,属性汇总!$B161))*属性汇总!I161,0)</f>
        <v>70500</v>
      </c>
      <c r="R161" s="13">
        <v>139</v>
      </c>
      <c r="S161" s="13">
        <v>19</v>
      </c>
      <c r="T161" s="14">
        <f>INDEX(新属性投放!$L$6:$L$10,$S$3)*INDEX(新属性投放!$Q$6:$Q$10,$U$3)</f>
        <v>1.1499999999999999</v>
      </c>
      <c r="U161" s="14">
        <f>INDEX(新属性投放!J$42:J$62,属性汇总!$S161)*$T161</f>
        <v>19425.857500000002</v>
      </c>
      <c r="V161" s="14">
        <f>INDEX(新属性投放!K$42:K$62,属性汇总!$S161)*$T161</f>
        <v>9624.9537500000006</v>
      </c>
      <c r="W161" s="14">
        <f>INDEX(新属性投放!L$42:L$62,属性汇总!$S161)*$T161</f>
        <v>103464.34999999999</v>
      </c>
      <c r="X161" s="14">
        <f>INDEX(新属性投放!$D$42:$D$62,属性汇总!$S161)*$T161</f>
        <v>478.03199999999998</v>
      </c>
      <c r="Y161" s="14">
        <f>INDEX(新属性投放!$D$42:$D$62,属性汇总!$S161)*$T161</f>
        <v>478.03199999999998</v>
      </c>
      <c r="Z161" s="14">
        <f>INDEX(新属性投放!$D$42:$D$62,属性汇总!$S161)*$T161</f>
        <v>478.03199999999998</v>
      </c>
      <c r="AA161" s="14">
        <f>ROUND(U161+($R161-INDEX(新属性投放!$B$14:$B$34,属性汇总!$S161))*属性汇总!X161,0)</f>
        <v>23728</v>
      </c>
      <c r="AB161" s="14">
        <f>ROUND(V161+($R161-INDEX(新属性投放!$B$14:$B$34,属性汇总!$S161))*属性汇总!Y161,0)</f>
        <v>13927</v>
      </c>
      <c r="AC161" s="14">
        <f>ROUND(W161+($R161-INDEX(新属性投放!$B$14:$B$34,属性汇总!$S161))*属性汇总!Z161,0)</f>
        <v>107767</v>
      </c>
    </row>
    <row r="162" spans="1:29" ht="16.5" x14ac:dyDescent="0.2">
      <c r="A162" s="13">
        <v>140</v>
      </c>
      <c r="B162" s="13">
        <v>19</v>
      </c>
      <c r="C162" s="14">
        <f>INDEX(新属性投放!$L$6:$L$10,属性汇总!$B$3)*INDEX(新属性投放!$Q$6:$Q$10,属性汇总!$D$3)</f>
        <v>1.1499999999999999</v>
      </c>
      <c r="D162" s="14">
        <f>INDEX(新属性投放!J$14:J$34,属性汇总!$B162)*$C162</f>
        <v>19121.107500000002</v>
      </c>
      <c r="E162" s="14">
        <f>INDEX(新属性投放!K$14:K$34,属性汇总!$B162)*$C162</f>
        <v>9518.0037500000017</v>
      </c>
      <c r="F162" s="14">
        <f>INDEX(新属性投放!L$14:L$34,属性汇总!$B162)*$C162</f>
        <v>57593.322499999995</v>
      </c>
      <c r="G162" s="14">
        <f>INDEX(新属性投放!D$14:D$34,属性汇总!$B162)*$C162</f>
        <v>478.03199999999998</v>
      </c>
      <c r="H162" s="14">
        <f>INDEX(新属性投放!E$14:E$34,属性汇总!$B162)*$C162</f>
        <v>239.01599999999999</v>
      </c>
      <c r="I162" s="14">
        <f>INDEX(新属性投放!F$14:F$34,属性汇总!$B162)*$C162</f>
        <v>1434.0959999999998</v>
      </c>
      <c r="J162" s="14">
        <f>ROUND(D162+($A162-INDEX(新属性投放!$B$14:$B$34,属性汇总!$B162))*属性汇总!G162,0)</f>
        <v>23901</v>
      </c>
      <c r="K162" s="14">
        <f>ROUND(E162+($A162-INDEX(新属性投放!$B$14:$B$34,属性汇总!$B162))*属性汇总!H162,0)</f>
        <v>11908</v>
      </c>
      <c r="L162" s="14">
        <f>ROUND(F162+($A162-INDEX(新属性投放!$B$14:$B$34,属性汇总!$B162))*属性汇总!I162,0)</f>
        <v>71934</v>
      </c>
      <c r="R162" s="13">
        <v>140</v>
      </c>
      <c r="S162" s="13">
        <v>19</v>
      </c>
      <c r="T162" s="14">
        <f>INDEX(新属性投放!$L$6:$L$10,$S$3)*INDEX(新属性投放!$Q$6:$Q$10,$U$3)</f>
        <v>1.1499999999999999</v>
      </c>
      <c r="U162" s="14">
        <f>INDEX(新属性投放!J$42:J$62,属性汇总!$S162)*$T162</f>
        <v>19425.857500000002</v>
      </c>
      <c r="V162" s="14">
        <f>INDEX(新属性投放!K$42:K$62,属性汇总!$S162)*$T162</f>
        <v>9624.9537500000006</v>
      </c>
      <c r="W162" s="14">
        <f>INDEX(新属性投放!L$42:L$62,属性汇总!$S162)*$T162</f>
        <v>103464.34999999999</v>
      </c>
      <c r="X162" s="14">
        <f>INDEX(新属性投放!$D$42:$D$62,属性汇总!$S162)*$T162</f>
        <v>478.03199999999998</v>
      </c>
      <c r="Y162" s="14">
        <f>INDEX(新属性投放!$D$42:$D$62,属性汇总!$S162)*$T162</f>
        <v>478.03199999999998</v>
      </c>
      <c r="Z162" s="14">
        <f>INDEX(新属性投放!$D$42:$D$62,属性汇总!$S162)*$T162</f>
        <v>478.03199999999998</v>
      </c>
      <c r="AA162" s="14">
        <f>ROUND(U162+($R162-INDEX(新属性投放!$B$14:$B$34,属性汇总!$S162))*属性汇总!X162,0)</f>
        <v>24206</v>
      </c>
      <c r="AB162" s="14">
        <f>ROUND(V162+($R162-INDEX(新属性投放!$B$14:$B$34,属性汇总!$S162))*属性汇总!Y162,0)</f>
        <v>14405</v>
      </c>
      <c r="AC162" s="14">
        <f>ROUND(W162+($R162-INDEX(新属性投放!$B$14:$B$34,属性汇总!$S162))*属性汇总!Z162,0)</f>
        <v>108245</v>
      </c>
    </row>
    <row r="163" spans="1:29" s="20" customFormat="1" ht="16.5" x14ac:dyDescent="0.2">
      <c r="A163" s="13">
        <v>140</v>
      </c>
      <c r="B163" s="13">
        <v>20</v>
      </c>
      <c r="C163" s="14">
        <f>INDEX(新属性投放!$L$6:$L$10,属性汇总!$B$3)*INDEX(新属性投放!$Q$6:$Q$10,属性汇总!$D$3)</f>
        <v>1.1499999999999999</v>
      </c>
      <c r="D163" s="14">
        <f>INDEX(新属性投放!J$14:J$34,属性汇总!$B163)*$C163</f>
        <v>22109.267500000002</v>
      </c>
      <c r="E163" s="14">
        <f>INDEX(新属性投放!K$14:K$34,属性汇总!$B163)*$C163</f>
        <v>11012.083750000002</v>
      </c>
      <c r="F163" s="14">
        <f>INDEX(新属性投放!L$14:L$34,属性汇总!$B163)*$C163</f>
        <v>66557.802499999991</v>
      </c>
      <c r="G163" s="14">
        <f>INDEX(新属性投放!D$14:D$34,属性汇总!$B163)*$C163</f>
        <v>552.73599999999999</v>
      </c>
      <c r="H163" s="14">
        <f>INDEX(新属性投放!E$14:E$34,属性汇总!$B163)*$C163</f>
        <v>276.36799999999999</v>
      </c>
      <c r="I163" s="14">
        <f>INDEX(新属性投放!F$14:F$34,属性汇总!$B163)*$C163</f>
        <v>1658.2079999999999</v>
      </c>
      <c r="J163" s="14">
        <f>ROUND(D163+($A163-INDEX(新属性投放!$B$14:$B$34,属性汇总!$B163))*属性汇总!G163,0)</f>
        <v>24873</v>
      </c>
      <c r="K163" s="14">
        <f>ROUND(E163+($A163-INDEX(新属性投放!$B$14:$B$34,属性汇总!$B163))*属性汇总!H163,0)</f>
        <v>12394</v>
      </c>
      <c r="L163" s="14">
        <f>ROUND(F163+($A163-INDEX(新属性投放!$B$14:$B$34,属性汇总!$B163))*属性汇总!I163,0)</f>
        <v>74849</v>
      </c>
      <c r="N163" s="37"/>
      <c r="O163" s="37"/>
      <c r="P163" s="37"/>
      <c r="R163" s="13">
        <v>140</v>
      </c>
      <c r="S163" s="13">
        <v>20</v>
      </c>
      <c r="T163" s="14">
        <f>INDEX(新属性投放!$L$6:$L$10,$S$3)*INDEX(新属性投放!$Q$6:$Q$10,$U$3)</f>
        <v>1.1499999999999999</v>
      </c>
      <c r="U163" s="14">
        <f>INDEX(新属性投放!J$42:J$62,属性汇总!$S163)*$T163</f>
        <v>22414.017500000002</v>
      </c>
      <c r="V163" s="14">
        <f>INDEX(新属性投放!K$42:K$62,属性汇总!$S163)*$T163</f>
        <v>11119.033750000002</v>
      </c>
      <c r="W163" s="14">
        <f>INDEX(新属性投放!L$42:L$62,属性汇总!$S163)*$T163</f>
        <v>119598.84999999999</v>
      </c>
      <c r="X163" s="14">
        <f>INDEX(新属性投放!$D$42:$D$62,属性汇总!$S163)*$T163</f>
        <v>552.73599999999999</v>
      </c>
      <c r="Y163" s="14">
        <f>INDEX(新属性投放!$D$42:$D$62,属性汇总!$S163)*$T163</f>
        <v>552.73599999999999</v>
      </c>
      <c r="Z163" s="14">
        <f>INDEX(新属性投放!$D$42:$D$62,属性汇总!$S163)*$T163</f>
        <v>552.73599999999999</v>
      </c>
      <c r="AA163" s="14">
        <f>ROUND(U163+($R163-INDEX(新属性投放!$B$14:$B$34,属性汇总!$S163))*属性汇总!X163,0)</f>
        <v>25178</v>
      </c>
      <c r="AB163" s="14">
        <f>ROUND(V163+($R163-INDEX(新属性投放!$B$14:$B$34,属性汇总!$S163))*属性汇总!Y163,0)</f>
        <v>13883</v>
      </c>
      <c r="AC163" s="14">
        <f>ROUND(W163+($R163-INDEX(新属性投放!$B$14:$B$34,属性汇总!$S163))*属性汇总!Z163,0)</f>
        <v>122363</v>
      </c>
    </row>
    <row r="164" spans="1:29" ht="16.5" x14ac:dyDescent="0.2">
      <c r="A164" s="13">
        <v>141</v>
      </c>
      <c r="B164" s="13">
        <v>20</v>
      </c>
      <c r="C164" s="14">
        <f>INDEX(新属性投放!$L$6:$L$10,属性汇总!$B$3)*INDEX(新属性投放!$Q$6:$Q$10,属性汇总!$D$3)</f>
        <v>1.1499999999999999</v>
      </c>
      <c r="D164" s="14">
        <f>INDEX(新属性投放!J$14:J$34,属性汇总!$B164)*$C164</f>
        <v>22109.267500000002</v>
      </c>
      <c r="E164" s="14">
        <f>INDEX(新属性投放!K$14:K$34,属性汇总!$B164)*$C164</f>
        <v>11012.083750000002</v>
      </c>
      <c r="F164" s="14">
        <f>INDEX(新属性投放!L$14:L$34,属性汇总!$B164)*$C164</f>
        <v>66557.802499999991</v>
      </c>
      <c r="G164" s="14">
        <f>INDEX(新属性投放!D$14:D$34,属性汇总!$B164)*$C164</f>
        <v>552.73599999999999</v>
      </c>
      <c r="H164" s="14">
        <f>INDEX(新属性投放!E$14:E$34,属性汇总!$B164)*$C164</f>
        <v>276.36799999999999</v>
      </c>
      <c r="I164" s="14">
        <f>INDEX(新属性投放!F$14:F$34,属性汇总!$B164)*$C164</f>
        <v>1658.2079999999999</v>
      </c>
      <c r="J164" s="14">
        <f>ROUND(D164+($A164-INDEX(新属性投放!$B$14:$B$34,属性汇总!$B164))*属性汇总!G164,0)</f>
        <v>25426</v>
      </c>
      <c r="K164" s="14">
        <f>ROUND(E164+($A164-INDEX(新属性投放!$B$14:$B$34,属性汇总!$B164))*属性汇总!H164,0)</f>
        <v>12670</v>
      </c>
      <c r="L164" s="14">
        <f>ROUND(F164+($A164-INDEX(新属性投放!$B$14:$B$34,属性汇总!$B164))*属性汇总!I164,0)</f>
        <v>76507</v>
      </c>
      <c r="R164" s="13">
        <v>141</v>
      </c>
      <c r="S164" s="13">
        <v>20</v>
      </c>
      <c r="T164" s="14">
        <f>INDEX(新属性投放!$L$6:$L$10,$S$3)*INDEX(新属性投放!$Q$6:$Q$10,$U$3)</f>
        <v>1.1499999999999999</v>
      </c>
      <c r="U164" s="14">
        <f>INDEX(新属性投放!J$42:J$62,属性汇总!$S164)*$T164</f>
        <v>22414.017500000002</v>
      </c>
      <c r="V164" s="14">
        <f>INDEX(新属性投放!K$42:K$62,属性汇总!$S164)*$T164</f>
        <v>11119.033750000002</v>
      </c>
      <c r="W164" s="14">
        <f>INDEX(新属性投放!L$42:L$62,属性汇总!$S164)*$T164</f>
        <v>119598.84999999999</v>
      </c>
      <c r="X164" s="14">
        <f>INDEX(新属性投放!$D$42:$D$62,属性汇总!$S164)*$T164</f>
        <v>552.73599999999999</v>
      </c>
      <c r="Y164" s="14">
        <f>INDEX(新属性投放!$D$42:$D$62,属性汇总!$S164)*$T164</f>
        <v>552.73599999999999</v>
      </c>
      <c r="Z164" s="14">
        <f>INDEX(新属性投放!$D$42:$D$62,属性汇总!$S164)*$T164</f>
        <v>552.73599999999999</v>
      </c>
      <c r="AA164" s="14">
        <f>ROUND(U164+($R164-INDEX(新属性投放!$B$14:$B$34,属性汇总!$S164))*属性汇总!X164,0)</f>
        <v>25730</v>
      </c>
      <c r="AB164" s="14">
        <f>ROUND(V164+($R164-INDEX(新属性投放!$B$14:$B$34,属性汇总!$S164))*属性汇总!Y164,0)</f>
        <v>14435</v>
      </c>
      <c r="AC164" s="14">
        <f>ROUND(W164+($R164-INDEX(新属性投放!$B$14:$B$34,属性汇总!$S164))*属性汇总!Z164,0)</f>
        <v>122915</v>
      </c>
    </row>
    <row r="165" spans="1:29" ht="16.5" x14ac:dyDescent="0.2">
      <c r="A165" s="13">
        <v>142</v>
      </c>
      <c r="B165" s="13">
        <v>20</v>
      </c>
      <c r="C165" s="14">
        <f>INDEX(新属性投放!$L$6:$L$10,属性汇总!$B$3)*INDEX(新属性投放!$Q$6:$Q$10,属性汇总!$D$3)</f>
        <v>1.1499999999999999</v>
      </c>
      <c r="D165" s="14">
        <f>INDEX(新属性投放!J$14:J$34,属性汇总!$B165)*$C165</f>
        <v>22109.267500000002</v>
      </c>
      <c r="E165" s="14">
        <f>INDEX(新属性投放!K$14:K$34,属性汇总!$B165)*$C165</f>
        <v>11012.083750000002</v>
      </c>
      <c r="F165" s="14">
        <f>INDEX(新属性投放!L$14:L$34,属性汇总!$B165)*$C165</f>
        <v>66557.802499999991</v>
      </c>
      <c r="G165" s="14">
        <f>INDEX(新属性投放!D$14:D$34,属性汇总!$B165)*$C165</f>
        <v>552.73599999999999</v>
      </c>
      <c r="H165" s="14">
        <f>INDEX(新属性投放!E$14:E$34,属性汇总!$B165)*$C165</f>
        <v>276.36799999999999</v>
      </c>
      <c r="I165" s="14">
        <f>INDEX(新属性投放!F$14:F$34,属性汇总!$B165)*$C165</f>
        <v>1658.2079999999999</v>
      </c>
      <c r="J165" s="14">
        <f>ROUND(D165+($A165-INDEX(新属性投放!$B$14:$B$34,属性汇总!$B165))*属性汇总!G165,0)</f>
        <v>25978</v>
      </c>
      <c r="K165" s="14">
        <f>ROUND(E165+($A165-INDEX(新属性投放!$B$14:$B$34,属性汇总!$B165))*属性汇总!H165,0)</f>
        <v>12947</v>
      </c>
      <c r="L165" s="14">
        <f>ROUND(F165+($A165-INDEX(新属性投放!$B$14:$B$34,属性汇总!$B165))*属性汇总!I165,0)</f>
        <v>78165</v>
      </c>
      <c r="R165" s="13">
        <v>142</v>
      </c>
      <c r="S165" s="13">
        <v>20</v>
      </c>
      <c r="T165" s="14">
        <f>INDEX(新属性投放!$L$6:$L$10,$S$3)*INDEX(新属性投放!$Q$6:$Q$10,$U$3)</f>
        <v>1.1499999999999999</v>
      </c>
      <c r="U165" s="14">
        <f>INDEX(新属性投放!J$42:J$62,属性汇总!$S165)*$T165</f>
        <v>22414.017500000002</v>
      </c>
      <c r="V165" s="14">
        <f>INDEX(新属性投放!K$42:K$62,属性汇总!$S165)*$T165</f>
        <v>11119.033750000002</v>
      </c>
      <c r="W165" s="14">
        <f>INDEX(新属性投放!L$42:L$62,属性汇总!$S165)*$T165</f>
        <v>119598.84999999999</v>
      </c>
      <c r="X165" s="14">
        <f>INDEX(新属性投放!$D$42:$D$62,属性汇总!$S165)*$T165</f>
        <v>552.73599999999999</v>
      </c>
      <c r="Y165" s="14">
        <f>INDEX(新属性投放!$D$42:$D$62,属性汇总!$S165)*$T165</f>
        <v>552.73599999999999</v>
      </c>
      <c r="Z165" s="14">
        <f>INDEX(新属性投放!$D$42:$D$62,属性汇总!$S165)*$T165</f>
        <v>552.73599999999999</v>
      </c>
      <c r="AA165" s="14">
        <f>ROUND(U165+($R165-INDEX(新属性投放!$B$14:$B$34,属性汇总!$S165))*属性汇总!X165,0)</f>
        <v>26283</v>
      </c>
      <c r="AB165" s="14">
        <f>ROUND(V165+($R165-INDEX(新属性投放!$B$14:$B$34,属性汇总!$S165))*属性汇总!Y165,0)</f>
        <v>14988</v>
      </c>
      <c r="AC165" s="14">
        <f>ROUND(W165+($R165-INDEX(新属性投放!$B$14:$B$34,属性汇总!$S165))*属性汇总!Z165,0)</f>
        <v>123468</v>
      </c>
    </row>
    <row r="166" spans="1:29" ht="16.5" x14ac:dyDescent="0.2">
      <c r="A166" s="13">
        <v>143</v>
      </c>
      <c r="B166" s="13">
        <v>20</v>
      </c>
      <c r="C166" s="14">
        <f>INDEX(新属性投放!$L$6:$L$10,属性汇总!$B$3)*INDEX(新属性投放!$Q$6:$Q$10,属性汇总!$D$3)</f>
        <v>1.1499999999999999</v>
      </c>
      <c r="D166" s="14">
        <f>INDEX(新属性投放!J$14:J$34,属性汇总!$B166)*$C166</f>
        <v>22109.267500000002</v>
      </c>
      <c r="E166" s="14">
        <f>INDEX(新属性投放!K$14:K$34,属性汇总!$B166)*$C166</f>
        <v>11012.083750000002</v>
      </c>
      <c r="F166" s="14">
        <f>INDEX(新属性投放!L$14:L$34,属性汇总!$B166)*$C166</f>
        <v>66557.802499999991</v>
      </c>
      <c r="G166" s="14">
        <f>INDEX(新属性投放!D$14:D$34,属性汇总!$B166)*$C166</f>
        <v>552.73599999999999</v>
      </c>
      <c r="H166" s="14">
        <f>INDEX(新属性投放!E$14:E$34,属性汇总!$B166)*$C166</f>
        <v>276.36799999999999</v>
      </c>
      <c r="I166" s="14">
        <f>INDEX(新属性投放!F$14:F$34,属性汇总!$B166)*$C166</f>
        <v>1658.2079999999999</v>
      </c>
      <c r="J166" s="14">
        <f>ROUND(D166+($A166-INDEX(新属性投放!$B$14:$B$34,属性汇总!$B166))*属性汇总!G166,0)</f>
        <v>26531</v>
      </c>
      <c r="K166" s="14">
        <f>ROUND(E166+($A166-INDEX(新属性投放!$B$14:$B$34,属性汇总!$B166))*属性汇总!H166,0)</f>
        <v>13223</v>
      </c>
      <c r="L166" s="14">
        <f>ROUND(F166+($A166-INDEX(新属性投放!$B$14:$B$34,属性汇总!$B166))*属性汇总!I166,0)</f>
        <v>79823</v>
      </c>
      <c r="R166" s="13">
        <v>143</v>
      </c>
      <c r="S166" s="13">
        <v>20</v>
      </c>
      <c r="T166" s="14">
        <f>INDEX(新属性投放!$L$6:$L$10,$S$3)*INDEX(新属性投放!$Q$6:$Q$10,$U$3)</f>
        <v>1.1499999999999999</v>
      </c>
      <c r="U166" s="14">
        <f>INDEX(新属性投放!J$42:J$62,属性汇总!$S166)*$T166</f>
        <v>22414.017500000002</v>
      </c>
      <c r="V166" s="14">
        <f>INDEX(新属性投放!K$42:K$62,属性汇总!$S166)*$T166</f>
        <v>11119.033750000002</v>
      </c>
      <c r="W166" s="14">
        <f>INDEX(新属性投放!L$42:L$62,属性汇总!$S166)*$T166</f>
        <v>119598.84999999999</v>
      </c>
      <c r="X166" s="14">
        <f>INDEX(新属性投放!$D$42:$D$62,属性汇总!$S166)*$T166</f>
        <v>552.73599999999999</v>
      </c>
      <c r="Y166" s="14">
        <f>INDEX(新属性投放!$D$42:$D$62,属性汇总!$S166)*$T166</f>
        <v>552.73599999999999</v>
      </c>
      <c r="Z166" s="14">
        <f>INDEX(新属性投放!$D$42:$D$62,属性汇总!$S166)*$T166</f>
        <v>552.73599999999999</v>
      </c>
      <c r="AA166" s="14">
        <f>ROUND(U166+($R166-INDEX(新属性投放!$B$14:$B$34,属性汇总!$S166))*属性汇总!X166,0)</f>
        <v>26836</v>
      </c>
      <c r="AB166" s="14">
        <f>ROUND(V166+($R166-INDEX(新属性投放!$B$14:$B$34,属性汇总!$S166))*属性汇总!Y166,0)</f>
        <v>15541</v>
      </c>
      <c r="AC166" s="14">
        <f>ROUND(W166+($R166-INDEX(新属性投放!$B$14:$B$34,属性汇总!$S166))*属性汇总!Z166,0)</f>
        <v>124021</v>
      </c>
    </row>
    <row r="167" spans="1:29" ht="16.5" x14ac:dyDescent="0.2">
      <c r="A167" s="13">
        <v>144</v>
      </c>
      <c r="B167" s="13">
        <v>20</v>
      </c>
      <c r="C167" s="14">
        <f>INDEX(新属性投放!$L$6:$L$10,属性汇总!$B$3)*INDEX(新属性投放!$Q$6:$Q$10,属性汇总!$D$3)</f>
        <v>1.1499999999999999</v>
      </c>
      <c r="D167" s="14">
        <f>INDEX(新属性投放!J$14:J$34,属性汇总!$B167)*$C167</f>
        <v>22109.267500000002</v>
      </c>
      <c r="E167" s="14">
        <f>INDEX(新属性投放!K$14:K$34,属性汇总!$B167)*$C167</f>
        <v>11012.083750000002</v>
      </c>
      <c r="F167" s="14">
        <f>INDEX(新属性投放!L$14:L$34,属性汇总!$B167)*$C167</f>
        <v>66557.802499999991</v>
      </c>
      <c r="G167" s="14">
        <f>INDEX(新属性投放!D$14:D$34,属性汇总!$B167)*$C167</f>
        <v>552.73599999999999</v>
      </c>
      <c r="H167" s="14">
        <f>INDEX(新属性投放!E$14:E$34,属性汇总!$B167)*$C167</f>
        <v>276.36799999999999</v>
      </c>
      <c r="I167" s="14">
        <f>INDEX(新属性投放!F$14:F$34,属性汇总!$B167)*$C167</f>
        <v>1658.2079999999999</v>
      </c>
      <c r="J167" s="14">
        <f>ROUND(D167+($A167-INDEX(新属性投放!$B$14:$B$34,属性汇总!$B167))*属性汇总!G167,0)</f>
        <v>27084</v>
      </c>
      <c r="K167" s="14">
        <f>ROUND(E167+($A167-INDEX(新属性投放!$B$14:$B$34,属性汇总!$B167))*属性汇总!H167,0)</f>
        <v>13499</v>
      </c>
      <c r="L167" s="14">
        <f>ROUND(F167+($A167-INDEX(新属性投放!$B$14:$B$34,属性汇总!$B167))*属性汇总!I167,0)</f>
        <v>81482</v>
      </c>
      <c r="R167" s="13">
        <v>144</v>
      </c>
      <c r="S167" s="13">
        <v>20</v>
      </c>
      <c r="T167" s="14">
        <f>INDEX(新属性投放!$L$6:$L$10,$S$3)*INDEX(新属性投放!$Q$6:$Q$10,$U$3)</f>
        <v>1.1499999999999999</v>
      </c>
      <c r="U167" s="14">
        <f>INDEX(新属性投放!J$42:J$62,属性汇总!$S167)*$T167</f>
        <v>22414.017500000002</v>
      </c>
      <c r="V167" s="14">
        <f>INDEX(新属性投放!K$42:K$62,属性汇总!$S167)*$T167</f>
        <v>11119.033750000002</v>
      </c>
      <c r="W167" s="14">
        <f>INDEX(新属性投放!L$42:L$62,属性汇总!$S167)*$T167</f>
        <v>119598.84999999999</v>
      </c>
      <c r="X167" s="14">
        <f>INDEX(新属性投放!$D$42:$D$62,属性汇总!$S167)*$T167</f>
        <v>552.73599999999999</v>
      </c>
      <c r="Y167" s="14">
        <f>INDEX(新属性投放!$D$42:$D$62,属性汇总!$S167)*$T167</f>
        <v>552.73599999999999</v>
      </c>
      <c r="Z167" s="14">
        <f>INDEX(新属性投放!$D$42:$D$62,属性汇总!$S167)*$T167</f>
        <v>552.73599999999999</v>
      </c>
      <c r="AA167" s="14">
        <f>ROUND(U167+($R167-INDEX(新属性投放!$B$14:$B$34,属性汇总!$S167))*属性汇总!X167,0)</f>
        <v>27389</v>
      </c>
      <c r="AB167" s="14">
        <f>ROUND(V167+($R167-INDEX(新属性投放!$B$14:$B$34,属性汇总!$S167))*属性汇总!Y167,0)</f>
        <v>16094</v>
      </c>
      <c r="AC167" s="14">
        <f>ROUND(W167+($R167-INDEX(新属性投放!$B$14:$B$34,属性汇总!$S167))*属性汇总!Z167,0)</f>
        <v>124573</v>
      </c>
    </row>
    <row r="168" spans="1:29" ht="16.5" x14ac:dyDescent="0.2">
      <c r="A168" s="13">
        <v>145</v>
      </c>
      <c r="B168" s="13">
        <v>20</v>
      </c>
      <c r="C168" s="14">
        <f>INDEX(新属性投放!$L$6:$L$10,属性汇总!$B$3)*INDEX(新属性投放!$Q$6:$Q$10,属性汇总!$D$3)</f>
        <v>1.1499999999999999</v>
      </c>
      <c r="D168" s="14">
        <f>INDEX(新属性投放!J$14:J$34,属性汇总!$B168)*$C168</f>
        <v>22109.267500000002</v>
      </c>
      <c r="E168" s="14">
        <f>INDEX(新属性投放!K$14:K$34,属性汇总!$B168)*$C168</f>
        <v>11012.083750000002</v>
      </c>
      <c r="F168" s="14">
        <f>INDEX(新属性投放!L$14:L$34,属性汇总!$B168)*$C168</f>
        <v>66557.802499999991</v>
      </c>
      <c r="G168" s="14">
        <f>INDEX(新属性投放!D$14:D$34,属性汇总!$B168)*$C168</f>
        <v>552.73599999999999</v>
      </c>
      <c r="H168" s="14">
        <f>INDEX(新属性投放!E$14:E$34,属性汇总!$B168)*$C168</f>
        <v>276.36799999999999</v>
      </c>
      <c r="I168" s="14">
        <f>INDEX(新属性投放!F$14:F$34,属性汇总!$B168)*$C168</f>
        <v>1658.2079999999999</v>
      </c>
      <c r="J168" s="14">
        <f>ROUND(D168+($A168-INDEX(新属性投放!$B$14:$B$34,属性汇总!$B168))*属性汇总!G168,0)</f>
        <v>27637</v>
      </c>
      <c r="K168" s="14">
        <f>ROUND(E168+($A168-INDEX(新属性投放!$B$14:$B$34,属性汇总!$B168))*属性汇总!H168,0)</f>
        <v>13776</v>
      </c>
      <c r="L168" s="14">
        <f>ROUND(F168+($A168-INDEX(新属性投放!$B$14:$B$34,属性汇总!$B168))*属性汇总!I168,0)</f>
        <v>83140</v>
      </c>
      <c r="R168" s="13">
        <v>145</v>
      </c>
      <c r="S168" s="13">
        <v>20</v>
      </c>
      <c r="T168" s="14">
        <f>INDEX(新属性投放!$L$6:$L$10,$S$3)*INDEX(新属性投放!$Q$6:$Q$10,$U$3)</f>
        <v>1.1499999999999999</v>
      </c>
      <c r="U168" s="14">
        <f>INDEX(新属性投放!J$42:J$62,属性汇总!$S168)*$T168</f>
        <v>22414.017500000002</v>
      </c>
      <c r="V168" s="14">
        <f>INDEX(新属性投放!K$42:K$62,属性汇总!$S168)*$T168</f>
        <v>11119.033750000002</v>
      </c>
      <c r="W168" s="14">
        <f>INDEX(新属性投放!L$42:L$62,属性汇总!$S168)*$T168</f>
        <v>119598.84999999999</v>
      </c>
      <c r="X168" s="14">
        <f>INDEX(新属性投放!$D$42:$D$62,属性汇总!$S168)*$T168</f>
        <v>552.73599999999999</v>
      </c>
      <c r="Y168" s="14">
        <f>INDEX(新属性投放!$D$42:$D$62,属性汇总!$S168)*$T168</f>
        <v>552.73599999999999</v>
      </c>
      <c r="Z168" s="14">
        <f>INDEX(新属性投放!$D$42:$D$62,属性汇总!$S168)*$T168</f>
        <v>552.73599999999999</v>
      </c>
      <c r="AA168" s="14">
        <f>ROUND(U168+($R168-INDEX(新属性投放!$B$14:$B$34,属性汇总!$S168))*属性汇总!X168,0)</f>
        <v>27941</v>
      </c>
      <c r="AB168" s="14">
        <f>ROUND(V168+($R168-INDEX(新属性投放!$B$14:$B$34,属性汇总!$S168))*属性汇总!Y168,0)</f>
        <v>16646</v>
      </c>
      <c r="AC168" s="14">
        <f>ROUND(W168+($R168-INDEX(新属性投放!$B$14:$B$34,属性汇总!$S168))*属性汇总!Z168,0)</f>
        <v>125126</v>
      </c>
    </row>
    <row r="169" spans="1:29" ht="16.5" x14ac:dyDescent="0.2">
      <c r="A169" s="13">
        <v>146</v>
      </c>
      <c r="B169" s="13">
        <v>20</v>
      </c>
      <c r="C169" s="14">
        <f>INDEX(新属性投放!$L$6:$L$10,属性汇总!$B$3)*INDEX(新属性投放!$Q$6:$Q$10,属性汇总!$D$3)</f>
        <v>1.1499999999999999</v>
      </c>
      <c r="D169" s="14">
        <f>INDEX(新属性投放!J$14:J$34,属性汇总!$B169)*$C169</f>
        <v>22109.267500000002</v>
      </c>
      <c r="E169" s="14">
        <f>INDEX(新属性投放!K$14:K$34,属性汇总!$B169)*$C169</f>
        <v>11012.083750000002</v>
      </c>
      <c r="F169" s="14">
        <f>INDEX(新属性投放!L$14:L$34,属性汇总!$B169)*$C169</f>
        <v>66557.802499999991</v>
      </c>
      <c r="G169" s="14">
        <f>INDEX(新属性投放!D$14:D$34,属性汇总!$B169)*$C169</f>
        <v>552.73599999999999</v>
      </c>
      <c r="H169" s="14">
        <f>INDEX(新属性投放!E$14:E$34,属性汇总!$B169)*$C169</f>
        <v>276.36799999999999</v>
      </c>
      <c r="I169" s="14">
        <f>INDEX(新属性投放!F$14:F$34,属性汇总!$B169)*$C169</f>
        <v>1658.2079999999999</v>
      </c>
      <c r="J169" s="14">
        <f>ROUND(D169+($A169-INDEX(新属性投放!$B$14:$B$34,属性汇总!$B169))*属性汇总!G169,0)</f>
        <v>28189</v>
      </c>
      <c r="K169" s="14">
        <f>ROUND(E169+($A169-INDEX(新属性投放!$B$14:$B$34,属性汇总!$B169))*属性汇总!H169,0)</f>
        <v>14052</v>
      </c>
      <c r="L169" s="14">
        <f>ROUND(F169+($A169-INDEX(新属性投放!$B$14:$B$34,属性汇总!$B169))*属性汇总!I169,0)</f>
        <v>84798</v>
      </c>
      <c r="R169" s="13">
        <v>146</v>
      </c>
      <c r="S169" s="13">
        <v>20</v>
      </c>
      <c r="T169" s="14">
        <f>INDEX(新属性投放!$L$6:$L$10,$S$3)*INDEX(新属性投放!$Q$6:$Q$10,$U$3)</f>
        <v>1.1499999999999999</v>
      </c>
      <c r="U169" s="14">
        <f>INDEX(新属性投放!J$42:J$62,属性汇总!$S169)*$T169</f>
        <v>22414.017500000002</v>
      </c>
      <c r="V169" s="14">
        <f>INDEX(新属性投放!K$42:K$62,属性汇总!$S169)*$T169</f>
        <v>11119.033750000002</v>
      </c>
      <c r="W169" s="14">
        <f>INDEX(新属性投放!L$42:L$62,属性汇总!$S169)*$T169</f>
        <v>119598.84999999999</v>
      </c>
      <c r="X169" s="14">
        <f>INDEX(新属性投放!$D$42:$D$62,属性汇总!$S169)*$T169</f>
        <v>552.73599999999999</v>
      </c>
      <c r="Y169" s="14">
        <f>INDEX(新属性投放!$D$42:$D$62,属性汇总!$S169)*$T169</f>
        <v>552.73599999999999</v>
      </c>
      <c r="Z169" s="14">
        <f>INDEX(新属性投放!$D$42:$D$62,属性汇总!$S169)*$T169</f>
        <v>552.73599999999999</v>
      </c>
      <c r="AA169" s="14">
        <f>ROUND(U169+($R169-INDEX(新属性投放!$B$14:$B$34,属性汇总!$S169))*属性汇总!X169,0)</f>
        <v>28494</v>
      </c>
      <c r="AB169" s="14">
        <f>ROUND(V169+($R169-INDEX(新属性投放!$B$14:$B$34,属性汇总!$S169))*属性汇总!Y169,0)</f>
        <v>17199</v>
      </c>
      <c r="AC169" s="14">
        <f>ROUND(W169+($R169-INDEX(新属性投放!$B$14:$B$34,属性汇总!$S169))*属性汇总!Z169,0)</f>
        <v>125679</v>
      </c>
    </row>
    <row r="170" spans="1:29" ht="16.5" x14ac:dyDescent="0.2">
      <c r="A170" s="13">
        <v>147</v>
      </c>
      <c r="B170" s="13">
        <v>20</v>
      </c>
      <c r="C170" s="14">
        <f>INDEX(新属性投放!$L$6:$L$10,属性汇总!$B$3)*INDEX(新属性投放!$Q$6:$Q$10,属性汇总!$D$3)</f>
        <v>1.1499999999999999</v>
      </c>
      <c r="D170" s="14">
        <f>INDEX(新属性投放!J$14:J$34,属性汇总!$B170)*$C170</f>
        <v>22109.267500000002</v>
      </c>
      <c r="E170" s="14">
        <f>INDEX(新属性投放!K$14:K$34,属性汇总!$B170)*$C170</f>
        <v>11012.083750000002</v>
      </c>
      <c r="F170" s="14">
        <f>INDEX(新属性投放!L$14:L$34,属性汇总!$B170)*$C170</f>
        <v>66557.802499999991</v>
      </c>
      <c r="G170" s="14">
        <f>INDEX(新属性投放!D$14:D$34,属性汇总!$B170)*$C170</f>
        <v>552.73599999999999</v>
      </c>
      <c r="H170" s="14">
        <f>INDEX(新属性投放!E$14:E$34,属性汇总!$B170)*$C170</f>
        <v>276.36799999999999</v>
      </c>
      <c r="I170" s="14">
        <f>INDEX(新属性投放!F$14:F$34,属性汇总!$B170)*$C170</f>
        <v>1658.2079999999999</v>
      </c>
      <c r="J170" s="14">
        <f>ROUND(D170+($A170-INDEX(新属性投放!$B$14:$B$34,属性汇总!$B170))*属性汇总!G170,0)</f>
        <v>28742</v>
      </c>
      <c r="K170" s="14">
        <f>ROUND(E170+($A170-INDEX(新属性投放!$B$14:$B$34,属性汇总!$B170))*属性汇总!H170,0)</f>
        <v>14328</v>
      </c>
      <c r="L170" s="14">
        <f>ROUND(F170+($A170-INDEX(新属性投放!$B$14:$B$34,属性汇总!$B170))*属性汇总!I170,0)</f>
        <v>86456</v>
      </c>
      <c r="R170" s="13">
        <v>147</v>
      </c>
      <c r="S170" s="13">
        <v>20</v>
      </c>
      <c r="T170" s="14">
        <f>INDEX(新属性投放!$L$6:$L$10,$S$3)*INDEX(新属性投放!$Q$6:$Q$10,$U$3)</f>
        <v>1.1499999999999999</v>
      </c>
      <c r="U170" s="14">
        <f>INDEX(新属性投放!J$42:J$62,属性汇总!$S170)*$T170</f>
        <v>22414.017500000002</v>
      </c>
      <c r="V170" s="14">
        <f>INDEX(新属性投放!K$42:K$62,属性汇总!$S170)*$T170</f>
        <v>11119.033750000002</v>
      </c>
      <c r="W170" s="14">
        <f>INDEX(新属性投放!L$42:L$62,属性汇总!$S170)*$T170</f>
        <v>119598.84999999999</v>
      </c>
      <c r="X170" s="14">
        <f>INDEX(新属性投放!$D$42:$D$62,属性汇总!$S170)*$T170</f>
        <v>552.73599999999999</v>
      </c>
      <c r="Y170" s="14">
        <f>INDEX(新属性投放!$D$42:$D$62,属性汇总!$S170)*$T170</f>
        <v>552.73599999999999</v>
      </c>
      <c r="Z170" s="14">
        <f>INDEX(新属性投放!$D$42:$D$62,属性汇总!$S170)*$T170</f>
        <v>552.73599999999999</v>
      </c>
      <c r="AA170" s="14">
        <f>ROUND(U170+($R170-INDEX(新属性投放!$B$14:$B$34,属性汇总!$S170))*属性汇总!X170,0)</f>
        <v>29047</v>
      </c>
      <c r="AB170" s="14">
        <f>ROUND(V170+($R170-INDEX(新属性投放!$B$14:$B$34,属性汇总!$S170))*属性汇总!Y170,0)</f>
        <v>17752</v>
      </c>
      <c r="AC170" s="14">
        <f>ROUND(W170+($R170-INDEX(新属性投放!$B$14:$B$34,属性汇总!$S170))*属性汇总!Z170,0)</f>
        <v>126232</v>
      </c>
    </row>
    <row r="171" spans="1:29" ht="16.5" x14ac:dyDescent="0.2">
      <c r="A171" s="13">
        <v>148</v>
      </c>
      <c r="B171" s="13">
        <v>20</v>
      </c>
      <c r="C171" s="14">
        <f>INDEX(新属性投放!$L$6:$L$10,属性汇总!$B$3)*INDEX(新属性投放!$Q$6:$Q$10,属性汇总!$D$3)</f>
        <v>1.1499999999999999</v>
      </c>
      <c r="D171" s="14">
        <f>INDEX(新属性投放!J$14:J$34,属性汇总!$B171)*$C171</f>
        <v>22109.267500000002</v>
      </c>
      <c r="E171" s="14">
        <f>INDEX(新属性投放!K$14:K$34,属性汇总!$B171)*$C171</f>
        <v>11012.083750000002</v>
      </c>
      <c r="F171" s="14">
        <f>INDEX(新属性投放!L$14:L$34,属性汇总!$B171)*$C171</f>
        <v>66557.802499999991</v>
      </c>
      <c r="G171" s="14">
        <f>INDEX(新属性投放!D$14:D$34,属性汇总!$B171)*$C171</f>
        <v>552.73599999999999</v>
      </c>
      <c r="H171" s="14">
        <f>INDEX(新属性投放!E$14:E$34,属性汇总!$B171)*$C171</f>
        <v>276.36799999999999</v>
      </c>
      <c r="I171" s="14">
        <f>INDEX(新属性投放!F$14:F$34,属性汇总!$B171)*$C171</f>
        <v>1658.2079999999999</v>
      </c>
      <c r="J171" s="14">
        <f>ROUND(D171+($A171-INDEX(新属性投放!$B$14:$B$34,属性汇总!$B171))*属性汇总!G171,0)</f>
        <v>29295</v>
      </c>
      <c r="K171" s="14">
        <f>ROUND(E171+($A171-INDEX(新属性投放!$B$14:$B$34,属性汇总!$B171))*属性汇总!H171,0)</f>
        <v>14605</v>
      </c>
      <c r="L171" s="14">
        <f>ROUND(F171+($A171-INDEX(新属性投放!$B$14:$B$34,属性汇总!$B171))*属性汇总!I171,0)</f>
        <v>88115</v>
      </c>
      <c r="R171" s="13">
        <v>148</v>
      </c>
      <c r="S171" s="13">
        <v>20</v>
      </c>
      <c r="T171" s="14">
        <f>INDEX(新属性投放!$L$6:$L$10,$S$3)*INDEX(新属性投放!$Q$6:$Q$10,$U$3)</f>
        <v>1.1499999999999999</v>
      </c>
      <c r="U171" s="14">
        <f>INDEX(新属性投放!J$42:J$62,属性汇总!$S171)*$T171</f>
        <v>22414.017500000002</v>
      </c>
      <c r="V171" s="14">
        <f>INDEX(新属性投放!K$42:K$62,属性汇总!$S171)*$T171</f>
        <v>11119.033750000002</v>
      </c>
      <c r="W171" s="14">
        <f>INDEX(新属性投放!L$42:L$62,属性汇总!$S171)*$T171</f>
        <v>119598.84999999999</v>
      </c>
      <c r="X171" s="14">
        <f>INDEX(新属性投放!$D$42:$D$62,属性汇总!$S171)*$T171</f>
        <v>552.73599999999999</v>
      </c>
      <c r="Y171" s="14">
        <f>INDEX(新属性投放!$D$42:$D$62,属性汇总!$S171)*$T171</f>
        <v>552.73599999999999</v>
      </c>
      <c r="Z171" s="14">
        <f>INDEX(新属性投放!$D$42:$D$62,属性汇总!$S171)*$T171</f>
        <v>552.73599999999999</v>
      </c>
      <c r="AA171" s="14">
        <f>ROUND(U171+($R171-INDEX(新属性投放!$B$14:$B$34,属性汇总!$S171))*属性汇总!X171,0)</f>
        <v>29600</v>
      </c>
      <c r="AB171" s="14">
        <f>ROUND(V171+($R171-INDEX(新属性投放!$B$14:$B$34,属性汇总!$S171))*属性汇总!Y171,0)</f>
        <v>18305</v>
      </c>
      <c r="AC171" s="14">
        <f>ROUND(W171+($R171-INDEX(新属性投放!$B$14:$B$34,属性汇总!$S171))*属性汇总!Z171,0)</f>
        <v>126784</v>
      </c>
    </row>
    <row r="172" spans="1:29" ht="16.5" x14ac:dyDescent="0.2">
      <c r="A172" s="13">
        <v>149</v>
      </c>
      <c r="B172" s="13">
        <v>20</v>
      </c>
      <c r="C172" s="14">
        <f>INDEX(新属性投放!$L$6:$L$10,属性汇总!$B$3)*INDEX(新属性投放!$Q$6:$Q$10,属性汇总!$D$3)</f>
        <v>1.1499999999999999</v>
      </c>
      <c r="D172" s="14">
        <f>INDEX(新属性投放!J$14:J$34,属性汇总!$B172)*$C172</f>
        <v>22109.267500000002</v>
      </c>
      <c r="E172" s="14">
        <f>INDEX(新属性投放!K$14:K$34,属性汇总!$B172)*$C172</f>
        <v>11012.083750000002</v>
      </c>
      <c r="F172" s="14">
        <f>INDEX(新属性投放!L$14:L$34,属性汇总!$B172)*$C172</f>
        <v>66557.802499999991</v>
      </c>
      <c r="G172" s="14">
        <f>INDEX(新属性投放!D$14:D$34,属性汇总!$B172)*$C172</f>
        <v>552.73599999999999</v>
      </c>
      <c r="H172" s="14">
        <f>INDEX(新属性投放!E$14:E$34,属性汇总!$B172)*$C172</f>
        <v>276.36799999999999</v>
      </c>
      <c r="I172" s="14">
        <f>INDEX(新属性投放!F$14:F$34,属性汇总!$B172)*$C172</f>
        <v>1658.2079999999999</v>
      </c>
      <c r="J172" s="14">
        <f>ROUND(D172+($A172-INDEX(新属性投放!$B$14:$B$34,属性汇总!$B172))*属性汇总!G172,0)</f>
        <v>29848</v>
      </c>
      <c r="K172" s="14">
        <f>ROUND(E172+($A172-INDEX(新属性投放!$B$14:$B$34,属性汇总!$B172))*属性汇总!H172,0)</f>
        <v>14881</v>
      </c>
      <c r="L172" s="14">
        <f>ROUND(F172+($A172-INDEX(新属性投放!$B$14:$B$34,属性汇总!$B172))*属性汇总!I172,0)</f>
        <v>89773</v>
      </c>
      <c r="R172" s="13">
        <v>149</v>
      </c>
      <c r="S172" s="13">
        <v>20</v>
      </c>
      <c r="T172" s="14">
        <f>INDEX(新属性投放!$L$6:$L$10,$S$3)*INDEX(新属性投放!$Q$6:$Q$10,$U$3)</f>
        <v>1.1499999999999999</v>
      </c>
      <c r="U172" s="14">
        <f>INDEX(新属性投放!J$42:J$62,属性汇总!$S172)*$T172</f>
        <v>22414.017500000002</v>
      </c>
      <c r="V172" s="14">
        <f>INDEX(新属性投放!K$42:K$62,属性汇总!$S172)*$T172</f>
        <v>11119.033750000002</v>
      </c>
      <c r="W172" s="14">
        <f>INDEX(新属性投放!L$42:L$62,属性汇总!$S172)*$T172</f>
        <v>119598.84999999999</v>
      </c>
      <c r="X172" s="14">
        <f>INDEX(新属性投放!$D$42:$D$62,属性汇总!$S172)*$T172</f>
        <v>552.73599999999999</v>
      </c>
      <c r="Y172" s="14">
        <f>INDEX(新属性投放!$D$42:$D$62,属性汇总!$S172)*$T172</f>
        <v>552.73599999999999</v>
      </c>
      <c r="Z172" s="14">
        <f>INDEX(新属性投放!$D$42:$D$62,属性汇总!$S172)*$T172</f>
        <v>552.73599999999999</v>
      </c>
      <c r="AA172" s="14">
        <f>ROUND(U172+($R172-INDEX(新属性投放!$B$14:$B$34,属性汇总!$S172))*属性汇总!X172,0)</f>
        <v>30152</v>
      </c>
      <c r="AB172" s="14">
        <f>ROUND(V172+($R172-INDEX(新属性投放!$B$14:$B$34,属性汇总!$S172))*属性汇总!Y172,0)</f>
        <v>18857</v>
      </c>
      <c r="AC172" s="14">
        <f>ROUND(W172+($R172-INDEX(新属性投放!$B$14:$B$34,属性汇总!$S172))*属性汇总!Z172,0)</f>
        <v>127337</v>
      </c>
    </row>
    <row r="173" spans="1:29" ht="16.5" x14ac:dyDescent="0.2">
      <c r="A173" s="13">
        <v>150</v>
      </c>
      <c r="B173" s="13">
        <v>20</v>
      </c>
      <c r="C173" s="14">
        <f>INDEX(新属性投放!$L$6:$L$10,属性汇总!$B$3)*INDEX(新属性投放!$Q$6:$Q$10,属性汇总!$D$3)</f>
        <v>1.1499999999999999</v>
      </c>
      <c r="D173" s="14">
        <f>INDEX(新属性投放!J$14:J$34,属性汇总!$B173)*$C173</f>
        <v>22109.267500000002</v>
      </c>
      <c r="E173" s="14">
        <f>INDEX(新属性投放!K$14:K$34,属性汇总!$B173)*$C173</f>
        <v>11012.083750000002</v>
      </c>
      <c r="F173" s="14">
        <f>INDEX(新属性投放!L$14:L$34,属性汇总!$B173)*$C173</f>
        <v>66557.802499999991</v>
      </c>
      <c r="G173" s="14">
        <f>INDEX(新属性投放!D$14:D$34,属性汇总!$B173)*$C173</f>
        <v>552.73599999999999</v>
      </c>
      <c r="H173" s="14">
        <f>INDEX(新属性投放!E$14:E$34,属性汇总!$B173)*$C173</f>
        <v>276.36799999999999</v>
      </c>
      <c r="I173" s="14">
        <f>INDEX(新属性投放!F$14:F$34,属性汇总!$B173)*$C173</f>
        <v>1658.2079999999999</v>
      </c>
      <c r="J173" s="14">
        <f>ROUND(D173+($A173-INDEX(新属性投放!$B$14:$B$34,属性汇总!$B173))*属性汇总!G173,0)</f>
        <v>30400</v>
      </c>
      <c r="K173" s="14">
        <f>ROUND(E173+($A173-INDEX(新属性投放!$B$14:$B$34,属性汇总!$B173))*属性汇总!H173,0)</f>
        <v>15158</v>
      </c>
      <c r="L173" s="14">
        <f>ROUND(F173+($A173-INDEX(新属性投放!$B$14:$B$34,属性汇总!$B173))*属性汇总!I173,0)</f>
        <v>91431</v>
      </c>
      <c r="R173" s="13">
        <v>150</v>
      </c>
      <c r="S173" s="13">
        <v>20</v>
      </c>
      <c r="T173" s="14">
        <f>INDEX(新属性投放!$L$6:$L$10,$S$3)*INDEX(新属性投放!$Q$6:$Q$10,$U$3)</f>
        <v>1.1499999999999999</v>
      </c>
      <c r="U173" s="14">
        <f>INDEX(新属性投放!J$42:J$62,属性汇总!$S173)*$T173</f>
        <v>22414.017500000002</v>
      </c>
      <c r="V173" s="14">
        <f>INDEX(新属性投放!K$42:K$62,属性汇总!$S173)*$T173</f>
        <v>11119.033750000002</v>
      </c>
      <c r="W173" s="14">
        <f>INDEX(新属性投放!L$42:L$62,属性汇总!$S173)*$T173</f>
        <v>119598.84999999999</v>
      </c>
      <c r="X173" s="14">
        <f>INDEX(新属性投放!$D$42:$D$62,属性汇总!$S173)*$T173</f>
        <v>552.73599999999999</v>
      </c>
      <c r="Y173" s="14">
        <f>INDEX(新属性投放!$D$42:$D$62,属性汇总!$S173)*$T173</f>
        <v>552.73599999999999</v>
      </c>
      <c r="Z173" s="14">
        <f>INDEX(新属性投放!$D$42:$D$62,属性汇总!$S173)*$T173</f>
        <v>552.73599999999999</v>
      </c>
      <c r="AA173" s="14">
        <f>ROUND(U173+($R173-INDEX(新属性投放!$B$14:$B$34,属性汇总!$S173))*属性汇总!X173,0)</f>
        <v>30705</v>
      </c>
      <c r="AB173" s="14">
        <f>ROUND(V173+($R173-INDEX(新属性投放!$B$14:$B$34,属性汇总!$S173))*属性汇总!Y173,0)</f>
        <v>19410</v>
      </c>
      <c r="AC173" s="14">
        <f>ROUND(W173+($R173-INDEX(新属性投放!$B$14:$B$34,属性汇总!$S173))*属性汇总!Z173,0)</f>
        <v>127890</v>
      </c>
    </row>
  </sheetData>
  <mergeCells count="2">
    <mergeCell ref="A2:L2"/>
    <mergeCell ref="R2:AC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J552"/>
  <sheetViews>
    <sheetView topLeftCell="BA1" zoomScaleNormal="100" workbookViewId="0">
      <selection activeCell="BL3" sqref="BL3"/>
    </sheetView>
  </sheetViews>
  <sheetFormatPr defaultRowHeight="14.25" x14ac:dyDescent="0.2"/>
  <cols>
    <col min="1" max="3" width="9" style="37"/>
    <col min="4" max="4" width="8.25" style="37" customWidth="1"/>
    <col min="5" max="5" width="13.875" style="37" bestFit="1" customWidth="1"/>
    <col min="6" max="8" width="9" style="37"/>
    <col min="9" max="9" width="9.875" style="37" customWidth="1"/>
    <col min="10" max="39" width="9" style="37"/>
    <col min="40" max="40" width="13.625" style="37" customWidth="1"/>
    <col min="41" max="43" width="9" style="37"/>
    <col min="44" max="44" width="9.625" style="37" customWidth="1"/>
    <col min="45" max="56" width="9" style="37"/>
    <col min="57" max="57" width="10.25" style="20" customWidth="1"/>
    <col min="58" max="58" width="12" bestFit="1" customWidth="1"/>
    <col min="59" max="59" width="7.625" customWidth="1"/>
    <col min="60" max="60" width="10.5" customWidth="1"/>
    <col min="61" max="61" width="10.125" customWidth="1"/>
    <col min="62" max="62" width="17.25" customWidth="1"/>
    <col min="63" max="63" width="19.375" style="37" customWidth="1"/>
    <col min="66" max="66" width="9" style="20"/>
    <col min="75" max="75" width="9" style="37"/>
    <col min="79" max="79" width="9" style="37"/>
    <col min="80" max="80" width="10.375" customWidth="1"/>
    <col min="81" max="81" width="15.125" customWidth="1"/>
    <col min="82" max="82" width="39.75" customWidth="1"/>
    <col min="83" max="83" width="10.5" customWidth="1"/>
    <col min="85" max="88" width="9" style="37"/>
    <col min="92" max="92" width="9.625" customWidth="1"/>
    <col min="95" max="97" width="9" style="37"/>
    <col min="98" max="98" width="9" customWidth="1"/>
    <col min="102" max="102" width="9.5" customWidth="1"/>
    <col min="103" max="103" width="10" customWidth="1"/>
    <col min="104" max="104" width="10" style="37" customWidth="1"/>
    <col min="105" max="105" width="9.875" customWidth="1"/>
    <col min="106" max="106" width="10.75" customWidth="1"/>
    <col min="107" max="107" width="9.75" style="37" customWidth="1"/>
    <col min="108" max="108" width="12.625" customWidth="1"/>
    <col min="109" max="109" width="8.375" style="37" customWidth="1"/>
    <col min="110" max="111" width="7.25" style="37" customWidth="1"/>
    <col min="114" max="114" width="9" style="37"/>
    <col min="115" max="115" width="19" style="37" customWidth="1"/>
    <col min="116" max="117" width="9" style="37"/>
    <col min="119" max="119" width="16.625" style="37" customWidth="1"/>
    <col min="120" max="120" width="8.875" style="37" customWidth="1"/>
    <col min="122" max="122" width="11.625" customWidth="1"/>
    <col min="126" max="126" width="18.125" style="37" customWidth="1"/>
    <col min="127" max="127" width="8.375" style="37" customWidth="1"/>
    <col min="129" max="129" width="12.875" customWidth="1"/>
    <col min="130" max="130" width="10.625" customWidth="1"/>
    <col min="133" max="133" width="9" style="37"/>
    <col min="134" max="134" width="8.25" style="37" customWidth="1"/>
    <col min="135" max="135" width="18.125" style="37" customWidth="1"/>
  </cols>
  <sheetData>
    <row r="2" spans="1:140" s="37" customFormat="1" x14ac:dyDescent="0.2">
      <c r="B2" s="37">
        <v>1.135</v>
      </c>
      <c r="AR2" s="37">
        <v>2500</v>
      </c>
      <c r="AS2" s="37">
        <v>2500</v>
      </c>
      <c r="AT2" s="37">
        <v>2600</v>
      </c>
      <c r="AU2" s="37">
        <v>800</v>
      </c>
      <c r="AV2" s="37">
        <v>800</v>
      </c>
      <c r="AW2" s="37">
        <v>800</v>
      </c>
    </row>
    <row r="3" spans="1:140" s="20" customFormat="1" ht="20.25" x14ac:dyDescent="0.2">
      <c r="A3" s="15" t="s">
        <v>788</v>
      </c>
      <c r="B3" s="14">
        <v>1</v>
      </c>
      <c r="C3" s="37"/>
      <c r="D3" s="37"/>
      <c r="E3" s="37"/>
      <c r="F3" s="37"/>
      <c r="G3" s="37"/>
      <c r="H3" s="37"/>
      <c r="I3" s="15" t="s">
        <v>788</v>
      </c>
      <c r="J3" s="14">
        <f>0.35</f>
        <v>0.35</v>
      </c>
      <c r="K3" s="37"/>
      <c r="L3" s="37"/>
      <c r="M3" s="63" t="s">
        <v>953</v>
      </c>
      <c r="N3" s="63"/>
      <c r="O3" s="63"/>
      <c r="P3" s="63"/>
      <c r="Q3" s="63"/>
      <c r="R3" s="63"/>
      <c r="S3" s="63"/>
      <c r="T3" s="37"/>
      <c r="U3" s="37" t="s">
        <v>818</v>
      </c>
      <c r="V3" s="37" t="s">
        <v>819</v>
      </c>
      <c r="W3" s="37" t="s">
        <v>820</v>
      </c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>
        <v>0.4</v>
      </c>
      <c r="AJ3" s="37">
        <v>0.4</v>
      </c>
      <c r="AK3" s="37"/>
      <c r="AL3" s="37"/>
      <c r="AM3" s="37"/>
      <c r="AN3" s="37"/>
      <c r="AO3" s="37"/>
      <c r="AP3" s="37"/>
      <c r="AQ3" s="37"/>
      <c r="AR3" s="37" t="s">
        <v>908</v>
      </c>
      <c r="AS3" s="37" t="s">
        <v>909</v>
      </c>
      <c r="AT3" s="37" t="s">
        <v>910</v>
      </c>
      <c r="AU3" s="37" t="s">
        <v>914</v>
      </c>
      <c r="AV3" s="37" t="s">
        <v>914</v>
      </c>
      <c r="AW3" s="37" t="s">
        <v>914</v>
      </c>
      <c r="AX3" s="37"/>
      <c r="AY3" s="37"/>
      <c r="AZ3" s="37"/>
      <c r="BA3" s="37"/>
      <c r="BB3" s="37"/>
      <c r="BC3" s="37"/>
      <c r="BD3" s="37"/>
      <c r="BK3" s="37"/>
      <c r="BO3" s="20" t="s">
        <v>689</v>
      </c>
      <c r="BP3" s="20" t="s">
        <v>690</v>
      </c>
      <c r="BQ3" s="20" t="s">
        <v>691</v>
      </c>
      <c r="BR3" s="20" t="s">
        <v>692</v>
      </c>
      <c r="BS3" s="20" t="s">
        <v>693</v>
      </c>
      <c r="BT3" s="20" t="s">
        <v>694</v>
      </c>
      <c r="BU3" s="20" t="s">
        <v>695</v>
      </c>
      <c r="BV3" s="20" t="s">
        <v>696</v>
      </c>
      <c r="BW3" s="37"/>
      <c r="CA3" s="37"/>
      <c r="CG3" s="37"/>
      <c r="CH3" s="37"/>
      <c r="CI3" s="37"/>
      <c r="CJ3" s="37"/>
      <c r="CQ3" s="37"/>
      <c r="CR3" s="37"/>
      <c r="CS3" s="37"/>
      <c r="CZ3" s="37"/>
      <c r="DC3" s="37"/>
      <c r="DE3" s="37"/>
      <c r="DF3" s="37"/>
      <c r="DG3" s="37"/>
      <c r="DJ3" s="37"/>
      <c r="DK3" s="37"/>
      <c r="DL3" s="37"/>
      <c r="DM3" s="37"/>
      <c r="DN3" s="63" t="s">
        <v>849</v>
      </c>
      <c r="DO3" s="63"/>
      <c r="DP3" s="63"/>
      <c r="DQ3" s="63"/>
      <c r="DR3" s="63"/>
      <c r="DS3" s="63"/>
      <c r="DU3" s="63" t="s">
        <v>863</v>
      </c>
      <c r="DV3" s="63"/>
      <c r="DW3" s="63"/>
      <c r="DX3" s="63"/>
      <c r="DY3" s="63"/>
      <c r="DZ3" s="63"/>
      <c r="EC3" s="62" t="s">
        <v>900</v>
      </c>
      <c r="ED3" s="62"/>
      <c r="EE3" s="62"/>
      <c r="EF3" s="62"/>
      <c r="EG3" s="62"/>
      <c r="EH3" s="62"/>
      <c r="EI3" s="62"/>
      <c r="EJ3" s="62"/>
    </row>
    <row r="4" spans="1:140" s="20" customFormat="1" ht="17.25" x14ac:dyDescent="0.2">
      <c r="A4" s="12" t="s">
        <v>783</v>
      </c>
      <c r="B4" s="12" t="s">
        <v>787</v>
      </c>
      <c r="C4" s="12" t="s">
        <v>789</v>
      </c>
      <c r="D4" s="12" t="s">
        <v>790</v>
      </c>
      <c r="E4" s="12" t="s">
        <v>784</v>
      </c>
      <c r="F4" s="12" t="s">
        <v>786</v>
      </c>
      <c r="G4" s="12" t="s">
        <v>785</v>
      </c>
      <c r="H4" s="12" t="s">
        <v>814</v>
      </c>
      <c r="I4" s="12" t="s">
        <v>791</v>
      </c>
      <c r="J4" s="12" t="s">
        <v>792</v>
      </c>
      <c r="K4" s="12" t="s">
        <v>793</v>
      </c>
      <c r="L4" s="37"/>
      <c r="M4" s="37"/>
      <c r="N4" s="12" t="s">
        <v>944</v>
      </c>
      <c r="O4" s="12" t="s">
        <v>945</v>
      </c>
      <c r="P4" s="12" t="s">
        <v>946</v>
      </c>
      <c r="Q4" s="12" t="s">
        <v>947</v>
      </c>
      <c r="R4" s="12" t="s">
        <v>948</v>
      </c>
      <c r="S4" s="12" t="s">
        <v>949</v>
      </c>
      <c r="T4" s="37"/>
      <c r="U4" s="12" t="s">
        <v>804</v>
      </c>
      <c r="V4" s="12" t="s">
        <v>800</v>
      </c>
      <c r="W4" s="12" t="s">
        <v>801</v>
      </c>
      <c r="X4" s="12" t="s">
        <v>802</v>
      </c>
      <c r="Y4" s="12" t="s">
        <v>803</v>
      </c>
      <c r="Z4" s="12" t="s">
        <v>816</v>
      </c>
      <c r="AA4" s="12" t="s">
        <v>817</v>
      </c>
      <c r="AB4" s="37"/>
      <c r="AC4" s="37"/>
      <c r="AD4" s="12" t="s">
        <v>810</v>
      </c>
      <c r="AE4" s="12" t="s">
        <v>808</v>
      </c>
      <c r="AF4" s="12" t="s">
        <v>809</v>
      </c>
      <c r="AG4" s="37"/>
      <c r="AH4" s="12" t="s">
        <v>833</v>
      </c>
      <c r="AI4" s="12" t="s">
        <v>831</v>
      </c>
      <c r="AJ4" s="12" t="s">
        <v>832</v>
      </c>
      <c r="AK4" s="37"/>
      <c r="AL4" s="37"/>
      <c r="AM4" s="12" t="s">
        <v>915</v>
      </c>
      <c r="AN4" s="12" t="s">
        <v>833</v>
      </c>
      <c r="AO4" s="12" t="s">
        <v>906</v>
      </c>
      <c r="AP4" s="12" t="s">
        <v>905</v>
      </c>
      <c r="AQ4" s="12" t="s">
        <v>904</v>
      </c>
      <c r="AR4" s="12" t="s">
        <v>901</v>
      </c>
      <c r="AS4" s="12" t="s">
        <v>902</v>
      </c>
      <c r="AT4" s="12" t="s">
        <v>903</v>
      </c>
      <c r="AU4" s="12" t="s">
        <v>911</v>
      </c>
      <c r="AV4" s="12" t="s">
        <v>912</v>
      </c>
      <c r="AW4" s="12" t="s">
        <v>913</v>
      </c>
      <c r="AX4" s="37"/>
      <c r="AY4" s="12" t="s">
        <v>937</v>
      </c>
      <c r="AZ4" s="12" t="s">
        <v>938</v>
      </c>
      <c r="BA4" s="12" t="s">
        <v>939</v>
      </c>
      <c r="BB4" s="12" t="s">
        <v>940</v>
      </c>
      <c r="BC4" s="37"/>
      <c r="BD4" s="12" t="s">
        <v>701</v>
      </c>
      <c r="BE4" s="12" t="s">
        <v>675</v>
      </c>
      <c r="BF4" s="12" t="s">
        <v>676</v>
      </c>
      <c r="BG4" s="12" t="s">
        <v>677</v>
      </c>
      <c r="BH4" s="12" t="s">
        <v>679</v>
      </c>
      <c r="BI4" s="12" t="s">
        <v>698</v>
      </c>
      <c r="BJ4" s="12" t="s">
        <v>697</v>
      </c>
      <c r="BK4" s="12" t="s">
        <v>706</v>
      </c>
      <c r="BL4" s="12" t="s">
        <v>678</v>
      </c>
      <c r="BM4" s="12" t="s">
        <v>688</v>
      </c>
      <c r="BN4" s="12" t="s">
        <v>699</v>
      </c>
      <c r="BO4" s="12" t="s">
        <v>680</v>
      </c>
      <c r="BP4" s="12" t="s">
        <v>681</v>
      </c>
      <c r="BQ4" s="12" t="s">
        <v>682</v>
      </c>
      <c r="BR4" s="12" t="s">
        <v>683</v>
      </c>
      <c r="BS4" s="12" t="s">
        <v>684</v>
      </c>
      <c r="BT4" s="12" t="s">
        <v>685</v>
      </c>
      <c r="BU4" s="12" t="s">
        <v>686</v>
      </c>
      <c r="BV4" s="12" t="s">
        <v>687</v>
      </c>
      <c r="BW4" s="37"/>
      <c r="BY4" s="12" t="s">
        <v>674</v>
      </c>
      <c r="BZ4" s="12" t="s">
        <v>700</v>
      </c>
      <c r="CA4" s="12" t="s">
        <v>704</v>
      </c>
      <c r="CB4" s="12" t="s">
        <v>703</v>
      </c>
      <c r="CC4" s="12" t="s">
        <v>670</v>
      </c>
      <c r="CD4" s="12" t="s">
        <v>671</v>
      </c>
      <c r="CE4" s="12" t="s">
        <v>673</v>
      </c>
      <c r="CF4" s="12" t="s">
        <v>672</v>
      </c>
      <c r="CG4" s="12" t="s">
        <v>823</v>
      </c>
      <c r="CH4" s="12" t="s">
        <v>824</v>
      </c>
      <c r="CI4" s="12" t="s">
        <v>702</v>
      </c>
      <c r="CJ4" s="12" t="s">
        <v>899</v>
      </c>
      <c r="CK4" s="12" t="s">
        <v>805</v>
      </c>
      <c r="CL4" s="12" t="s">
        <v>806</v>
      </c>
      <c r="CM4" s="12" t="s">
        <v>807</v>
      </c>
      <c r="CN4" s="12" t="s">
        <v>815</v>
      </c>
      <c r="CO4" s="12" t="s">
        <v>792</v>
      </c>
      <c r="CP4" s="12" t="s">
        <v>793</v>
      </c>
      <c r="CQ4" s="12" t="s">
        <v>941</v>
      </c>
      <c r="CR4" s="12" t="s">
        <v>935</v>
      </c>
      <c r="CS4" s="12" t="s">
        <v>936</v>
      </c>
      <c r="CV4" s="12" t="s">
        <v>816</v>
      </c>
      <c r="CW4" s="12" t="s">
        <v>821</v>
      </c>
      <c r="CX4" s="12" t="s">
        <v>822</v>
      </c>
      <c r="CY4" s="12" t="s">
        <v>825</v>
      </c>
      <c r="CZ4" s="12" t="s">
        <v>826</v>
      </c>
      <c r="DA4" s="12" t="s">
        <v>827</v>
      </c>
      <c r="DB4" s="12" t="s">
        <v>828</v>
      </c>
      <c r="DC4" s="12" t="s">
        <v>829</v>
      </c>
      <c r="DD4" s="12" t="s">
        <v>830</v>
      </c>
      <c r="DE4" s="12" t="s">
        <v>942</v>
      </c>
      <c r="DF4" s="12" t="s">
        <v>943</v>
      </c>
      <c r="DG4" s="12" t="s">
        <v>955</v>
      </c>
      <c r="DJ4" s="12" t="s">
        <v>870</v>
      </c>
      <c r="DK4" s="12" t="s">
        <v>867</v>
      </c>
      <c r="DL4" s="37"/>
      <c r="DM4" s="37"/>
      <c r="DN4" s="12" t="s">
        <v>840</v>
      </c>
      <c r="DO4" s="12" t="s">
        <v>868</v>
      </c>
      <c r="DP4" s="12" t="s">
        <v>869</v>
      </c>
      <c r="DQ4" s="12" t="s">
        <v>841</v>
      </c>
      <c r="DR4" s="12" t="s">
        <v>842</v>
      </c>
      <c r="DS4" s="12" t="s">
        <v>843</v>
      </c>
      <c r="DU4" s="12" t="s">
        <v>840</v>
      </c>
      <c r="DV4" s="12" t="s">
        <v>866</v>
      </c>
      <c r="DW4" s="12" t="s">
        <v>869</v>
      </c>
      <c r="DX4" s="12" t="s">
        <v>841</v>
      </c>
      <c r="DY4" s="12" t="s">
        <v>842</v>
      </c>
      <c r="DZ4" s="12" t="s">
        <v>843</v>
      </c>
      <c r="EC4" s="12" t="s">
        <v>916</v>
      </c>
      <c r="ED4" s="12" t="s">
        <v>921</v>
      </c>
      <c r="EE4" s="12" t="s">
        <v>922</v>
      </c>
      <c r="EF4" s="12" t="s">
        <v>907</v>
      </c>
      <c r="EG4" s="12" t="s">
        <v>917</v>
      </c>
      <c r="EH4" s="12" t="s">
        <v>918</v>
      </c>
      <c r="EI4" s="12" t="s">
        <v>919</v>
      </c>
      <c r="EJ4" s="12" t="s">
        <v>920</v>
      </c>
    </row>
    <row r="5" spans="1:140" s="20" customFormat="1" ht="16.5" x14ac:dyDescent="0.2">
      <c r="A5" s="13">
        <v>1</v>
      </c>
      <c r="B5" s="13">
        <v>1</v>
      </c>
      <c r="C5" s="13">
        <v>3</v>
      </c>
      <c r="D5" s="13">
        <v>20</v>
      </c>
      <c r="E5" s="13">
        <f>INDEX(新属性投放!J$14:J$35,装备!$C5)*装备!$B$3/$D5</f>
        <v>20.835000000000001</v>
      </c>
      <c r="F5" s="13">
        <f>INDEX(新属性投放!K$14:K$35,装备!$C5)*装备!$B$3/$D5</f>
        <v>8.5175000000000001</v>
      </c>
      <c r="G5" s="13">
        <f>INDEX(新属性投放!L$14:L$35,装备!$C5)*装备!$B$3/$D5</f>
        <v>72.504999999999995</v>
      </c>
      <c r="H5" s="13">
        <v>0.35</v>
      </c>
      <c r="I5" s="13">
        <f>E5*$H5*$D5</f>
        <v>145.845</v>
      </c>
      <c r="J5" s="13">
        <f t="shared" ref="J5:K5" si="0">F5*$H5*$D5</f>
        <v>59.622500000000002</v>
      </c>
      <c r="K5" s="13">
        <f t="shared" si="0"/>
        <v>507.53499999999997</v>
      </c>
      <c r="L5" s="37"/>
      <c r="M5" s="15" t="s">
        <v>574</v>
      </c>
      <c r="N5" s="13">
        <v>5</v>
      </c>
      <c r="O5" s="13">
        <v>10</v>
      </c>
      <c r="P5" s="13">
        <v>15</v>
      </c>
      <c r="Q5" s="13">
        <v>30</v>
      </c>
      <c r="R5" s="13">
        <v>45</v>
      </c>
      <c r="S5" s="13">
        <v>75</v>
      </c>
      <c r="T5" s="37"/>
      <c r="U5" s="13">
        <v>1</v>
      </c>
      <c r="V5" s="13" t="s">
        <v>689</v>
      </c>
      <c r="W5" s="28">
        <v>0.6</v>
      </c>
      <c r="X5" s="13"/>
      <c r="Y5" s="13"/>
      <c r="Z5" s="13">
        <v>1</v>
      </c>
      <c r="AA5" s="13"/>
      <c r="AB5" s="37"/>
      <c r="AC5" s="37"/>
      <c r="AD5" s="13">
        <v>1</v>
      </c>
      <c r="AE5" s="13" t="s">
        <v>811</v>
      </c>
      <c r="AF5" s="28">
        <v>0.5</v>
      </c>
      <c r="AG5" s="37"/>
      <c r="AH5" s="13" t="s">
        <v>834</v>
      </c>
      <c r="AI5" s="14">
        <f>INT(新属性投放!J17*AI3)</f>
        <v>292</v>
      </c>
      <c r="AJ5" s="14">
        <f>INT(新属性投放!L17*AJ3)</f>
        <v>957</v>
      </c>
      <c r="AK5" s="37"/>
      <c r="AL5" s="37"/>
      <c r="AM5" s="13">
        <v>11</v>
      </c>
      <c r="AN5" s="13" t="s">
        <v>923</v>
      </c>
      <c r="AO5" s="13">
        <v>2</v>
      </c>
      <c r="AP5" s="13">
        <v>2</v>
      </c>
      <c r="AQ5" s="40">
        <v>0.35</v>
      </c>
      <c r="AR5" s="13">
        <f>ROUND(INDEX($D$5:$D$16,AO5)*E5*$AQ5/8,0)</f>
        <v>36</v>
      </c>
      <c r="AS5" s="13">
        <f>ROUND(INDEX($D$5:$D$16,AP5)*F5*$AQ5/8,0)</f>
        <v>15</v>
      </c>
      <c r="AT5" s="13">
        <f>ROUND(INDEX($D$5:$D$16,AQ5)*G5*$AQ5/8,0)</f>
        <v>63</v>
      </c>
      <c r="AU5" s="28">
        <v>0.04</v>
      </c>
      <c r="AV5" s="28">
        <v>0.04</v>
      </c>
      <c r="AW5" s="28">
        <v>0.04</v>
      </c>
      <c r="AX5" s="37"/>
      <c r="AY5" s="13">
        <v>0</v>
      </c>
      <c r="AZ5" s="13">
        <v>0</v>
      </c>
      <c r="BA5" s="13">
        <v>1</v>
      </c>
      <c r="BB5" s="13">
        <v>2</v>
      </c>
      <c r="BC5" s="37"/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/>
      <c r="BL5" s="13">
        <v>0</v>
      </c>
      <c r="BM5" s="13">
        <v>0</v>
      </c>
      <c r="BN5" s="13">
        <v>0</v>
      </c>
      <c r="BO5" s="13">
        <v>0</v>
      </c>
      <c r="BP5" s="13">
        <v>0</v>
      </c>
      <c r="BQ5" s="13">
        <v>0</v>
      </c>
      <c r="BR5" s="13">
        <v>0</v>
      </c>
      <c r="BS5" s="13">
        <v>0</v>
      </c>
      <c r="BT5" s="13">
        <v>0</v>
      </c>
      <c r="BU5" s="13">
        <v>0</v>
      </c>
      <c r="BV5" s="13">
        <v>0</v>
      </c>
      <c r="BW5" s="37"/>
      <c r="BY5" s="13">
        <v>1</v>
      </c>
      <c r="BZ5" s="14">
        <f>MATCH(BY5-1,$BN$5:$BN$81,1)</f>
        <v>1</v>
      </c>
      <c r="CA5" s="14">
        <f>INDEX($BI$6:$BI$81,BZ5)</f>
        <v>1</v>
      </c>
      <c r="CB5" s="14">
        <f t="shared" ref="CB5:CB68" si="1">INDEX($BE$6:$BE$81,BZ5)</f>
        <v>1</v>
      </c>
      <c r="CC5" s="14">
        <f t="shared" ref="CC5:CC68" si="2">INDEX($BJ$6:$BJ$81,BZ5)+CI5</f>
        <v>2011011</v>
      </c>
      <c r="CD5" s="13" t="str">
        <f t="shared" ref="CD5:CD68" si="3">INDEX($BK$6:$BK$81,BZ5)&amp;"-"&amp;INDEX($BO$3:$BV$3,CI5)</f>
        <v>20级寄灵人绿色-武器</v>
      </c>
      <c r="CE5" s="14">
        <f t="shared" ref="CE5:CE68" si="4">INDEX($BH$6:$BH$81,BZ5)</f>
        <v>1</v>
      </c>
      <c r="CF5" s="14">
        <f t="shared" ref="CF5:CF68" si="5">INDEX($BG$6:$BG$81,BZ5)</f>
        <v>1</v>
      </c>
      <c r="CG5" s="14">
        <f>INDEX($D$5:$D$16,(CE5-1)*6+CB5)</f>
        <v>20</v>
      </c>
      <c r="CH5" s="14">
        <f>INDEX($D$5:$D$16,(CE5-1)*6+CB5)</f>
        <v>20</v>
      </c>
      <c r="CI5" s="14">
        <f t="shared" ref="CI5:CI68" si="6">BY5-INDEX($BN$5:$BN$81,BZ5)</f>
        <v>1</v>
      </c>
      <c r="CJ5" s="14" t="str">
        <f>IF(INDEX($BL$6:$BL$81,BZ5)&gt;0,INDEX($BL$6:$BL$81,BZ5),"")</f>
        <v/>
      </c>
      <c r="CK5" s="14">
        <f t="shared" ref="CK5:CK68" si="7">ROUND(INDEX(I$5:I$16,($CE5-1)*6+$CB5)*INDEX(W$5:W$12,$CI5)*INDEX($AF$5:$AF$8,$CF5),0)</f>
        <v>44</v>
      </c>
      <c r="CL5" s="14">
        <f t="shared" ref="CL5:CL68" si="8">ROUND(INDEX(J$5:J$16,($CE5-1)*6+$CB5)*INDEX(X$5:X$12,$CI5)*INDEX($AF$5:$AF$8,$CF5),0)</f>
        <v>0</v>
      </c>
      <c r="CM5" s="14">
        <f t="shared" ref="CM5:CM68" si="9">ROUND(INDEX(K$5:K$16,($CE5-1)*6+$CB5)*INDEX(Y$5:Y$12,$CI5)*INDEX($AF$5:$AF$8,$CF5),0)</f>
        <v>0</v>
      </c>
      <c r="CN5" s="14">
        <f t="shared" ref="CN5:CN68" si="10">ROUND(INDEX(E$5:E$16,($CE5-1)*6+$CB5)*INDEX(W$5:W$12,$CI5),2)</f>
        <v>12.5</v>
      </c>
      <c r="CO5" s="14">
        <f t="shared" ref="CO5:CO68" si="11">ROUND(INDEX(F$5:F$16,($CE5-1)*6+$CB5)*INDEX(X$5:X$12,$CI5),2)</f>
        <v>0</v>
      </c>
      <c r="CP5" s="14">
        <f t="shared" ref="CP5:CP68" si="12">ROUND(INDEX(G$5:G$16,($CE5-1)*6+$CB5)*INDEX(Y$5:Y$12,$CI5),2)</f>
        <v>0</v>
      </c>
      <c r="CQ5" s="14">
        <f>(CB5-1)*4+CF5</f>
        <v>1</v>
      </c>
      <c r="CR5" s="14">
        <f>INDEX($AY$5:$BB$16,CB5,CF5)</f>
        <v>0</v>
      </c>
      <c r="CS5" s="14">
        <f>CE5*10+CB5</f>
        <v>11</v>
      </c>
      <c r="CV5" s="14">
        <f t="shared" ref="CV5:CV68" si="13">INDEX(Z$5:Z$12,$CI5)</f>
        <v>1</v>
      </c>
      <c r="CW5" s="14">
        <f t="shared" ref="CW5:CW68" si="14">INDEX(AA$5:AA$12,$CI5)</f>
        <v>0</v>
      </c>
      <c r="CX5" s="14" t="str">
        <f>INDEX($U$3:$W$3,CV5)</f>
        <v>AtkExt</v>
      </c>
      <c r="CY5" s="14">
        <f>INDEX(CK5:CM5,CV5)</f>
        <v>44</v>
      </c>
      <c r="CZ5" s="14">
        <f>INDEX(CN5:CP5,CV5)</f>
        <v>12.5</v>
      </c>
      <c r="DA5" s="14" t="str">
        <f>IF(CW5&gt;0,INDEX($U$3:$W$3,CW5),"")</f>
        <v/>
      </c>
      <c r="DB5" s="14" t="str">
        <f>IF(CW5&gt;0,INDEX(CK5:CM5,CW5),"")</f>
        <v/>
      </c>
      <c r="DC5" s="14" t="str">
        <f>IF(CW5&gt;0,INDEX(CN5:CP5,CW5),"")</f>
        <v/>
      </c>
      <c r="DD5" s="14">
        <f>(CB5-1)*4+CF5</f>
        <v>1</v>
      </c>
      <c r="DE5" s="14">
        <f>INDEX($AY$5:$BB$16,CB5,CF5)</f>
        <v>0</v>
      </c>
      <c r="DF5" s="14">
        <f>CE5*10+CB5</f>
        <v>11</v>
      </c>
      <c r="DG5" s="14">
        <f>INDEX($N$5:$S$8,CF5,CB5)</f>
        <v>5</v>
      </c>
      <c r="DJ5" s="13">
        <v>1011</v>
      </c>
      <c r="DK5" s="13" t="s">
        <v>871</v>
      </c>
      <c r="DL5" s="37"/>
      <c r="DM5" s="37"/>
      <c r="DN5" s="13">
        <v>1</v>
      </c>
      <c r="DO5" s="13" t="s">
        <v>885</v>
      </c>
      <c r="DP5" s="13">
        <v>1</v>
      </c>
      <c r="DQ5" s="13">
        <v>2</v>
      </c>
      <c r="DR5" s="13" t="s">
        <v>844</v>
      </c>
      <c r="DS5" s="13">
        <f>AI5</f>
        <v>292</v>
      </c>
      <c r="DU5" s="13">
        <v>1</v>
      </c>
      <c r="DV5" s="13" t="s">
        <v>871</v>
      </c>
      <c r="DW5" s="13">
        <v>1</v>
      </c>
      <c r="DX5" s="13">
        <v>2</v>
      </c>
      <c r="DY5" s="13" t="s">
        <v>844</v>
      </c>
      <c r="DZ5" s="13">
        <f>AI11</f>
        <v>398</v>
      </c>
      <c r="EC5" s="13">
        <v>1</v>
      </c>
      <c r="ED5" s="13">
        <f>INT((EC5-1)/6)+1</f>
        <v>1</v>
      </c>
      <c r="EE5" s="13" t="str">
        <f>INDEX($AN$5:$AN$16,ED5)&amp;"洗练-"&amp;EG5</f>
        <v>20级寄灵人洗练-1</v>
      </c>
      <c r="EF5" s="13">
        <f>INDEX($AM$5:$AM$16,ED5)</f>
        <v>11</v>
      </c>
      <c r="EG5" s="13">
        <f>MOD(EC5-1,6)+1</f>
        <v>1</v>
      </c>
      <c r="EH5" s="13">
        <f>INDEX($AR$2:$AW$2,EG5)</f>
        <v>2500</v>
      </c>
      <c r="EI5" s="13" t="str">
        <f>INDEX($AR$3:$AW$3,EG5)</f>
        <v>AtkExt</v>
      </c>
      <c r="EJ5" s="13">
        <f>INDEX($AR$5:$AW$16,ED5,EG5)</f>
        <v>36</v>
      </c>
    </row>
    <row r="6" spans="1:140" s="20" customFormat="1" ht="16.5" x14ac:dyDescent="0.2">
      <c r="A6" s="13">
        <v>2</v>
      </c>
      <c r="B6" s="13">
        <v>1</v>
      </c>
      <c r="C6" s="13">
        <v>5</v>
      </c>
      <c r="D6" s="13">
        <v>40</v>
      </c>
      <c r="E6" s="13">
        <f>INDEX(新属性投放!J$14:J$35,装备!$C6)*装备!$B$3/$D6</f>
        <v>27.692500000000003</v>
      </c>
      <c r="F6" s="13">
        <f>INDEX(新属性投放!K$14:K$35,装备!$C6)*装备!$B$3/$D6</f>
        <v>12.89625</v>
      </c>
      <c r="G6" s="13">
        <f>INDEX(新属性投放!L$14:L$35,装备!$C6)*装备!$B$3/$D6</f>
        <v>88.077500000000001</v>
      </c>
      <c r="H6" s="13">
        <v>0.3</v>
      </c>
      <c r="I6" s="13">
        <f t="shared" ref="I6:I16" si="15">E6*$H6*$D6</f>
        <v>332.31</v>
      </c>
      <c r="J6" s="13">
        <f t="shared" ref="J6:J16" si="16">F6*$H6*$D6</f>
        <v>154.755</v>
      </c>
      <c r="K6" s="13">
        <f t="shared" ref="K6:K16" si="17">G6*$H6*$D6</f>
        <v>1056.93</v>
      </c>
      <c r="L6" s="37"/>
      <c r="M6" s="15" t="s">
        <v>954</v>
      </c>
      <c r="N6" s="13">
        <v>15</v>
      </c>
      <c r="O6" s="13">
        <v>30</v>
      </c>
      <c r="P6" s="13">
        <v>45</v>
      </c>
      <c r="Q6" s="13">
        <v>90</v>
      </c>
      <c r="R6" s="13">
        <v>135</v>
      </c>
      <c r="S6" s="13">
        <v>225</v>
      </c>
      <c r="T6" s="37"/>
      <c r="U6" s="13">
        <v>2</v>
      </c>
      <c r="V6" s="13" t="s">
        <v>794</v>
      </c>
      <c r="W6" s="13"/>
      <c r="X6" s="28">
        <v>0.3</v>
      </c>
      <c r="Y6" s="13"/>
      <c r="Z6" s="13">
        <v>2</v>
      </c>
      <c r="AA6" s="13"/>
      <c r="AB6" s="37"/>
      <c r="AC6" s="37"/>
      <c r="AD6" s="13">
        <v>2</v>
      </c>
      <c r="AE6" s="13" t="s">
        <v>812</v>
      </c>
      <c r="AF6" s="28">
        <v>0.75</v>
      </c>
      <c r="AG6" s="37"/>
      <c r="AH6" s="13" t="s">
        <v>835</v>
      </c>
      <c r="AI6" s="14">
        <f>INT(新属性投放!J19*AI3)</f>
        <v>631</v>
      </c>
      <c r="AJ6" s="14">
        <f>INT(新属性投放!L19*AJ3)</f>
        <v>1973</v>
      </c>
      <c r="AK6" s="37"/>
      <c r="AL6" s="37"/>
      <c r="AM6" s="13">
        <v>12</v>
      </c>
      <c r="AN6" s="13" t="s">
        <v>924</v>
      </c>
      <c r="AO6" s="13">
        <v>2</v>
      </c>
      <c r="AP6" s="13">
        <v>3</v>
      </c>
      <c r="AQ6" s="40">
        <v>0.35</v>
      </c>
      <c r="AR6" s="13">
        <f t="shared" ref="AR6:AR16" si="18">ROUND(INDEX($D$5:$D$16,AO6)*E6*$AQ6/8,0)</f>
        <v>48</v>
      </c>
      <c r="AS6" s="13">
        <f t="shared" ref="AS6:AS16" si="19">ROUND(INDEX($D$5:$D$16,AP6)*F6*$AQ6/8,0)</f>
        <v>34</v>
      </c>
      <c r="AT6" s="13">
        <f t="shared" ref="AT6:AT16" si="20">ROUND(INDEX($D$5:$D$16,AQ6)*G6*$AQ6/8,0)</f>
        <v>154</v>
      </c>
      <c r="AU6" s="28">
        <v>0.04</v>
      </c>
      <c r="AV6" s="28">
        <v>0.04</v>
      </c>
      <c r="AW6" s="28">
        <v>0.04</v>
      </c>
      <c r="AX6" s="37"/>
      <c r="AY6" s="13">
        <v>0</v>
      </c>
      <c r="AZ6" s="13">
        <v>0</v>
      </c>
      <c r="BA6" s="13">
        <v>2</v>
      </c>
      <c r="BB6" s="13">
        <v>3</v>
      </c>
      <c r="BC6" s="37"/>
      <c r="BD6" s="13">
        <v>1</v>
      </c>
      <c r="BE6" s="13">
        <v>1</v>
      </c>
      <c r="BF6" s="13">
        <v>20</v>
      </c>
      <c r="BG6" s="13">
        <v>1</v>
      </c>
      <c r="BH6" s="13">
        <v>1</v>
      </c>
      <c r="BI6" s="13">
        <v>1</v>
      </c>
      <c r="BJ6" s="13">
        <f>BI6*10+BG6*1000+BE6*10000+2000000</f>
        <v>2011010</v>
      </c>
      <c r="BK6" s="13" t="s">
        <v>707</v>
      </c>
      <c r="BL6" s="13"/>
      <c r="BM6" s="13">
        <v>8</v>
      </c>
      <c r="BN6" s="13">
        <f>SUM(BM$6:BM6)</f>
        <v>8</v>
      </c>
      <c r="BO6" s="13">
        <v>1</v>
      </c>
      <c r="BP6" s="13">
        <v>2</v>
      </c>
      <c r="BQ6" s="13">
        <v>3</v>
      </c>
      <c r="BR6" s="13">
        <v>4</v>
      </c>
      <c r="BS6" s="13">
        <v>5</v>
      </c>
      <c r="BT6" s="13">
        <v>6</v>
      </c>
      <c r="BU6" s="13">
        <v>7</v>
      </c>
      <c r="BV6" s="13">
        <v>8</v>
      </c>
      <c r="BW6" s="37"/>
      <c r="BY6" s="13">
        <v>2</v>
      </c>
      <c r="BZ6" s="14">
        <f t="shared" ref="BZ6:BZ69" si="21">MATCH(BY6-1,$BN$5:$BN$81,1)</f>
        <v>1</v>
      </c>
      <c r="CA6" s="14">
        <f t="shared" ref="CA6:CA69" si="22">INDEX($BI$6:$BI$81,BZ6)</f>
        <v>1</v>
      </c>
      <c r="CB6" s="14">
        <f t="shared" si="1"/>
        <v>1</v>
      </c>
      <c r="CC6" s="14">
        <f t="shared" si="2"/>
        <v>2011012</v>
      </c>
      <c r="CD6" s="13" t="str">
        <f t="shared" si="3"/>
        <v>20级寄灵人绿色-头盔</v>
      </c>
      <c r="CE6" s="14">
        <f t="shared" si="4"/>
        <v>1</v>
      </c>
      <c r="CF6" s="14">
        <f t="shared" si="5"/>
        <v>1</v>
      </c>
      <c r="CG6" s="14">
        <f t="shared" ref="CG6:CG69" si="23">INDEX($D$5:$D$16,(CE6-1)*6+CB6)</f>
        <v>20</v>
      </c>
      <c r="CH6" s="14">
        <f t="shared" ref="CH6:CH69" si="24">INDEX($D$5:$D$16,(CE6-1)*6+CB6)</f>
        <v>20</v>
      </c>
      <c r="CI6" s="14">
        <f t="shared" si="6"/>
        <v>2</v>
      </c>
      <c r="CJ6" s="14" t="str">
        <f t="shared" ref="CJ6:CJ69" si="25">IF(INDEX($BL$6:$BL$81,BZ6)&gt;0,INDEX($BL$6:$BL$81,BZ6),"")</f>
        <v/>
      </c>
      <c r="CK6" s="14">
        <f t="shared" si="7"/>
        <v>0</v>
      </c>
      <c r="CL6" s="14">
        <f t="shared" si="8"/>
        <v>9</v>
      </c>
      <c r="CM6" s="14">
        <f t="shared" si="9"/>
        <v>0</v>
      </c>
      <c r="CN6" s="14">
        <f t="shared" si="10"/>
        <v>0</v>
      </c>
      <c r="CO6" s="14">
        <f t="shared" si="11"/>
        <v>2.56</v>
      </c>
      <c r="CP6" s="14">
        <f t="shared" si="12"/>
        <v>0</v>
      </c>
      <c r="CQ6" s="14">
        <f t="shared" ref="CQ6:CQ69" si="26">(CB6-1)*4+CF6</f>
        <v>1</v>
      </c>
      <c r="CR6" s="14">
        <f t="shared" ref="CR6:CR69" si="27">INDEX($AY$5:$BB$16,CB6,CF6)</f>
        <v>0</v>
      </c>
      <c r="CS6" s="14">
        <f t="shared" ref="CS6:CS69" si="28">CE6*10+CB6</f>
        <v>11</v>
      </c>
      <c r="CV6" s="14">
        <f t="shared" si="13"/>
        <v>2</v>
      </c>
      <c r="CW6" s="14">
        <f t="shared" si="14"/>
        <v>0</v>
      </c>
      <c r="CX6" s="14" t="str">
        <f t="shared" ref="CX6:CX69" si="29">INDEX($U$3:$W$3,CV6)</f>
        <v>DefExt</v>
      </c>
      <c r="CY6" s="14">
        <f t="shared" ref="CY6:CY69" si="30">INDEX(CK6:CM6,CV6)</f>
        <v>9</v>
      </c>
      <c r="CZ6" s="14">
        <f t="shared" ref="CZ6:CZ69" si="31">INDEX(CN6:CP6,CV6)</f>
        <v>2.56</v>
      </c>
      <c r="DA6" s="14" t="str">
        <f t="shared" ref="DA6:DA69" si="32">IF(CW6&gt;0,INDEX($U$3:$W$3,CW6),"")</f>
        <v/>
      </c>
      <c r="DB6" s="14" t="str">
        <f t="shared" ref="DB6:DB69" si="33">IF(CW6&gt;0,INDEX(CK6:CM6,CW6),"")</f>
        <v/>
      </c>
      <c r="DC6" s="14" t="str">
        <f t="shared" ref="DC6:DC69" si="34">IF(CW6&gt;0,INDEX(CN6:CP6,CW6),"")</f>
        <v/>
      </c>
      <c r="DD6" s="14">
        <f t="shared" ref="DD6:DD69" si="35">(CB6-1)*4+CF6</f>
        <v>1</v>
      </c>
      <c r="DE6" s="14">
        <f t="shared" ref="DE6:DE69" si="36">INDEX($AY$5:$BB$16,CB6,CF6)</f>
        <v>0</v>
      </c>
      <c r="DF6" s="14">
        <f t="shared" ref="DF6:DF69" si="37">CE6*10+CB6</f>
        <v>11</v>
      </c>
      <c r="DG6" s="14">
        <f t="shared" ref="DG6:DG69" si="38">INDEX($N$5:$S$8,CF6,CB6)</f>
        <v>5</v>
      </c>
      <c r="DJ6" s="13">
        <v>1021</v>
      </c>
      <c r="DK6" s="13" t="s">
        <v>872</v>
      </c>
      <c r="DL6" s="37"/>
      <c r="DM6" s="37"/>
      <c r="DN6" s="13">
        <v>1</v>
      </c>
      <c r="DO6" s="13" t="s">
        <v>885</v>
      </c>
      <c r="DP6" s="13">
        <v>2</v>
      </c>
      <c r="DQ6" s="13">
        <v>4</v>
      </c>
      <c r="DR6" s="13" t="s">
        <v>845</v>
      </c>
      <c r="DS6" s="13">
        <f>AJ5</f>
        <v>957</v>
      </c>
      <c r="DU6" s="13">
        <v>1</v>
      </c>
      <c r="DV6" s="13" t="s">
        <v>871</v>
      </c>
      <c r="DW6" s="13">
        <v>2</v>
      </c>
      <c r="DX6" s="13">
        <v>4</v>
      </c>
      <c r="DY6" s="13" t="s">
        <v>845</v>
      </c>
      <c r="DZ6" s="13">
        <f>AJ11</f>
        <v>1676</v>
      </c>
      <c r="EC6" s="13">
        <v>2</v>
      </c>
      <c r="ED6" s="13">
        <f t="shared" ref="ED6:ED69" si="39">INT((EC6-1)/6)+1</f>
        <v>1</v>
      </c>
      <c r="EE6" s="13" t="str">
        <f t="shared" ref="EE6:EE69" si="40">INDEX($AN$5:$AN$16,ED6)&amp;"洗练-"&amp;EG6</f>
        <v>20级寄灵人洗练-2</v>
      </c>
      <c r="EF6" s="13">
        <f t="shared" ref="EF6:EF69" si="41">INDEX($AM$5:$AM$16,ED6)</f>
        <v>11</v>
      </c>
      <c r="EG6" s="13">
        <f t="shared" ref="EG6:EG69" si="42">MOD(EC6-1,6)+1</f>
        <v>2</v>
      </c>
      <c r="EH6" s="13">
        <f t="shared" ref="EH6:EH69" si="43">INDEX($AR$2:$AW$2,EG6)</f>
        <v>2500</v>
      </c>
      <c r="EI6" s="13" t="str">
        <f t="shared" ref="EI6:EI69" si="44">INDEX($AR$3:$AW$3,EG6)</f>
        <v>DefExt</v>
      </c>
      <c r="EJ6" s="13">
        <f t="shared" ref="EJ6:EJ69" si="45">INDEX($AR$5:$AW$16,ED6,EG6)</f>
        <v>15</v>
      </c>
    </row>
    <row r="7" spans="1:140" s="20" customFormat="1" ht="16.5" x14ac:dyDescent="0.2">
      <c r="A7" s="13">
        <v>3</v>
      </c>
      <c r="B7" s="13">
        <v>1</v>
      </c>
      <c r="C7" s="13">
        <v>7</v>
      </c>
      <c r="D7" s="13">
        <v>60</v>
      </c>
      <c r="E7" s="13">
        <f>INDEX(新属性投放!J$14:J$35,装备!$C7)*装备!$B$3/$D7</f>
        <v>36.480000000000004</v>
      </c>
      <c r="F7" s="13">
        <f>INDEX(新属性投放!K$14:K$35,装备!$C7)*装备!$B$3/$D7</f>
        <v>17.606666666666669</v>
      </c>
      <c r="G7" s="13">
        <f>INDEX(新属性投放!L$14:L$35,装备!$C7)*装备!$B$3/$D7</f>
        <v>112.77333333333333</v>
      </c>
      <c r="H7" s="13">
        <v>0.25</v>
      </c>
      <c r="I7" s="13">
        <f t="shared" si="15"/>
        <v>547.20000000000005</v>
      </c>
      <c r="J7" s="13">
        <f t="shared" si="16"/>
        <v>264.10000000000002</v>
      </c>
      <c r="K7" s="13">
        <f t="shared" si="17"/>
        <v>1691.6</v>
      </c>
      <c r="L7" s="37"/>
      <c r="M7" s="15" t="s">
        <v>950</v>
      </c>
      <c r="N7" s="13">
        <v>25</v>
      </c>
      <c r="O7" s="13">
        <v>50</v>
      </c>
      <c r="P7" s="13">
        <v>75</v>
      </c>
      <c r="Q7" s="13">
        <v>150</v>
      </c>
      <c r="R7" s="13">
        <v>225</v>
      </c>
      <c r="S7" s="13">
        <v>375</v>
      </c>
      <c r="T7" s="37"/>
      <c r="U7" s="13">
        <v>3</v>
      </c>
      <c r="V7" s="13" t="s">
        <v>691</v>
      </c>
      <c r="W7" s="13"/>
      <c r="X7" s="28">
        <v>0.15</v>
      </c>
      <c r="Y7" s="28">
        <v>0.15</v>
      </c>
      <c r="Z7" s="13">
        <v>2</v>
      </c>
      <c r="AA7" s="13">
        <v>3</v>
      </c>
      <c r="AB7" s="37"/>
      <c r="AC7" s="37"/>
      <c r="AD7" s="13">
        <v>3</v>
      </c>
      <c r="AE7" s="13" t="s">
        <v>705</v>
      </c>
      <c r="AF7" s="28">
        <v>0.8</v>
      </c>
      <c r="AG7" s="37"/>
      <c r="AH7" s="13" t="s">
        <v>836</v>
      </c>
      <c r="AI7" s="14">
        <f>INT(新属性投放!J21*AI3)</f>
        <v>1176</v>
      </c>
      <c r="AJ7" s="14">
        <f>INT(新属性投放!L21*AJ3)</f>
        <v>3608</v>
      </c>
      <c r="AK7" s="37"/>
      <c r="AL7" s="37"/>
      <c r="AM7" s="13">
        <v>13</v>
      </c>
      <c r="AN7" s="13" t="s">
        <v>925</v>
      </c>
      <c r="AO7" s="13">
        <v>4</v>
      </c>
      <c r="AP7" s="13">
        <v>3</v>
      </c>
      <c r="AQ7" s="40">
        <v>0.35</v>
      </c>
      <c r="AR7" s="13">
        <f t="shared" si="18"/>
        <v>128</v>
      </c>
      <c r="AS7" s="13">
        <f t="shared" si="19"/>
        <v>46</v>
      </c>
      <c r="AT7" s="13">
        <f t="shared" si="20"/>
        <v>296</v>
      </c>
      <c r="AU7" s="28">
        <v>0.04</v>
      </c>
      <c r="AV7" s="28">
        <v>0.04</v>
      </c>
      <c r="AW7" s="28">
        <v>0.04</v>
      </c>
      <c r="AX7" s="37"/>
      <c r="AY7" s="13">
        <v>0</v>
      </c>
      <c r="AZ7" s="13">
        <v>0</v>
      </c>
      <c r="BA7" s="13">
        <v>2</v>
      </c>
      <c r="BB7" s="13">
        <v>3</v>
      </c>
      <c r="BC7" s="37"/>
      <c r="BD7" s="13">
        <v>2</v>
      </c>
      <c r="BE7" s="13">
        <v>1</v>
      </c>
      <c r="BF7" s="13">
        <v>20</v>
      </c>
      <c r="BG7" s="13">
        <v>1</v>
      </c>
      <c r="BH7" s="13">
        <v>2</v>
      </c>
      <c r="BI7" s="13">
        <v>2</v>
      </c>
      <c r="BJ7" s="13">
        <f t="shared" ref="BJ7:BJ70" si="46">BI7*10+BG7*1000+BE7*10000+2000000</f>
        <v>2011020</v>
      </c>
      <c r="BK7" s="13" t="s">
        <v>708</v>
      </c>
      <c r="BL7" s="13"/>
      <c r="BM7" s="13">
        <v>8</v>
      </c>
      <c r="BN7" s="13">
        <f>SUM(BM$6:BM7)</f>
        <v>16</v>
      </c>
      <c r="BO7" s="13">
        <v>1</v>
      </c>
      <c r="BP7" s="13">
        <v>2</v>
      </c>
      <c r="BQ7" s="13">
        <v>3</v>
      </c>
      <c r="BR7" s="13">
        <v>4</v>
      </c>
      <c r="BS7" s="13">
        <v>5</v>
      </c>
      <c r="BT7" s="13">
        <v>6</v>
      </c>
      <c r="BU7" s="13">
        <v>7</v>
      </c>
      <c r="BV7" s="13">
        <v>8</v>
      </c>
      <c r="BW7" s="37"/>
      <c r="BY7" s="13">
        <v>3</v>
      </c>
      <c r="BZ7" s="14">
        <f t="shared" si="21"/>
        <v>1</v>
      </c>
      <c r="CA7" s="14">
        <f t="shared" si="22"/>
        <v>1</v>
      </c>
      <c r="CB7" s="14">
        <f t="shared" si="1"/>
        <v>1</v>
      </c>
      <c r="CC7" s="14">
        <f t="shared" si="2"/>
        <v>2011013</v>
      </c>
      <c r="CD7" s="13" t="str">
        <f t="shared" si="3"/>
        <v>20级寄灵人绿色-肩甲</v>
      </c>
      <c r="CE7" s="14">
        <f t="shared" si="4"/>
        <v>1</v>
      </c>
      <c r="CF7" s="14">
        <f t="shared" si="5"/>
        <v>1</v>
      </c>
      <c r="CG7" s="14">
        <f t="shared" si="23"/>
        <v>20</v>
      </c>
      <c r="CH7" s="14">
        <f t="shared" si="24"/>
        <v>20</v>
      </c>
      <c r="CI7" s="14">
        <f t="shared" si="6"/>
        <v>3</v>
      </c>
      <c r="CJ7" s="14" t="str">
        <f t="shared" si="25"/>
        <v/>
      </c>
      <c r="CK7" s="14">
        <f t="shared" si="7"/>
        <v>0</v>
      </c>
      <c r="CL7" s="14">
        <f t="shared" si="8"/>
        <v>4</v>
      </c>
      <c r="CM7" s="14">
        <f t="shared" si="9"/>
        <v>38</v>
      </c>
      <c r="CN7" s="14">
        <f t="shared" si="10"/>
        <v>0</v>
      </c>
      <c r="CO7" s="14">
        <f t="shared" si="11"/>
        <v>1.28</v>
      </c>
      <c r="CP7" s="14">
        <f t="shared" si="12"/>
        <v>10.88</v>
      </c>
      <c r="CQ7" s="14">
        <f t="shared" si="26"/>
        <v>1</v>
      </c>
      <c r="CR7" s="14">
        <f t="shared" si="27"/>
        <v>0</v>
      </c>
      <c r="CS7" s="14">
        <f t="shared" si="28"/>
        <v>11</v>
      </c>
      <c r="CV7" s="14">
        <f t="shared" si="13"/>
        <v>2</v>
      </c>
      <c r="CW7" s="14">
        <f t="shared" si="14"/>
        <v>3</v>
      </c>
      <c r="CX7" s="14" t="str">
        <f t="shared" si="29"/>
        <v>DefExt</v>
      </c>
      <c r="CY7" s="14">
        <f t="shared" si="30"/>
        <v>4</v>
      </c>
      <c r="CZ7" s="14">
        <f t="shared" si="31"/>
        <v>1.28</v>
      </c>
      <c r="DA7" s="14" t="str">
        <f t="shared" si="32"/>
        <v>HPExt</v>
      </c>
      <c r="DB7" s="14">
        <f t="shared" si="33"/>
        <v>38</v>
      </c>
      <c r="DC7" s="14">
        <f t="shared" si="34"/>
        <v>10.88</v>
      </c>
      <c r="DD7" s="14">
        <f t="shared" si="35"/>
        <v>1</v>
      </c>
      <c r="DE7" s="14">
        <f t="shared" si="36"/>
        <v>0</v>
      </c>
      <c r="DF7" s="14">
        <f t="shared" si="37"/>
        <v>11</v>
      </c>
      <c r="DG7" s="14">
        <f t="shared" si="38"/>
        <v>5</v>
      </c>
      <c r="DJ7" s="13">
        <v>1022</v>
      </c>
      <c r="DK7" s="13" t="s">
        <v>873</v>
      </c>
      <c r="DL7" s="37"/>
      <c r="DM7" s="37"/>
      <c r="DN7" s="13">
        <v>1</v>
      </c>
      <c r="DO7" s="13" t="s">
        <v>885</v>
      </c>
      <c r="DP7" s="13">
        <v>3</v>
      </c>
      <c r="DQ7" s="13">
        <v>6</v>
      </c>
      <c r="DR7" s="13" t="s">
        <v>848</v>
      </c>
      <c r="DS7" s="13">
        <v>0.7</v>
      </c>
      <c r="DU7" s="13">
        <v>1</v>
      </c>
      <c r="DV7" s="13" t="s">
        <v>871</v>
      </c>
      <c r="DW7" s="13">
        <v>3</v>
      </c>
      <c r="DX7" s="13">
        <v>6</v>
      </c>
      <c r="DY7" s="13" t="s">
        <v>848</v>
      </c>
      <c r="DZ7" s="13">
        <v>0.7</v>
      </c>
      <c r="EC7" s="13">
        <v>3</v>
      </c>
      <c r="ED7" s="13">
        <f t="shared" si="39"/>
        <v>1</v>
      </c>
      <c r="EE7" s="13" t="str">
        <f t="shared" si="40"/>
        <v>20级寄灵人洗练-3</v>
      </c>
      <c r="EF7" s="13">
        <f t="shared" si="41"/>
        <v>11</v>
      </c>
      <c r="EG7" s="13">
        <f t="shared" si="42"/>
        <v>3</v>
      </c>
      <c r="EH7" s="13">
        <f t="shared" si="43"/>
        <v>2600</v>
      </c>
      <c r="EI7" s="13" t="str">
        <f t="shared" si="44"/>
        <v>HPExt</v>
      </c>
      <c r="EJ7" s="13">
        <f t="shared" si="45"/>
        <v>63</v>
      </c>
    </row>
    <row r="8" spans="1:140" s="20" customFormat="1" ht="16.5" x14ac:dyDescent="0.2">
      <c r="A8" s="13">
        <v>4</v>
      </c>
      <c r="B8" s="13">
        <v>1</v>
      </c>
      <c r="C8" s="13">
        <v>9</v>
      </c>
      <c r="D8" s="13">
        <v>80</v>
      </c>
      <c r="E8" s="13">
        <f>INDEX(新属性投放!J$14:J$35,装备!$C8)*装备!$B$3/$D8</f>
        <v>48.507500000000007</v>
      </c>
      <c r="F8" s="13">
        <f>INDEX(新属性投放!K$14:K$35,装备!$C8)*装备!$B$3/$D8</f>
        <v>23.778750000000002</v>
      </c>
      <c r="G8" s="13">
        <f>INDEX(新属性投放!L$14:L$35,装备!$C8)*装备!$B$3/$D8</f>
        <v>148.02249999999998</v>
      </c>
      <c r="H8" s="13">
        <v>0.25</v>
      </c>
      <c r="I8" s="13">
        <f t="shared" si="15"/>
        <v>970.15000000000009</v>
      </c>
      <c r="J8" s="13">
        <f t="shared" si="16"/>
        <v>475.57500000000005</v>
      </c>
      <c r="K8" s="13">
        <f t="shared" si="17"/>
        <v>2960.45</v>
      </c>
      <c r="L8" s="37"/>
      <c r="M8" s="15" t="s">
        <v>951</v>
      </c>
      <c r="N8" s="13">
        <v>50</v>
      </c>
      <c r="O8" s="13">
        <v>100</v>
      </c>
      <c r="P8" s="13">
        <v>150</v>
      </c>
      <c r="Q8" s="13">
        <v>300</v>
      </c>
      <c r="R8" s="13">
        <v>450</v>
      </c>
      <c r="S8" s="13">
        <v>750</v>
      </c>
      <c r="T8" s="37"/>
      <c r="U8" s="13">
        <v>4</v>
      </c>
      <c r="V8" s="13" t="s">
        <v>795</v>
      </c>
      <c r="W8" s="13"/>
      <c r="X8" s="28">
        <v>0.3</v>
      </c>
      <c r="Y8" s="13"/>
      <c r="Z8" s="13">
        <v>2</v>
      </c>
      <c r="AA8" s="13"/>
      <c r="AB8" s="37"/>
      <c r="AC8" s="37"/>
      <c r="AD8" s="13">
        <v>4</v>
      </c>
      <c r="AE8" s="13" t="s">
        <v>813</v>
      </c>
      <c r="AF8" s="28">
        <v>1</v>
      </c>
      <c r="AG8" s="37"/>
      <c r="AH8" s="13" t="s">
        <v>837</v>
      </c>
      <c r="AI8" s="14">
        <f>INT(新属性投放!J23*AI3)</f>
        <v>1796</v>
      </c>
      <c r="AJ8" s="14">
        <f>INT(新属性投放!L23*AJ3)</f>
        <v>5469</v>
      </c>
      <c r="AK8" s="37"/>
      <c r="AL8" s="37"/>
      <c r="AM8" s="13">
        <v>14</v>
      </c>
      <c r="AN8" s="13" t="s">
        <v>926</v>
      </c>
      <c r="AO8" s="13">
        <v>4</v>
      </c>
      <c r="AP8" s="13">
        <v>4</v>
      </c>
      <c r="AQ8" s="40">
        <v>0.35</v>
      </c>
      <c r="AR8" s="13">
        <f t="shared" si="18"/>
        <v>170</v>
      </c>
      <c r="AS8" s="13">
        <f t="shared" si="19"/>
        <v>83</v>
      </c>
      <c r="AT8" s="13">
        <f t="shared" si="20"/>
        <v>518</v>
      </c>
      <c r="AU8" s="28">
        <v>0.04</v>
      </c>
      <c r="AV8" s="28">
        <v>0.04</v>
      </c>
      <c r="AW8" s="28">
        <v>0.04</v>
      </c>
      <c r="AX8" s="37"/>
      <c r="AY8" s="13">
        <v>0</v>
      </c>
      <c r="AZ8" s="13">
        <v>0</v>
      </c>
      <c r="BA8" s="13">
        <v>3</v>
      </c>
      <c r="BB8" s="13">
        <v>4</v>
      </c>
      <c r="BC8" s="37"/>
      <c r="BD8" s="13">
        <v>3</v>
      </c>
      <c r="BE8" s="13">
        <v>1</v>
      </c>
      <c r="BF8" s="13">
        <v>20</v>
      </c>
      <c r="BG8" s="13">
        <v>2</v>
      </c>
      <c r="BH8" s="13">
        <v>1</v>
      </c>
      <c r="BI8" s="13">
        <v>1</v>
      </c>
      <c r="BJ8" s="13">
        <f t="shared" si="46"/>
        <v>2012010</v>
      </c>
      <c r="BK8" s="13" t="s">
        <v>709</v>
      </c>
      <c r="BL8" s="13"/>
      <c r="BM8" s="13">
        <v>8</v>
      </c>
      <c r="BN8" s="13">
        <f>SUM(BM$6:BM8)</f>
        <v>24</v>
      </c>
      <c r="BO8" s="13">
        <v>1</v>
      </c>
      <c r="BP8" s="13">
        <v>2</v>
      </c>
      <c r="BQ8" s="13">
        <v>3</v>
      </c>
      <c r="BR8" s="13">
        <v>4</v>
      </c>
      <c r="BS8" s="13">
        <v>5</v>
      </c>
      <c r="BT8" s="13">
        <v>6</v>
      </c>
      <c r="BU8" s="13">
        <v>7</v>
      </c>
      <c r="BV8" s="13">
        <v>8</v>
      </c>
      <c r="BW8" s="37"/>
      <c r="BY8" s="13">
        <v>4</v>
      </c>
      <c r="BZ8" s="14">
        <f t="shared" si="21"/>
        <v>1</v>
      </c>
      <c r="CA8" s="14">
        <f t="shared" si="22"/>
        <v>1</v>
      </c>
      <c r="CB8" s="14">
        <f t="shared" si="1"/>
        <v>1</v>
      </c>
      <c r="CC8" s="14">
        <f t="shared" si="2"/>
        <v>2011014</v>
      </c>
      <c r="CD8" s="13" t="str">
        <f t="shared" si="3"/>
        <v>20级寄灵人绿色-衣服</v>
      </c>
      <c r="CE8" s="14">
        <f t="shared" si="4"/>
        <v>1</v>
      </c>
      <c r="CF8" s="14">
        <f t="shared" si="5"/>
        <v>1</v>
      </c>
      <c r="CG8" s="14">
        <f t="shared" si="23"/>
        <v>20</v>
      </c>
      <c r="CH8" s="14">
        <f t="shared" si="24"/>
        <v>20</v>
      </c>
      <c r="CI8" s="14">
        <f t="shared" si="6"/>
        <v>4</v>
      </c>
      <c r="CJ8" s="14" t="str">
        <f t="shared" si="25"/>
        <v/>
      </c>
      <c r="CK8" s="14">
        <f t="shared" si="7"/>
        <v>0</v>
      </c>
      <c r="CL8" s="14">
        <f t="shared" si="8"/>
        <v>9</v>
      </c>
      <c r="CM8" s="14">
        <f t="shared" si="9"/>
        <v>0</v>
      </c>
      <c r="CN8" s="14">
        <f t="shared" si="10"/>
        <v>0</v>
      </c>
      <c r="CO8" s="14">
        <f t="shared" si="11"/>
        <v>2.56</v>
      </c>
      <c r="CP8" s="14">
        <f t="shared" si="12"/>
        <v>0</v>
      </c>
      <c r="CQ8" s="14">
        <f t="shared" si="26"/>
        <v>1</v>
      </c>
      <c r="CR8" s="14">
        <f t="shared" si="27"/>
        <v>0</v>
      </c>
      <c r="CS8" s="14">
        <f t="shared" si="28"/>
        <v>11</v>
      </c>
      <c r="CV8" s="14">
        <f t="shared" si="13"/>
        <v>2</v>
      </c>
      <c r="CW8" s="14">
        <f t="shared" si="14"/>
        <v>0</v>
      </c>
      <c r="CX8" s="14" t="str">
        <f t="shared" si="29"/>
        <v>DefExt</v>
      </c>
      <c r="CY8" s="14">
        <f t="shared" si="30"/>
        <v>9</v>
      </c>
      <c r="CZ8" s="14">
        <f t="shared" si="31"/>
        <v>2.56</v>
      </c>
      <c r="DA8" s="14" t="str">
        <f t="shared" si="32"/>
        <v/>
      </c>
      <c r="DB8" s="14" t="str">
        <f t="shared" si="33"/>
        <v/>
      </c>
      <c r="DC8" s="14" t="str">
        <f t="shared" si="34"/>
        <v/>
      </c>
      <c r="DD8" s="14">
        <f t="shared" si="35"/>
        <v>1</v>
      </c>
      <c r="DE8" s="14">
        <f t="shared" si="36"/>
        <v>0</v>
      </c>
      <c r="DF8" s="14">
        <f t="shared" si="37"/>
        <v>11</v>
      </c>
      <c r="DG8" s="14">
        <f t="shared" si="38"/>
        <v>5</v>
      </c>
      <c r="DJ8" s="13">
        <v>1031</v>
      </c>
      <c r="DK8" s="13" t="s">
        <v>874</v>
      </c>
      <c r="DL8" s="37"/>
      <c r="DM8" s="37"/>
      <c r="DN8" s="13">
        <v>1</v>
      </c>
      <c r="DO8" s="13" t="s">
        <v>885</v>
      </c>
      <c r="DP8" s="13">
        <v>4</v>
      </c>
      <c r="DQ8" s="13">
        <v>8</v>
      </c>
      <c r="DR8" s="13" t="s">
        <v>847</v>
      </c>
      <c r="DS8" s="13">
        <v>0.7</v>
      </c>
      <c r="DU8" s="13">
        <v>1</v>
      </c>
      <c r="DV8" s="13" t="s">
        <v>871</v>
      </c>
      <c r="DW8" s="13">
        <v>4</v>
      </c>
      <c r="DX8" s="13">
        <v>8</v>
      </c>
      <c r="DY8" s="13" t="s">
        <v>847</v>
      </c>
      <c r="DZ8" s="13">
        <v>0.7</v>
      </c>
      <c r="EC8" s="13">
        <v>4</v>
      </c>
      <c r="ED8" s="13">
        <f t="shared" si="39"/>
        <v>1</v>
      </c>
      <c r="EE8" s="13" t="str">
        <f t="shared" si="40"/>
        <v>20级寄灵人洗练-4</v>
      </c>
      <c r="EF8" s="13">
        <f t="shared" si="41"/>
        <v>11</v>
      </c>
      <c r="EG8" s="13">
        <f t="shared" si="42"/>
        <v>4</v>
      </c>
      <c r="EH8" s="13">
        <f t="shared" si="43"/>
        <v>800</v>
      </c>
      <c r="EI8" s="13" t="str">
        <f t="shared" si="44"/>
        <v>AtkRate</v>
      </c>
      <c r="EJ8" s="13">
        <f t="shared" si="45"/>
        <v>0.04</v>
      </c>
    </row>
    <row r="9" spans="1:140" s="20" customFormat="1" ht="16.5" x14ac:dyDescent="0.2">
      <c r="A9" s="13">
        <v>5</v>
      </c>
      <c r="B9" s="13">
        <v>1</v>
      </c>
      <c r="C9" s="13">
        <v>13</v>
      </c>
      <c r="D9" s="13">
        <v>100</v>
      </c>
      <c r="E9" s="13">
        <f>INDEX(新属性投放!J$14:J$35,装备!$C9)*装备!$B$3/$D9</f>
        <v>69.589500000000001</v>
      </c>
      <c r="F9" s="13">
        <f>INDEX(新属性投放!K$14:K$35,装备!$C9)*装备!$B$3/$D9</f>
        <v>34.419750000000001</v>
      </c>
      <c r="G9" s="13">
        <f>INDEX(新属性投放!L$14:L$35,装备!$C9)*装备!$B$3/$D9</f>
        <v>210.76849999999999</v>
      </c>
      <c r="H9" s="13">
        <v>0.2</v>
      </c>
      <c r="I9" s="13">
        <f t="shared" si="15"/>
        <v>1391.7900000000002</v>
      </c>
      <c r="J9" s="13">
        <f t="shared" si="16"/>
        <v>688.3950000000001</v>
      </c>
      <c r="K9" s="13">
        <f t="shared" si="17"/>
        <v>4215.37</v>
      </c>
      <c r="L9" s="37"/>
      <c r="M9" s="15" t="s">
        <v>952</v>
      </c>
      <c r="N9" s="13">
        <v>175</v>
      </c>
      <c r="O9" s="13">
        <v>350</v>
      </c>
      <c r="P9" s="13">
        <v>525</v>
      </c>
      <c r="Q9" s="13">
        <v>1000</v>
      </c>
      <c r="R9" s="13">
        <v>1500</v>
      </c>
      <c r="S9" s="13">
        <v>2500</v>
      </c>
      <c r="T9" s="37"/>
      <c r="U9" s="13">
        <v>5</v>
      </c>
      <c r="V9" s="13" t="s">
        <v>796</v>
      </c>
      <c r="W9" s="13"/>
      <c r="X9" s="13"/>
      <c r="Y9" s="28">
        <v>0.3</v>
      </c>
      <c r="Z9" s="13">
        <v>3</v>
      </c>
      <c r="AA9" s="13"/>
      <c r="AB9" s="37"/>
      <c r="AC9" s="37"/>
      <c r="AD9" s="37"/>
      <c r="AE9" s="37"/>
      <c r="AF9" s="37"/>
      <c r="AG9" s="37"/>
      <c r="AH9" s="13" t="s">
        <v>838</v>
      </c>
      <c r="AI9" s="14">
        <f>INT(新属性投放!J27*AI3)</f>
        <v>3218</v>
      </c>
      <c r="AJ9" s="14">
        <f>INT(新属性投放!L27*AJ3)</f>
        <v>9734</v>
      </c>
      <c r="AK9" s="37"/>
      <c r="AL9" s="37"/>
      <c r="AM9" s="13">
        <v>15</v>
      </c>
      <c r="AN9" s="13" t="s">
        <v>927</v>
      </c>
      <c r="AO9" s="13">
        <v>6</v>
      </c>
      <c r="AP9" s="13">
        <v>4</v>
      </c>
      <c r="AQ9" s="40">
        <v>0.35</v>
      </c>
      <c r="AR9" s="13">
        <f t="shared" si="18"/>
        <v>365</v>
      </c>
      <c r="AS9" s="13">
        <f t="shared" si="19"/>
        <v>120</v>
      </c>
      <c r="AT9" s="13">
        <f t="shared" si="20"/>
        <v>922</v>
      </c>
      <c r="AU9" s="28">
        <v>0.04</v>
      </c>
      <c r="AV9" s="28">
        <v>0.04</v>
      </c>
      <c r="AW9" s="28">
        <v>0.04</v>
      </c>
      <c r="AX9" s="37"/>
      <c r="AY9" s="13">
        <v>0</v>
      </c>
      <c r="AZ9" s="13">
        <v>0</v>
      </c>
      <c r="BA9" s="13">
        <v>3</v>
      </c>
      <c r="BB9" s="13">
        <v>4</v>
      </c>
      <c r="BC9" s="37"/>
      <c r="BD9" s="13">
        <v>4</v>
      </c>
      <c r="BE9" s="13">
        <v>1</v>
      </c>
      <c r="BF9" s="13">
        <v>20</v>
      </c>
      <c r="BG9" s="13">
        <v>2</v>
      </c>
      <c r="BH9" s="13">
        <v>2</v>
      </c>
      <c r="BI9" s="13">
        <v>2</v>
      </c>
      <c r="BJ9" s="13">
        <f t="shared" si="46"/>
        <v>2012020</v>
      </c>
      <c r="BK9" s="13" t="s">
        <v>710</v>
      </c>
      <c r="BL9" s="13"/>
      <c r="BM9" s="13">
        <v>8</v>
      </c>
      <c r="BN9" s="13">
        <f>SUM(BM$6:BM9)</f>
        <v>32</v>
      </c>
      <c r="BO9" s="13">
        <v>1</v>
      </c>
      <c r="BP9" s="13">
        <v>2</v>
      </c>
      <c r="BQ9" s="13">
        <v>3</v>
      </c>
      <c r="BR9" s="13">
        <v>4</v>
      </c>
      <c r="BS9" s="13">
        <v>5</v>
      </c>
      <c r="BT9" s="13">
        <v>6</v>
      </c>
      <c r="BU9" s="13">
        <v>7</v>
      </c>
      <c r="BV9" s="13">
        <v>8</v>
      </c>
      <c r="BW9" s="37"/>
      <c r="BY9" s="13">
        <v>5</v>
      </c>
      <c r="BZ9" s="14">
        <f t="shared" si="21"/>
        <v>1</v>
      </c>
      <c r="CA9" s="14">
        <f t="shared" si="22"/>
        <v>1</v>
      </c>
      <c r="CB9" s="14">
        <f t="shared" si="1"/>
        <v>1</v>
      </c>
      <c r="CC9" s="14">
        <f t="shared" si="2"/>
        <v>2011015</v>
      </c>
      <c r="CD9" s="13" t="str">
        <f t="shared" si="3"/>
        <v>20级寄灵人绿色-鞋子</v>
      </c>
      <c r="CE9" s="14">
        <f t="shared" si="4"/>
        <v>1</v>
      </c>
      <c r="CF9" s="14">
        <f t="shared" si="5"/>
        <v>1</v>
      </c>
      <c r="CG9" s="14">
        <f t="shared" si="23"/>
        <v>20</v>
      </c>
      <c r="CH9" s="14">
        <f t="shared" si="24"/>
        <v>20</v>
      </c>
      <c r="CI9" s="14">
        <f t="shared" si="6"/>
        <v>5</v>
      </c>
      <c r="CJ9" s="14" t="str">
        <f t="shared" si="25"/>
        <v/>
      </c>
      <c r="CK9" s="14">
        <f t="shared" si="7"/>
        <v>0</v>
      </c>
      <c r="CL9" s="14">
        <f t="shared" si="8"/>
        <v>0</v>
      </c>
      <c r="CM9" s="14">
        <f t="shared" si="9"/>
        <v>76</v>
      </c>
      <c r="CN9" s="14">
        <f t="shared" si="10"/>
        <v>0</v>
      </c>
      <c r="CO9" s="14">
        <f t="shared" si="11"/>
        <v>0</v>
      </c>
      <c r="CP9" s="14">
        <f t="shared" si="12"/>
        <v>21.75</v>
      </c>
      <c r="CQ9" s="14">
        <f t="shared" si="26"/>
        <v>1</v>
      </c>
      <c r="CR9" s="14">
        <f t="shared" si="27"/>
        <v>0</v>
      </c>
      <c r="CS9" s="14">
        <f t="shared" si="28"/>
        <v>11</v>
      </c>
      <c r="CV9" s="14">
        <f t="shared" si="13"/>
        <v>3</v>
      </c>
      <c r="CW9" s="14">
        <f t="shared" si="14"/>
        <v>0</v>
      </c>
      <c r="CX9" s="14" t="str">
        <f t="shared" si="29"/>
        <v>HPExt</v>
      </c>
      <c r="CY9" s="14">
        <f t="shared" si="30"/>
        <v>76</v>
      </c>
      <c r="CZ9" s="14">
        <f t="shared" si="31"/>
        <v>21.75</v>
      </c>
      <c r="DA9" s="14" t="str">
        <f t="shared" si="32"/>
        <v/>
      </c>
      <c r="DB9" s="14" t="str">
        <f t="shared" si="33"/>
        <v/>
      </c>
      <c r="DC9" s="14" t="str">
        <f t="shared" si="34"/>
        <v/>
      </c>
      <c r="DD9" s="14">
        <f t="shared" si="35"/>
        <v>1</v>
      </c>
      <c r="DE9" s="14">
        <f t="shared" si="36"/>
        <v>0</v>
      </c>
      <c r="DF9" s="14">
        <f t="shared" si="37"/>
        <v>11</v>
      </c>
      <c r="DG9" s="14">
        <f t="shared" si="38"/>
        <v>5</v>
      </c>
      <c r="DJ9" s="13">
        <v>1032</v>
      </c>
      <c r="DK9" s="13" t="s">
        <v>875</v>
      </c>
      <c r="DL9" s="37"/>
      <c r="DM9" s="37"/>
      <c r="DN9" s="13">
        <v>2</v>
      </c>
      <c r="DO9" s="13" t="s">
        <v>886</v>
      </c>
      <c r="DP9" s="13">
        <v>1</v>
      </c>
      <c r="DQ9" s="13">
        <v>2</v>
      </c>
      <c r="DR9" s="13" t="s">
        <v>844</v>
      </c>
      <c r="DS9" s="13">
        <f>AI6</f>
        <v>631</v>
      </c>
      <c r="DU9" s="13">
        <v>2</v>
      </c>
      <c r="DV9" s="13" t="s">
        <v>872</v>
      </c>
      <c r="DW9" s="13">
        <v>1</v>
      </c>
      <c r="DX9" s="13">
        <v>2</v>
      </c>
      <c r="DY9" s="13" t="s">
        <v>844</v>
      </c>
      <c r="DZ9" s="13">
        <f>AI12</f>
        <v>737</v>
      </c>
      <c r="EC9" s="13">
        <v>5</v>
      </c>
      <c r="ED9" s="13">
        <f t="shared" si="39"/>
        <v>1</v>
      </c>
      <c r="EE9" s="13" t="str">
        <f t="shared" si="40"/>
        <v>20级寄灵人洗练-5</v>
      </c>
      <c r="EF9" s="13">
        <f t="shared" si="41"/>
        <v>11</v>
      </c>
      <c r="EG9" s="13">
        <f t="shared" si="42"/>
        <v>5</v>
      </c>
      <c r="EH9" s="13">
        <f t="shared" si="43"/>
        <v>800</v>
      </c>
      <c r="EI9" s="13" t="str">
        <f t="shared" si="44"/>
        <v>AtkRate</v>
      </c>
      <c r="EJ9" s="13">
        <f t="shared" si="45"/>
        <v>0.04</v>
      </c>
    </row>
    <row r="10" spans="1:140" s="20" customFormat="1" ht="16.5" x14ac:dyDescent="0.2">
      <c r="A10" s="13">
        <v>6</v>
      </c>
      <c r="B10" s="13">
        <v>1</v>
      </c>
      <c r="C10" s="13">
        <v>17</v>
      </c>
      <c r="D10" s="13">
        <v>120</v>
      </c>
      <c r="E10" s="13">
        <f>INDEX(新属性投放!J$14:J$35,装备!$C10)*装备!$B$3/$D10</f>
        <v>103.64083333333335</v>
      </c>
      <c r="F10" s="13">
        <f>INDEX(新属性投放!K$14:K$35,装备!$C10)*装备!$B$3/$D10</f>
        <v>51.512083333333337</v>
      </c>
      <c r="G10" s="13">
        <f>INDEX(新属性投放!L$14:L$35,装备!$C10)*装备!$B$3/$D10</f>
        <v>312.58916666666664</v>
      </c>
      <c r="H10" s="13">
        <v>0.2</v>
      </c>
      <c r="I10" s="13">
        <f t="shared" si="15"/>
        <v>2487.3800000000006</v>
      </c>
      <c r="J10" s="13">
        <f t="shared" si="16"/>
        <v>1236.2900000000002</v>
      </c>
      <c r="K10" s="13">
        <f t="shared" si="17"/>
        <v>7502.1399999999994</v>
      </c>
      <c r="L10" s="37"/>
      <c r="M10" s="37"/>
      <c r="N10" s="37"/>
      <c r="O10" s="37"/>
      <c r="P10" s="37"/>
      <c r="Q10" s="37"/>
      <c r="R10" s="37"/>
      <c r="S10" s="37"/>
      <c r="T10" s="37"/>
      <c r="U10" s="13">
        <v>6</v>
      </c>
      <c r="V10" s="13" t="s">
        <v>797</v>
      </c>
      <c r="W10" s="13"/>
      <c r="X10" s="13"/>
      <c r="Y10" s="28">
        <v>0.3</v>
      </c>
      <c r="Z10" s="13">
        <v>3</v>
      </c>
      <c r="AA10" s="13"/>
      <c r="AB10" s="37"/>
      <c r="AC10" s="37"/>
      <c r="AD10" s="37"/>
      <c r="AE10" s="37"/>
      <c r="AF10" s="37"/>
      <c r="AG10" s="37"/>
      <c r="AH10" s="13" t="s">
        <v>839</v>
      </c>
      <c r="AI10" s="14">
        <f>INT(新属性投放!J31*AI3)</f>
        <v>5752</v>
      </c>
      <c r="AJ10" s="14">
        <f>INT(新属性投放!L31*AJ3)</f>
        <v>17336</v>
      </c>
      <c r="AK10" s="37"/>
      <c r="AL10" s="37"/>
      <c r="AM10" s="13">
        <v>16</v>
      </c>
      <c r="AN10" s="13" t="s">
        <v>928</v>
      </c>
      <c r="AO10" s="13">
        <v>6</v>
      </c>
      <c r="AP10" s="13">
        <v>5</v>
      </c>
      <c r="AQ10" s="40">
        <v>0.35</v>
      </c>
      <c r="AR10" s="13">
        <f t="shared" si="18"/>
        <v>544</v>
      </c>
      <c r="AS10" s="13">
        <f t="shared" si="19"/>
        <v>225</v>
      </c>
      <c r="AT10" s="13">
        <f t="shared" si="20"/>
        <v>1641</v>
      </c>
      <c r="AU10" s="28">
        <v>0.04</v>
      </c>
      <c r="AV10" s="28">
        <v>0.04</v>
      </c>
      <c r="AW10" s="28">
        <v>0.04</v>
      </c>
      <c r="AX10" s="37"/>
      <c r="AY10" s="13">
        <v>0</v>
      </c>
      <c r="AZ10" s="13">
        <v>0</v>
      </c>
      <c r="BA10" s="13">
        <v>4</v>
      </c>
      <c r="BB10" s="13">
        <v>5</v>
      </c>
      <c r="BC10" s="37"/>
      <c r="BD10" s="13">
        <v>5</v>
      </c>
      <c r="BE10" s="13">
        <v>1</v>
      </c>
      <c r="BF10" s="13">
        <v>20</v>
      </c>
      <c r="BG10" s="13">
        <v>3</v>
      </c>
      <c r="BH10" s="13">
        <v>1</v>
      </c>
      <c r="BI10" s="13">
        <v>1</v>
      </c>
      <c r="BJ10" s="13">
        <f t="shared" si="46"/>
        <v>2013010</v>
      </c>
      <c r="BK10" s="13" t="s">
        <v>711</v>
      </c>
      <c r="BL10" s="13"/>
      <c r="BM10" s="13">
        <v>8</v>
      </c>
      <c r="BN10" s="13">
        <f>SUM(BM$6:BM10)</f>
        <v>40</v>
      </c>
      <c r="BO10" s="13">
        <v>1</v>
      </c>
      <c r="BP10" s="13">
        <v>2</v>
      </c>
      <c r="BQ10" s="13">
        <v>3</v>
      </c>
      <c r="BR10" s="13">
        <v>4</v>
      </c>
      <c r="BS10" s="13">
        <v>5</v>
      </c>
      <c r="BT10" s="13">
        <v>6</v>
      </c>
      <c r="BU10" s="13">
        <v>7</v>
      </c>
      <c r="BV10" s="13">
        <v>8</v>
      </c>
      <c r="BW10" s="37"/>
      <c r="BY10" s="13">
        <v>6</v>
      </c>
      <c r="BZ10" s="14">
        <f t="shared" si="21"/>
        <v>1</v>
      </c>
      <c r="CA10" s="14">
        <f t="shared" si="22"/>
        <v>1</v>
      </c>
      <c r="CB10" s="14">
        <f t="shared" si="1"/>
        <v>1</v>
      </c>
      <c r="CC10" s="14">
        <f t="shared" si="2"/>
        <v>2011016</v>
      </c>
      <c r="CD10" s="13" t="str">
        <f t="shared" si="3"/>
        <v>20级寄灵人绿色-护手</v>
      </c>
      <c r="CE10" s="14">
        <f t="shared" si="4"/>
        <v>1</v>
      </c>
      <c r="CF10" s="14">
        <f t="shared" si="5"/>
        <v>1</v>
      </c>
      <c r="CG10" s="14">
        <f t="shared" si="23"/>
        <v>20</v>
      </c>
      <c r="CH10" s="14">
        <f t="shared" si="24"/>
        <v>20</v>
      </c>
      <c r="CI10" s="14">
        <f t="shared" si="6"/>
        <v>6</v>
      </c>
      <c r="CJ10" s="14" t="str">
        <f t="shared" si="25"/>
        <v/>
      </c>
      <c r="CK10" s="14">
        <f t="shared" si="7"/>
        <v>0</v>
      </c>
      <c r="CL10" s="14">
        <f t="shared" si="8"/>
        <v>0</v>
      </c>
      <c r="CM10" s="14">
        <f t="shared" si="9"/>
        <v>76</v>
      </c>
      <c r="CN10" s="14">
        <f t="shared" si="10"/>
        <v>0</v>
      </c>
      <c r="CO10" s="14">
        <f t="shared" si="11"/>
        <v>0</v>
      </c>
      <c r="CP10" s="14">
        <f t="shared" si="12"/>
        <v>21.75</v>
      </c>
      <c r="CQ10" s="14">
        <f t="shared" si="26"/>
        <v>1</v>
      </c>
      <c r="CR10" s="14">
        <f t="shared" si="27"/>
        <v>0</v>
      </c>
      <c r="CS10" s="14">
        <f t="shared" si="28"/>
        <v>11</v>
      </c>
      <c r="CV10" s="14">
        <f t="shared" si="13"/>
        <v>3</v>
      </c>
      <c r="CW10" s="14">
        <f t="shared" si="14"/>
        <v>0</v>
      </c>
      <c r="CX10" s="14" t="str">
        <f t="shared" si="29"/>
        <v>HPExt</v>
      </c>
      <c r="CY10" s="14">
        <f t="shared" si="30"/>
        <v>76</v>
      </c>
      <c r="CZ10" s="14">
        <f t="shared" si="31"/>
        <v>21.75</v>
      </c>
      <c r="DA10" s="14" t="str">
        <f t="shared" si="32"/>
        <v/>
      </c>
      <c r="DB10" s="14" t="str">
        <f t="shared" si="33"/>
        <v/>
      </c>
      <c r="DC10" s="14" t="str">
        <f t="shared" si="34"/>
        <v/>
      </c>
      <c r="DD10" s="14">
        <f t="shared" si="35"/>
        <v>1</v>
      </c>
      <c r="DE10" s="14">
        <f t="shared" si="36"/>
        <v>0</v>
      </c>
      <c r="DF10" s="14">
        <f t="shared" si="37"/>
        <v>11</v>
      </c>
      <c r="DG10" s="14">
        <f t="shared" si="38"/>
        <v>5</v>
      </c>
      <c r="DJ10" s="13">
        <v>1041</v>
      </c>
      <c r="DK10" s="13" t="s">
        <v>876</v>
      </c>
      <c r="DL10" s="37"/>
      <c r="DM10" s="37"/>
      <c r="DN10" s="13">
        <v>2</v>
      </c>
      <c r="DO10" s="13" t="s">
        <v>886</v>
      </c>
      <c r="DP10" s="13">
        <v>2</v>
      </c>
      <c r="DQ10" s="13">
        <v>4</v>
      </c>
      <c r="DR10" s="13" t="s">
        <v>846</v>
      </c>
      <c r="DS10" s="13">
        <v>0.8</v>
      </c>
      <c r="DU10" s="13">
        <v>2</v>
      </c>
      <c r="DV10" s="13" t="s">
        <v>872</v>
      </c>
      <c r="DW10" s="13">
        <v>2</v>
      </c>
      <c r="DX10" s="13">
        <v>4</v>
      </c>
      <c r="DY10" s="13" t="s">
        <v>846</v>
      </c>
      <c r="DZ10" s="13">
        <v>0.8</v>
      </c>
      <c r="EC10" s="13">
        <v>6</v>
      </c>
      <c r="ED10" s="13">
        <f t="shared" si="39"/>
        <v>1</v>
      </c>
      <c r="EE10" s="13" t="str">
        <f t="shared" si="40"/>
        <v>20级寄灵人洗练-6</v>
      </c>
      <c r="EF10" s="13">
        <f t="shared" si="41"/>
        <v>11</v>
      </c>
      <c r="EG10" s="13">
        <f t="shared" si="42"/>
        <v>6</v>
      </c>
      <c r="EH10" s="13">
        <f t="shared" si="43"/>
        <v>800</v>
      </c>
      <c r="EI10" s="13" t="str">
        <f t="shared" si="44"/>
        <v>AtkRate</v>
      </c>
      <c r="EJ10" s="13">
        <f t="shared" si="45"/>
        <v>0.04</v>
      </c>
    </row>
    <row r="11" spans="1:140" s="20" customFormat="1" ht="16.5" x14ac:dyDescent="0.2">
      <c r="A11" s="13">
        <v>1</v>
      </c>
      <c r="B11" s="13">
        <v>2</v>
      </c>
      <c r="C11" s="13">
        <v>3</v>
      </c>
      <c r="D11" s="13">
        <v>20</v>
      </c>
      <c r="E11" s="13">
        <f>(INDEX(新属性投放!J$42:J$63,装备!$C11)-40)*装备!$B$3/$D11</f>
        <v>32.085000000000001</v>
      </c>
      <c r="F11" s="13">
        <f>INDEX(新属性投放!K$42:K$63,装备!$C11)*装备!$B$3/$D11</f>
        <v>13.1675</v>
      </c>
      <c r="G11" s="13">
        <f>INDEX(新属性投放!L$42:L$63,装备!$C11)*装备!$B$3/$D11</f>
        <v>124.7</v>
      </c>
      <c r="H11" s="13">
        <v>0.35</v>
      </c>
      <c r="I11" s="13">
        <f t="shared" si="15"/>
        <v>224.59499999999997</v>
      </c>
      <c r="J11" s="13">
        <f t="shared" si="16"/>
        <v>92.172499999999999</v>
      </c>
      <c r="K11" s="13">
        <f t="shared" si="17"/>
        <v>872.89999999999986</v>
      </c>
      <c r="L11" s="37"/>
      <c r="M11" s="37"/>
      <c r="N11" s="37"/>
      <c r="O11" s="37"/>
      <c r="P11" s="37"/>
      <c r="Q11" s="37"/>
      <c r="R11" s="37"/>
      <c r="S11" s="37"/>
      <c r="T11" s="37"/>
      <c r="U11" s="13">
        <v>7</v>
      </c>
      <c r="V11" s="13" t="s">
        <v>798</v>
      </c>
      <c r="W11" s="28">
        <v>0.2</v>
      </c>
      <c r="X11" s="28">
        <v>0.25</v>
      </c>
      <c r="Y11" s="13"/>
      <c r="Z11" s="13">
        <v>1</v>
      </c>
      <c r="AA11" s="13">
        <v>2</v>
      </c>
      <c r="AB11" s="37"/>
      <c r="AC11" s="37"/>
      <c r="AD11" s="37"/>
      <c r="AE11" s="37"/>
      <c r="AF11" s="37"/>
      <c r="AG11" s="37"/>
      <c r="AH11" s="13" t="s">
        <v>834</v>
      </c>
      <c r="AI11" s="14">
        <f>INT(新属性投放!J45*AI3)</f>
        <v>398</v>
      </c>
      <c r="AJ11" s="14">
        <f>INT(新属性投放!L45*AJ3)</f>
        <v>1676</v>
      </c>
      <c r="AK11" s="37"/>
      <c r="AL11" s="37"/>
      <c r="AM11" s="13">
        <v>21</v>
      </c>
      <c r="AN11" s="13" t="s">
        <v>929</v>
      </c>
      <c r="AO11" s="13">
        <v>8</v>
      </c>
      <c r="AP11" s="13">
        <v>2</v>
      </c>
      <c r="AQ11" s="40">
        <v>0.35</v>
      </c>
      <c r="AR11" s="13">
        <f t="shared" si="18"/>
        <v>56</v>
      </c>
      <c r="AS11" s="13">
        <f t="shared" si="19"/>
        <v>23</v>
      </c>
      <c r="AT11" s="13">
        <f t="shared" si="20"/>
        <v>109</v>
      </c>
      <c r="AU11" s="28">
        <v>0.04</v>
      </c>
      <c r="AV11" s="28">
        <v>0.04</v>
      </c>
      <c r="AW11" s="28">
        <v>0.04</v>
      </c>
      <c r="AX11" s="37"/>
      <c r="AY11" s="13">
        <v>0</v>
      </c>
      <c r="AZ11" s="13">
        <v>0</v>
      </c>
      <c r="BA11" s="13">
        <v>1</v>
      </c>
      <c r="BB11" s="13">
        <v>2</v>
      </c>
      <c r="BC11" s="37"/>
      <c r="BD11" s="13">
        <v>6</v>
      </c>
      <c r="BE11" s="13">
        <v>1</v>
      </c>
      <c r="BF11" s="13">
        <v>20</v>
      </c>
      <c r="BG11" s="13">
        <v>3</v>
      </c>
      <c r="BH11" s="13">
        <v>2</v>
      </c>
      <c r="BI11" s="13">
        <v>2</v>
      </c>
      <c r="BJ11" s="13">
        <f t="shared" si="46"/>
        <v>2013020</v>
      </c>
      <c r="BK11" s="13" t="s">
        <v>712</v>
      </c>
      <c r="BL11" s="13"/>
      <c r="BM11" s="13">
        <v>8</v>
      </c>
      <c r="BN11" s="13">
        <f>SUM(BM$6:BM11)</f>
        <v>48</v>
      </c>
      <c r="BO11" s="13">
        <v>1</v>
      </c>
      <c r="BP11" s="13">
        <v>2</v>
      </c>
      <c r="BQ11" s="13">
        <v>3</v>
      </c>
      <c r="BR11" s="13">
        <v>4</v>
      </c>
      <c r="BS11" s="13">
        <v>5</v>
      </c>
      <c r="BT11" s="13">
        <v>6</v>
      </c>
      <c r="BU11" s="13">
        <v>7</v>
      </c>
      <c r="BV11" s="13">
        <v>8</v>
      </c>
      <c r="BW11" s="37"/>
      <c r="BY11" s="13">
        <v>7</v>
      </c>
      <c r="BZ11" s="14">
        <f t="shared" si="21"/>
        <v>1</v>
      </c>
      <c r="CA11" s="14">
        <f t="shared" si="22"/>
        <v>1</v>
      </c>
      <c r="CB11" s="14">
        <f t="shared" si="1"/>
        <v>1</v>
      </c>
      <c r="CC11" s="14">
        <f t="shared" si="2"/>
        <v>2011017</v>
      </c>
      <c r="CD11" s="13" t="str">
        <f t="shared" si="3"/>
        <v>20级寄灵人绿色-项链</v>
      </c>
      <c r="CE11" s="14">
        <f t="shared" si="4"/>
        <v>1</v>
      </c>
      <c r="CF11" s="14">
        <f t="shared" si="5"/>
        <v>1</v>
      </c>
      <c r="CG11" s="14">
        <f t="shared" si="23"/>
        <v>20</v>
      </c>
      <c r="CH11" s="14">
        <f t="shared" si="24"/>
        <v>20</v>
      </c>
      <c r="CI11" s="14">
        <f t="shared" si="6"/>
        <v>7</v>
      </c>
      <c r="CJ11" s="14" t="str">
        <f t="shared" si="25"/>
        <v/>
      </c>
      <c r="CK11" s="14">
        <f t="shared" si="7"/>
        <v>15</v>
      </c>
      <c r="CL11" s="14">
        <f t="shared" si="8"/>
        <v>7</v>
      </c>
      <c r="CM11" s="14">
        <f t="shared" si="9"/>
        <v>0</v>
      </c>
      <c r="CN11" s="14">
        <f t="shared" si="10"/>
        <v>4.17</v>
      </c>
      <c r="CO11" s="14">
        <f t="shared" si="11"/>
        <v>2.13</v>
      </c>
      <c r="CP11" s="14">
        <f t="shared" si="12"/>
        <v>0</v>
      </c>
      <c r="CQ11" s="14">
        <f t="shared" si="26"/>
        <v>1</v>
      </c>
      <c r="CR11" s="14">
        <f t="shared" si="27"/>
        <v>0</v>
      </c>
      <c r="CS11" s="14">
        <f t="shared" si="28"/>
        <v>11</v>
      </c>
      <c r="CV11" s="14">
        <f t="shared" si="13"/>
        <v>1</v>
      </c>
      <c r="CW11" s="14">
        <f t="shared" si="14"/>
        <v>2</v>
      </c>
      <c r="CX11" s="14" t="str">
        <f t="shared" si="29"/>
        <v>AtkExt</v>
      </c>
      <c r="CY11" s="14">
        <f t="shared" si="30"/>
        <v>15</v>
      </c>
      <c r="CZ11" s="14">
        <f t="shared" si="31"/>
        <v>4.17</v>
      </c>
      <c r="DA11" s="14" t="str">
        <f t="shared" si="32"/>
        <v>DefExt</v>
      </c>
      <c r="DB11" s="14">
        <f t="shared" si="33"/>
        <v>7</v>
      </c>
      <c r="DC11" s="14">
        <f t="shared" si="34"/>
        <v>2.13</v>
      </c>
      <c r="DD11" s="14">
        <f t="shared" si="35"/>
        <v>1</v>
      </c>
      <c r="DE11" s="14">
        <f t="shared" si="36"/>
        <v>0</v>
      </c>
      <c r="DF11" s="14">
        <f t="shared" si="37"/>
        <v>11</v>
      </c>
      <c r="DG11" s="14">
        <f t="shared" si="38"/>
        <v>5</v>
      </c>
      <c r="DJ11" s="13">
        <v>1042</v>
      </c>
      <c r="DK11" s="13" t="s">
        <v>877</v>
      </c>
      <c r="DL11" s="37"/>
      <c r="DM11" s="37"/>
      <c r="DN11" s="13">
        <v>3</v>
      </c>
      <c r="DO11" s="13" t="s">
        <v>887</v>
      </c>
      <c r="DP11" s="13">
        <v>1</v>
      </c>
      <c r="DQ11" s="13">
        <v>2</v>
      </c>
      <c r="DR11" s="13" t="s">
        <v>845</v>
      </c>
      <c r="DS11" s="13">
        <f>AJ6</f>
        <v>1973</v>
      </c>
      <c r="DU11" s="13">
        <v>3</v>
      </c>
      <c r="DV11" s="13" t="s">
        <v>873</v>
      </c>
      <c r="DW11" s="13">
        <v>1</v>
      </c>
      <c r="DX11" s="13">
        <v>2</v>
      </c>
      <c r="DY11" s="13" t="s">
        <v>845</v>
      </c>
      <c r="DZ11" s="13">
        <f>AJ12</f>
        <v>3500</v>
      </c>
      <c r="EC11" s="13">
        <v>7</v>
      </c>
      <c r="ED11" s="13">
        <f t="shared" si="39"/>
        <v>2</v>
      </c>
      <c r="EE11" s="13" t="str">
        <f t="shared" si="40"/>
        <v>40级寄灵人洗练-1</v>
      </c>
      <c r="EF11" s="13">
        <f t="shared" si="41"/>
        <v>12</v>
      </c>
      <c r="EG11" s="13">
        <f t="shared" si="42"/>
        <v>1</v>
      </c>
      <c r="EH11" s="13">
        <f t="shared" si="43"/>
        <v>2500</v>
      </c>
      <c r="EI11" s="13" t="str">
        <f t="shared" si="44"/>
        <v>AtkExt</v>
      </c>
      <c r="EJ11" s="13">
        <f t="shared" si="45"/>
        <v>48</v>
      </c>
    </row>
    <row r="12" spans="1:140" s="20" customFormat="1" ht="16.5" x14ac:dyDescent="0.2">
      <c r="A12" s="13">
        <v>2</v>
      </c>
      <c r="B12" s="13">
        <v>2</v>
      </c>
      <c r="C12" s="13">
        <v>5</v>
      </c>
      <c r="D12" s="13">
        <v>40</v>
      </c>
      <c r="E12" s="13">
        <f>(INDEX(新属性投放!J$42:J$63,装备!$C12)-40)*装备!$B$3/$D12</f>
        <v>33.317500000000003</v>
      </c>
      <c r="F12" s="13">
        <f>INDEX(新属性投放!K$42:K$63,装备!$C12)*装备!$B$3/$D12</f>
        <v>15.221250000000001</v>
      </c>
      <c r="G12" s="13">
        <f>INDEX(新属性投放!L$42:L$63,装备!$C12)*装备!$B$3/$D12</f>
        <v>155.4</v>
      </c>
      <c r="H12" s="13">
        <v>0.3</v>
      </c>
      <c r="I12" s="13">
        <f t="shared" si="15"/>
        <v>399.81</v>
      </c>
      <c r="J12" s="13">
        <f t="shared" si="16"/>
        <v>182.655</v>
      </c>
      <c r="K12" s="13">
        <f t="shared" si="17"/>
        <v>1864.8</v>
      </c>
      <c r="L12" s="37"/>
      <c r="M12" s="37"/>
      <c r="N12" s="37"/>
      <c r="O12" s="37"/>
      <c r="P12" s="37"/>
      <c r="Q12" s="37"/>
      <c r="R12" s="37"/>
      <c r="S12" s="37"/>
      <c r="T12" s="37"/>
      <c r="U12" s="13">
        <v>8</v>
      </c>
      <c r="V12" s="13" t="s">
        <v>799</v>
      </c>
      <c r="W12" s="28">
        <v>0.2</v>
      </c>
      <c r="X12" s="13"/>
      <c r="Y12" s="28">
        <v>0.25</v>
      </c>
      <c r="Z12" s="13">
        <v>1</v>
      </c>
      <c r="AA12" s="13">
        <v>3</v>
      </c>
      <c r="AB12" s="37"/>
      <c r="AC12" s="37"/>
      <c r="AD12" s="37"/>
      <c r="AE12" s="37"/>
      <c r="AF12" s="37"/>
      <c r="AG12" s="37"/>
      <c r="AH12" s="13" t="s">
        <v>835</v>
      </c>
      <c r="AI12" s="14">
        <f>INT(新属性投放!J47*AI3)</f>
        <v>737</v>
      </c>
      <c r="AJ12" s="14">
        <f>INT(新属性投放!L47*AJ3)</f>
        <v>3500</v>
      </c>
      <c r="AK12" s="37"/>
      <c r="AL12" s="37"/>
      <c r="AM12" s="13">
        <v>22</v>
      </c>
      <c r="AN12" s="13" t="s">
        <v>930</v>
      </c>
      <c r="AO12" s="13">
        <v>8</v>
      </c>
      <c r="AP12" s="13">
        <v>3</v>
      </c>
      <c r="AQ12" s="40">
        <v>0.35</v>
      </c>
      <c r="AR12" s="13">
        <f t="shared" si="18"/>
        <v>58</v>
      </c>
      <c r="AS12" s="13">
        <f t="shared" si="19"/>
        <v>40</v>
      </c>
      <c r="AT12" s="13">
        <f t="shared" si="20"/>
        <v>272</v>
      </c>
      <c r="AU12" s="28">
        <v>0.04</v>
      </c>
      <c r="AV12" s="28">
        <v>0.04</v>
      </c>
      <c r="AW12" s="28">
        <v>0.04</v>
      </c>
      <c r="AX12" s="37"/>
      <c r="AY12" s="13">
        <v>0</v>
      </c>
      <c r="AZ12" s="13">
        <v>0</v>
      </c>
      <c r="BA12" s="13">
        <v>2</v>
      </c>
      <c r="BB12" s="13">
        <v>3</v>
      </c>
      <c r="BC12" s="37"/>
      <c r="BD12" s="13">
        <v>7</v>
      </c>
      <c r="BE12" s="13">
        <v>1</v>
      </c>
      <c r="BF12" s="13">
        <v>20</v>
      </c>
      <c r="BG12" s="13">
        <v>4</v>
      </c>
      <c r="BH12" s="13">
        <v>1</v>
      </c>
      <c r="BI12" s="13">
        <v>1</v>
      </c>
      <c r="BJ12" s="13">
        <f t="shared" si="46"/>
        <v>2014010</v>
      </c>
      <c r="BK12" s="13" t="s">
        <v>713</v>
      </c>
      <c r="BL12" s="13"/>
      <c r="BM12" s="13">
        <v>8</v>
      </c>
      <c r="BN12" s="13">
        <f>SUM(BM$6:BM12)</f>
        <v>56</v>
      </c>
      <c r="BO12" s="13">
        <v>1</v>
      </c>
      <c r="BP12" s="13">
        <v>2</v>
      </c>
      <c r="BQ12" s="13">
        <v>3</v>
      </c>
      <c r="BR12" s="13">
        <v>4</v>
      </c>
      <c r="BS12" s="13">
        <v>5</v>
      </c>
      <c r="BT12" s="13">
        <v>6</v>
      </c>
      <c r="BU12" s="13">
        <v>7</v>
      </c>
      <c r="BV12" s="13">
        <v>8</v>
      </c>
      <c r="BW12" s="37"/>
      <c r="BY12" s="13">
        <v>8</v>
      </c>
      <c r="BZ12" s="14">
        <f t="shared" si="21"/>
        <v>1</v>
      </c>
      <c r="CA12" s="14">
        <f t="shared" si="22"/>
        <v>1</v>
      </c>
      <c r="CB12" s="14">
        <f t="shared" si="1"/>
        <v>1</v>
      </c>
      <c r="CC12" s="14">
        <f t="shared" si="2"/>
        <v>2011018</v>
      </c>
      <c r="CD12" s="13" t="str">
        <f t="shared" si="3"/>
        <v>20级寄灵人绿色-戒指</v>
      </c>
      <c r="CE12" s="14">
        <f t="shared" si="4"/>
        <v>1</v>
      </c>
      <c r="CF12" s="14">
        <f t="shared" si="5"/>
        <v>1</v>
      </c>
      <c r="CG12" s="14">
        <f t="shared" si="23"/>
        <v>20</v>
      </c>
      <c r="CH12" s="14">
        <f t="shared" si="24"/>
        <v>20</v>
      </c>
      <c r="CI12" s="14">
        <f t="shared" si="6"/>
        <v>8</v>
      </c>
      <c r="CJ12" s="14" t="str">
        <f t="shared" si="25"/>
        <v/>
      </c>
      <c r="CK12" s="14">
        <f t="shared" si="7"/>
        <v>15</v>
      </c>
      <c r="CL12" s="14">
        <f t="shared" si="8"/>
        <v>0</v>
      </c>
      <c r="CM12" s="14">
        <f t="shared" si="9"/>
        <v>63</v>
      </c>
      <c r="CN12" s="14">
        <f t="shared" si="10"/>
        <v>4.17</v>
      </c>
      <c r="CO12" s="14">
        <f t="shared" si="11"/>
        <v>0</v>
      </c>
      <c r="CP12" s="14">
        <f t="shared" si="12"/>
        <v>18.13</v>
      </c>
      <c r="CQ12" s="14">
        <f t="shared" si="26"/>
        <v>1</v>
      </c>
      <c r="CR12" s="14">
        <f t="shared" si="27"/>
        <v>0</v>
      </c>
      <c r="CS12" s="14">
        <f t="shared" si="28"/>
        <v>11</v>
      </c>
      <c r="CV12" s="14">
        <f t="shared" si="13"/>
        <v>1</v>
      </c>
      <c r="CW12" s="14">
        <f t="shared" si="14"/>
        <v>3</v>
      </c>
      <c r="CX12" s="14" t="str">
        <f t="shared" si="29"/>
        <v>AtkExt</v>
      </c>
      <c r="CY12" s="14">
        <f t="shared" si="30"/>
        <v>15</v>
      </c>
      <c r="CZ12" s="14">
        <f t="shared" si="31"/>
        <v>4.17</v>
      </c>
      <c r="DA12" s="14" t="str">
        <f t="shared" si="32"/>
        <v>HPExt</v>
      </c>
      <c r="DB12" s="14">
        <f t="shared" si="33"/>
        <v>63</v>
      </c>
      <c r="DC12" s="14">
        <f t="shared" si="34"/>
        <v>18.13</v>
      </c>
      <c r="DD12" s="14">
        <f t="shared" si="35"/>
        <v>1</v>
      </c>
      <c r="DE12" s="14">
        <f t="shared" si="36"/>
        <v>0</v>
      </c>
      <c r="DF12" s="14">
        <f t="shared" si="37"/>
        <v>11</v>
      </c>
      <c r="DG12" s="14">
        <f t="shared" si="38"/>
        <v>5</v>
      </c>
      <c r="DJ12" s="13">
        <v>1043</v>
      </c>
      <c r="DK12" s="13" t="s">
        <v>878</v>
      </c>
      <c r="DL12" s="37"/>
      <c r="DM12" s="37"/>
      <c r="DN12" s="13">
        <v>3</v>
      </c>
      <c r="DO12" s="13" t="s">
        <v>887</v>
      </c>
      <c r="DP12" s="13">
        <v>2</v>
      </c>
      <c r="DQ12" s="13">
        <v>4</v>
      </c>
      <c r="DR12" s="13" t="s">
        <v>848</v>
      </c>
      <c r="DS12" s="13">
        <v>0.8</v>
      </c>
      <c r="DT12" s="16"/>
      <c r="DU12" s="13">
        <v>3</v>
      </c>
      <c r="DV12" s="13" t="s">
        <v>873</v>
      </c>
      <c r="DW12" s="13">
        <v>2</v>
      </c>
      <c r="DX12" s="13">
        <v>4</v>
      </c>
      <c r="DY12" s="13" t="s">
        <v>848</v>
      </c>
      <c r="DZ12" s="13">
        <v>0.8</v>
      </c>
      <c r="EC12" s="13">
        <v>8</v>
      </c>
      <c r="ED12" s="13">
        <f t="shared" si="39"/>
        <v>2</v>
      </c>
      <c r="EE12" s="13" t="str">
        <f t="shared" si="40"/>
        <v>40级寄灵人洗练-2</v>
      </c>
      <c r="EF12" s="13">
        <f t="shared" si="41"/>
        <v>12</v>
      </c>
      <c r="EG12" s="13">
        <f t="shared" si="42"/>
        <v>2</v>
      </c>
      <c r="EH12" s="13">
        <f t="shared" si="43"/>
        <v>2500</v>
      </c>
      <c r="EI12" s="13" t="str">
        <f t="shared" si="44"/>
        <v>DefExt</v>
      </c>
      <c r="EJ12" s="13">
        <f t="shared" si="45"/>
        <v>34</v>
      </c>
    </row>
    <row r="13" spans="1:140" s="20" customFormat="1" ht="16.5" x14ac:dyDescent="0.2">
      <c r="A13" s="13">
        <v>3</v>
      </c>
      <c r="B13" s="13">
        <v>2</v>
      </c>
      <c r="C13" s="13">
        <v>7</v>
      </c>
      <c r="D13" s="13">
        <v>60</v>
      </c>
      <c r="E13" s="13">
        <f>(INDEX(新属性投放!J$42:J$63,装备!$C13)-40)*装备!$B$3/$D13</f>
        <v>40.230000000000004</v>
      </c>
      <c r="F13" s="13">
        <f>INDEX(新属性投放!K$42:K$63,装备!$C13)*装备!$B$3/$D13</f>
        <v>19.15666666666667</v>
      </c>
      <c r="G13" s="13">
        <f>INDEX(新属性投放!L$42:L$63,装备!$C13)*装备!$B$3/$D13</f>
        <v>200.66666666666666</v>
      </c>
      <c r="H13" s="13">
        <v>0.25</v>
      </c>
      <c r="I13" s="13">
        <f t="shared" si="15"/>
        <v>603.45000000000005</v>
      </c>
      <c r="J13" s="13">
        <f t="shared" si="16"/>
        <v>287.35000000000002</v>
      </c>
      <c r="K13" s="13">
        <f t="shared" si="17"/>
        <v>3010</v>
      </c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13" t="s">
        <v>836</v>
      </c>
      <c r="AI13" s="14">
        <f>INT(新属性投放!J49*AI3)</f>
        <v>1282</v>
      </c>
      <c r="AJ13" s="14">
        <f>INT(新属性投放!L49*AJ3)</f>
        <v>6436</v>
      </c>
      <c r="AK13" s="37"/>
      <c r="AL13" s="37"/>
      <c r="AM13" s="13">
        <v>23</v>
      </c>
      <c r="AN13" s="13" t="s">
        <v>931</v>
      </c>
      <c r="AO13" s="13">
        <v>10</v>
      </c>
      <c r="AP13" s="13">
        <v>3</v>
      </c>
      <c r="AQ13" s="40">
        <v>0.35</v>
      </c>
      <c r="AR13" s="13">
        <f t="shared" si="18"/>
        <v>141</v>
      </c>
      <c r="AS13" s="13">
        <f t="shared" si="19"/>
        <v>50</v>
      </c>
      <c r="AT13" s="13">
        <f t="shared" si="20"/>
        <v>527</v>
      </c>
      <c r="AU13" s="28">
        <v>0.04</v>
      </c>
      <c r="AV13" s="28">
        <v>0.04</v>
      </c>
      <c r="AW13" s="28">
        <v>0.04</v>
      </c>
      <c r="AX13" s="37"/>
      <c r="AY13" s="13">
        <v>0</v>
      </c>
      <c r="AZ13" s="13">
        <v>0</v>
      </c>
      <c r="BA13" s="13">
        <v>2</v>
      </c>
      <c r="BB13" s="13">
        <v>3</v>
      </c>
      <c r="BC13" s="37"/>
      <c r="BD13" s="13">
        <v>8</v>
      </c>
      <c r="BE13" s="13">
        <v>1</v>
      </c>
      <c r="BF13" s="13">
        <v>20</v>
      </c>
      <c r="BG13" s="13">
        <v>4</v>
      </c>
      <c r="BH13" s="13">
        <v>2</v>
      </c>
      <c r="BI13" s="13">
        <v>2</v>
      </c>
      <c r="BJ13" s="13">
        <f t="shared" si="46"/>
        <v>2014020</v>
      </c>
      <c r="BK13" s="13" t="s">
        <v>714</v>
      </c>
      <c r="BL13" s="13"/>
      <c r="BM13" s="13">
        <v>8</v>
      </c>
      <c r="BN13" s="13">
        <f>SUM(BM$6:BM13)</f>
        <v>64</v>
      </c>
      <c r="BO13" s="13">
        <v>1</v>
      </c>
      <c r="BP13" s="13">
        <v>2</v>
      </c>
      <c r="BQ13" s="13">
        <v>3</v>
      </c>
      <c r="BR13" s="13">
        <v>4</v>
      </c>
      <c r="BS13" s="13">
        <v>5</v>
      </c>
      <c r="BT13" s="13">
        <v>6</v>
      </c>
      <c r="BU13" s="13">
        <v>7</v>
      </c>
      <c r="BV13" s="13">
        <v>8</v>
      </c>
      <c r="BW13" s="37"/>
      <c r="BY13" s="13">
        <v>9</v>
      </c>
      <c r="BZ13" s="14">
        <f t="shared" si="21"/>
        <v>2</v>
      </c>
      <c r="CA13" s="14">
        <f t="shared" si="22"/>
        <v>2</v>
      </c>
      <c r="CB13" s="14">
        <f t="shared" si="1"/>
        <v>1</v>
      </c>
      <c r="CC13" s="14">
        <f t="shared" si="2"/>
        <v>2011021</v>
      </c>
      <c r="CD13" s="13" t="str">
        <f t="shared" si="3"/>
        <v>20级守护灵绿色-武器</v>
      </c>
      <c r="CE13" s="14">
        <f t="shared" si="4"/>
        <v>2</v>
      </c>
      <c r="CF13" s="14">
        <f t="shared" si="5"/>
        <v>1</v>
      </c>
      <c r="CG13" s="14">
        <f t="shared" si="23"/>
        <v>20</v>
      </c>
      <c r="CH13" s="14">
        <f t="shared" si="24"/>
        <v>20</v>
      </c>
      <c r="CI13" s="14">
        <f t="shared" si="6"/>
        <v>1</v>
      </c>
      <c r="CJ13" s="14" t="str">
        <f t="shared" si="25"/>
        <v/>
      </c>
      <c r="CK13" s="14">
        <f t="shared" si="7"/>
        <v>67</v>
      </c>
      <c r="CL13" s="14">
        <f t="shared" si="8"/>
        <v>0</v>
      </c>
      <c r="CM13" s="14">
        <f t="shared" si="9"/>
        <v>0</v>
      </c>
      <c r="CN13" s="14">
        <f t="shared" si="10"/>
        <v>19.25</v>
      </c>
      <c r="CO13" s="14">
        <f t="shared" si="11"/>
        <v>0</v>
      </c>
      <c r="CP13" s="14">
        <f t="shared" si="12"/>
        <v>0</v>
      </c>
      <c r="CQ13" s="14">
        <f t="shared" si="26"/>
        <v>1</v>
      </c>
      <c r="CR13" s="14">
        <f t="shared" si="27"/>
        <v>0</v>
      </c>
      <c r="CS13" s="14">
        <f t="shared" si="28"/>
        <v>21</v>
      </c>
      <c r="CV13" s="14">
        <f t="shared" si="13"/>
        <v>1</v>
      </c>
      <c r="CW13" s="14">
        <f t="shared" si="14"/>
        <v>0</v>
      </c>
      <c r="CX13" s="14" t="str">
        <f t="shared" si="29"/>
        <v>AtkExt</v>
      </c>
      <c r="CY13" s="14">
        <f t="shared" si="30"/>
        <v>67</v>
      </c>
      <c r="CZ13" s="14">
        <f t="shared" si="31"/>
        <v>19.25</v>
      </c>
      <c r="DA13" s="14" t="str">
        <f t="shared" si="32"/>
        <v/>
      </c>
      <c r="DB13" s="14" t="str">
        <f t="shared" si="33"/>
        <v/>
      </c>
      <c r="DC13" s="14" t="str">
        <f t="shared" si="34"/>
        <v/>
      </c>
      <c r="DD13" s="14">
        <f t="shared" si="35"/>
        <v>1</v>
      </c>
      <c r="DE13" s="14">
        <f t="shared" si="36"/>
        <v>0</v>
      </c>
      <c r="DF13" s="14">
        <f t="shared" si="37"/>
        <v>21</v>
      </c>
      <c r="DG13" s="14">
        <f t="shared" si="38"/>
        <v>5</v>
      </c>
      <c r="DJ13" s="13">
        <v>1051</v>
      </c>
      <c r="DK13" s="13" t="s">
        <v>879</v>
      </c>
      <c r="DL13" s="37"/>
      <c r="DM13" s="37"/>
      <c r="DN13" s="13">
        <v>4</v>
      </c>
      <c r="DO13" s="13" t="s">
        <v>888</v>
      </c>
      <c r="DP13" s="13">
        <v>1</v>
      </c>
      <c r="DQ13" s="13">
        <v>2</v>
      </c>
      <c r="DR13" s="13" t="s">
        <v>844</v>
      </c>
      <c r="DS13" s="13">
        <f>AI7</f>
        <v>1176</v>
      </c>
      <c r="DU13" s="13">
        <v>4</v>
      </c>
      <c r="DV13" s="13" t="s">
        <v>874</v>
      </c>
      <c r="DW13" s="13">
        <v>1</v>
      </c>
      <c r="DX13" s="13">
        <v>2</v>
      </c>
      <c r="DY13" s="13" t="s">
        <v>844</v>
      </c>
      <c r="DZ13" s="13">
        <f>AI13</f>
        <v>1282</v>
      </c>
      <c r="EC13" s="13">
        <v>9</v>
      </c>
      <c r="ED13" s="13">
        <f t="shared" si="39"/>
        <v>2</v>
      </c>
      <c r="EE13" s="13" t="str">
        <f t="shared" si="40"/>
        <v>40级寄灵人洗练-3</v>
      </c>
      <c r="EF13" s="13">
        <f t="shared" si="41"/>
        <v>12</v>
      </c>
      <c r="EG13" s="13">
        <f t="shared" si="42"/>
        <v>3</v>
      </c>
      <c r="EH13" s="13">
        <f t="shared" si="43"/>
        <v>2600</v>
      </c>
      <c r="EI13" s="13" t="str">
        <f t="shared" si="44"/>
        <v>HPExt</v>
      </c>
      <c r="EJ13" s="13">
        <f t="shared" si="45"/>
        <v>154</v>
      </c>
    </row>
    <row r="14" spans="1:140" s="20" customFormat="1" ht="16.5" x14ac:dyDescent="0.2">
      <c r="A14" s="13">
        <v>4</v>
      </c>
      <c r="B14" s="13">
        <v>2</v>
      </c>
      <c r="C14" s="13">
        <v>9</v>
      </c>
      <c r="D14" s="13">
        <v>80</v>
      </c>
      <c r="E14" s="13">
        <f>(INDEX(新属性投放!J$42:J$63,装备!$C14)-40)*装备!$B$3/$D14</f>
        <v>51.320000000000007</v>
      </c>
      <c r="F14" s="13">
        <f>INDEX(新属性投放!K$42:K$63,装备!$C14)*装备!$B$3/$D14</f>
        <v>24.941250000000004</v>
      </c>
      <c r="G14" s="13">
        <f>INDEX(新属性投放!L$42:L$63,装备!$C14)*装备!$B$3/$D14</f>
        <v>264.52499999999998</v>
      </c>
      <c r="H14" s="13">
        <v>0.25</v>
      </c>
      <c r="I14" s="13">
        <f t="shared" si="15"/>
        <v>1026.4000000000001</v>
      </c>
      <c r="J14" s="13">
        <f t="shared" si="16"/>
        <v>498.82500000000005</v>
      </c>
      <c r="K14" s="13">
        <f t="shared" si="17"/>
        <v>5290.5</v>
      </c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13" t="s">
        <v>837</v>
      </c>
      <c r="AI14" s="14">
        <f>INT(新属性投放!J51*AI3)</f>
        <v>1902</v>
      </c>
      <c r="AJ14" s="14">
        <f>INT(新属性投放!L51*AJ3)</f>
        <v>9784</v>
      </c>
      <c r="AK14" s="37"/>
      <c r="AL14" s="37"/>
      <c r="AM14" s="13">
        <v>24</v>
      </c>
      <c r="AN14" s="13" t="s">
        <v>932</v>
      </c>
      <c r="AO14" s="13">
        <v>10</v>
      </c>
      <c r="AP14" s="13">
        <v>4</v>
      </c>
      <c r="AQ14" s="40">
        <v>0.35</v>
      </c>
      <c r="AR14" s="13">
        <f t="shared" si="18"/>
        <v>180</v>
      </c>
      <c r="AS14" s="13">
        <f t="shared" si="19"/>
        <v>87</v>
      </c>
      <c r="AT14" s="13">
        <f t="shared" si="20"/>
        <v>926</v>
      </c>
      <c r="AU14" s="28">
        <v>0.04</v>
      </c>
      <c r="AV14" s="28">
        <v>0.04</v>
      </c>
      <c r="AW14" s="28">
        <v>0.04</v>
      </c>
      <c r="AX14" s="37"/>
      <c r="AY14" s="13">
        <v>0</v>
      </c>
      <c r="AZ14" s="13">
        <v>0</v>
      </c>
      <c r="BA14" s="13">
        <v>3</v>
      </c>
      <c r="BB14" s="13">
        <v>4</v>
      </c>
      <c r="BC14" s="37"/>
      <c r="BD14" s="13">
        <v>9</v>
      </c>
      <c r="BE14" s="13">
        <v>1</v>
      </c>
      <c r="BF14" s="13">
        <v>20</v>
      </c>
      <c r="BG14" s="13">
        <v>4</v>
      </c>
      <c r="BH14" s="13">
        <v>1</v>
      </c>
      <c r="BI14" s="13">
        <v>3</v>
      </c>
      <c r="BJ14" s="13">
        <f t="shared" si="46"/>
        <v>2014030</v>
      </c>
      <c r="BK14" s="13" t="s">
        <v>715</v>
      </c>
      <c r="BL14" s="13">
        <v>1011</v>
      </c>
      <c r="BM14" s="13">
        <v>8</v>
      </c>
      <c r="BN14" s="13">
        <f>SUM(BM$6:BM14)</f>
        <v>72</v>
      </c>
      <c r="BO14" s="13">
        <v>1</v>
      </c>
      <c r="BP14" s="13">
        <v>2</v>
      </c>
      <c r="BQ14" s="13">
        <v>3</v>
      </c>
      <c r="BR14" s="13">
        <v>4</v>
      </c>
      <c r="BS14" s="13">
        <v>5</v>
      </c>
      <c r="BT14" s="13">
        <v>6</v>
      </c>
      <c r="BU14" s="13">
        <v>7</v>
      </c>
      <c r="BV14" s="13">
        <v>8</v>
      </c>
      <c r="BW14" s="37"/>
      <c r="BY14" s="13">
        <v>10</v>
      </c>
      <c r="BZ14" s="14">
        <f t="shared" si="21"/>
        <v>2</v>
      </c>
      <c r="CA14" s="14">
        <f t="shared" si="22"/>
        <v>2</v>
      </c>
      <c r="CB14" s="14">
        <f t="shared" si="1"/>
        <v>1</v>
      </c>
      <c r="CC14" s="14">
        <f t="shared" si="2"/>
        <v>2011022</v>
      </c>
      <c r="CD14" s="13" t="str">
        <f t="shared" si="3"/>
        <v>20级守护灵绿色-头盔</v>
      </c>
      <c r="CE14" s="14">
        <f t="shared" si="4"/>
        <v>2</v>
      </c>
      <c r="CF14" s="14">
        <f t="shared" si="5"/>
        <v>1</v>
      </c>
      <c r="CG14" s="14">
        <f t="shared" si="23"/>
        <v>20</v>
      </c>
      <c r="CH14" s="14">
        <f t="shared" si="24"/>
        <v>20</v>
      </c>
      <c r="CI14" s="14">
        <f t="shared" si="6"/>
        <v>2</v>
      </c>
      <c r="CJ14" s="14" t="str">
        <f t="shared" si="25"/>
        <v/>
      </c>
      <c r="CK14" s="14">
        <f t="shared" si="7"/>
        <v>0</v>
      </c>
      <c r="CL14" s="14">
        <f t="shared" si="8"/>
        <v>14</v>
      </c>
      <c r="CM14" s="14">
        <f t="shared" si="9"/>
        <v>0</v>
      </c>
      <c r="CN14" s="14">
        <f t="shared" si="10"/>
        <v>0</v>
      </c>
      <c r="CO14" s="14">
        <f t="shared" si="11"/>
        <v>3.95</v>
      </c>
      <c r="CP14" s="14">
        <f t="shared" si="12"/>
        <v>0</v>
      </c>
      <c r="CQ14" s="14">
        <f t="shared" si="26"/>
        <v>1</v>
      </c>
      <c r="CR14" s="14">
        <f t="shared" si="27"/>
        <v>0</v>
      </c>
      <c r="CS14" s="14">
        <f t="shared" si="28"/>
        <v>21</v>
      </c>
      <c r="CV14" s="14">
        <f t="shared" si="13"/>
        <v>2</v>
      </c>
      <c r="CW14" s="14">
        <f t="shared" si="14"/>
        <v>0</v>
      </c>
      <c r="CX14" s="14" t="str">
        <f t="shared" si="29"/>
        <v>DefExt</v>
      </c>
      <c r="CY14" s="14">
        <f t="shared" si="30"/>
        <v>14</v>
      </c>
      <c r="CZ14" s="14">
        <f t="shared" si="31"/>
        <v>3.95</v>
      </c>
      <c r="DA14" s="14" t="str">
        <f t="shared" si="32"/>
        <v/>
      </c>
      <c r="DB14" s="14" t="str">
        <f t="shared" si="33"/>
        <v/>
      </c>
      <c r="DC14" s="14" t="str">
        <f t="shared" si="34"/>
        <v/>
      </c>
      <c r="DD14" s="14">
        <f t="shared" si="35"/>
        <v>1</v>
      </c>
      <c r="DE14" s="14">
        <f t="shared" si="36"/>
        <v>0</v>
      </c>
      <c r="DF14" s="14">
        <f t="shared" si="37"/>
        <v>21</v>
      </c>
      <c r="DG14" s="14">
        <f t="shared" si="38"/>
        <v>5</v>
      </c>
      <c r="DJ14" s="13">
        <v>1052</v>
      </c>
      <c r="DK14" s="13" t="s">
        <v>880</v>
      </c>
      <c r="DL14" s="37"/>
      <c r="DM14" s="37"/>
      <c r="DN14" s="13">
        <v>4</v>
      </c>
      <c r="DO14" s="13" t="s">
        <v>888</v>
      </c>
      <c r="DP14" s="13">
        <v>2</v>
      </c>
      <c r="DQ14" s="13">
        <v>3</v>
      </c>
      <c r="DR14" s="13" t="s">
        <v>850</v>
      </c>
      <c r="DS14" s="13">
        <f>AJ7</f>
        <v>3608</v>
      </c>
      <c r="DU14" s="13">
        <v>4</v>
      </c>
      <c r="DV14" s="13" t="s">
        <v>874</v>
      </c>
      <c r="DW14" s="13">
        <v>2</v>
      </c>
      <c r="DX14" s="13">
        <v>3</v>
      </c>
      <c r="DY14" s="13" t="s">
        <v>850</v>
      </c>
      <c r="DZ14" s="13">
        <f>AJ13</f>
        <v>6436</v>
      </c>
      <c r="EC14" s="13">
        <v>10</v>
      </c>
      <c r="ED14" s="13">
        <f t="shared" si="39"/>
        <v>2</v>
      </c>
      <c r="EE14" s="13" t="str">
        <f t="shared" si="40"/>
        <v>40级寄灵人洗练-4</v>
      </c>
      <c r="EF14" s="13">
        <f t="shared" si="41"/>
        <v>12</v>
      </c>
      <c r="EG14" s="13">
        <f t="shared" si="42"/>
        <v>4</v>
      </c>
      <c r="EH14" s="13">
        <f t="shared" si="43"/>
        <v>800</v>
      </c>
      <c r="EI14" s="13" t="str">
        <f t="shared" si="44"/>
        <v>AtkRate</v>
      </c>
      <c r="EJ14" s="13">
        <f t="shared" si="45"/>
        <v>0.04</v>
      </c>
    </row>
    <row r="15" spans="1:140" s="20" customFormat="1" ht="16.5" x14ac:dyDescent="0.2">
      <c r="A15" s="13">
        <v>5</v>
      </c>
      <c r="B15" s="13">
        <v>2</v>
      </c>
      <c r="C15" s="13">
        <v>13</v>
      </c>
      <c r="D15" s="13">
        <v>100</v>
      </c>
      <c r="E15" s="13">
        <f>(INDEX(新属性投放!J$42:J$63,装备!$C15)-40)*装备!$B$3/$D15</f>
        <v>71.839500000000001</v>
      </c>
      <c r="F15" s="13">
        <f>INDEX(新属性投放!K$42:K$63,装备!$C15)*装备!$B$3/$D15</f>
        <v>35.34975</v>
      </c>
      <c r="G15" s="13">
        <f>INDEX(新属性投放!L$42:L$63,装备!$C15)*装备!$B$3/$D15</f>
        <v>377.77</v>
      </c>
      <c r="H15" s="13">
        <v>0.2</v>
      </c>
      <c r="I15" s="13">
        <f t="shared" si="15"/>
        <v>1436.79</v>
      </c>
      <c r="J15" s="13">
        <f t="shared" si="16"/>
        <v>706.995</v>
      </c>
      <c r="K15" s="13">
        <f t="shared" si="17"/>
        <v>7555.4000000000005</v>
      </c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13" t="s">
        <v>838</v>
      </c>
      <c r="AI15" s="14">
        <f>INT(新属性投放!J55*AI3)</f>
        <v>3324</v>
      </c>
      <c r="AJ15" s="14">
        <f>INT(新属性投放!L55*AJ3)</f>
        <v>17456</v>
      </c>
      <c r="AK15" s="37"/>
      <c r="AL15" s="37"/>
      <c r="AM15" s="13">
        <v>25</v>
      </c>
      <c r="AN15" s="13" t="s">
        <v>933</v>
      </c>
      <c r="AO15" s="13">
        <v>12</v>
      </c>
      <c r="AP15" s="13">
        <v>4</v>
      </c>
      <c r="AQ15" s="40">
        <v>0.35</v>
      </c>
      <c r="AR15" s="13">
        <f t="shared" si="18"/>
        <v>377</v>
      </c>
      <c r="AS15" s="13">
        <f t="shared" si="19"/>
        <v>124</v>
      </c>
      <c r="AT15" s="13">
        <f t="shared" si="20"/>
        <v>1653</v>
      </c>
      <c r="AU15" s="28">
        <v>0.04</v>
      </c>
      <c r="AV15" s="28">
        <v>0.04</v>
      </c>
      <c r="AW15" s="28">
        <v>0.04</v>
      </c>
      <c r="AX15" s="37"/>
      <c r="AY15" s="13">
        <v>0</v>
      </c>
      <c r="AZ15" s="13">
        <v>0</v>
      </c>
      <c r="BA15" s="13">
        <v>3</v>
      </c>
      <c r="BB15" s="13">
        <v>4</v>
      </c>
      <c r="BC15" s="37"/>
      <c r="BD15" s="13">
        <v>10</v>
      </c>
      <c r="BE15" s="13">
        <v>1</v>
      </c>
      <c r="BF15" s="13">
        <v>20</v>
      </c>
      <c r="BG15" s="13">
        <v>4</v>
      </c>
      <c r="BH15" s="13">
        <v>2</v>
      </c>
      <c r="BI15" s="13">
        <v>4</v>
      </c>
      <c r="BJ15" s="13">
        <f t="shared" si="46"/>
        <v>2014040</v>
      </c>
      <c r="BK15" s="13" t="s">
        <v>716</v>
      </c>
      <c r="BL15" s="13">
        <v>2011</v>
      </c>
      <c r="BM15" s="13">
        <v>8</v>
      </c>
      <c r="BN15" s="13">
        <f>SUM(BM$6:BM15)</f>
        <v>80</v>
      </c>
      <c r="BO15" s="13">
        <v>1</v>
      </c>
      <c r="BP15" s="13">
        <v>2</v>
      </c>
      <c r="BQ15" s="13">
        <v>3</v>
      </c>
      <c r="BR15" s="13">
        <v>4</v>
      </c>
      <c r="BS15" s="13">
        <v>5</v>
      </c>
      <c r="BT15" s="13">
        <v>6</v>
      </c>
      <c r="BU15" s="13">
        <v>7</v>
      </c>
      <c r="BV15" s="13">
        <v>8</v>
      </c>
      <c r="BW15" s="37"/>
      <c r="BY15" s="13">
        <v>11</v>
      </c>
      <c r="BZ15" s="14">
        <f t="shared" si="21"/>
        <v>2</v>
      </c>
      <c r="CA15" s="14">
        <f t="shared" si="22"/>
        <v>2</v>
      </c>
      <c r="CB15" s="14">
        <f t="shared" si="1"/>
        <v>1</v>
      </c>
      <c r="CC15" s="14">
        <f t="shared" si="2"/>
        <v>2011023</v>
      </c>
      <c r="CD15" s="13" t="str">
        <f t="shared" si="3"/>
        <v>20级守护灵绿色-肩甲</v>
      </c>
      <c r="CE15" s="14">
        <f t="shared" si="4"/>
        <v>2</v>
      </c>
      <c r="CF15" s="14">
        <f t="shared" si="5"/>
        <v>1</v>
      </c>
      <c r="CG15" s="14">
        <f t="shared" si="23"/>
        <v>20</v>
      </c>
      <c r="CH15" s="14">
        <f t="shared" si="24"/>
        <v>20</v>
      </c>
      <c r="CI15" s="14">
        <f t="shared" si="6"/>
        <v>3</v>
      </c>
      <c r="CJ15" s="14" t="str">
        <f t="shared" si="25"/>
        <v/>
      </c>
      <c r="CK15" s="14">
        <f t="shared" si="7"/>
        <v>0</v>
      </c>
      <c r="CL15" s="14">
        <f t="shared" si="8"/>
        <v>7</v>
      </c>
      <c r="CM15" s="14">
        <f t="shared" si="9"/>
        <v>65</v>
      </c>
      <c r="CN15" s="14">
        <f t="shared" si="10"/>
        <v>0</v>
      </c>
      <c r="CO15" s="14">
        <f t="shared" si="11"/>
        <v>1.98</v>
      </c>
      <c r="CP15" s="14">
        <f t="shared" si="12"/>
        <v>18.71</v>
      </c>
      <c r="CQ15" s="14">
        <f t="shared" si="26"/>
        <v>1</v>
      </c>
      <c r="CR15" s="14">
        <f t="shared" si="27"/>
        <v>0</v>
      </c>
      <c r="CS15" s="14">
        <f t="shared" si="28"/>
        <v>21</v>
      </c>
      <c r="CV15" s="14">
        <f t="shared" si="13"/>
        <v>2</v>
      </c>
      <c r="CW15" s="14">
        <f t="shared" si="14"/>
        <v>3</v>
      </c>
      <c r="CX15" s="14" t="str">
        <f t="shared" si="29"/>
        <v>DefExt</v>
      </c>
      <c r="CY15" s="14">
        <f t="shared" si="30"/>
        <v>7</v>
      </c>
      <c r="CZ15" s="14">
        <f t="shared" si="31"/>
        <v>1.98</v>
      </c>
      <c r="DA15" s="14" t="str">
        <f t="shared" si="32"/>
        <v>HPExt</v>
      </c>
      <c r="DB15" s="14">
        <f t="shared" si="33"/>
        <v>65</v>
      </c>
      <c r="DC15" s="14">
        <f t="shared" si="34"/>
        <v>18.71</v>
      </c>
      <c r="DD15" s="14">
        <f t="shared" si="35"/>
        <v>1</v>
      </c>
      <c r="DE15" s="14">
        <f t="shared" si="36"/>
        <v>0</v>
      </c>
      <c r="DF15" s="14">
        <f t="shared" si="37"/>
        <v>21</v>
      </c>
      <c r="DG15" s="14">
        <f t="shared" si="38"/>
        <v>5</v>
      </c>
      <c r="DJ15" s="13">
        <v>1053</v>
      </c>
      <c r="DK15" s="13" t="s">
        <v>881</v>
      </c>
      <c r="DL15" s="37"/>
      <c r="DM15" s="37"/>
      <c r="DN15" s="13">
        <v>4</v>
      </c>
      <c r="DO15" s="13" t="s">
        <v>888</v>
      </c>
      <c r="DP15" s="13">
        <v>3</v>
      </c>
      <c r="DQ15" s="13">
        <v>5</v>
      </c>
      <c r="DR15" s="13" t="s">
        <v>848</v>
      </c>
      <c r="DS15" s="13">
        <v>0.15</v>
      </c>
      <c r="DU15" s="13">
        <v>4</v>
      </c>
      <c r="DV15" s="13" t="s">
        <v>874</v>
      </c>
      <c r="DW15" s="13">
        <v>3</v>
      </c>
      <c r="DX15" s="13">
        <v>5</v>
      </c>
      <c r="DY15" s="13" t="s">
        <v>848</v>
      </c>
      <c r="DZ15" s="13">
        <v>0.15</v>
      </c>
      <c r="EC15" s="13">
        <v>11</v>
      </c>
      <c r="ED15" s="13">
        <f t="shared" si="39"/>
        <v>2</v>
      </c>
      <c r="EE15" s="13" t="str">
        <f t="shared" si="40"/>
        <v>40级寄灵人洗练-5</v>
      </c>
      <c r="EF15" s="13">
        <f t="shared" si="41"/>
        <v>12</v>
      </c>
      <c r="EG15" s="13">
        <f t="shared" si="42"/>
        <v>5</v>
      </c>
      <c r="EH15" s="13">
        <f t="shared" si="43"/>
        <v>800</v>
      </c>
      <c r="EI15" s="13" t="str">
        <f t="shared" si="44"/>
        <v>AtkRate</v>
      </c>
      <c r="EJ15" s="13">
        <f t="shared" si="45"/>
        <v>0.04</v>
      </c>
    </row>
    <row r="16" spans="1:140" s="20" customFormat="1" ht="16.5" x14ac:dyDescent="0.2">
      <c r="A16" s="13">
        <v>6</v>
      </c>
      <c r="B16" s="13">
        <v>2</v>
      </c>
      <c r="C16" s="13">
        <v>17</v>
      </c>
      <c r="D16" s="13">
        <v>120</v>
      </c>
      <c r="E16" s="13">
        <f>(INDEX(新属性投放!J$42:J$63,装备!$C16)-40)*装备!$B$3/$D16</f>
        <v>105.51583333333335</v>
      </c>
      <c r="F16" s="13">
        <f>INDEX(新属性投放!K$42:K$63,装备!$C16)*装备!$B$3/$D16</f>
        <v>52.287083333333342</v>
      </c>
      <c r="G16" s="13">
        <f>INDEX(新属性投放!L$42:L$63,装备!$C16)*装备!$B$3/$D16</f>
        <v>561.22500000000002</v>
      </c>
      <c r="H16" s="13">
        <v>0.2</v>
      </c>
      <c r="I16" s="13">
        <f t="shared" si="15"/>
        <v>2532.3800000000006</v>
      </c>
      <c r="J16" s="13">
        <f t="shared" si="16"/>
        <v>1254.8900000000003</v>
      </c>
      <c r="K16" s="13">
        <f t="shared" si="17"/>
        <v>13469.400000000001</v>
      </c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13" t="s">
        <v>839</v>
      </c>
      <c r="AI16" s="14">
        <f>INT(新属性投放!J59*AI3)</f>
        <v>5858</v>
      </c>
      <c r="AJ16" s="14">
        <f>INT(新属性投放!L59*AJ3)</f>
        <v>31137</v>
      </c>
      <c r="AK16" s="37"/>
      <c r="AL16" s="37"/>
      <c r="AM16" s="13">
        <v>26</v>
      </c>
      <c r="AN16" s="13" t="s">
        <v>934</v>
      </c>
      <c r="AO16" s="13">
        <v>12</v>
      </c>
      <c r="AP16" s="13">
        <v>5</v>
      </c>
      <c r="AQ16" s="40">
        <v>0.35</v>
      </c>
      <c r="AR16" s="13">
        <f t="shared" si="18"/>
        <v>554</v>
      </c>
      <c r="AS16" s="13">
        <f t="shared" si="19"/>
        <v>229</v>
      </c>
      <c r="AT16" s="13">
        <f t="shared" si="20"/>
        <v>2946</v>
      </c>
      <c r="AU16" s="28">
        <v>0.04</v>
      </c>
      <c r="AV16" s="28">
        <v>0.04</v>
      </c>
      <c r="AW16" s="28">
        <v>0.04</v>
      </c>
      <c r="AX16" s="37"/>
      <c r="AY16" s="13">
        <v>0</v>
      </c>
      <c r="AZ16" s="13">
        <v>0</v>
      </c>
      <c r="BA16" s="13">
        <v>4</v>
      </c>
      <c r="BB16" s="13">
        <v>5</v>
      </c>
      <c r="BC16" s="37"/>
      <c r="BD16" s="13">
        <v>11</v>
      </c>
      <c r="BE16" s="13">
        <v>2</v>
      </c>
      <c r="BF16" s="13">
        <v>40</v>
      </c>
      <c r="BG16" s="13">
        <v>1</v>
      </c>
      <c r="BH16" s="13">
        <v>1</v>
      </c>
      <c r="BI16" s="13">
        <v>1</v>
      </c>
      <c r="BJ16" s="13">
        <f t="shared" si="46"/>
        <v>2021010</v>
      </c>
      <c r="BK16" s="13" t="s">
        <v>717</v>
      </c>
      <c r="BL16" s="13"/>
      <c r="BM16" s="13">
        <v>8</v>
      </c>
      <c r="BN16" s="13">
        <f>SUM(BM$6:BM16)</f>
        <v>88</v>
      </c>
      <c r="BO16" s="13">
        <v>1</v>
      </c>
      <c r="BP16" s="13">
        <v>2</v>
      </c>
      <c r="BQ16" s="13">
        <v>3</v>
      </c>
      <c r="BR16" s="13">
        <v>4</v>
      </c>
      <c r="BS16" s="13">
        <v>5</v>
      </c>
      <c r="BT16" s="13">
        <v>6</v>
      </c>
      <c r="BU16" s="13">
        <v>7</v>
      </c>
      <c r="BV16" s="13">
        <v>8</v>
      </c>
      <c r="BW16" s="37"/>
      <c r="BY16" s="13">
        <v>12</v>
      </c>
      <c r="BZ16" s="14">
        <f t="shared" si="21"/>
        <v>2</v>
      </c>
      <c r="CA16" s="14">
        <f t="shared" si="22"/>
        <v>2</v>
      </c>
      <c r="CB16" s="14">
        <f t="shared" si="1"/>
        <v>1</v>
      </c>
      <c r="CC16" s="14">
        <f t="shared" si="2"/>
        <v>2011024</v>
      </c>
      <c r="CD16" s="13" t="str">
        <f t="shared" si="3"/>
        <v>20级守护灵绿色-衣服</v>
      </c>
      <c r="CE16" s="14">
        <f t="shared" si="4"/>
        <v>2</v>
      </c>
      <c r="CF16" s="14">
        <f t="shared" si="5"/>
        <v>1</v>
      </c>
      <c r="CG16" s="14">
        <f t="shared" si="23"/>
        <v>20</v>
      </c>
      <c r="CH16" s="14">
        <f t="shared" si="24"/>
        <v>20</v>
      </c>
      <c r="CI16" s="14">
        <f t="shared" si="6"/>
        <v>4</v>
      </c>
      <c r="CJ16" s="14" t="str">
        <f t="shared" si="25"/>
        <v/>
      </c>
      <c r="CK16" s="14">
        <f t="shared" si="7"/>
        <v>0</v>
      </c>
      <c r="CL16" s="14">
        <f t="shared" si="8"/>
        <v>14</v>
      </c>
      <c r="CM16" s="14">
        <f t="shared" si="9"/>
        <v>0</v>
      </c>
      <c r="CN16" s="14">
        <f t="shared" si="10"/>
        <v>0</v>
      </c>
      <c r="CO16" s="14">
        <f t="shared" si="11"/>
        <v>3.95</v>
      </c>
      <c r="CP16" s="14">
        <f t="shared" si="12"/>
        <v>0</v>
      </c>
      <c r="CQ16" s="14">
        <f t="shared" si="26"/>
        <v>1</v>
      </c>
      <c r="CR16" s="14">
        <f t="shared" si="27"/>
        <v>0</v>
      </c>
      <c r="CS16" s="14">
        <f t="shared" si="28"/>
        <v>21</v>
      </c>
      <c r="CV16" s="14">
        <f t="shared" si="13"/>
        <v>2</v>
      </c>
      <c r="CW16" s="14">
        <f t="shared" si="14"/>
        <v>0</v>
      </c>
      <c r="CX16" s="14" t="str">
        <f t="shared" si="29"/>
        <v>DefExt</v>
      </c>
      <c r="CY16" s="14">
        <f t="shared" si="30"/>
        <v>14</v>
      </c>
      <c r="CZ16" s="14">
        <f t="shared" si="31"/>
        <v>3.95</v>
      </c>
      <c r="DA16" s="14" t="str">
        <f t="shared" si="32"/>
        <v/>
      </c>
      <c r="DB16" s="14" t="str">
        <f t="shared" si="33"/>
        <v/>
      </c>
      <c r="DC16" s="14" t="str">
        <f t="shared" si="34"/>
        <v/>
      </c>
      <c r="DD16" s="14">
        <f t="shared" si="35"/>
        <v>1</v>
      </c>
      <c r="DE16" s="14">
        <f t="shared" si="36"/>
        <v>0</v>
      </c>
      <c r="DF16" s="14">
        <f t="shared" si="37"/>
        <v>21</v>
      </c>
      <c r="DG16" s="14">
        <f t="shared" si="38"/>
        <v>5</v>
      </c>
      <c r="DJ16" s="13">
        <v>1061</v>
      </c>
      <c r="DK16" s="13" t="s">
        <v>882</v>
      </c>
      <c r="DL16" s="37"/>
      <c r="DM16" s="37"/>
      <c r="DN16" s="13">
        <v>5</v>
      </c>
      <c r="DO16" s="13" t="s">
        <v>889</v>
      </c>
      <c r="DP16" s="13">
        <v>1</v>
      </c>
      <c r="DQ16" s="13">
        <v>2</v>
      </c>
      <c r="DR16" s="13" t="s">
        <v>852</v>
      </c>
      <c r="DS16" s="13">
        <f>AI7</f>
        <v>1176</v>
      </c>
      <c r="DU16" s="13">
        <v>5</v>
      </c>
      <c r="DV16" s="13" t="s">
        <v>875</v>
      </c>
      <c r="DW16" s="13">
        <v>1</v>
      </c>
      <c r="DX16" s="13">
        <v>2</v>
      </c>
      <c r="DY16" s="13" t="s">
        <v>852</v>
      </c>
      <c r="DZ16" s="13">
        <f>AI13</f>
        <v>1282</v>
      </c>
      <c r="EC16" s="13">
        <v>12</v>
      </c>
      <c r="ED16" s="13">
        <f t="shared" si="39"/>
        <v>2</v>
      </c>
      <c r="EE16" s="13" t="str">
        <f t="shared" si="40"/>
        <v>40级寄灵人洗练-6</v>
      </c>
      <c r="EF16" s="13">
        <f t="shared" si="41"/>
        <v>12</v>
      </c>
      <c r="EG16" s="13">
        <f t="shared" si="42"/>
        <v>6</v>
      </c>
      <c r="EH16" s="13">
        <f t="shared" si="43"/>
        <v>800</v>
      </c>
      <c r="EI16" s="13" t="str">
        <f t="shared" si="44"/>
        <v>AtkRate</v>
      </c>
      <c r="EJ16" s="13">
        <f t="shared" si="45"/>
        <v>0.04</v>
      </c>
    </row>
    <row r="17" spans="1:140" s="20" customFormat="1" ht="16.5" x14ac:dyDescent="0.2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13">
        <v>12</v>
      </c>
      <c r="BE17" s="13">
        <v>2</v>
      </c>
      <c r="BF17" s="13">
        <v>40</v>
      </c>
      <c r="BG17" s="13">
        <v>1</v>
      </c>
      <c r="BH17" s="13">
        <v>2</v>
      </c>
      <c r="BI17" s="13">
        <v>2</v>
      </c>
      <c r="BJ17" s="13">
        <f t="shared" si="46"/>
        <v>2021020</v>
      </c>
      <c r="BK17" s="13" t="s">
        <v>718</v>
      </c>
      <c r="BL17" s="13"/>
      <c r="BM17" s="13">
        <v>8</v>
      </c>
      <c r="BN17" s="13">
        <f>SUM(BM$6:BM17)</f>
        <v>96</v>
      </c>
      <c r="BO17" s="13">
        <v>1</v>
      </c>
      <c r="BP17" s="13">
        <v>2</v>
      </c>
      <c r="BQ17" s="13">
        <v>3</v>
      </c>
      <c r="BR17" s="13">
        <v>4</v>
      </c>
      <c r="BS17" s="13">
        <v>5</v>
      </c>
      <c r="BT17" s="13">
        <v>6</v>
      </c>
      <c r="BU17" s="13">
        <v>7</v>
      </c>
      <c r="BV17" s="13">
        <v>8</v>
      </c>
      <c r="BW17" s="37"/>
      <c r="BY17" s="13">
        <v>13</v>
      </c>
      <c r="BZ17" s="14">
        <f t="shared" si="21"/>
        <v>2</v>
      </c>
      <c r="CA17" s="14">
        <f t="shared" si="22"/>
        <v>2</v>
      </c>
      <c r="CB17" s="14">
        <f t="shared" si="1"/>
        <v>1</v>
      </c>
      <c r="CC17" s="14">
        <f t="shared" si="2"/>
        <v>2011025</v>
      </c>
      <c r="CD17" s="13" t="str">
        <f t="shared" si="3"/>
        <v>20级守护灵绿色-鞋子</v>
      </c>
      <c r="CE17" s="14">
        <f t="shared" si="4"/>
        <v>2</v>
      </c>
      <c r="CF17" s="14">
        <f t="shared" si="5"/>
        <v>1</v>
      </c>
      <c r="CG17" s="14">
        <f t="shared" si="23"/>
        <v>20</v>
      </c>
      <c r="CH17" s="14">
        <f t="shared" si="24"/>
        <v>20</v>
      </c>
      <c r="CI17" s="14">
        <f t="shared" si="6"/>
        <v>5</v>
      </c>
      <c r="CJ17" s="14" t="str">
        <f t="shared" si="25"/>
        <v/>
      </c>
      <c r="CK17" s="14">
        <f t="shared" si="7"/>
        <v>0</v>
      </c>
      <c r="CL17" s="14">
        <f t="shared" si="8"/>
        <v>0</v>
      </c>
      <c r="CM17" s="14">
        <f t="shared" si="9"/>
        <v>131</v>
      </c>
      <c r="CN17" s="14">
        <f t="shared" si="10"/>
        <v>0</v>
      </c>
      <c r="CO17" s="14">
        <f t="shared" si="11"/>
        <v>0</v>
      </c>
      <c r="CP17" s="14">
        <f t="shared" si="12"/>
        <v>37.409999999999997</v>
      </c>
      <c r="CQ17" s="14">
        <f t="shared" si="26"/>
        <v>1</v>
      </c>
      <c r="CR17" s="14">
        <f t="shared" si="27"/>
        <v>0</v>
      </c>
      <c r="CS17" s="14">
        <f t="shared" si="28"/>
        <v>21</v>
      </c>
      <c r="CV17" s="14">
        <f t="shared" si="13"/>
        <v>3</v>
      </c>
      <c r="CW17" s="14">
        <f t="shared" si="14"/>
        <v>0</v>
      </c>
      <c r="CX17" s="14" t="str">
        <f t="shared" si="29"/>
        <v>HPExt</v>
      </c>
      <c r="CY17" s="14">
        <f t="shared" si="30"/>
        <v>131</v>
      </c>
      <c r="CZ17" s="14">
        <f t="shared" si="31"/>
        <v>37.409999999999997</v>
      </c>
      <c r="DA17" s="14" t="str">
        <f t="shared" si="32"/>
        <v/>
      </c>
      <c r="DB17" s="14" t="str">
        <f t="shared" si="33"/>
        <v/>
      </c>
      <c r="DC17" s="14" t="str">
        <f t="shared" si="34"/>
        <v/>
      </c>
      <c r="DD17" s="14">
        <f t="shared" si="35"/>
        <v>1</v>
      </c>
      <c r="DE17" s="14">
        <f t="shared" si="36"/>
        <v>0</v>
      </c>
      <c r="DF17" s="14">
        <f t="shared" si="37"/>
        <v>21</v>
      </c>
      <c r="DG17" s="14">
        <f t="shared" si="38"/>
        <v>5</v>
      </c>
      <c r="DJ17" s="13">
        <v>1062</v>
      </c>
      <c r="DK17" s="13" t="s">
        <v>883</v>
      </c>
      <c r="DL17" s="37"/>
      <c r="DM17" s="37"/>
      <c r="DN17" s="13">
        <v>5</v>
      </c>
      <c r="DO17" s="13" t="s">
        <v>889</v>
      </c>
      <c r="DP17" s="13">
        <v>2</v>
      </c>
      <c r="DQ17" s="13">
        <v>3</v>
      </c>
      <c r="DR17" s="13" t="s">
        <v>851</v>
      </c>
      <c r="DS17" s="13">
        <f>AJ7</f>
        <v>3608</v>
      </c>
      <c r="DU17" s="13">
        <v>5</v>
      </c>
      <c r="DV17" s="13" t="s">
        <v>875</v>
      </c>
      <c r="DW17" s="13">
        <v>2</v>
      </c>
      <c r="DX17" s="13">
        <v>3</v>
      </c>
      <c r="DY17" s="13" t="s">
        <v>851</v>
      </c>
      <c r="DZ17" s="13">
        <f>AJ13</f>
        <v>6436</v>
      </c>
      <c r="EC17" s="13">
        <v>13</v>
      </c>
      <c r="ED17" s="13">
        <f t="shared" si="39"/>
        <v>3</v>
      </c>
      <c r="EE17" s="13" t="str">
        <f t="shared" si="40"/>
        <v>60级寄灵人洗练-1</v>
      </c>
      <c r="EF17" s="13">
        <f t="shared" si="41"/>
        <v>13</v>
      </c>
      <c r="EG17" s="13">
        <f t="shared" si="42"/>
        <v>1</v>
      </c>
      <c r="EH17" s="13">
        <f t="shared" si="43"/>
        <v>2500</v>
      </c>
      <c r="EI17" s="13" t="str">
        <f t="shared" si="44"/>
        <v>AtkExt</v>
      </c>
      <c r="EJ17" s="13">
        <f t="shared" si="45"/>
        <v>128</v>
      </c>
    </row>
    <row r="18" spans="1:140" s="20" customFormat="1" ht="16.5" x14ac:dyDescent="0.2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13">
        <v>13</v>
      </c>
      <c r="BE18" s="13">
        <v>2</v>
      </c>
      <c r="BF18" s="13">
        <v>40</v>
      </c>
      <c r="BG18" s="13">
        <v>2</v>
      </c>
      <c r="BH18" s="13">
        <v>1</v>
      </c>
      <c r="BI18" s="13">
        <v>1</v>
      </c>
      <c r="BJ18" s="13">
        <f t="shared" si="46"/>
        <v>2022010</v>
      </c>
      <c r="BK18" s="13" t="s">
        <v>719</v>
      </c>
      <c r="BL18" s="13"/>
      <c r="BM18" s="13">
        <v>8</v>
      </c>
      <c r="BN18" s="13">
        <f>SUM(BM$6:BM18)</f>
        <v>104</v>
      </c>
      <c r="BO18" s="13">
        <v>1</v>
      </c>
      <c r="BP18" s="13">
        <v>2</v>
      </c>
      <c r="BQ18" s="13">
        <v>3</v>
      </c>
      <c r="BR18" s="13">
        <v>4</v>
      </c>
      <c r="BS18" s="13">
        <v>5</v>
      </c>
      <c r="BT18" s="13">
        <v>6</v>
      </c>
      <c r="BU18" s="13">
        <v>7</v>
      </c>
      <c r="BV18" s="13">
        <v>8</v>
      </c>
      <c r="BW18" s="37"/>
      <c r="BY18" s="13">
        <v>14</v>
      </c>
      <c r="BZ18" s="14">
        <f t="shared" si="21"/>
        <v>2</v>
      </c>
      <c r="CA18" s="14">
        <f t="shared" si="22"/>
        <v>2</v>
      </c>
      <c r="CB18" s="14">
        <f t="shared" si="1"/>
        <v>1</v>
      </c>
      <c r="CC18" s="14">
        <f t="shared" si="2"/>
        <v>2011026</v>
      </c>
      <c r="CD18" s="13" t="str">
        <f t="shared" si="3"/>
        <v>20级守护灵绿色-护手</v>
      </c>
      <c r="CE18" s="14">
        <f t="shared" si="4"/>
        <v>2</v>
      </c>
      <c r="CF18" s="14">
        <f t="shared" si="5"/>
        <v>1</v>
      </c>
      <c r="CG18" s="14">
        <f t="shared" si="23"/>
        <v>20</v>
      </c>
      <c r="CH18" s="14">
        <f t="shared" si="24"/>
        <v>20</v>
      </c>
      <c r="CI18" s="14">
        <f t="shared" si="6"/>
        <v>6</v>
      </c>
      <c r="CJ18" s="14" t="str">
        <f t="shared" si="25"/>
        <v/>
      </c>
      <c r="CK18" s="14">
        <f t="shared" si="7"/>
        <v>0</v>
      </c>
      <c r="CL18" s="14">
        <f t="shared" si="8"/>
        <v>0</v>
      </c>
      <c r="CM18" s="14">
        <f t="shared" si="9"/>
        <v>131</v>
      </c>
      <c r="CN18" s="14">
        <f t="shared" si="10"/>
        <v>0</v>
      </c>
      <c r="CO18" s="14">
        <f t="shared" si="11"/>
        <v>0</v>
      </c>
      <c r="CP18" s="14">
        <f t="shared" si="12"/>
        <v>37.409999999999997</v>
      </c>
      <c r="CQ18" s="14">
        <f t="shared" si="26"/>
        <v>1</v>
      </c>
      <c r="CR18" s="14">
        <f t="shared" si="27"/>
        <v>0</v>
      </c>
      <c r="CS18" s="14">
        <f t="shared" si="28"/>
        <v>21</v>
      </c>
      <c r="CV18" s="14">
        <f t="shared" si="13"/>
        <v>3</v>
      </c>
      <c r="CW18" s="14">
        <f t="shared" si="14"/>
        <v>0</v>
      </c>
      <c r="CX18" s="14" t="str">
        <f t="shared" si="29"/>
        <v>HPExt</v>
      </c>
      <c r="CY18" s="14">
        <f t="shared" si="30"/>
        <v>131</v>
      </c>
      <c r="CZ18" s="14">
        <f t="shared" si="31"/>
        <v>37.409999999999997</v>
      </c>
      <c r="DA18" s="14" t="str">
        <f t="shared" si="32"/>
        <v/>
      </c>
      <c r="DB18" s="14" t="str">
        <f t="shared" si="33"/>
        <v/>
      </c>
      <c r="DC18" s="14" t="str">
        <f t="shared" si="34"/>
        <v/>
      </c>
      <c r="DD18" s="14">
        <f t="shared" si="35"/>
        <v>1</v>
      </c>
      <c r="DE18" s="14">
        <f t="shared" si="36"/>
        <v>0</v>
      </c>
      <c r="DF18" s="14">
        <f t="shared" si="37"/>
        <v>21</v>
      </c>
      <c r="DG18" s="14">
        <f t="shared" si="38"/>
        <v>5</v>
      </c>
      <c r="DJ18" s="13">
        <v>1063</v>
      </c>
      <c r="DK18" s="13" t="s">
        <v>884</v>
      </c>
      <c r="DL18" s="37"/>
      <c r="DM18" s="37"/>
      <c r="DN18" s="13">
        <v>5</v>
      </c>
      <c r="DO18" s="13" t="s">
        <v>889</v>
      </c>
      <c r="DP18" s="13">
        <v>3</v>
      </c>
      <c r="DQ18" s="13">
        <v>5</v>
      </c>
      <c r="DR18" s="13" t="s">
        <v>846</v>
      </c>
      <c r="DS18" s="13">
        <v>0.15</v>
      </c>
      <c r="DU18" s="13">
        <v>5</v>
      </c>
      <c r="DV18" s="13" t="s">
        <v>875</v>
      </c>
      <c r="DW18" s="13">
        <v>3</v>
      </c>
      <c r="DX18" s="13">
        <v>5</v>
      </c>
      <c r="DY18" s="13" t="s">
        <v>846</v>
      </c>
      <c r="DZ18" s="13">
        <v>0.15</v>
      </c>
      <c r="EC18" s="13">
        <v>14</v>
      </c>
      <c r="ED18" s="13">
        <f t="shared" si="39"/>
        <v>3</v>
      </c>
      <c r="EE18" s="13" t="str">
        <f t="shared" si="40"/>
        <v>60级寄灵人洗练-2</v>
      </c>
      <c r="EF18" s="13">
        <f t="shared" si="41"/>
        <v>13</v>
      </c>
      <c r="EG18" s="13">
        <f t="shared" si="42"/>
        <v>2</v>
      </c>
      <c r="EH18" s="13">
        <f t="shared" si="43"/>
        <v>2500</v>
      </c>
      <c r="EI18" s="13" t="str">
        <f t="shared" si="44"/>
        <v>DefExt</v>
      </c>
      <c r="EJ18" s="13">
        <f t="shared" si="45"/>
        <v>46</v>
      </c>
    </row>
    <row r="19" spans="1:140" s="20" customFormat="1" ht="16.5" x14ac:dyDescent="0.2"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13">
        <v>14</v>
      </c>
      <c r="BE19" s="13">
        <v>2</v>
      </c>
      <c r="BF19" s="13">
        <v>40</v>
      </c>
      <c r="BG19" s="13">
        <v>2</v>
      </c>
      <c r="BH19" s="13">
        <v>2</v>
      </c>
      <c r="BI19" s="13">
        <v>2</v>
      </c>
      <c r="BJ19" s="13">
        <f t="shared" si="46"/>
        <v>2022020</v>
      </c>
      <c r="BK19" s="13" t="s">
        <v>720</v>
      </c>
      <c r="BL19" s="13"/>
      <c r="BM19" s="13">
        <v>8</v>
      </c>
      <c r="BN19" s="13">
        <f>SUM(BM$6:BM19)</f>
        <v>112</v>
      </c>
      <c r="BO19" s="13">
        <v>1</v>
      </c>
      <c r="BP19" s="13">
        <v>2</v>
      </c>
      <c r="BQ19" s="13">
        <v>3</v>
      </c>
      <c r="BR19" s="13">
        <v>4</v>
      </c>
      <c r="BS19" s="13">
        <v>5</v>
      </c>
      <c r="BT19" s="13">
        <v>6</v>
      </c>
      <c r="BU19" s="13">
        <v>7</v>
      </c>
      <c r="BV19" s="13">
        <v>8</v>
      </c>
      <c r="BW19" s="37"/>
      <c r="BY19" s="13">
        <v>15</v>
      </c>
      <c r="BZ19" s="14">
        <f t="shared" si="21"/>
        <v>2</v>
      </c>
      <c r="CA19" s="14">
        <f t="shared" si="22"/>
        <v>2</v>
      </c>
      <c r="CB19" s="14">
        <f t="shared" si="1"/>
        <v>1</v>
      </c>
      <c r="CC19" s="14">
        <f t="shared" si="2"/>
        <v>2011027</v>
      </c>
      <c r="CD19" s="13" t="str">
        <f t="shared" si="3"/>
        <v>20级守护灵绿色-项链</v>
      </c>
      <c r="CE19" s="14">
        <f t="shared" si="4"/>
        <v>2</v>
      </c>
      <c r="CF19" s="14">
        <f t="shared" si="5"/>
        <v>1</v>
      </c>
      <c r="CG19" s="14">
        <f t="shared" si="23"/>
        <v>20</v>
      </c>
      <c r="CH19" s="14">
        <f t="shared" si="24"/>
        <v>20</v>
      </c>
      <c r="CI19" s="14">
        <f t="shared" si="6"/>
        <v>7</v>
      </c>
      <c r="CJ19" s="14" t="str">
        <f t="shared" si="25"/>
        <v/>
      </c>
      <c r="CK19" s="14">
        <f t="shared" si="7"/>
        <v>22</v>
      </c>
      <c r="CL19" s="14">
        <f t="shared" si="8"/>
        <v>12</v>
      </c>
      <c r="CM19" s="14">
        <f t="shared" si="9"/>
        <v>0</v>
      </c>
      <c r="CN19" s="14">
        <f t="shared" si="10"/>
        <v>6.42</v>
      </c>
      <c r="CO19" s="14">
        <f t="shared" si="11"/>
        <v>3.29</v>
      </c>
      <c r="CP19" s="14">
        <f t="shared" si="12"/>
        <v>0</v>
      </c>
      <c r="CQ19" s="14">
        <f t="shared" si="26"/>
        <v>1</v>
      </c>
      <c r="CR19" s="14">
        <f t="shared" si="27"/>
        <v>0</v>
      </c>
      <c r="CS19" s="14">
        <f t="shared" si="28"/>
        <v>21</v>
      </c>
      <c r="CV19" s="14">
        <f t="shared" si="13"/>
        <v>1</v>
      </c>
      <c r="CW19" s="14">
        <f t="shared" si="14"/>
        <v>2</v>
      </c>
      <c r="CX19" s="14" t="str">
        <f t="shared" si="29"/>
        <v>AtkExt</v>
      </c>
      <c r="CY19" s="14">
        <f t="shared" si="30"/>
        <v>22</v>
      </c>
      <c r="CZ19" s="14">
        <f t="shared" si="31"/>
        <v>6.42</v>
      </c>
      <c r="DA19" s="14" t="str">
        <f t="shared" si="32"/>
        <v>DefExt</v>
      </c>
      <c r="DB19" s="14">
        <f t="shared" si="33"/>
        <v>12</v>
      </c>
      <c r="DC19" s="14">
        <f t="shared" si="34"/>
        <v>3.29</v>
      </c>
      <c r="DD19" s="14">
        <f t="shared" si="35"/>
        <v>1</v>
      </c>
      <c r="DE19" s="14">
        <f t="shared" si="36"/>
        <v>0</v>
      </c>
      <c r="DF19" s="14">
        <f t="shared" si="37"/>
        <v>21</v>
      </c>
      <c r="DG19" s="14">
        <f t="shared" si="38"/>
        <v>5</v>
      </c>
      <c r="DJ19" s="13">
        <f>DJ5+1000</f>
        <v>2011</v>
      </c>
      <c r="DK19" s="13" t="s">
        <v>885</v>
      </c>
      <c r="DL19" s="37"/>
      <c r="DM19" s="37"/>
      <c r="DN19" s="13">
        <v>6</v>
      </c>
      <c r="DO19" s="13" t="s">
        <v>890</v>
      </c>
      <c r="DP19" s="13">
        <v>1</v>
      </c>
      <c r="DQ19" s="13">
        <v>2</v>
      </c>
      <c r="DR19" s="13" t="s">
        <v>844</v>
      </c>
      <c r="DS19" s="13">
        <f>AI8</f>
        <v>1796</v>
      </c>
      <c r="DU19" s="13">
        <v>6</v>
      </c>
      <c r="DV19" s="13" t="s">
        <v>876</v>
      </c>
      <c r="DW19" s="13">
        <v>1</v>
      </c>
      <c r="DX19" s="13">
        <v>2</v>
      </c>
      <c r="DY19" s="13" t="s">
        <v>844</v>
      </c>
      <c r="DZ19" s="13">
        <f>AI14</f>
        <v>1902</v>
      </c>
      <c r="EC19" s="13">
        <v>15</v>
      </c>
      <c r="ED19" s="13">
        <f t="shared" si="39"/>
        <v>3</v>
      </c>
      <c r="EE19" s="13" t="str">
        <f t="shared" si="40"/>
        <v>60级寄灵人洗练-3</v>
      </c>
      <c r="EF19" s="13">
        <f t="shared" si="41"/>
        <v>13</v>
      </c>
      <c r="EG19" s="13">
        <f t="shared" si="42"/>
        <v>3</v>
      </c>
      <c r="EH19" s="13">
        <f t="shared" si="43"/>
        <v>2600</v>
      </c>
      <c r="EI19" s="13" t="str">
        <f t="shared" si="44"/>
        <v>HPExt</v>
      </c>
      <c r="EJ19" s="13">
        <f t="shared" si="45"/>
        <v>296</v>
      </c>
    </row>
    <row r="20" spans="1:140" s="20" customFormat="1" ht="16.5" x14ac:dyDescent="0.2"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13">
        <v>15</v>
      </c>
      <c r="BE20" s="13">
        <v>2</v>
      </c>
      <c r="BF20" s="13">
        <v>40</v>
      </c>
      <c r="BG20" s="13">
        <v>3</v>
      </c>
      <c r="BH20" s="13">
        <v>1</v>
      </c>
      <c r="BI20" s="13">
        <v>1</v>
      </c>
      <c r="BJ20" s="13">
        <f t="shared" si="46"/>
        <v>2023010</v>
      </c>
      <c r="BK20" s="13" t="s">
        <v>721</v>
      </c>
      <c r="BL20" s="13"/>
      <c r="BM20" s="13">
        <v>8</v>
      </c>
      <c r="BN20" s="13">
        <f>SUM(BM$6:BM20)</f>
        <v>120</v>
      </c>
      <c r="BO20" s="13">
        <v>1</v>
      </c>
      <c r="BP20" s="13">
        <v>2</v>
      </c>
      <c r="BQ20" s="13">
        <v>3</v>
      </c>
      <c r="BR20" s="13">
        <v>4</v>
      </c>
      <c r="BS20" s="13">
        <v>5</v>
      </c>
      <c r="BT20" s="13">
        <v>6</v>
      </c>
      <c r="BU20" s="13">
        <v>7</v>
      </c>
      <c r="BV20" s="13">
        <v>8</v>
      </c>
      <c r="BW20" s="37"/>
      <c r="BY20" s="13">
        <v>16</v>
      </c>
      <c r="BZ20" s="14">
        <f t="shared" si="21"/>
        <v>2</v>
      </c>
      <c r="CA20" s="14">
        <f t="shared" si="22"/>
        <v>2</v>
      </c>
      <c r="CB20" s="14">
        <f t="shared" si="1"/>
        <v>1</v>
      </c>
      <c r="CC20" s="14">
        <f t="shared" si="2"/>
        <v>2011028</v>
      </c>
      <c r="CD20" s="13" t="str">
        <f t="shared" si="3"/>
        <v>20级守护灵绿色-戒指</v>
      </c>
      <c r="CE20" s="14">
        <f t="shared" si="4"/>
        <v>2</v>
      </c>
      <c r="CF20" s="14">
        <f t="shared" si="5"/>
        <v>1</v>
      </c>
      <c r="CG20" s="14">
        <f t="shared" si="23"/>
        <v>20</v>
      </c>
      <c r="CH20" s="14">
        <f t="shared" si="24"/>
        <v>20</v>
      </c>
      <c r="CI20" s="14">
        <f t="shared" si="6"/>
        <v>8</v>
      </c>
      <c r="CJ20" s="14" t="str">
        <f t="shared" si="25"/>
        <v/>
      </c>
      <c r="CK20" s="14">
        <f t="shared" si="7"/>
        <v>22</v>
      </c>
      <c r="CL20" s="14">
        <f t="shared" si="8"/>
        <v>0</v>
      </c>
      <c r="CM20" s="14">
        <f t="shared" si="9"/>
        <v>109</v>
      </c>
      <c r="CN20" s="14">
        <f t="shared" si="10"/>
        <v>6.42</v>
      </c>
      <c r="CO20" s="14">
        <f t="shared" si="11"/>
        <v>0</v>
      </c>
      <c r="CP20" s="14">
        <f t="shared" si="12"/>
        <v>31.18</v>
      </c>
      <c r="CQ20" s="14">
        <f t="shared" si="26"/>
        <v>1</v>
      </c>
      <c r="CR20" s="14">
        <f t="shared" si="27"/>
        <v>0</v>
      </c>
      <c r="CS20" s="14">
        <f t="shared" si="28"/>
        <v>21</v>
      </c>
      <c r="CV20" s="14">
        <f t="shared" si="13"/>
        <v>1</v>
      </c>
      <c r="CW20" s="14">
        <f t="shared" si="14"/>
        <v>3</v>
      </c>
      <c r="CX20" s="14" t="str">
        <f t="shared" si="29"/>
        <v>AtkExt</v>
      </c>
      <c r="CY20" s="14">
        <f t="shared" si="30"/>
        <v>22</v>
      </c>
      <c r="CZ20" s="14">
        <f t="shared" si="31"/>
        <v>6.42</v>
      </c>
      <c r="DA20" s="14" t="str">
        <f t="shared" si="32"/>
        <v>HPExt</v>
      </c>
      <c r="DB20" s="14">
        <f t="shared" si="33"/>
        <v>109</v>
      </c>
      <c r="DC20" s="14">
        <f t="shared" si="34"/>
        <v>31.18</v>
      </c>
      <c r="DD20" s="14">
        <f t="shared" si="35"/>
        <v>1</v>
      </c>
      <c r="DE20" s="14">
        <f t="shared" si="36"/>
        <v>0</v>
      </c>
      <c r="DF20" s="14">
        <f t="shared" si="37"/>
        <v>21</v>
      </c>
      <c r="DG20" s="14">
        <f t="shared" si="38"/>
        <v>5</v>
      </c>
      <c r="DJ20" s="13">
        <f t="shared" ref="DJ20:DJ32" si="47">DJ6+1000</f>
        <v>2021</v>
      </c>
      <c r="DK20" s="13" t="s">
        <v>886</v>
      </c>
      <c r="DL20" s="37"/>
      <c r="DM20" s="37"/>
      <c r="DN20" s="13">
        <v>6</v>
      </c>
      <c r="DO20" s="13" t="s">
        <v>890</v>
      </c>
      <c r="DP20" s="13">
        <v>2</v>
      </c>
      <c r="DQ20" s="13">
        <v>3</v>
      </c>
      <c r="DR20" s="13" t="s">
        <v>857</v>
      </c>
      <c r="DS20" s="13">
        <f>AJ8</f>
        <v>5469</v>
      </c>
      <c r="DU20" s="13">
        <v>6</v>
      </c>
      <c r="DV20" s="13" t="s">
        <v>876</v>
      </c>
      <c r="DW20" s="13">
        <v>2</v>
      </c>
      <c r="DX20" s="13">
        <v>3</v>
      </c>
      <c r="DY20" s="13" t="s">
        <v>857</v>
      </c>
      <c r="DZ20" s="13">
        <f>AJ14</f>
        <v>9784</v>
      </c>
      <c r="EC20" s="13">
        <v>16</v>
      </c>
      <c r="ED20" s="13">
        <f t="shared" si="39"/>
        <v>3</v>
      </c>
      <c r="EE20" s="13" t="str">
        <f t="shared" si="40"/>
        <v>60级寄灵人洗练-4</v>
      </c>
      <c r="EF20" s="13">
        <f t="shared" si="41"/>
        <v>13</v>
      </c>
      <c r="EG20" s="13">
        <f t="shared" si="42"/>
        <v>4</v>
      </c>
      <c r="EH20" s="13">
        <f t="shared" si="43"/>
        <v>800</v>
      </c>
      <c r="EI20" s="13" t="str">
        <f t="shared" si="44"/>
        <v>AtkRate</v>
      </c>
      <c r="EJ20" s="13">
        <f t="shared" si="45"/>
        <v>0.04</v>
      </c>
    </row>
    <row r="21" spans="1:140" s="20" customFormat="1" ht="16.5" x14ac:dyDescent="0.2"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13">
        <v>16</v>
      </c>
      <c r="BE21" s="13">
        <v>2</v>
      </c>
      <c r="BF21" s="13">
        <v>40</v>
      </c>
      <c r="BG21" s="13">
        <v>3</v>
      </c>
      <c r="BH21" s="13">
        <v>2</v>
      </c>
      <c r="BI21" s="13">
        <v>2</v>
      </c>
      <c r="BJ21" s="13">
        <f t="shared" si="46"/>
        <v>2023020</v>
      </c>
      <c r="BK21" s="13" t="s">
        <v>722</v>
      </c>
      <c r="BL21" s="13"/>
      <c r="BM21" s="13">
        <v>8</v>
      </c>
      <c r="BN21" s="13">
        <f>SUM(BM$6:BM21)</f>
        <v>128</v>
      </c>
      <c r="BO21" s="13">
        <v>1</v>
      </c>
      <c r="BP21" s="13">
        <v>2</v>
      </c>
      <c r="BQ21" s="13">
        <v>3</v>
      </c>
      <c r="BR21" s="13">
        <v>4</v>
      </c>
      <c r="BS21" s="13">
        <v>5</v>
      </c>
      <c r="BT21" s="13">
        <v>6</v>
      </c>
      <c r="BU21" s="13">
        <v>7</v>
      </c>
      <c r="BV21" s="13">
        <v>8</v>
      </c>
      <c r="BW21" s="37"/>
      <c r="BY21" s="13">
        <v>17</v>
      </c>
      <c r="BZ21" s="14">
        <f t="shared" si="21"/>
        <v>3</v>
      </c>
      <c r="CA21" s="14">
        <f t="shared" si="22"/>
        <v>1</v>
      </c>
      <c r="CB21" s="14">
        <f t="shared" si="1"/>
        <v>1</v>
      </c>
      <c r="CC21" s="14">
        <f t="shared" si="2"/>
        <v>2012011</v>
      </c>
      <c r="CD21" s="13" t="str">
        <f t="shared" si="3"/>
        <v>20级寄灵人蓝色-武器</v>
      </c>
      <c r="CE21" s="14">
        <f t="shared" si="4"/>
        <v>1</v>
      </c>
      <c r="CF21" s="14">
        <f t="shared" si="5"/>
        <v>2</v>
      </c>
      <c r="CG21" s="14">
        <f t="shared" si="23"/>
        <v>20</v>
      </c>
      <c r="CH21" s="14">
        <f t="shared" si="24"/>
        <v>20</v>
      </c>
      <c r="CI21" s="14">
        <f t="shared" si="6"/>
        <v>1</v>
      </c>
      <c r="CJ21" s="14" t="str">
        <f t="shared" si="25"/>
        <v/>
      </c>
      <c r="CK21" s="14">
        <f t="shared" si="7"/>
        <v>66</v>
      </c>
      <c r="CL21" s="14">
        <f t="shared" si="8"/>
        <v>0</v>
      </c>
      <c r="CM21" s="14">
        <f t="shared" si="9"/>
        <v>0</v>
      </c>
      <c r="CN21" s="14">
        <f t="shared" si="10"/>
        <v>12.5</v>
      </c>
      <c r="CO21" s="14">
        <f t="shared" si="11"/>
        <v>0</v>
      </c>
      <c r="CP21" s="14">
        <f t="shared" si="12"/>
        <v>0</v>
      </c>
      <c r="CQ21" s="14">
        <f t="shared" si="26"/>
        <v>2</v>
      </c>
      <c r="CR21" s="14">
        <f t="shared" si="27"/>
        <v>0</v>
      </c>
      <c r="CS21" s="14">
        <f t="shared" si="28"/>
        <v>11</v>
      </c>
      <c r="CV21" s="14">
        <f t="shared" si="13"/>
        <v>1</v>
      </c>
      <c r="CW21" s="14">
        <f t="shared" si="14"/>
        <v>0</v>
      </c>
      <c r="CX21" s="14" t="str">
        <f t="shared" si="29"/>
        <v>AtkExt</v>
      </c>
      <c r="CY21" s="14">
        <f t="shared" si="30"/>
        <v>66</v>
      </c>
      <c r="CZ21" s="14">
        <f t="shared" si="31"/>
        <v>12.5</v>
      </c>
      <c r="DA21" s="14" t="str">
        <f t="shared" si="32"/>
        <v/>
      </c>
      <c r="DB21" s="14" t="str">
        <f t="shared" si="33"/>
        <v/>
      </c>
      <c r="DC21" s="14" t="str">
        <f t="shared" si="34"/>
        <v/>
      </c>
      <c r="DD21" s="14">
        <f t="shared" si="35"/>
        <v>2</v>
      </c>
      <c r="DE21" s="14">
        <f t="shared" si="36"/>
        <v>0</v>
      </c>
      <c r="DF21" s="14">
        <f t="shared" si="37"/>
        <v>11</v>
      </c>
      <c r="DG21" s="14">
        <f t="shared" si="38"/>
        <v>15</v>
      </c>
      <c r="DJ21" s="13">
        <f t="shared" si="47"/>
        <v>2022</v>
      </c>
      <c r="DK21" s="13" t="s">
        <v>887</v>
      </c>
      <c r="DL21" s="37"/>
      <c r="DM21" s="37"/>
      <c r="DN21" s="13">
        <v>6</v>
      </c>
      <c r="DO21" s="13" t="s">
        <v>890</v>
      </c>
      <c r="DP21" s="13">
        <v>3</v>
      </c>
      <c r="DQ21" s="13">
        <v>4</v>
      </c>
      <c r="DR21" s="13" t="s">
        <v>854</v>
      </c>
      <c r="DS21" s="13">
        <v>0.1</v>
      </c>
      <c r="DU21" s="13">
        <v>6</v>
      </c>
      <c r="DV21" s="13" t="s">
        <v>876</v>
      </c>
      <c r="DW21" s="13">
        <v>3</v>
      </c>
      <c r="DX21" s="13">
        <v>4</v>
      </c>
      <c r="DY21" s="13" t="s">
        <v>854</v>
      </c>
      <c r="DZ21" s="13">
        <v>0.1</v>
      </c>
      <c r="EC21" s="13">
        <v>17</v>
      </c>
      <c r="ED21" s="13">
        <f t="shared" si="39"/>
        <v>3</v>
      </c>
      <c r="EE21" s="13" t="str">
        <f t="shared" si="40"/>
        <v>60级寄灵人洗练-5</v>
      </c>
      <c r="EF21" s="13">
        <f t="shared" si="41"/>
        <v>13</v>
      </c>
      <c r="EG21" s="13">
        <f t="shared" si="42"/>
        <v>5</v>
      </c>
      <c r="EH21" s="13">
        <f t="shared" si="43"/>
        <v>800</v>
      </c>
      <c r="EI21" s="13" t="str">
        <f t="shared" si="44"/>
        <v>AtkRate</v>
      </c>
      <c r="EJ21" s="13">
        <f t="shared" si="45"/>
        <v>0.04</v>
      </c>
    </row>
    <row r="22" spans="1:140" s="20" customFormat="1" ht="16.5" x14ac:dyDescent="0.2"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13">
        <v>17</v>
      </c>
      <c r="BE22" s="13">
        <v>2</v>
      </c>
      <c r="BF22" s="13">
        <v>40</v>
      </c>
      <c r="BG22" s="13">
        <v>4</v>
      </c>
      <c r="BH22" s="13">
        <v>1</v>
      </c>
      <c r="BI22" s="13">
        <v>1</v>
      </c>
      <c r="BJ22" s="13">
        <f t="shared" si="46"/>
        <v>2024010</v>
      </c>
      <c r="BK22" s="13" t="s">
        <v>723</v>
      </c>
      <c r="BL22" s="13"/>
      <c r="BM22" s="13">
        <v>8</v>
      </c>
      <c r="BN22" s="13">
        <f>SUM(BM$6:BM22)</f>
        <v>136</v>
      </c>
      <c r="BO22" s="13">
        <v>1</v>
      </c>
      <c r="BP22" s="13">
        <v>2</v>
      </c>
      <c r="BQ22" s="13">
        <v>3</v>
      </c>
      <c r="BR22" s="13">
        <v>4</v>
      </c>
      <c r="BS22" s="13">
        <v>5</v>
      </c>
      <c r="BT22" s="13">
        <v>6</v>
      </c>
      <c r="BU22" s="13">
        <v>7</v>
      </c>
      <c r="BV22" s="13">
        <v>8</v>
      </c>
      <c r="BW22" s="37"/>
      <c r="BY22" s="13">
        <v>18</v>
      </c>
      <c r="BZ22" s="14">
        <f t="shared" si="21"/>
        <v>3</v>
      </c>
      <c r="CA22" s="14">
        <f t="shared" si="22"/>
        <v>1</v>
      </c>
      <c r="CB22" s="14">
        <f t="shared" si="1"/>
        <v>1</v>
      </c>
      <c r="CC22" s="14">
        <f t="shared" si="2"/>
        <v>2012012</v>
      </c>
      <c r="CD22" s="13" t="str">
        <f t="shared" si="3"/>
        <v>20级寄灵人蓝色-头盔</v>
      </c>
      <c r="CE22" s="14">
        <f t="shared" si="4"/>
        <v>1</v>
      </c>
      <c r="CF22" s="14">
        <f t="shared" si="5"/>
        <v>2</v>
      </c>
      <c r="CG22" s="14">
        <f t="shared" si="23"/>
        <v>20</v>
      </c>
      <c r="CH22" s="14">
        <f t="shared" si="24"/>
        <v>20</v>
      </c>
      <c r="CI22" s="14">
        <f t="shared" si="6"/>
        <v>2</v>
      </c>
      <c r="CJ22" s="14" t="str">
        <f t="shared" si="25"/>
        <v/>
      </c>
      <c r="CK22" s="14">
        <f t="shared" si="7"/>
        <v>0</v>
      </c>
      <c r="CL22" s="14">
        <f t="shared" si="8"/>
        <v>13</v>
      </c>
      <c r="CM22" s="14">
        <f t="shared" si="9"/>
        <v>0</v>
      </c>
      <c r="CN22" s="14">
        <f t="shared" si="10"/>
        <v>0</v>
      </c>
      <c r="CO22" s="14">
        <f t="shared" si="11"/>
        <v>2.56</v>
      </c>
      <c r="CP22" s="14">
        <f t="shared" si="12"/>
        <v>0</v>
      </c>
      <c r="CQ22" s="14">
        <f t="shared" si="26"/>
        <v>2</v>
      </c>
      <c r="CR22" s="14">
        <f t="shared" si="27"/>
        <v>0</v>
      </c>
      <c r="CS22" s="14">
        <f t="shared" si="28"/>
        <v>11</v>
      </c>
      <c r="CV22" s="14">
        <f t="shared" si="13"/>
        <v>2</v>
      </c>
      <c r="CW22" s="14">
        <f t="shared" si="14"/>
        <v>0</v>
      </c>
      <c r="CX22" s="14" t="str">
        <f t="shared" si="29"/>
        <v>DefExt</v>
      </c>
      <c r="CY22" s="14">
        <f t="shared" si="30"/>
        <v>13</v>
      </c>
      <c r="CZ22" s="14">
        <f t="shared" si="31"/>
        <v>2.56</v>
      </c>
      <c r="DA22" s="14" t="str">
        <f t="shared" si="32"/>
        <v/>
      </c>
      <c r="DB22" s="14" t="str">
        <f t="shared" si="33"/>
        <v/>
      </c>
      <c r="DC22" s="14" t="str">
        <f t="shared" si="34"/>
        <v/>
      </c>
      <c r="DD22" s="14">
        <f t="shared" si="35"/>
        <v>2</v>
      </c>
      <c r="DE22" s="14">
        <f t="shared" si="36"/>
        <v>0</v>
      </c>
      <c r="DF22" s="14">
        <f t="shared" si="37"/>
        <v>11</v>
      </c>
      <c r="DG22" s="14">
        <f t="shared" si="38"/>
        <v>15</v>
      </c>
      <c r="DJ22" s="13">
        <f t="shared" si="47"/>
        <v>2031</v>
      </c>
      <c r="DK22" s="13" t="s">
        <v>888</v>
      </c>
      <c r="DL22" s="37"/>
      <c r="DM22" s="37"/>
      <c r="DN22" s="13">
        <v>6</v>
      </c>
      <c r="DO22" s="13" t="s">
        <v>890</v>
      </c>
      <c r="DP22" s="13">
        <v>4</v>
      </c>
      <c r="DQ22" s="13">
        <v>5</v>
      </c>
      <c r="DR22" s="13" t="s">
        <v>856</v>
      </c>
      <c r="DS22" s="13">
        <v>0.1</v>
      </c>
      <c r="DU22" s="13">
        <v>6</v>
      </c>
      <c r="DV22" s="13" t="s">
        <v>876</v>
      </c>
      <c r="DW22" s="13">
        <v>4</v>
      </c>
      <c r="DX22" s="13">
        <v>5</v>
      </c>
      <c r="DY22" s="13" t="s">
        <v>856</v>
      </c>
      <c r="DZ22" s="13">
        <v>0.1</v>
      </c>
      <c r="EC22" s="13">
        <v>18</v>
      </c>
      <c r="ED22" s="13">
        <f t="shared" si="39"/>
        <v>3</v>
      </c>
      <c r="EE22" s="13" t="str">
        <f t="shared" si="40"/>
        <v>60级寄灵人洗练-6</v>
      </c>
      <c r="EF22" s="13">
        <f t="shared" si="41"/>
        <v>13</v>
      </c>
      <c r="EG22" s="13">
        <f t="shared" si="42"/>
        <v>6</v>
      </c>
      <c r="EH22" s="13">
        <f t="shared" si="43"/>
        <v>800</v>
      </c>
      <c r="EI22" s="13" t="str">
        <f t="shared" si="44"/>
        <v>AtkRate</v>
      </c>
      <c r="EJ22" s="13">
        <f t="shared" si="45"/>
        <v>0.04</v>
      </c>
    </row>
    <row r="23" spans="1:140" s="20" customFormat="1" ht="16.5" x14ac:dyDescent="0.2"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13">
        <v>18</v>
      </c>
      <c r="BE23" s="13">
        <v>2</v>
      </c>
      <c r="BF23" s="13">
        <v>40</v>
      </c>
      <c r="BG23" s="13">
        <v>4</v>
      </c>
      <c r="BH23" s="13">
        <v>2</v>
      </c>
      <c r="BI23" s="13">
        <v>2</v>
      </c>
      <c r="BJ23" s="13">
        <f t="shared" si="46"/>
        <v>2024020</v>
      </c>
      <c r="BK23" s="13" t="s">
        <v>724</v>
      </c>
      <c r="BL23" s="13"/>
      <c r="BM23" s="13">
        <v>8</v>
      </c>
      <c r="BN23" s="13">
        <f>SUM(BM$6:BM23)</f>
        <v>144</v>
      </c>
      <c r="BO23" s="13">
        <v>1</v>
      </c>
      <c r="BP23" s="13">
        <v>2</v>
      </c>
      <c r="BQ23" s="13">
        <v>3</v>
      </c>
      <c r="BR23" s="13">
        <v>4</v>
      </c>
      <c r="BS23" s="13">
        <v>5</v>
      </c>
      <c r="BT23" s="13">
        <v>6</v>
      </c>
      <c r="BU23" s="13">
        <v>7</v>
      </c>
      <c r="BV23" s="13">
        <v>8</v>
      </c>
      <c r="BW23" s="37"/>
      <c r="BY23" s="13">
        <v>19</v>
      </c>
      <c r="BZ23" s="14">
        <f t="shared" si="21"/>
        <v>3</v>
      </c>
      <c r="CA23" s="14">
        <f t="shared" si="22"/>
        <v>1</v>
      </c>
      <c r="CB23" s="14">
        <f t="shared" si="1"/>
        <v>1</v>
      </c>
      <c r="CC23" s="14">
        <f t="shared" si="2"/>
        <v>2012013</v>
      </c>
      <c r="CD23" s="13" t="str">
        <f t="shared" si="3"/>
        <v>20级寄灵人蓝色-肩甲</v>
      </c>
      <c r="CE23" s="14">
        <f t="shared" si="4"/>
        <v>1</v>
      </c>
      <c r="CF23" s="14">
        <f t="shared" si="5"/>
        <v>2</v>
      </c>
      <c r="CG23" s="14">
        <f t="shared" si="23"/>
        <v>20</v>
      </c>
      <c r="CH23" s="14">
        <f t="shared" si="24"/>
        <v>20</v>
      </c>
      <c r="CI23" s="14">
        <f t="shared" si="6"/>
        <v>3</v>
      </c>
      <c r="CJ23" s="14" t="str">
        <f t="shared" si="25"/>
        <v/>
      </c>
      <c r="CK23" s="14">
        <f t="shared" si="7"/>
        <v>0</v>
      </c>
      <c r="CL23" s="14">
        <f t="shared" si="8"/>
        <v>7</v>
      </c>
      <c r="CM23" s="14">
        <f t="shared" si="9"/>
        <v>57</v>
      </c>
      <c r="CN23" s="14">
        <f t="shared" si="10"/>
        <v>0</v>
      </c>
      <c r="CO23" s="14">
        <f t="shared" si="11"/>
        <v>1.28</v>
      </c>
      <c r="CP23" s="14">
        <f t="shared" si="12"/>
        <v>10.88</v>
      </c>
      <c r="CQ23" s="14">
        <f t="shared" si="26"/>
        <v>2</v>
      </c>
      <c r="CR23" s="14">
        <f t="shared" si="27"/>
        <v>0</v>
      </c>
      <c r="CS23" s="14">
        <f t="shared" si="28"/>
        <v>11</v>
      </c>
      <c r="CV23" s="14">
        <f t="shared" si="13"/>
        <v>2</v>
      </c>
      <c r="CW23" s="14">
        <f t="shared" si="14"/>
        <v>3</v>
      </c>
      <c r="CX23" s="14" t="str">
        <f t="shared" si="29"/>
        <v>DefExt</v>
      </c>
      <c r="CY23" s="14">
        <f t="shared" si="30"/>
        <v>7</v>
      </c>
      <c r="CZ23" s="14">
        <f t="shared" si="31"/>
        <v>1.28</v>
      </c>
      <c r="DA23" s="14" t="str">
        <f t="shared" si="32"/>
        <v>HPExt</v>
      </c>
      <c r="DB23" s="14">
        <f t="shared" si="33"/>
        <v>57</v>
      </c>
      <c r="DC23" s="14">
        <f t="shared" si="34"/>
        <v>10.88</v>
      </c>
      <c r="DD23" s="14">
        <f t="shared" si="35"/>
        <v>2</v>
      </c>
      <c r="DE23" s="14">
        <f t="shared" si="36"/>
        <v>0</v>
      </c>
      <c r="DF23" s="14">
        <f t="shared" si="37"/>
        <v>11</v>
      </c>
      <c r="DG23" s="14">
        <f t="shared" si="38"/>
        <v>15</v>
      </c>
      <c r="DJ23" s="13">
        <f t="shared" si="47"/>
        <v>2032</v>
      </c>
      <c r="DK23" s="13" t="s">
        <v>889</v>
      </c>
      <c r="DL23" s="37"/>
      <c r="DM23" s="37"/>
      <c r="DN23" s="13">
        <v>7</v>
      </c>
      <c r="DO23" s="13" t="s">
        <v>891</v>
      </c>
      <c r="DP23" s="13">
        <v>1</v>
      </c>
      <c r="DQ23" s="13">
        <v>2</v>
      </c>
      <c r="DR23" s="13" t="s">
        <v>850</v>
      </c>
      <c r="DS23" s="13">
        <f>AJ8</f>
        <v>5469</v>
      </c>
      <c r="DU23" s="13">
        <v>7</v>
      </c>
      <c r="DV23" s="13" t="s">
        <v>877</v>
      </c>
      <c r="DW23" s="13">
        <v>1</v>
      </c>
      <c r="DX23" s="13">
        <v>2</v>
      </c>
      <c r="DY23" s="13" t="s">
        <v>850</v>
      </c>
      <c r="DZ23" s="13">
        <f>AJ14</f>
        <v>9784</v>
      </c>
      <c r="EC23" s="13">
        <v>19</v>
      </c>
      <c r="ED23" s="13">
        <f t="shared" si="39"/>
        <v>4</v>
      </c>
      <c r="EE23" s="13" t="str">
        <f t="shared" si="40"/>
        <v>80级寄灵人洗练-1</v>
      </c>
      <c r="EF23" s="13">
        <f t="shared" si="41"/>
        <v>14</v>
      </c>
      <c r="EG23" s="13">
        <f t="shared" si="42"/>
        <v>1</v>
      </c>
      <c r="EH23" s="13">
        <f t="shared" si="43"/>
        <v>2500</v>
      </c>
      <c r="EI23" s="13" t="str">
        <f t="shared" si="44"/>
        <v>AtkExt</v>
      </c>
      <c r="EJ23" s="13">
        <f t="shared" si="45"/>
        <v>170</v>
      </c>
    </row>
    <row r="24" spans="1:140" s="20" customFormat="1" ht="16.5" x14ac:dyDescent="0.2"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13">
        <v>19</v>
      </c>
      <c r="BE24" s="13">
        <v>2</v>
      </c>
      <c r="BF24" s="13">
        <v>40</v>
      </c>
      <c r="BG24" s="13">
        <v>4</v>
      </c>
      <c r="BH24" s="13">
        <v>1</v>
      </c>
      <c r="BI24" s="13">
        <v>3</v>
      </c>
      <c r="BJ24" s="13">
        <f t="shared" si="46"/>
        <v>2024030</v>
      </c>
      <c r="BK24" s="13" t="s">
        <v>725</v>
      </c>
      <c r="BL24" s="13">
        <v>1021</v>
      </c>
      <c r="BM24" s="13">
        <v>4</v>
      </c>
      <c r="BN24" s="13">
        <f>SUM(BM$6:BM24)</f>
        <v>148</v>
      </c>
      <c r="BO24" s="13">
        <v>1</v>
      </c>
      <c r="BP24" s="13">
        <v>2</v>
      </c>
      <c r="BQ24" s="13">
        <v>3</v>
      </c>
      <c r="BR24" s="13">
        <v>4</v>
      </c>
      <c r="BS24" s="13"/>
      <c r="BT24" s="13"/>
      <c r="BU24" s="13"/>
      <c r="BV24" s="13"/>
      <c r="BW24" s="37"/>
      <c r="BY24" s="13">
        <v>20</v>
      </c>
      <c r="BZ24" s="14">
        <f t="shared" si="21"/>
        <v>3</v>
      </c>
      <c r="CA24" s="14">
        <f t="shared" si="22"/>
        <v>1</v>
      </c>
      <c r="CB24" s="14">
        <f t="shared" si="1"/>
        <v>1</v>
      </c>
      <c r="CC24" s="14">
        <f t="shared" si="2"/>
        <v>2012014</v>
      </c>
      <c r="CD24" s="13" t="str">
        <f t="shared" si="3"/>
        <v>20级寄灵人蓝色-衣服</v>
      </c>
      <c r="CE24" s="14">
        <f t="shared" si="4"/>
        <v>1</v>
      </c>
      <c r="CF24" s="14">
        <f t="shared" si="5"/>
        <v>2</v>
      </c>
      <c r="CG24" s="14">
        <f t="shared" si="23"/>
        <v>20</v>
      </c>
      <c r="CH24" s="14">
        <f t="shared" si="24"/>
        <v>20</v>
      </c>
      <c r="CI24" s="14">
        <f t="shared" si="6"/>
        <v>4</v>
      </c>
      <c r="CJ24" s="14" t="str">
        <f t="shared" si="25"/>
        <v/>
      </c>
      <c r="CK24" s="14">
        <f t="shared" si="7"/>
        <v>0</v>
      </c>
      <c r="CL24" s="14">
        <f t="shared" si="8"/>
        <v>13</v>
      </c>
      <c r="CM24" s="14">
        <f t="shared" si="9"/>
        <v>0</v>
      </c>
      <c r="CN24" s="14">
        <f t="shared" si="10"/>
        <v>0</v>
      </c>
      <c r="CO24" s="14">
        <f t="shared" si="11"/>
        <v>2.56</v>
      </c>
      <c r="CP24" s="14">
        <f t="shared" si="12"/>
        <v>0</v>
      </c>
      <c r="CQ24" s="14">
        <f t="shared" si="26"/>
        <v>2</v>
      </c>
      <c r="CR24" s="14">
        <f t="shared" si="27"/>
        <v>0</v>
      </c>
      <c r="CS24" s="14">
        <f t="shared" si="28"/>
        <v>11</v>
      </c>
      <c r="CV24" s="14">
        <f t="shared" si="13"/>
        <v>2</v>
      </c>
      <c r="CW24" s="14">
        <f t="shared" si="14"/>
        <v>0</v>
      </c>
      <c r="CX24" s="14" t="str">
        <f t="shared" si="29"/>
        <v>DefExt</v>
      </c>
      <c r="CY24" s="14">
        <f t="shared" si="30"/>
        <v>13</v>
      </c>
      <c r="CZ24" s="14">
        <f t="shared" si="31"/>
        <v>2.56</v>
      </c>
      <c r="DA24" s="14" t="str">
        <f t="shared" si="32"/>
        <v/>
      </c>
      <c r="DB24" s="14" t="str">
        <f t="shared" si="33"/>
        <v/>
      </c>
      <c r="DC24" s="14" t="str">
        <f t="shared" si="34"/>
        <v/>
      </c>
      <c r="DD24" s="14">
        <f t="shared" si="35"/>
        <v>2</v>
      </c>
      <c r="DE24" s="14">
        <f t="shared" si="36"/>
        <v>0</v>
      </c>
      <c r="DF24" s="14">
        <f t="shared" si="37"/>
        <v>11</v>
      </c>
      <c r="DG24" s="14">
        <f t="shared" si="38"/>
        <v>15</v>
      </c>
      <c r="DJ24" s="13">
        <f t="shared" si="47"/>
        <v>2041</v>
      </c>
      <c r="DK24" s="13" t="s">
        <v>890</v>
      </c>
      <c r="DL24" s="37"/>
      <c r="DM24" s="37"/>
      <c r="DN24" s="13">
        <v>7</v>
      </c>
      <c r="DO24" s="13" t="s">
        <v>891</v>
      </c>
      <c r="DP24" s="13">
        <v>2</v>
      </c>
      <c r="DQ24" s="13">
        <v>3</v>
      </c>
      <c r="DR24" s="13" t="s">
        <v>859</v>
      </c>
      <c r="DS24" s="13">
        <f>AI8</f>
        <v>1796</v>
      </c>
      <c r="DU24" s="13">
        <v>7</v>
      </c>
      <c r="DV24" s="13" t="s">
        <v>877</v>
      </c>
      <c r="DW24" s="13">
        <v>2</v>
      </c>
      <c r="DX24" s="13">
        <v>3</v>
      </c>
      <c r="DY24" s="13" t="s">
        <v>859</v>
      </c>
      <c r="DZ24" s="13">
        <f>AI14</f>
        <v>1902</v>
      </c>
      <c r="EC24" s="13">
        <v>20</v>
      </c>
      <c r="ED24" s="13">
        <f t="shared" si="39"/>
        <v>4</v>
      </c>
      <c r="EE24" s="13" t="str">
        <f t="shared" si="40"/>
        <v>80级寄灵人洗练-2</v>
      </c>
      <c r="EF24" s="13">
        <f t="shared" si="41"/>
        <v>14</v>
      </c>
      <c r="EG24" s="13">
        <f t="shared" si="42"/>
        <v>2</v>
      </c>
      <c r="EH24" s="13">
        <f t="shared" si="43"/>
        <v>2500</v>
      </c>
      <c r="EI24" s="13" t="str">
        <f t="shared" si="44"/>
        <v>DefExt</v>
      </c>
      <c r="EJ24" s="13">
        <f t="shared" si="45"/>
        <v>83</v>
      </c>
    </row>
    <row r="25" spans="1:140" s="20" customFormat="1" ht="16.5" x14ac:dyDescent="0.2"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13">
        <v>20</v>
      </c>
      <c r="BE25" s="13">
        <v>2</v>
      </c>
      <c r="BF25" s="13">
        <v>40</v>
      </c>
      <c r="BG25" s="13">
        <v>4</v>
      </c>
      <c r="BH25" s="13">
        <v>2</v>
      </c>
      <c r="BI25" s="13">
        <v>4</v>
      </c>
      <c r="BJ25" s="13">
        <f t="shared" si="46"/>
        <v>2024040</v>
      </c>
      <c r="BK25" s="13" t="s">
        <v>726</v>
      </c>
      <c r="BL25" s="13">
        <v>2021</v>
      </c>
      <c r="BM25" s="13">
        <v>4</v>
      </c>
      <c r="BN25" s="13">
        <f>SUM(BM$6:BM25)</f>
        <v>152</v>
      </c>
      <c r="BO25" s="13">
        <v>1</v>
      </c>
      <c r="BP25" s="13">
        <v>2</v>
      </c>
      <c r="BQ25" s="13">
        <v>3</v>
      </c>
      <c r="BR25" s="13">
        <v>4</v>
      </c>
      <c r="BS25" s="13"/>
      <c r="BT25" s="13"/>
      <c r="BU25" s="13"/>
      <c r="BV25" s="13"/>
      <c r="BW25" s="37"/>
      <c r="BY25" s="13">
        <v>21</v>
      </c>
      <c r="BZ25" s="14">
        <f t="shared" si="21"/>
        <v>3</v>
      </c>
      <c r="CA25" s="14">
        <f t="shared" si="22"/>
        <v>1</v>
      </c>
      <c r="CB25" s="14">
        <f t="shared" si="1"/>
        <v>1</v>
      </c>
      <c r="CC25" s="14">
        <f t="shared" si="2"/>
        <v>2012015</v>
      </c>
      <c r="CD25" s="13" t="str">
        <f t="shared" si="3"/>
        <v>20级寄灵人蓝色-鞋子</v>
      </c>
      <c r="CE25" s="14">
        <f t="shared" si="4"/>
        <v>1</v>
      </c>
      <c r="CF25" s="14">
        <f t="shared" si="5"/>
        <v>2</v>
      </c>
      <c r="CG25" s="14">
        <f t="shared" si="23"/>
        <v>20</v>
      </c>
      <c r="CH25" s="14">
        <f t="shared" si="24"/>
        <v>20</v>
      </c>
      <c r="CI25" s="14">
        <f t="shared" si="6"/>
        <v>5</v>
      </c>
      <c r="CJ25" s="14" t="str">
        <f t="shared" si="25"/>
        <v/>
      </c>
      <c r="CK25" s="14">
        <f t="shared" si="7"/>
        <v>0</v>
      </c>
      <c r="CL25" s="14">
        <f t="shared" si="8"/>
        <v>0</v>
      </c>
      <c r="CM25" s="14">
        <f t="shared" si="9"/>
        <v>114</v>
      </c>
      <c r="CN25" s="14">
        <f t="shared" si="10"/>
        <v>0</v>
      </c>
      <c r="CO25" s="14">
        <f t="shared" si="11"/>
        <v>0</v>
      </c>
      <c r="CP25" s="14">
        <f t="shared" si="12"/>
        <v>21.75</v>
      </c>
      <c r="CQ25" s="14">
        <f t="shared" si="26"/>
        <v>2</v>
      </c>
      <c r="CR25" s="14">
        <f t="shared" si="27"/>
        <v>0</v>
      </c>
      <c r="CS25" s="14">
        <f t="shared" si="28"/>
        <v>11</v>
      </c>
      <c r="CV25" s="14">
        <f t="shared" si="13"/>
        <v>3</v>
      </c>
      <c r="CW25" s="14">
        <f t="shared" si="14"/>
        <v>0</v>
      </c>
      <c r="CX25" s="14" t="str">
        <f t="shared" si="29"/>
        <v>HPExt</v>
      </c>
      <c r="CY25" s="14">
        <f t="shared" si="30"/>
        <v>114</v>
      </c>
      <c r="CZ25" s="14">
        <f t="shared" si="31"/>
        <v>21.75</v>
      </c>
      <c r="DA25" s="14" t="str">
        <f t="shared" si="32"/>
        <v/>
      </c>
      <c r="DB25" s="14" t="str">
        <f t="shared" si="33"/>
        <v/>
      </c>
      <c r="DC25" s="14" t="str">
        <f t="shared" si="34"/>
        <v/>
      </c>
      <c r="DD25" s="14">
        <f t="shared" si="35"/>
        <v>2</v>
      </c>
      <c r="DE25" s="14">
        <f t="shared" si="36"/>
        <v>0</v>
      </c>
      <c r="DF25" s="14">
        <f t="shared" si="37"/>
        <v>11</v>
      </c>
      <c r="DG25" s="14">
        <f t="shared" si="38"/>
        <v>15</v>
      </c>
      <c r="DJ25" s="13">
        <f t="shared" si="47"/>
        <v>2042</v>
      </c>
      <c r="DK25" s="13" t="s">
        <v>891</v>
      </c>
      <c r="DL25" s="37"/>
      <c r="DM25" s="37"/>
      <c r="DN25" s="13">
        <v>7</v>
      </c>
      <c r="DO25" s="13" t="s">
        <v>891</v>
      </c>
      <c r="DP25" s="13">
        <v>3</v>
      </c>
      <c r="DQ25" s="13">
        <v>5</v>
      </c>
      <c r="DR25" s="13" t="s">
        <v>858</v>
      </c>
      <c r="DS25" s="13">
        <v>0.15</v>
      </c>
      <c r="DU25" s="13">
        <v>7</v>
      </c>
      <c r="DV25" s="13" t="s">
        <v>877</v>
      </c>
      <c r="DW25" s="13">
        <v>3</v>
      </c>
      <c r="DX25" s="13">
        <v>5</v>
      </c>
      <c r="DY25" s="13" t="s">
        <v>858</v>
      </c>
      <c r="DZ25" s="13">
        <v>0.15</v>
      </c>
      <c r="EC25" s="13">
        <v>21</v>
      </c>
      <c r="ED25" s="13">
        <f t="shared" si="39"/>
        <v>4</v>
      </c>
      <c r="EE25" s="13" t="str">
        <f t="shared" si="40"/>
        <v>80级寄灵人洗练-3</v>
      </c>
      <c r="EF25" s="13">
        <f t="shared" si="41"/>
        <v>14</v>
      </c>
      <c r="EG25" s="13">
        <f t="shared" si="42"/>
        <v>3</v>
      </c>
      <c r="EH25" s="13">
        <f t="shared" si="43"/>
        <v>2600</v>
      </c>
      <c r="EI25" s="13" t="str">
        <f t="shared" si="44"/>
        <v>HPExt</v>
      </c>
      <c r="EJ25" s="13">
        <f t="shared" si="45"/>
        <v>518</v>
      </c>
    </row>
    <row r="26" spans="1:140" s="20" customFormat="1" ht="16.5" x14ac:dyDescent="0.2"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13">
        <v>21</v>
      </c>
      <c r="BE26" s="13">
        <v>2</v>
      </c>
      <c r="BF26" s="13">
        <v>40</v>
      </c>
      <c r="BG26" s="13">
        <v>4</v>
      </c>
      <c r="BH26" s="13">
        <v>1</v>
      </c>
      <c r="BI26" s="13">
        <v>5</v>
      </c>
      <c r="BJ26" s="13">
        <f t="shared" si="46"/>
        <v>2024050</v>
      </c>
      <c r="BK26" s="13" t="s">
        <v>727</v>
      </c>
      <c r="BL26" s="13">
        <v>1022</v>
      </c>
      <c r="BM26" s="13">
        <v>4</v>
      </c>
      <c r="BN26" s="13">
        <f>SUM(BM$6:BM26)</f>
        <v>156</v>
      </c>
      <c r="BO26" s="13">
        <v>5</v>
      </c>
      <c r="BP26" s="13">
        <v>6</v>
      </c>
      <c r="BQ26" s="13">
        <v>7</v>
      </c>
      <c r="BR26" s="13">
        <v>8</v>
      </c>
      <c r="BS26" s="13"/>
      <c r="BT26" s="13"/>
      <c r="BU26" s="13"/>
      <c r="BV26" s="13"/>
      <c r="BW26" s="37"/>
      <c r="BY26" s="13">
        <v>22</v>
      </c>
      <c r="BZ26" s="14">
        <f t="shared" si="21"/>
        <v>3</v>
      </c>
      <c r="CA26" s="14">
        <f t="shared" si="22"/>
        <v>1</v>
      </c>
      <c r="CB26" s="14">
        <f t="shared" si="1"/>
        <v>1</v>
      </c>
      <c r="CC26" s="14">
        <f t="shared" si="2"/>
        <v>2012016</v>
      </c>
      <c r="CD26" s="13" t="str">
        <f t="shared" si="3"/>
        <v>20级寄灵人蓝色-护手</v>
      </c>
      <c r="CE26" s="14">
        <f t="shared" si="4"/>
        <v>1</v>
      </c>
      <c r="CF26" s="14">
        <f t="shared" si="5"/>
        <v>2</v>
      </c>
      <c r="CG26" s="14">
        <f t="shared" si="23"/>
        <v>20</v>
      </c>
      <c r="CH26" s="14">
        <f t="shared" si="24"/>
        <v>20</v>
      </c>
      <c r="CI26" s="14">
        <f t="shared" si="6"/>
        <v>6</v>
      </c>
      <c r="CJ26" s="14" t="str">
        <f t="shared" si="25"/>
        <v/>
      </c>
      <c r="CK26" s="14">
        <f t="shared" si="7"/>
        <v>0</v>
      </c>
      <c r="CL26" s="14">
        <f t="shared" si="8"/>
        <v>0</v>
      </c>
      <c r="CM26" s="14">
        <f t="shared" si="9"/>
        <v>114</v>
      </c>
      <c r="CN26" s="14">
        <f t="shared" si="10"/>
        <v>0</v>
      </c>
      <c r="CO26" s="14">
        <f t="shared" si="11"/>
        <v>0</v>
      </c>
      <c r="CP26" s="14">
        <f t="shared" si="12"/>
        <v>21.75</v>
      </c>
      <c r="CQ26" s="14">
        <f t="shared" si="26"/>
        <v>2</v>
      </c>
      <c r="CR26" s="14">
        <f t="shared" si="27"/>
        <v>0</v>
      </c>
      <c r="CS26" s="14">
        <f t="shared" si="28"/>
        <v>11</v>
      </c>
      <c r="CV26" s="14">
        <f t="shared" si="13"/>
        <v>3</v>
      </c>
      <c r="CW26" s="14">
        <f t="shared" si="14"/>
        <v>0</v>
      </c>
      <c r="CX26" s="14" t="str">
        <f t="shared" si="29"/>
        <v>HPExt</v>
      </c>
      <c r="CY26" s="14">
        <f t="shared" si="30"/>
        <v>114</v>
      </c>
      <c r="CZ26" s="14">
        <f t="shared" si="31"/>
        <v>21.75</v>
      </c>
      <c r="DA26" s="14" t="str">
        <f t="shared" si="32"/>
        <v/>
      </c>
      <c r="DB26" s="14" t="str">
        <f t="shared" si="33"/>
        <v/>
      </c>
      <c r="DC26" s="14" t="str">
        <f t="shared" si="34"/>
        <v/>
      </c>
      <c r="DD26" s="14">
        <f t="shared" si="35"/>
        <v>2</v>
      </c>
      <c r="DE26" s="14">
        <f t="shared" si="36"/>
        <v>0</v>
      </c>
      <c r="DF26" s="14">
        <f t="shared" si="37"/>
        <v>11</v>
      </c>
      <c r="DG26" s="14">
        <f t="shared" si="38"/>
        <v>15</v>
      </c>
      <c r="DJ26" s="13">
        <f t="shared" si="47"/>
        <v>2043</v>
      </c>
      <c r="DK26" s="13" t="s">
        <v>892</v>
      </c>
      <c r="DL26" s="37"/>
      <c r="DM26" s="37"/>
      <c r="DN26" s="13">
        <v>8</v>
      </c>
      <c r="DO26" s="13" t="s">
        <v>892</v>
      </c>
      <c r="DP26" s="13">
        <v>1</v>
      </c>
      <c r="DQ26" s="13">
        <v>2</v>
      </c>
      <c r="DR26" s="13" t="s">
        <v>861</v>
      </c>
      <c r="DS26" s="13">
        <f>AI8</f>
        <v>1796</v>
      </c>
      <c r="DU26" s="13">
        <v>8</v>
      </c>
      <c r="DV26" s="13" t="s">
        <v>878</v>
      </c>
      <c r="DW26" s="13">
        <v>1</v>
      </c>
      <c r="DX26" s="13">
        <v>2</v>
      </c>
      <c r="DY26" s="13" t="s">
        <v>861</v>
      </c>
      <c r="DZ26" s="13">
        <f>AI14</f>
        <v>1902</v>
      </c>
      <c r="EC26" s="13">
        <v>22</v>
      </c>
      <c r="ED26" s="13">
        <f t="shared" si="39"/>
        <v>4</v>
      </c>
      <c r="EE26" s="13" t="str">
        <f t="shared" si="40"/>
        <v>80级寄灵人洗练-4</v>
      </c>
      <c r="EF26" s="13">
        <f t="shared" si="41"/>
        <v>14</v>
      </c>
      <c r="EG26" s="13">
        <f t="shared" si="42"/>
        <v>4</v>
      </c>
      <c r="EH26" s="13">
        <f t="shared" si="43"/>
        <v>800</v>
      </c>
      <c r="EI26" s="13" t="str">
        <f t="shared" si="44"/>
        <v>AtkRate</v>
      </c>
      <c r="EJ26" s="13">
        <f t="shared" si="45"/>
        <v>0.04</v>
      </c>
    </row>
    <row r="27" spans="1:140" s="20" customFormat="1" ht="16.5" x14ac:dyDescent="0.2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13">
        <v>22</v>
      </c>
      <c r="BE27" s="13">
        <v>2</v>
      </c>
      <c r="BF27" s="13">
        <v>40</v>
      </c>
      <c r="BG27" s="13">
        <v>4</v>
      </c>
      <c r="BH27" s="13">
        <v>2</v>
      </c>
      <c r="BI27" s="13">
        <v>6</v>
      </c>
      <c r="BJ27" s="13">
        <f t="shared" si="46"/>
        <v>2024060</v>
      </c>
      <c r="BK27" s="13" t="s">
        <v>728</v>
      </c>
      <c r="BL27" s="13">
        <v>2022</v>
      </c>
      <c r="BM27" s="13">
        <v>4</v>
      </c>
      <c r="BN27" s="13">
        <f>SUM(BM$6:BM27)</f>
        <v>160</v>
      </c>
      <c r="BO27" s="13">
        <v>5</v>
      </c>
      <c r="BP27" s="13">
        <v>6</v>
      </c>
      <c r="BQ27" s="13">
        <v>7</v>
      </c>
      <c r="BR27" s="13">
        <v>8</v>
      </c>
      <c r="BS27" s="13"/>
      <c r="BT27" s="13"/>
      <c r="BU27" s="13"/>
      <c r="BV27" s="13"/>
      <c r="BW27" s="37"/>
      <c r="BY27" s="13">
        <v>23</v>
      </c>
      <c r="BZ27" s="14">
        <f t="shared" si="21"/>
        <v>3</v>
      </c>
      <c r="CA27" s="14">
        <f t="shared" si="22"/>
        <v>1</v>
      </c>
      <c r="CB27" s="14">
        <f t="shared" si="1"/>
        <v>1</v>
      </c>
      <c r="CC27" s="14">
        <f t="shared" si="2"/>
        <v>2012017</v>
      </c>
      <c r="CD27" s="13" t="str">
        <f t="shared" si="3"/>
        <v>20级寄灵人蓝色-项链</v>
      </c>
      <c r="CE27" s="14">
        <f t="shared" si="4"/>
        <v>1</v>
      </c>
      <c r="CF27" s="14">
        <f t="shared" si="5"/>
        <v>2</v>
      </c>
      <c r="CG27" s="14">
        <f t="shared" si="23"/>
        <v>20</v>
      </c>
      <c r="CH27" s="14">
        <f t="shared" si="24"/>
        <v>20</v>
      </c>
      <c r="CI27" s="14">
        <f t="shared" si="6"/>
        <v>7</v>
      </c>
      <c r="CJ27" s="14" t="str">
        <f t="shared" si="25"/>
        <v/>
      </c>
      <c r="CK27" s="14">
        <f t="shared" si="7"/>
        <v>22</v>
      </c>
      <c r="CL27" s="14">
        <f t="shared" si="8"/>
        <v>11</v>
      </c>
      <c r="CM27" s="14">
        <f t="shared" si="9"/>
        <v>0</v>
      </c>
      <c r="CN27" s="14">
        <f t="shared" si="10"/>
        <v>4.17</v>
      </c>
      <c r="CO27" s="14">
        <f t="shared" si="11"/>
        <v>2.13</v>
      </c>
      <c r="CP27" s="14">
        <f t="shared" si="12"/>
        <v>0</v>
      </c>
      <c r="CQ27" s="14">
        <f t="shared" si="26"/>
        <v>2</v>
      </c>
      <c r="CR27" s="14">
        <f t="shared" si="27"/>
        <v>0</v>
      </c>
      <c r="CS27" s="14">
        <f t="shared" si="28"/>
        <v>11</v>
      </c>
      <c r="CV27" s="14">
        <f t="shared" si="13"/>
        <v>1</v>
      </c>
      <c r="CW27" s="14">
        <f t="shared" si="14"/>
        <v>2</v>
      </c>
      <c r="CX27" s="14" t="str">
        <f t="shared" si="29"/>
        <v>AtkExt</v>
      </c>
      <c r="CY27" s="14">
        <f t="shared" si="30"/>
        <v>22</v>
      </c>
      <c r="CZ27" s="14">
        <f t="shared" si="31"/>
        <v>4.17</v>
      </c>
      <c r="DA27" s="14" t="str">
        <f t="shared" si="32"/>
        <v>DefExt</v>
      </c>
      <c r="DB27" s="14">
        <f t="shared" si="33"/>
        <v>11</v>
      </c>
      <c r="DC27" s="14">
        <f t="shared" si="34"/>
        <v>2.13</v>
      </c>
      <c r="DD27" s="14">
        <f t="shared" si="35"/>
        <v>2</v>
      </c>
      <c r="DE27" s="14">
        <f t="shared" si="36"/>
        <v>0</v>
      </c>
      <c r="DF27" s="14">
        <f t="shared" si="37"/>
        <v>11</v>
      </c>
      <c r="DG27" s="14">
        <f t="shared" si="38"/>
        <v>15</v>
      </c>
      <c r="DJ27" s="13">
        <f t="shared" si="47"/>
        <v>2051</v>
      </c>
      <c r="DK27" s="13" t="s">
        <v>893</v>
      </c>
      <c r="DL27" s="37"/>
      <c r="DM27" s="37"/>
      <c r="DN27" s="13">
        <v>8</v>
      </c>
      <c r="DO27" s="13" t="s">
        <v>892</v>
      </c>
      <c r="DP27" s="13">
        <v>2</v>
      </c>
      <c r="DQ27" s="13">
        <v>3</v>
      </c>
      <c r="DR27" s="13" t="s">
        <v>860</v>
      </c>
      <c r="DS27" s="13">
        <f>AJ8</f>
        <v>5469</v>
      </c>
      <c r="DU27" s="13">
        <v>8</v>
      </c>
      <c r="DV27" s="13" t="s">
        <v>878</v>
      </c>
      <c r="DW27" s="13">
        <v>2</v>
      </c>
      <c r="DX27" s="13">
        <v>3</v>
      </c>
      <c r="DY27" s="13" t="s">
        <v>860</v>
      </c>
      <c r="DZ27" s="13">
        <f>AJ14</f>
        <v>9784</v>
      </c>
      <c r="EC27" s="13">
        <v>23</v>
      </c>
      <c r="ED27" s="13">
        <f t="shared" si="39"/>
        <v>4</v>
      </c>
      <c r="EE27" s="13" t="str">
        <f t="shared" si="40"/>
        <v>80级寄灵人洗练-5</v>
      </c>
      <c r="EF27" s="13">
        <f t="shared" si="41"/>
        <v>14</v>
      </c>
      <c r="EG27" s="13">
        <f t="shared" si="42"/>
        <v>5</v>
      </c>
      <c r="EH27" s="13">
        <f t="shared" si="43"/>
        <v>800</v>
      </c>
      <c r="EI27" s="13" t="str">
        <f t="shared" si="44"/>
        <v>AtkRate</v>
      </c>
      <c r="EJ27" s="13">
        <f t="shared" si="45"/>
        <v>0.04</v>
      </c>
    </row>
    <row r="28" spans="1:140" s="20" customFormat="1" ht="16.5" x14ac:dyDescent="0.2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13">
        <v>23</v>
      </c>
      <c r="BE28" s="13">
        <v>3</v>
      </c>
      <c r="BF28" s="13">
        <v>60</v>
      </c>
      <c r="BG28" s="13">
        <v>1</v>
      </c>
      <c r="BH28" s="13">
        <v>1</v>
      </c>
      <c r="BI28" s="13">
        <v>1</v>
      </c>
      <c r="BJ28" s="13">
        <f t="shared" si="46"/>
        <v>2031010</v>
      </c>
      <c r="BK28" s="13" t="s">
        <v>729</v>
      </c>
      <c r="BL28" s="13"/>
      <c r="BM28" s="13">
        <v>8</v>
      </c>
      <c r="BN28" s="13">
        <f>SUM(BM$6:BM28)</f>
        <v>168</v>
      </c>
      <c r="BO28" s="13">
        <v>1</v>
      </c>
      <c r="BP28" s="13">
        <v>2</v>
      </c>
      <c r="BQ28" s="13">
        <v>3</v>
      </c>
      <c r="BR28" s="13">
        <v>4</v>
      </c>
      <c r="BS28" s="13">
        <v>5</v>
      </c>
      <c r="BT28" s="13">
        <v>6</v>
      </c>
      <c r="BU28" s="13">
        <v>7</v>
      </c>
      <c r="BV28" s="13">
        <v>8</v>
      </c>
      <c r="BW28" s="37"/>
      <c r="BY28" s="13">
        <v>24</v>
      </c>
      <c r="BZ28" s="14">
        <f t="shared" si="21"/>
        <v>3</v>
      </c>
      <c r="CA28" s="14">
        <f t="shared" si="22"/>
        <v>1</v>
      </c>
      <c r="CB28" s="14">
        <f t="shared" si="1"/>
        <v>1</v>
      </c>
      <c r="CC28" s="14">
        <f t="shared" si="2"/>
        <v>2012018</v>
      </c>
      <c r="CD28" s="13" t="str">
        <f t="shared" si="3"/>
        <v>20级寄灵人蓝色-戒指</v>
      </c>
      <c r="CE28" s="14">
        <f t="shared" si="4"/>
        <v>1</v>
      </c>
      <c r="CF28" s="14">
        <f t="shared" si="5"/>
        <v>2</v>
      </c>
      <c r="CG28" s="14">
        <f t="shared" si="23"/>
        <v>20</v>
      </c>
      <c r="CH28" s="14">
        <f t="shared" si="24"/>
        <v>20</v>
      </c>
      <c r="CI28" s="14">
        <f t="shared" si="6"/>
        <v>8</v>
      </c>
      <c r="CJ28" s="14" t="str">
        <f t="shared" si="25"/>
        <v/>
      </c>
      <c r="CK28" s="14">
        <f t="shared" si="7"/>
        <v>22</v>
      </c>
      <c r="CL28" s="14">
        <f t="shared" si="8"/>
        <v>0</v>
      </c>
      <c r="CM28" s="14">
        <f t="shared" si="9"/>
        <v>95</v>
      </c>
      <c r="CN28" s="14">
        <f t="shared" si="10"/>
        <v>4.17</v>
      </c>
      <c r="CO28" s="14">
        <f t="shared" si="11"/>
        <v>0</v>
      </c>
      <c r="CP28" s="14">
        <f t="shared" si="12"/>
        <v>18.13</v>
      </c>
      <c r="CQ28" s="14">
        <f t="shared" si="26"/>
        <v>2</v>
      </c>
      <c r="CR28" s="14">
        <f t="shared" si="27"/>
        <v>0</v>
      </c>
      <c r="CS28" s="14">
        <f t="shared" si="28"/>
        <v>11</v>
      </c>
      <c r="CV28" s="14">
        <f t="shared" si="13"/>
        <v>1</v>
      </c>
      <c r="CW28" s="14">
        <f t="shared" si="14"/>
        <v>3</v>
      </c>
      <c r="CX28" s="14" t="str">
        <f t="shared" si="29"/>
        <v>AtkExt</v>
      </c>
      <c r="CY28" s="14">
        <f t="shared" si="30"/>
        <v>22</v>
      </c>
      <c r="CZ28" s="14">
        <f t="shared" si="31"/>
        <v>4.17</v>
      </c>
      <c r="DA28" s="14" t="str">
        <f t="shared" si="32"/>
        <v>HPExt</v>
      </c>
      <c r="DB28" s="14">
        <f t="shared" si="33"/>
        <v>95</v>
      </c>
      <c r="DC28" s="14">
        <f t="shared" si="34"/>
        <v>18.13</v>
      </c>
      <c r="DD28" s="14">
        <f t="shared" si="35"/>
        <v>2</v>
      </c>
      <c r="DE28" s="14">
        <f t="shared" si="36"/>
        <v>0</v>
      </c>
      <c r="DF28" s="14">
        <f t="shared" si="37"/>
        <v>11</v>
      </c>
      <c r="DG28" s="14">
        <f t="shared" si="38"/>
        <v>15</v>
      </c>
      <c r="DJ28" s="13">
        <f t="shared" si="47"/>
        <v>2052</v>
      </c>
      <c r="DK28" s="13" t="s">
        <v>894</v>
      </c>
      <c r="DL28" s="37"/>
      <c r="DM28" s="37"/>
      <c r="DN28" s="13">
        <v>8</v>
      </c>
      <c r="DO28" s="13" t="s">
        <v>892</v>
      </c>
      <c r="DP28" s="13">
        <v>3</v>
      </c>
      <c r="DQ28" s="13">
        <v>5</v>
      </c>
      <c r="DR28" s="13" t="s">
        <v>862</v>
      </c>
      <c r="DS28" s="13">
        <v>0.15</v>
      </c>
      <c r="DU28" s="13">
        <v>8</v>
      </c>
      <c r="DV28" s="13" t="s">
        <v>878</v>
      </c>
      <c r="DW28" s="13">
        <v>3</v>
      </c>
      <c r="DX28" s="13">
        <v>5</v>
      </c>
      <c r="DY28" s="13" t="s">
        <v>862</v>
      </c>
      <c r="DZ28" s="13">
        <v>0.15</v>
      </c>
      <c r="EC28" s="13">
        <v>24</v>
      </c>
      <c r="ED28" s="13">
        <f t="shared" si="39"/>
        <v>4</v>
      </c>
      <c r="EE28" s="13" t="str">
        <f t="shared" si="40"/>
        <v>80级寄灵人洗练-6</v>
      </c>
      <c r="EF28" s="13">
        <f t="shared" si="41"/>
        <v>14</v>
      </c>
      <c r="EG28" s="13">
        <f t="shared" si="42"/>
        <v>6</v>
      </c>
      <c r="EH28" s="13">
        <f t="shared" si="43"/>
        <v>800</v>
      </c>
      <c r="EI28" s="13" t="str">
        <f t="shared" si="44"/>
        <v>AtkRate</v>
      </c>
      <c r="EJ28" s="13">
        <f t="shared" si="45"/>
        <v>0.04</v>
      </c>
    </row>
    <row r="29" spans="1:140" s="20" customFormat="1" ht="16.5" x14ac:dyDescent="0.2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13">
        <v>24</v>
      </c>
      <c r="BE29" s="13">
        <v>3</v>
      </c>
      <c r="BF29" s="13">
        <v>60</v>
      </c>
      <c r="BG29" s="13">
        <v>1</v>
      </c>
      <c r="BH29" s="13">
        <v>2</v>
      </c>
      <c r="BI29" s="13">
        <v>2</v>
      </c>
      <c r="BJ29" s="13">
        <f t="shared" si="46"/>
        <v>2031020</v>
      </c>
      <c r="BK29" s="13" t="s">
        <v>730</v>
      </c>
      <c r="BL29" s="13"/>
      <c r="BM29" s="13">
        <v>8</v>
      </c>
      <c r="BN29" s="13">
        <f>SUM(BM$6:BM29)</f>
        <v>176</v>
      </c>
      <c r="BO29" s="13">
        <v>1</v>
      </c>
      <c r="BP29" s="13">
        <v>2</v>
      </c>
      <c r="BQ29" s="13">
        <v>3</v>
      </c>
      <c r="BR29" s="13">
        <v>4</v>
      </c>
      <c r="BS29" s="13">
        <v>5</v>
      </c>
      <c r="BT29" s="13">
        <v>6</v>
      </c>
      <c r="BU29" s="13">
        <v>7</v>
      </c>
      <c r="BV29" s="13">
        <v>8</v>
      </c>
      <c r="BW29" s="37"/>
      <c r="BY29" s="13">
        <v>25</v>
      </c>
      <c r="BZ29" s="14">
        <f t="shared" si="21"/>
        <v>4</v>
      </c>
      <c r="CA29" s="14">
        <f t="shared" si="22"/>
        <v>2</v>
      </c>
      <c r="CB29" s="14">
        <f t="shared" si="1"/>
        <v>1</v>
      </c>
      <c r="CC29" s="14">
        <f t="shared" si="2"/>
        <v>2012021</v>
      </c>
      <c r="CD29" s="13" t="str">
        <f t="shared" si="3"/>
        <v>20级守护灵蓝色-武器</v>
      </c>
      <c r="CE29" s="14">
        <f t="shared" si="4"/>
        <v>2</v>
      </c>
      <c r="CF29" s="14">
        <f t="shared" si="5"/>
        <v>2</v>
      </c>
      <c r="CG29" s="14">
        <f t="shared" si="23"/>
        <v>20</v>
      </c>
      <c r="CH29" s="14">
        <f t="shared" si="24"/>
        <v>20</v>
      </c>
      <c r="CI29" s="14">
        <f t="shared" si="6"/>
        <v>1</v>
      </c>
      <c r="CJ29" s="14" t="str">
        <f t="shared" si="25"/>
        <v/>
      </c>
      <c r="CK29" s="14">
        <f t="shared" si="7"/>
        <v>101</v>
      </c>
      <c r="CL29" s="14">
        <f t="shared" si="8"/>
        <v>0</v>
      </c>
      <c r="CM29" s="14">
        <f t="shared" si="9"/>
        <v>0</v>
      </c>
      <c r="CN29" s="14">
        <f t="shared" si="10"/>
        <v>19.25</v>
      </c>
      <c r="CO29" s="14">
        <f t="shared" si="11"/>
        <v>0</v>
      </c>
      <c r="CP29" s="14">
        <f t="shared" si="12"/>
        <v>0</v>
      </c>
      <c r="CQ29" s="14">
        <f t="shared" si="26"/>
        <v>2</v>
      </c>
      <c r="CR29" s="14">
        <f t="shared" si="27"/>
        <v>0</v>
      </c>
      <c r="CS29" s="14">
        <f t="shared" si="28"/>
        <v>21</v>
      </c>
      <c r="CV29" s="14">
        <f t="shared" si="13"/>
        <v>1</v>
      </c>
      <c r="CW29" s="14">
        <f t="shared" si="14"/>
        <v>0</v>
      </c>
      <c r="CX29" s="14" t="str">
        <f t="shared" si="29"/>
        <v>AtkExt</v>
      </c>
      <c r="CY29" s="14">
        <f t="shared" si="30"/>
        <v>101</v>
      </c>
      <c r="CZ29" s="14">
        <f t="shared" si="31"/>
        <v>19.25</v>
      </c>
      <c r="DA29" s="14" t="str">
        <f t="shared" si="32"/>
        <v/>
      </c>
      <c r="DB29" s="14" t="str">
        <f t="shared" si="33"/>
        <v/>
      </c>
      <c r="DC29" s="14" t="str">
        <f t="shared" si="34"/>
        <v/>
      </c>
      <c r="DD29" s="14">
        <f t="shared" si="35"/>
        <v>2</v>
      </c>
      <c r="DE29" s="14">
        <f t="shared" si="36"/>
        <v>0</v>
      </c>
      <c r="DF29" s="14">
        <f t="shared" si="37"/>
        <v>21</v>
      </c>
      <c r="DG29" s="14">
        <f t="shared" si="38"/>
        <v>15</v>
      </c>
      <c r="DJ29" s="13">
        <f t="shared" si="47"/>
        <v>2053</v>
      </c>
      <c r="DK29" s="13" t="s">
        <v>895</v>
      </c>
      <c r="DL29" s="37"/>
      <c r="DM29" s="37"/>
      <c r="DN29" s="13">
        <v>9</v>
      </c>
      <c r="DO29" s="13" t="s">
        <v>893</v>
      </c>
      <c r="DP29" s="13">
        <v>1</v>
      </c>
      <c r="DQ29" s="13">
        <v>2</v>
      </c>
      <c r="DR29" s="13" t="s">
        <v>310</v>
      </c>
      <c r="DS29" s="13">
        <f>AI9</f>
        <v>3218</v>
      </c>
      <c r="DU29" s="13">
        <v>9</v>
      </c>
      <c r="DV29" s="13" t="s">
        <v>879</v>
      </c>
      <c r="DW29" s="13">
        <v>1</v>
      </c>
      <c r="DX29" s="13">
        <v>2</v>
      </c>
      <c r="DY29" s="13" t="s">
        <v>310</v>
      </c>
      <c r="DZ29" s="13">
        <f>AI15</f>
        <v>3324</v>
      </c>
      <c r="EC29" s="13">
        <v>25</v>
      </c>
      <c r="ED29" s="13">
        <f t="shared" si="39"/>
        <v>5</v>
      </c>
      <c r="EE29" s="13" t="str">
        <f t="shared" si="40"/>
        <v>100级寄灵人洗练-1</v>
      </c>
      <c r="EF29" s="13">
        <f t="shared" si="41"/>
        <v>15</v>
      </c>
      <c r="EG29" s="13">
        <f t="shared" si="42"/>
        <v>1</v>
      </c>
      <c r="EH29" s="13">
        <f t="shared" si="43"/>
        <v>2500</v>
      </c>
      <c r="EI29" s="13" t="str">
        <f t="shared" si="44"/>
        <v>AtkExt</v>
      </c>
      <c r="EJ29" s="13">
        <f t="shared" si="45"/>
        <v>365</v>
      </c>
    </row>
    <row r="30" spans="1:140" s="20" customFormat="1" ht="16.5" x14ac:dyDescent="0.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13">
        <v>25</v>
      </c>
      <c r="BE30" s="13">
        <v>3</v>
      </c>
      <c r="BF30" s="13">
        <v>60</v>
      </c>
      <c r="BG30" s="13">
        <v>2</v>
      </c>
      <c r="BH30" s="13">
        <v>1</v>
      </c>
      <c r="BI30" s="13">
        <v>1</v>
      </c>
      <c r="BJ30" s="13">
        <f t="shared" si="46"/>
        <v>2032010</v>
      </c>
      <c r="BK30" s="13" t="s">
        <v>731</v>
      </c>
      <c r="BL30" s="13"/>
      <c r="BM30" s="13">
        <v>8</v>
      </c>
      <c r="BN30" s="13">
        <f>SUM(BM$6:BM30)</f>
        <v>184</v>
      </c>
      <c r="BO30" s="13">
        <v>1</v>
      </c>
      <c r="BP30" s="13">
        <v>2</v>
      </c>
      <c r="BQ30" s="13">
        <v>3</v>
      </c>
      <c r="BR30" s="13">
        <v>4</v>
      </c>
      <c r="BS30" s="13">
        <v>5</v>
      </c>
      <c r="BT30" s="13">
        <v>6</v>
      </c>
      <c r="BU30" s="13">
        <v>7</v>
      </c>
      <c r="BV30" s="13">
        <v>8</v>
      </c>
      <c r="BW30" s="37"/>
      <c r="BY30" s="13">
        <v>26</v>
      </c>
      <c r="BZ30" s="14">
        <f t="shared" si="21"/>
        <v>4</v>
      </c>
      <c r="CA30" s="14">
        <f t="shared" si="22"/>
        <v>2</v>
      </c>
      <c r="CB30" s="14">
        <f t="shared" si="1"/>
        <v>1</v>
      </c>
      <c r="CC30" s="14">
        <f t="shared" si="2"/>
        <v>2012022</v>
      </c>
      <c r="CD30" s="13" t="str">
        <f t="shared" si="3"/>
        <v>20级守护灵蓝色-头盔</v>
      </c>
      <c r="CE30" s="14">
        <f t="shared" si="4"/>
        <v>2</v>
      </c>
      <c r="CF30" s="14">
        <f t="shared" si="5"/>
        <v>2</v>
      </c>
      <c r="CG30" s="14">
        <f t="shared" si="23"/>
        <v>20</v>
      </c>
      <c r="CH30" s="14">
        <f t="shared" si="24"/>
        <v>20</v>
      </c>
      <c r="CI30" s="14">
        <f t="shared" si="6"/>
        <v>2</v>
      </c>
      <c r="CJ30" s="14" t="str">
        <f t="shared" si="25"/>
        <v/>
      </c>
      <c r="CK30" s="14">
        <f t="shared" si="7"/>
        <v>0</v>
      </c>
      <c r="CL30" s="14">
        <f t="shared" si="8"/>
        <v>21</v>
      </c>
      <c r="CM30" s="14">
        <f t="shared" si="9"/>
        <v>0</v>
      </c>
      <c r="CN30" s="14">
        <f t="shared" si="10"/>
        <v>0</v>
      </c>
      <c r="CO30" s="14">
        <f t="shared" si="11"/>
        <v>3.95</v>
      </c>
      <c r="CP30" s="14">
        <f t="shared" si="12"/>
        <v>0</v>
      </c>
      <c r="CQ30" s="14">
        <f t="shared" si="26"/>
        <v>2</v>
      </c>
      <c r="CR30" s="14">
        <f t="shared" si="27"/>
        <v>0</v>
      </c>
      <c r="CS30" s="14">
        <f t="shared" si="28"/>
        <v>21</v>
      </c>
      <c r="CV30" s="14">
        <f t="shared" si="13"/>
        <v>2</v>
      </c>
      <c r="CW30" s="14">
        <f t="shared" si="14"/>
        <v>0</v>
      </c>
      <c r="CX30" s="14" t="str">
        <f t="shared" si="29"/>
        <v>DefExt</v>
      </c>
      <c r="CY30" s="14">
        <f t="shared" si="30"/>
        <v>21</v>
      </c>
      <c r="CZ30" s="14">
        <f t="shared" si="31"/>
        <v>3.95</v>
      </c>
      <c r="DA30" s="14" t="str">
        <f t="shared" si="32"/>
        <v/>
      </c>
      <c r="DB30" s="14" t="str">
        <f t="shared" si="33"/>
        <v/>
      </c>
      <c r="DC30" s="14" t="str">
        <f t="shared" si="34"/>
        <v/>
      </c>
      <c r="DD30" s="14">
        <f t="shared" si="35"/>
        <v>2</v>
      </c>
      <c r="DE30" s="14">
        <f t="shared" si="36"/>
        <v>0</v>
      </c>
      <c r="DF30" s="14">
        <f t="shared" si="37"/>
        <v>21</v>
      </c>
      <c r="DG30" s="14">
        <f t="shared" si="38"/>
        <v>15</v>
      </c>
      <c r="DJ30" s="13">
        <f t="shared" si="47"/>
        <v>2061</v>
      </c>
      <c r="DK30" s="13" t="s">
        <v>896</v>
      </c>
      <c r="DL30" s="37"/>
      <c r="DM30" s="37"/>
      <c r="DN30" s="13">
        <v>9</v>
      </c>
      <c r="DO30" s="13" t="s">
        <v>893</v>
      </c>
      <c r="DP30" s="13">
        <v>2</v>
      </c>
      <c r="DQ30" s="13">
        <v>3</v>
      </c>
      <c r="DR30" s="13" t="s">
        <v>312</v>
      </c>
      <c r="DS30" s="13">
        <f>AJ9</f>
        <v>9734</v>
      </c>
      <c r="DU30" s="13">
        <v>9</v>
      </c>
      <c r="DV30" s="13" t="s">
        <v>879</v>
      </c>
      <c r="DW30" s="13">
        <v>2</v>
      </c>
      <c r="DX30" s="13">
        <v>3</v>
      </c>
      <c r="DY30" s="13" t="s">
        <v>312</v>
      </c>
      <c r="DZ30" s="13">
        <f>AJ15</f>
        <v>17456</v>
      </c>
      <c r="EC30" s="13">
        <v>26</v>
      </c>
      <c r="ED30" s="13">
        <f t="shared" si="39"/>
        <v>5</v>
      </c>
      <c r="EE30" s="13" t="str">
        <f t="shared" si="40"/>
        <v>100级寄灵人洗练-2</v>
      </c>
      <c r="EF30" s="13">
        <f t="shared" si="41"/>
        <v>15</v>
      </c>
      <c r="EG30" s="13">
        <f t="shared" si="42"/>
        <v>2</v>
      </c>
      <c r="EH30" s="13">
        <f t="shared" si="43"/>
        <v>2500</v>
      </c>
      <c r="EI30" s="13" t="str">
        <f t="shared" si="44"/>
        <v>DefExt</v>
      </c>
      <c r="EJ30" s="13">
        <f t="shared" si="45"/>
        <v>120</v>
      </c>
    </row>
    <row r="31" spans="1:140" s="20" customFormat="1" ht="16.5" x14ac:dyDescent="0.2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13">
        <v>26</v>
      </c>
      <c r="BE31" s="13">
        <v>3</v>
      </c>
      <c r="BF31" s="13">
        <v>60</v>
      </c>
      <c r="BG31" s="13">
        <v>2</v>
      </c>
      <c r="BH31" s="13">
        <v>2</v>
      </c>
      <c r="BI31" s="13">
        <v>2</v>
      </c>
      <c r="BJ31" s="13">
        <f t="shared" si="46"/>
        <v>2032020</v>
      </c>
      <c r="BK31" s="13" t="s">
        <v>732</v>
      </c>
      <c r="BL31" s="13"/>
      <c r="BM31" s="13">
        <v>8</v>
      </c>
      <c r="BN31" s="13">
        <f>SUM(BM$6:BM31)</f>
        <v>192</v>
      </c>
      <c r="BO31" s="13">
        <v>1</v>
      </c>
      <c r="BP31" s="13">
        <v>2</v>
      </c>
      <c r="BQ31" s="13">
        <v>3</v>
      </c>
      <c r="BR31" s="13">
        <v>4</v>
      </c>
      <c r="BS31" s="13">
        <v>5</v>
      </c>
      <c r="BT31" s="13">
        <v>6</v>
      </c>
      <c r="BU31" s="13">
        <v>7</v>
      </c>
      <c r="BV31" s="13">
        <v>8</v>
      </c>
      <c r="BW31" s="37"/>
      <c r="BY31" s="13">
        <v>27</v>
      </c>
      <c r="BZ31" s="14">
        <f t="shared" si="21"/>
        <v>4</v>
      </c>
      <c r="CA31" s="14">
        <f t="shared" si="22"/>
        <v>2</v>
      </c>
      <c r="CB31" s="14">
        <f t="shared" si="1"/>
        <v>1</v>
      </c>
      <c r="CC31" s="14">
        <f t="shared" si="2"/>
        <v>2012023</v>
      </c>
      <c r="CD31" s="13" t="str">
        <f t="shared" si="3"/>
        <v>20级守护灵蓝色-肩甲</v>
      </c>
      <c r="CE31" s="14">
        <f t="shared" si="4"/>
        <v>2</v>
      </c>
      <c r="CF31" s="14">
        <f t="shared" si="5"/>
        <v>2</v>
      </c>
      <c r="CG31" s="14">
        <f t="shared" si="23"/>
        <v>20</v>
      </c>
      <c r="CH31" s="14">
        <f t="shared" si="24"/>
        <v>20</v>
      </c>
      <c r="CI31" s="14">
        <f t="shared" si="6"/>
        <v>3</v>
      </c>
      <c r="CJ31" s="14" t="str">
        <f t="shared" si="25"/>
        <v/>
      </c>
      <c r="CK31" s="14">
        <f t="shared" si="7"/>
        <v>0</v>
      </c>
      <c r="CL31" s="14">
        <f t="shared" si="8"/>
        <v>10</v>
      </c>
      <c r="CM31" s="14">
        <f t="shared" si="9"/>
        <v>98</v>
      </c>
      <c r="CN31" s="14">
        <f t="shared" si="10"/>
        <v>0</v>
      </c>
      <c r="CO31" s="14">
        <f t="shared" si="11"/>
        <v>1.98</v>
      </c>
      <c r="CP31" s="14">
        <f t="shared" si="12"/>
        <v>18.71</v>
      </c>
      <c r="CQ31" s="14">
        <f t="shared" si="26"/>
        <v>2</v>
      </c>
      <c r="CR31" s="14">
        <f t="shared" si="27"/>
        <v>0</v>
      </c>
      <c r="CS31" s="14">
        <f t="shared" si="28"/>
        <v>21</v>
      </c>
      <c r="CV31" s="14">
        <f t="shared" si="13"/>
        <v>2</v>
      </c>
      <c r="CW31" s="14">
        <f t="shared" si="14"/>
        <v>3</v>
      </c>
      <c r="CX31" s="14" t="str">
        <f t="shared" si="29"/>
        <v>DefExt</v>
      </c>
      <c r="CY31" s="14">
        <f t="shared" si="30"/>
        <v>10</v>
      </c>
      <c r="CZ31" s="14">
        <f t="shared" si="31"/>
        <v>1.98</v>
      </c>
      <c r="DA31" s="14" t="str">
        <f t="shared" si="32"/>
        <v>HPExt</v>
      </c>
      <c r="DB31" s="14">
        <f t="shared" si="33"/>
        <v>98</v>
      </c>
      <c r="DC31" s="14">
        <f t="shared" si="34"/>
        <v>18.71</v>
      </c>
      <c r="DD31" s="14">
        <f t="shared" si="35"/>
        <v>2</v>
      </c>
      <c r="DE31" s="14">
        <f t="shared" si="36"/>
        <v>0</v>
      </c>
      <c r="DF31" s="14">
        <f t="shared" si="37"/>
        <v>21</v>
      </c>
      <c r="DG31" s="14">
        <f t="shared" si="38"/>
        <v>15</v>
      </c>
      <c r="DJ31" s="13">
        <f t="shared" si="47"/>
        <v>2062</v>
      </c>
      <c r="DK31" s="13" t="s">
        <v>897</v>
      </c>
      <c r="DL31" s="37"/>
      <c r="DM31" s="37"/>
      <c r="DN31" s="13">
        <v>9</v>
      </c>
      <c r="DO31" s="13" t="s">
        <v>893</v>
      </c>
      <c r="DP31" s="13">
        <v>3</v>
      </c>
      <c r="DQ31" s="13">
        <v>4</v>
      </c>
      <c r="DR31" s="13" t="s">
        <v>853</v>
      </c>
      <c r="DS31" s="13">
        <v>0.1</v>
      </c>
      <c r="DU31" s="13">
        <v>9</v>
      </c>
      <c r="DV31" s="13" t="s">
        <v>879</v>
      </c>
      <c r="DW31" s="13">
        <v>3</v>
      </c>
      <c r="DX31" s="13">
        <v>4</v>
      </c>
      <c r="DY31" s="13" t="s">
        <v>853</v>
      </c>
      <c r="DZ31" s="13">
        <v>0.1</v>
      </c>
      <c r="EC31" s="13">
        <v>27</v>
      </c>
      <c r="ED31" s="13">
        <f t="shared" si="39"/>
        <v>5</v>
      </c>
      <c r="EE31" s="13" t="str">
        <f t="shared" si="40"/>
        <v>100级寄灵人洗练-3</v>
      </c>
      <c r="EF31" s="13">
        <f t="shared" si="41"/>
        <v>15</v>
      </c>
      <c r="EG31" s="13">
        <f t="shared" si="42"/>
        <v>3</v>
      </c>
      <c r="EH31" s="13">
        <f t="shared" si="43"/>
        <v>2600</v>
      </c>
      <c r="EI31" s="13" t="str">
        <f t="shared" si="44"/>
        <v>HPExt</v>
      </c>
      <c r="EJ31" s="13">
        <f t="shared" si="45"/>
        <v>922</v>
      </c>
    </row>
    <row r="32" spans="1:140" s="20" customFormat="1" ht="16.5" x14ac:dyDescent="0.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13">
        <v>27</v>
      </c>
      <c r="BE32" s="13">
        <v>3</v>
      </c>
      <c r="BF32" s="13">
        <v>60</v>
      </c>
      <c r="BG32" s="13">
        <v>3</v>
      </c>
      <c r="BH32" s="13">
        <v>1</v>
      </c>
      <c r="BI32" s="13">
        <v>1</v>
      </c>
      <c r="BJ32" s="13">
        <f t="shared" si="46"/>
        <v>2033010</v>
      </c>
      <c r="BK32" s="13" t="s">
        <v>733</v>
      </c>
      <c r="BL32" s="13"/>
      <c r="BM32" s="13">
        <v>8</v>
      </c>
      <c r="BN32" s="13">
        <f>SUM(BM$6:BM32)</f>
        <v>200</v>
      </c>
      <c r="BO32" s="13">
        <v>1</v>
      </c>
      <c r="BP32" s="13">
        <v>2</v>
      </c>
      <c r="BQ32" s="13">
        <v>3</v>
      </c>
      <c r="BR32" s="13">
        <v>4</v>
      </c>
      <c r="BS32" s="13">
        <v>5</v>
      </c>
      <c r="BT32" s="13">
        <v>6</v>
      </c>
      <c r="BU32" s="13">
        <v>7</v>
      </c>
      <c r="BV32" s="13">
        <v>8</v>
      </c>
      <c r="BW32" s="37"/>
      <c r="BY32" s="13">
        <v>28</v>
      </c>
      <c r="BZ32" s="14">
        <f t="shared" si="21"/>
        <v>4</v>
      </c>
      <c r="CA32" s="14">
        <f t="shared" si="22"/>
        <v>2</v>
      </c>
      <c r="CB32" s="14">
        <f t="shared" si="1"/>
        <v>1</v>
      </c>
      <c r="CC32" s="14">
        <f t="shared" si="2"/>
        <v>2012024</v>
      </c>
      <c r="CD32" s="13" t="str">
        <f t="shared" si="3"/>
        <v>20级守护灵蓝色-衣服</v>
      </c>
      <c r="CE32" s="14">
        <f t="shared" si="4"/>
        <v>2</v>
      </c>
      <c r="CF32" s="14">
        <f t="shared" si="5"/>
        <v>2</v>
      </c>
      <c r="CG32" s="14">
        <f t="shared" si="23"/>
        <v>20</v>
      </c>
      <c r="CH32" s="14">
        <f t="shared" si="24"/>
        <v>20</v>
      </c>
      <c r="CI32" s="14">
        <f t="shared" si="6"/>
        <v>4</v>
      </c>
      <c r="CJ32" s="14" t="str">
        <f t="shared" si="25"/>
        <v/>
      </c>
      <c r="CK32" s="14">
        <f t="shared" si="7"/>
        <v>0</v>
      </c>
      <c r="CL32" s="14">
        <f t="shared" si="8"/>
        <v>21</v>
      </c>
      <c r="CM32" s="14">
        <f t="shared" si="9"/>
        <v>0</v>
      </c>
      <c r="CN32" s="14">
        <f t="shared" si="10"/>
        <v>0</v>
      </c>
      <c r="CO32" s="14">
        <f t="shared" si="11"/>
        <v>3.95</v>
      </c>
      <c r="CP32" s="14">
        <f t="shared" si="12"/>
        <v>0</v>
      </c>
      <c r="CQ32" s="14">
        <f t="shared" si="26"/>
        <v>2</v>
      </c>
      <c r="CR32" s="14">
        <f t="shared" si="27"/>
        <v>0</v>
      </c>
      <c r="CS32" s="14">
        <f t="shared" si="28"/>
        <v>21</v>
      </c>
      <c r="CV32" s="14">
        <f t="shared" si="13"/>
        <v>2</v>
      </c>
      <c r="CW32" s="14">
        <f t="shared" si="14"/>
        <v>0</v>
      </c>
      <c r="CX32" s="14" t="str">
        <f t="shared" si="29"/>
        <v>DefExt</v>
      </c>
      <c r="CY32" s="14">
        <f t="shared" si="30"/>
        <v>21</v>
      </c>
      <c r="CZ32" s="14">
        <f t="shared" si="31"/>
        <v>3.95</v>
      </c>
      <c r="DA32" s="14" t="str">
        <f t="shared" si="32"/>
        <v/>
      </c>
      <c r="DB32" s="14" t="str">
        <f t="shared" si="33"/>
        <v/>
      </c>
      <c r="DC32" s="14" t="str">
        <f t="shared" si="34"/>
        <v/>
      </c>
      <c r="DD32" s="14">
        <f t="shared" si="35"/>
        <v>2</v>
      </c>
      <c r="DE32" s="14">
        <f t="shared" si="36"/>
        <v>0</v>
      </c>
      <c r="DF32" s="14">
        <f t="shared" si="37"/>
        <v>21</v>
      </c>
      <c r="DG32" s="14">
        <f t="shared" si="38"/>
        <v>15</v>
      </c>
      <c r="DJ32" s="13">
        <f t="shared" si="47"/>
        <v>2063</v>
      </c>
      <c r="DK32" s="13" t="s">
        <v>898</v>
      </c>
      <c r="DL32" s="37"/>
      <c r="DM32" s="37"/>
      <c r="DN32" s="13">
        <v>9</v>
      </c>
      <c r="DO32" s="13" t="s">
        <v>893</v>
      </c>
      <c r="DP32" s="13">
        <v>4</v>
      </c>
      <c r="DQ32" s="13">
        <v>5</v>
      </c>
      <c r="DR32" s="13" t="s">
        <v>855</v>
      </c>
      <c r="DS32" s="13">
        <v>0.1</v>
      </c>
      <c r="DU32" s="13">
        <v>9</v>
      </c>
      <c r="DV32" s="13" t="s">
        <v>879</v>
      </c>
      <c r="DW32" s="13">
        <v>4</v>
      </c>
      <c r="DX32" s="13">
        <v>5</v>
      </c>
      <c r="DY32" s="13" t="s">
        <v>855</v>
      </c>
      <c r="DZ32" s="13">
        <v>0.1</v>
      </c>
      <c r="EC32" s="13">
        <v>28</v>
      </c>
      <c r="ED32" s="13">
        <f t="shared" si="39"/>
        <v>5</v>
      </c>
      <c r="EE32" s="13" t="str">
        <f t="shared" si="40"/>
        <v>100级寄灵人洗练-4</v>
      </c>
      <c r="EF32" s="13">
        <f t="shared" si="41"/>
        <v>15</v>
      </c>
      <c r="EG32" s="13">
        <f t="shared" si="42"/>
        <v>4</v>
      </c>
      <c r="EH32" s="13">
        <f t="shared" si="43"/>
        <v>800</v>
      </c>
      <c r="EI32" s="13" t="str">
        <f t="shared" si="44"/>
        <v>AtkRate</v>
      </c>
      <c r="EJ32" s="13">
        <f t="shared" si="45"/>
        <v>0.04</v>
      </c>
    </row>
    <row r="33" spans="1:140" s="20" customFormat="1" ht="16.5" x14ac:dyDescent="0.2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13">
        <v>28</v>
      </c>
      <c r="BE33" s="13">
        <v>3</v>
      </c>
      <c r="BF33" s="13">
        <v>60</v>
      </c>
      <c r="BG33" s="13">
        <v>3</v>
      </c>
      <c r="BH33" s="13">
        <v>2</v>
      </c>
      <c r="BI33" s="13">
        <v>2</v>
      </c>
      <c r="BJ33" s="13">
        <f t="shared" si="46"/>
        <v>2033020</v>
      </c>
      <c r="BK33" s="13" t="s">
        <v>734</v>
      </c>
      <c r="BL33" s="13"/>
      <c r="BM33" s="13">
        <v>8</v>
      </c>
      <c r="BN33" s="13">
        <f>SUM(BM$6:BM33)</f>
        <v>208</v>
      </c>
      <c r="BO33" s="13">
        <v>1</v>
      </c>
      <c r="BP33" s="13">
        <v>2</v>
      </c>
      <c r="BQ33" s="13">
        <v>3</v>
      </c>
      <c r="BR33" s="13">
        <v>4</v>
      </c>
      <c r="BS33" s="13">
        <v>5</v>
      </c>
      <c r="BT33" s="13">
        <v>6</v>
      </c>
      <c r="BU33" s="13">
        <v>7</v>
      </c>
      <c r="BV33" s="13">
        <v>8</v>
      </c>
      <c r="BW33" s="37"/>
      <c r="BY33" s="13">
        <v>29</v>
      </c>
      <c r="BZ33" s="14">
        <f t="shared" si="21"/>
        <v>4</v>
      </c>
      <c r="CA33" s="14">
        <f t="shared" si="22"/>
        <v>2</v>
      </c>
      <c r="CB33" s="14">
        <f t="shared" si="1"/>
        <v>1</v>
      </c>
      <c r="CC33" s="14">
        <f t="shared" si="2"/>
        <v>2012025</v>
      </c>
      <c r="CD33" s="13" t="str">
        <f t="shared" si="3"/>
        <v>20级守护灵蓝色-鞋子</v>
      </c>
      <c r="CE33" s="14">
        <f t="shared" si="4"/>
        <v>2</v>
      </c>
      <c r="CF33" s="14">
        <f t="shared" si="5"/>
        <v>2</v>
      </c>
      <c r="CG33" s="14">
        <f t="shared" si="23"/>
        <v>20</v>
      </c>
      <c r="CH33" s="14">
        <f t="shared" si="24"/>
        <v>20</v>
      </c>
      <c r="CI33" s="14">
        <f t="shared" si="6"/>
        <v>5</v>
      </c>
      <c r="CJ33" s="14" t="str">
        <f t="shared" si="25"/>
        <v/>
      </c>
      <c r="CK33" s="14">
        <f t="shared" si="7"/>
        <v>0</v>
      </c>
      <c r="CL33" s="14">
        <f t="shared" si="8"/>
        <v>0</v>
      </c>
      <c r="CM33" s="14">
        <f t="shared" si="9"/>
        <v>196</v>
      </c>
      <c r="CN33" s="14">
        <f t="shared" si="10"/>
        <v>0</v>
      </c>
      <c r="CO33" s="14">
        <f t="shared" si="11"/>
        <v>0</v>
      </c>
      <c r="CP33" s="14">
        <f t="shared" si="12"/>
        <v>37.409999999999997</v>
      </c>
      <c r="CQ33" s="14">
        <f t="shared" si="26"/>
        <v>2</v>
      </c>
      <c r="CR33" s="14">
        <f t="shared" si="27"/>
        <v>0</v>
      </c>
      <c r="CS33" s="14">
        <f t="shared" si="28"/>
        <v>21</v>
      </c>
      <c r="CV33" s="14">
        <f t="shared" si="13"/>
        <v>3</v>
      </c>
      <c r="CW33" s="14">
        <f t="shared" si="14"/>
        <v>0</v>
      </c>
      <c r="CX33" s="14" t="str">
        <f t="shared" si="29"/>
        <v>HPExt</v>
      </c>
      <c r="CY33" s="14">
        <f t="shared" si="30"/>
        <v>196</v>
      </c>
      <c r="CZ33" s="14">
        <f t="shared" si="31"/>
        <v>37.409999999999997</v>
      </c>
      <c r="DA33" s="14" t="str">
        <f t="shared" si="32"/>
        <v/>
      </c>
      <c r="DB33" s="14" t="str">
        <f t="shared" si="33"/>
        <v/>
      </c>
      <c r="DC33" s="14" t="str">
        <f t="shared" si="34"/>
        <v/>
      </c>
      <c r="DD33" s="14">
        <f t="shared" si="35"/>
        <v>2</v>
      </c>
      <c r="DE33" s="14">
        <f t="shared" si="36"/>
        <v>0</v>
      </c>
      <c r="DF33" s="14">
        <f t="shared" si="37"/>
        <v>21</v>
      </c>
      <c r="DG33" s="14">
        <f t="shared" si="38"/>
        <v>15</v>
      </c>
      <c r="DJ33" s="16"/>
      <c r="DK33" s="16"/>
      <c r="DL33" s="37"/>
      <c r="DM33" s="37"/>
      <c r="DN33" s="13">
        <v>10</v>
      </c>
      <c r="DO33" s="13" t="s">
        <v>894</v>
      </c>
      <c r="DP33" s="13">
        <v>1</v>
      </c>
      <c r="DQ33" s="13">
        <v>2</v>
      </c>
      <c r="DR33" s="13" t="s">
        <v>312</v>
      </c>
      <c r="DS33" s="13">
        <f>AJ9</f>
        <v>9734</v>
      </c>
      <c r="DU33" s="13">
        <v>10</v>
      </c>
      <c r="DV33" s="13" t="s">
        <v>880</v>
      </c>
      <c r="DW33" s="13">
        <v>1</v>
      </c>
      <c r="DX33" s="13">
        <v>2</v>
      </c>
      <c r="DY33" s="13" t="s">
        <v>312</v>
      </c>
      <c r="DZ33" s="13">
        <f>AJ15</f>
        <v>17456</v>
      </c>
      <c r="EC33" s="13">
        <v>29</v>
      </c>
      <c r="ED33" s="13">
        <f t="shared" si="39"/>
        <v>5</v>
      </c>
      <c r="EE33" s="13" t="str">
        <f t="shared" si="40"/>
        <v>100级寄灵人洗练-5</v>
      </c>
      <c r="EF33" s="13">
        <f t="shared" si="41"/>
        <v>15</v>
      </c>
      <c r="EG33" s="13">
        <f t="shared" si="42"/>
        <v>5</v>
      </c>
      <c r="EH33" s="13">
        <f t="shared" si="43"/>
        <v>800</v>
      </c>
      <c r="EI33" s="13" t="str">
        <f t="shared" si="44"/>
        <v>AtkRate</v>
      </c>
      <c r="EJ33" s="13">
        <f t="shared" si="45"/>
        <v>0.04</v>
      </c>
    </row>
    <row r="34" spans="1:140" s="20" customFormat="1" ht="16.5" x14ac:dyDescent="0.2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13">
        <v>29</v>
      </c>
      <c r="BE34" s="13">
        <v>3</v>
      </c>
      <c r="BF34" s="13">
        <v>60</v>
      </c>
      <c r="BG34" s="13">
        <v>4</v>
      </c>
      <c r="BH34" s="13">
        <v>1</v>
      </c>
      <c r="BI34" s="13">
        <v>1</v>
      </c>
      <c r="BJ34" s="13">
        <f t="shared" si="46"/>
        <v>2034010</v>
      </c>
      <c r="BK34" s="13" t="s">
        <v>735</v>
      </c>
      <c r="BL34" s="13"/>
      <c r="BM34" s="13">
        <v>8</v>
      </c>
      <c r="BN34" s="13">
        <f>SUM(BM$6:BM34)</f>
        <v>216</v>
      </c>
      <c r="BO34" s="13">
        <v>1</v>
      </c>
      <c r="BP34" s="13">
        <v>2</v>
      </c>
      <c r="BQ34" s="13">
        <v>3</v>
      </c>
      <c r="BR34" s="13">
        <v>4</v>
      </c>
      <c r="BS34" s="13">
        <v>5</v>
      </c>
      <c r="BT34" s="13">
        <v>6</v>
      </c>
      <c r="BU34" s="13">
        <v>7</v>
      </c>
      <c r="BV34" s="13">
        <v>8</v>
      </c>
      <c r="BW34" s="37"/>
      <c r="BY34" s="13">
        <v>30</v>
      </c>
      <c r="BZ34" s="14">
        <f t="shared" si="21"/>
        <v>4</v>
      </c>
      <c r="CA34" s="14">
        <f t="shared" si="22"/>
        <v>2</v>
      </c>
      <c r="CB34" s="14">
        <f t="shared" si="1"/>
        <v>1</v>
      </c>
      <c r="CC34" s="14">
        <f t="shared" si="2"/>
        <v>2012026</v>
      </c>
      <c r="CD34" s="13" t="str">
        <f t="shared" si="3"/>
        <v>20级守护灵蓝色-护手</v>
      </c>
      <c r="CE34" s="14">
        <f t="shared" si="4"/>
        <v>2</v>
      </c>
      <c r="CF34" s="14">
        <f t="shared" si="5"/>
        <v>2</v>
      </c>
      <c r="CG34" s="14">
        <f t="shared" si="23"/>
        <v>20</v>
      </c>
      <c r="CH34" s="14">
        <f t="shared" si="24"/>
        <v>20</v>
      </c>
      <c r="CI34" s="14">
        <f t="shared" si="6"/>
        <v>6</v>
      </c>
      <c r="CJ34" s="14" t="str">
        <f t="shared" si="25"/>
        <v/>
      </c>
      <c r="CK34" s="14">
        <f t="shared" si="7"/>
        <v>0</v>
      </c>
      <c r="CL34" s="14">
        <f t="shared" si="8"/>
        <v>0</v>
      </c>
      <c r="CM34" s="14">
        <f t="shared" si="9"/>
        <v>196</v>
      </c>
      <c r="CN34" s="14">
        <f t="shared" si="10"/>
        <v>0</v>
      </c>
      <c r="CO34" s="14">
        <f t="shared" si="11"/>
        <v>0</v>
      </c>
      <c r="CP34" s="14">
        <f t="shared" si="12"/>
        <v>37.409999999999997</v>
      </c>
      <c r="CQ34" s="14">
        <f t="shared" si="26"/>
        <v>2</v>
      </c>
      <c r="CR34" s="14">
        <f t="shared" si="27"/>
        <v>0</v>
      </c>
      <c r="CS34" s="14">
        <f t="shared" si="28"/>
        <v>21</v>
      </c>
      <c r="CV34" s="14">
        <f t="shared" si="13"/>
        <v>3</v>
      </c>
      <c r="CW34" s="14">
        <f t="shared" si="14"/>
        <v>0</v>
      </c>
      <c r="CX34" s="14" t="str">
        <f t="shared" si="29"/>
        <v>HPExt</v>
      </c>
      <c r="CY34" s="14">
        <f t="shared" si="30"/>
        <v>196</v>
      </c>
      <c r="CZ34" s="14">
        <f t="shared" si="31"/>
        <v>37.409999999999997</v>
      </c>
      <c r="DA34" s="14" t="str">
        <f t="shared" si="32"/>
        <v/>
      </c>
      <c r="DB34" s="14" t="str">
        <f t="shared" si="33"/>
        <v/>
      </c>
      <c r="DC34" s="14" t="str">
        <f t="shared" si="34"/>
        <v/>
      </c>
      <c r="DD34" s="14">
        <f t="shared" si="35"/>
        <v>2</v>
      </c>
      <c r="DE34" s="14">
        <f t="shared" si="36"/>
        <v>0</v>
      </c>
      <c r="DF34" s="14">
        <f t="shared" si="37"/>
        <v>21</v>
      </c>
      <c r="DG34" s="14">
        <f t="shared" si="38"/>
        <v>15</v>
      </c>
      <c r="DJ34" s="16"/>
      <c r="DK34" s="16"/>
      <c r="DL34" s="37"/>
      <c r="DM34" s="37"/>
      <c r="DN34" s="13">
        <v>10</v>
      </c>
      <c r="DO34" s="13" t="s">
        <v>894</v>
      </c>
      <c r="DP34" s="13">
        <v>2</v>
      </c>
      <c r="DQ34" s="13">
        <v>3</v>
      </c>
      <c r="DR34" s="13" t="s">
        <v>310</v>
      </c>
      <c r="DS34" s="13">
        <f>AI9</f>
        <v>3218</v>
      </c>
      <c r="DU34" s="13">
        <v>10</v>
      </c>
      <c r="DV34" s="13" t="s">
        <v>880</v>
      </c>
      <c r="DW34" s="13">
        <v>2</v>
      </c>
      <c r="DX34" s="13">
        <v>3</v>
      </c>
      <c r="DY34" s="13" t="s">
        <v>310</v>
      </c>
      <c r="DZ34" s="13">
        <f>AI15</f>
        <v>3324</v>
      </c>
      <c r="EC34" s="13">
        <v>30</v>
      </c>
      <c r="ED34" s="13">
        <f t="shared" si="39"/>
        <v>5</v>
      </c>
      <c r="EE34" s="13" t="str">
        <f t="shared" si="40"/>
        <v>100级寄灵人洗练-6</v>
      </c>
      <c r="EF34" s="13">
        <f t="shared" si="41"/>
        <v>15</v>
      </c>
      <c r="EG34" s="13">
        <f t="shared" si="42"/>
        <v>6</v>
      </c>
      <c r="EH34" s="13">
        <f t="shared" si="43"/>
        <v>800</v>
      </c>
      <c r="EI34" s="13" t="str">
        <f t="shared" si="44"/>
        <v>AtkRate</v>
      </c>
      <c r="EJ34" s="13">
        <f t="shared" si="45"/>
        <v>0.04</v>
      </c>
    </row>
    <row r="35" spans="1:140" s="20" customFormat="1" ht="16.5" x14ac:dyDescent="0.2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13">
        <v>30</v>
      </c>
      <c r="BE35" s="13">
        <v>3</v>
      </c>
      <c r="BF35" s="13">
        <v>60</v>
      </c>
      <c r="BG35" s="13">
        <v>4</v>
      </c>
      <c r="BH35" s="13">
        <v>2</v>
      </c>
      <c r="BI35" s="13">
        <v>2</v>
      </c>
      <c r="BJ35" s="13">
        <f t="shared" si="46"/>
        <v>2034020</v>
      </c>
      <c r="BK35" s="13" t="s">
        <v>736</v>
      </c>
      <c r="BL35" s="13"/>
      <c r="BM35" s="13">
        <v>8</v>
      </c>
      <c r="BN35" s="13">
        <f>SUM(BM$6:BM35)</f>
        <v>224</v>
      </c>
      <c r="BO35" s="13">
        <v>1</v>
      </c>
      <c r="BP35" s="13">
        <v>2</v>
      </c>
      <c r="BQ35" s="13">
        <v>3</v>
      </c>
      <c r="BR35" s="13">
        <v>4</v>
      </c>
      <c r="BS35" s="13">
        <v>5</v>
      </c>
      <c r="BT35" s="13">
        <v>6</v>
      </c>
      <c r="BU35" s="13">
        <v>7</v>
      </c>
      <c r="BV35" s="13">
        <v>8</v>
      </c>
      <c r="BW35" s="37"/>
      <c r="BY35" s="13">
        <v>31</v>
      </c>
      <c r="BZ35" s="14">
        <f t="shared" si="21"/>
        <v>4</v>
      </c>
      <c r="CA35" s="14">
        <f t="shared" si="22"/>
        <v>2</v>
      </c>
      <c r="CB35" s="14">
        <f t="shared" si="1"/>
        <v>1</v>
      </c>
      <c r="CC35" s="14">
        <f t="shared" si="2"/>
        <v>2012027</v>
      </c>
      <c r="CD35" s="13" t="str">
        <f t="shared" si="3"/>
        <v>20级守护灵蓝色-项链</v>
      </c>
      <c r="CE35" s="14">
        <f t="shared" si="4"/>
        <v>2</v>
      </c>
      <c r="CF35" s="14">
        <f t="shared" si="5"/>
        <v>2</v>
      </c>
      <c r="CG35" s="14">
        <f t="shared" si="23"/>
        <v>20</v>
      </c>
      <c r="CH35" s="14">
        <f t="shared" si="24"/>
        <v>20</v>
      </c>
      <c r="CI35" s="14">
        <f t="shared" si="6"/>
        <v>7</v>
      </c>
      <c r="CJ35" s="14" t="str">
        <f t="shared" si="25"/>
        <v/>
      </c>
      <c r="CK35" s="14">
        <f t="shared" si="7"/>
        <v>34</v>
      </c>
      <c r="CL35" s="14">
        <f t="shared" si="8"/>
        <v>17</v>
      </c>
      <c r="CM35" s="14">
        <f t="shared" si="9"/>
        <v>0</v>
      </c>
      <c r="CN35" s="14">
        <f t="shared" si="10"/>
        <v>6.42</v>
      </c>
      <c r="CO35" s="14">
        <f t="shared" si="11"/>
        <v>3.29</v>
      </c>
      <c r="CP35" s="14">
        <f t="shared" si="12"/>
        <v>0</v>
      </c>
      <c r="CQ35" s="14">
        <f t="shared" si="26"/>
        <v>2</v>
      </c>
      <c r="CR35" s="14">
        <f t="shared" si="27"/>
        <v>0</v>
      </c>
      <c r="CS35" s="14">
        <f t="shared" si="28"/>
        <v>21</v>
      </c>
      <c r="CV35" s="14">
        <f t="shared" si="13"/>
        <v>1</v>
      </c>
      <c r="CW35" s="14">
        <f t="shared" si="14"/>
        <v>2</v>
      </c>
      <c r="CX35" s="14" t="str">
        <f t="shared" si="29"/>
        <v>AtkExt</v>
      </c>
      <c r="CY35" s="14">
        <f t="shared" si="30"/>
        <v>34</v>
      </c>
      <c r="CZ35" s="14">
        <f t="shared" si="31"/>
        <v>6.42</v>
      </c>
      <c r="DA35" s="14" t="str">
        <f t="shared" si="32"/>
        <v>DefExt</v>
      </c>
      <c r="DB35" s="14">
        <f t="shared" si="33"/>
        <v>17</v>
      </c>
      <c r="DC35" s="14">
        <f t="shared" si="34"/>
        <v>3.29</v>
      </c>
      <c r="DD35" s="14">
        <f t="shared" si="35"/>
        <v>2</v>
      </c>
      <c r="DE35" s="14">
        <f t="shared" si="36"/>
        <v>0</v>
      </c>
      <c r="DF35" s="14">
        <f t="shared" si="37"/>
        <v>21</v>
      </c>
      <c r="DG35" s="14">
        <f t="shared" si="38"/>
        <v>15</v>
      </c>
      <c r="DJ35" s="37"/>
      <c r="DK35" s="37"/>
      <c r="DL35" s="37"/>
      <c r="DM35" s="37"/>
      <c r="DN35" s="13">
        <v>10</v>
      </c>
      <c r="DO35" s="13" t="s">
        <v>894</v>
      </c>
      <c r="DP35" s="13">
        <v>3</v>
      </c>
      <c r="DQ35" s="13">
        <v>5</v>
      </c>
      <c r="DR35" s="13" t="s">
        <v>858</v>
      </c>
      <c r="DS35" s="13">
        <v>0.15</v>
      </c>
      <c r="DU35" s="13">
        <v>10</v>
      </c>
      <c r="DV35" s="13" t="s">
        <v>880</v>
      </c>
      <c r="DW35" s="13">
        <v>3</v>
      </c>
      <c r="DX35" s="13">
        <v>5</v>
      </c>
      <c r="DY35" s="13" t="s">
        <v>858</v>
      </c>
      <c r="DZ35" s="13">
        <v>0.15</v>
      </c>
      <c r="EC35" s="13">
        <v>31</v>
      </c>
      <c r="ED35" s="13">
        <f t="shared" si="39"/>
        <v>6</v>
      </c>
      <c r="EE35" s="13" t="str">
        <f t="shared" si="40"/>
        <v>120级寄灵人洗练-1</v>
      </c>
      <c r="EF35" s="13">
        <f t="shared" si="41"/>
        <v>16</v>
      </c>
      <c r="EG35" s="13">
        <f t="shared" si="42"/>
        <v>1</v>
      </c>
      <c r="EH35" s="13">
        <f t="shared" si="43"/>
        <v>2500</v>
      </c>
      <c r="EI35" s="13" t="str">
        <f t="shared" si="44"/>
        <v>AtkExt</v>
      </c>
      <c r="EJ35" s="13">
        <f t="shared" si="45"/>
        <v>544</v>
      </c>
    </row>
    <row r="36" spans="1:140" s="20" customFormat="1" ht="16.5" x14ac:dyDescent="0.2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13">
        <v>31</v>
      </c>
      <c r="BE36" s="13">
        <v>3</v>
      </c>
      <c r="BF36" s="13">
        <v>60</v>
      </c>
      <c r="BG36" s="13">
        <v>4</v>
      </c>
      <c r="BH36" s="13">
        <v>1</v>
      </c>
      <c r="BI36" s="13">
        <v>3</v>
      </c>
      <c r="BJ36" s="13">
        <f t="shared" si="46"/>
        <v>2034030</v>
      </c>
      <c r="BK36" s="13" t="s">
        <v>737</v>
      </c>
      <c r="BL36" s="13">
        <v>1031</v>
      </c>
      <c r="BM36" s="13">
        <v>6</v>
      </c>
      <c r="BN36" s="13">
        <f>SUM(BM$6:BM36)</f>
        <v>230</v>
      </c>
      <c r="BO36" s="13">
        <v>1</v>
      </c>
      <c r="BP36" s="13">
        <v>2</v>
      </c>
      <c r="BQ36" s="13">
        <v>3</v>
      </c>
      <c r="BR36" s="13">
        <v>4</v>
      </c>
      <c r="BS36" s="13">
        <v>5</v>
      </c>
      <c r="BT36" s="13">
        <v>6</v>
      </c>
      <c r="BU36" s="13"/>
      <c r="BV36" s="13"/>
      <c r="BW36" s="37"/>
      <c r="BY36" s="13">
        <v>32</v>
      </c>
      <c r="BZ36" s="14">
        <f t="shared" si="21"/>
        <v>4</v>
      </c>
      <c r="CA36" s="14">
        <f t="shared" si="22"/>
        <v>2</v>
      </c>
      <c r="CB36" s="14">
        <f t="shared" si="1"/>
        <v>1</v>
      </c>
      <c r="CC36" s="14">
        <f t="shared" si="2"/>
        <v>2012028</v>
      </c>
      <c r="CD36" s="13" t="str">
        <f t="shared" si="3"/>
        <v>20级守护灵蓝色-戒指</v>
      </c>
      <c r="CE36" s="14">
        <f t="shared" si="4"/>
        <v>2</v>
      </c>
      <c r="CF36" s="14">
        <f t="shared" si="5"/>
        <v>2</v>
      </c>
      <c r="CG36" s="14">
        <f t="shared" si="23"/>
        <v>20</v>
      </c>
      <c r="CH36" s="14">
        <f t="shared" si="24"/>
        <v>20</v>
      </c>
      <c r="CI36" s="14">
        <f t="shared" si="6"/>
        <v>8</v>
      </c>
      <c r="CJ36" s="14" t="str">
        <f t="shared" si="25"/>
        <v/>
      </c>
      <c r="CK36" s="14">
        <f t="shared" si="7"/>
        <v>34</v>
      </c>
      <c r="CL36" s="14">
        <f t="shared" si="8"/>
        <v>0</v>
      </c>
      <c r="CM36" s="14">
        <f t="shared" si="9"/>
        <v>164</v>
      </c>
      <c r="CN36" s="14">
        <f t="shared" si="10"/>
        <v>6.42</v>
      </c>
      <c r="CO36" s="14">
        <f t="shared" si="11"/>
        <v>0</v>
      </c>
      <c r="CP36" s="14">
        <f t="shared" si="12"/>
        <v>31.18</v>
      </c>
      <c r="CQ36" s="14">
        <f t="shared" si="26"/>
        <v>2</v>
      </c>
      <c r="CR36" s="14">
        <f t="shared" si="27"/>
        <v>0</v>
      </c>
      <c r="CS36" s="14">
        <f t="shared" si="28"/>
        <v>21</v>
      </c>
      <c r="CV36" s="14">
        <f t="shared" si="13"/>
        <v>1</v>
      </c>
      <c r="CW36" s="14">
        <f t="shared" si="14"/>
        <v>3</v>
      </c>
      <c r="CX36" s="14" t="str">
        <f t="shared" si="29"/>
        <v>AtkExt</v>
      </c>
      <c r="CY36" s="14">
        <f t="shared" si="30"/>
        <v>34</v>
      </c>
      <c r="CZ36" s="14">
        <f t="shared" si="31"/>
        <v>6.42</v>
      </c>
      <c r="DA36" s="14" t="str">
        <f t="shared" si="32"/>
        <v>HPExt</v>
      </c>
      <c r="DB36" s="14">
        <f t="shared" si="33"/>
        <v>164</v>
      </c>
      <c r="DC36" s="14">
        <f t="shared" si="34"/>
        <v>31.18</v>
      </c>
      <c r="DD36" s="14">
        <f t="shared" si="35"/>
        <v>2</v>
      </c>
      <c r="DE36" s="14">
        <f t="shared" si="36"/>
        <v>0</v>
      </c>
      <c r="DF36" s="14">
        <f t="shared" si="37"/>
        <v>21</v>
      </c>
      <c r="DG36" s="14">
        <f t="shared" si="38"/>
        <v>15</v>
      </c>
      <c r="DJ36" s="37"/>
      <c r="DK36" s="37"/>
      <c r="DL36" s="37"/>
      <c r="DM36" s="37"/>
      <c r="DN36" s="13">
        <v>11</v>
      </c>
      <c r="DO36" s="13" t="s">
        <v>895</v>
      </c>
      <c r="DP36" s="13">
        <v>1</v>
      </c>
      <c r="DQ36" s="13">
        <v>2</v>
      </c>
      <c r="DR36" s="13" t="s">
        <v>312</v>
      </c>
      <c r="DS36" s="13">
        <f>AJ9</f>
        <v>9734</v>
      </c>
      <c r="DU36" s="13">
        <v>11</v>
      </c>
      <c r="DV36" s="13" t="s">
        <v>881</v>
      </c>
      <c r="DW36" s="13">
        <v>1</v>
      </c>
      <c r="DX36" s="13">
        <v>2</v>
      </c>
      <c r="DY36" s="13" t="s">
        <v>312</v>
      </c>
      <c r="DZ36" s="13">
        <f>AJ15</f>
        <v>17456</v>
      </c>
      <c r="EC36" s="13">
        <v>32</v>
      </c>
      <c r="ED36" s="13">
        <f t="shared" si="39"/>
        <v>6</v>
      </c>
      <c r="EE36" s="13" t="str">
        <f t="shared" si="40"/>
        <v>120级寄灵人洗练-2</v>
      </c>
      <c r="EF36" s="13">
        <f t="shared" si="41"/>
        <v>16</v>
      </c>
      <c r="EG36" s="13">
        <f t="shared" si="42"/>
        <v>2</v>
      </c>
      <c r="EH36" s="13">
        <f t="shared" si="43"/>
        <v>2500</v>
      </c>
      <c r="EI36" s="13" t="str">
        <f t="shared" si="44"/>
        <v>DefExt</v>
      </c>
      <c r="EJ36" s="13">
        <f t="shared" si="45"/>
        <v>225</v>
      </c>
    </row>
    <row r="37" spans="1:140" s="20" customFormat="1" ht="16.5" x14ac:dyDescent="0.2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13">
        <v>32</v>
      </c>
      <c r="BE37" s="13">
        <v>3</v>
      </c>
      <c r="BF37" s="13">
        <v>60</v>
      </c>
      <c r="BG37" s="13">
        <v>4</v>
      </c>
      <c r="BH37" s="13">
        <v>2</v>
      </c>
      <c r="BI37" s="13">
        <v>4</v>
      </c>
      <c r="BJ37" s="13">
        <f t="shared" si="46"/>
        <v>2034040</v>
      </c>
      <c r="BK37" s="13" t="s">
        <v>738</v>
      </c>
      <c r="BL37" s="13">
        <v>2031</v>
      </c>
      <c r="BM37" s="13">
        <v>6</v>
      </c>
      <c r="BN37" s="13">
        <f>SUM(BM$6:BM37)</f>
        <v>236</v>
      </c>
      <c r="BO37" s="13">
        <v>1</v>
      </c>
      <c r="BP37" s="13">
        <v>2</v>
      </c>
      <c r="BQ37" s="13">
        <v>3</v>
      </c>
      <c r="BR37" s="13">
        <v>4</v>
      </c>
      <c r="BS37" s="13">
        <v>5</v>
      </c>
      <c r="BT37" s="13">
        <v>6</v>
      </c>
      <c r="BU37" s="13"/>
      <c r="BV37" s="13"/>
      <c r="BW37" s="37"/>
      <c r="BY37" s="13">
        <v>33</v>
      </c>
      <c r="BZ37" s="14">
        <f t="shared" si="21"/>
        <v>5</v>
      </c>
      <c r="CA37" s="14">
        <f t="shared" si="22"/>
        <v>1</v>
      </c>
      <c r="CB37" s="14">
        <f t="shared" si="1"/>
        <v>1</v>
      </c>
      <c r="CC37" s="14">
        <f t="shared" si="2"/>
        <v>2013011</v>
      </c>
      <c r="CD37" s="13" t="str">
        <f t="shared" si="3"/>
        <v>20级寄灵人紫色-武器</v>
      </c>
      <c r="CE37" s="14">
        <f t="shared" si="4"/>
        <v>1</v>
      </c>
      <c r="CF37" s="14">
        <f t="shared" si="5"/>
        <v>3</v>
      </c>
      <c r="CG37" s="14">
        <f t="shared" si="23"/>
        <v>20</v>
      </c>
      <c r="CH37" s="14">
        <f t="shared" si="24"/>
        <v>20</v>
      </c>
      <c r="CI37" s="14">
        <f t="shared" si="6"/>
        <v>1</v>
      </c>
      <c r="CJ37" s="14" t="str">
        <f t="shared" si="25"/>
        <v/>
      </c>
      <c r="CK37" s="14">
        <f t="shared" si="7"/>
        <v>70</v>
      </c>
      <c r="CL37" s="14">
        <f t="shared" si="8"/>
        <v>0</v>
      </c>
      <c r="CM37" s="14">
        <f t="shared" si="9"/>
        <v>0</v>
      </c>
      <c r="CN37" s="14">
        <f t="shared" si="10"/>
        <v>12.5</v>
      </c>
      <c r="CO37" s="14">
        <f t="shared" si="11"/>
        <v>0</v>
      </c>
      <c r="CP37" s="14">
        <f t="shared" si="12"/>
        <v>0</v>
      </c>
      <c r="CQ37" s="14">
        <f t="shared" si="26"/>
        <v>3</v>
      </c>
      <c r="CR37" s="14">
        <f t="shared" si="27"/>
        <v>1</v>
      </c>
      <c r="CS37" s="14">
        <f t="shared" si="28"/>
        <v>11</v>
      </c>
      <c r="CV37" s="14">
        <f t="shared" si="13"/>
        <v>1</v>
      </c>
      <c r="CW37" s="14">
        <f t="shared" si="14"/>
        <v>0</v>
      </c>
      <c r="CX37" s="14" t="str">
        <f t="shared" si="29"/>
        <v>AtkExt</v>
      </c>
      <c r="CY37" s="14">
        <f t="shared" si="30"/>
        <v>70</v>
      </c>
      <c r="CZ37" s="14">
        <f t="shared" si="31"/>
        <v>12.5</v>
      </c>
      <c r="DA37" s="14" t="str">
        <f t="shared" si="32"/>
        <v/>
      </c>
      <c r="DB37" s="14" t="str">
        <f t="shared" si="33"/>
        <v/>
      </c>
      <c r="DC37" s="14" t="str">
        <f t="shared" si="34"/>
        <v/>
      </c>
      <c r="DD37" s="14">
        <f t="shared" si="35"/>
        <v>3</v>
      </c>
      <c r="DE37" s="14">
        <f t="shared" si="36"/>
        <v>1</v>
      </c>
      <c r="DF37" s="14">
        <f t="shared" si="37"/>
        <v>11</v>
      </c>
      <c r="DG37" s="14">
        <f t="shared" si="38"/>
        <v>25</v>
      </c>
      <c r="DJ37" s="37"/>
      <c r="DK37" s="37"/>
      <c r="DL37" s="37"/>
      <c r="DM37" s="37"/>
      <c r="DN37" s="13">
        <v>11</v>
      </c>
      <c r="DO37" s="13" t="s">
        <v>895</v>
      </c>
      <c r="DP37" s="13">
        <v>2</v>
      </c>
      <c r="DQ37" s="13">
        <v>3</v>
      </c>
      <c r="DR37" s="13" t="s">
        <v>310</v>
      </c>
      <c r="DS37" s="13">
        <f>AI9</f>
        <v>3218</v>
      </c>
      <c r="DU37" s="13">
        <v>11</v>
      </c>
      <c r="DV37" s="13" t="s">
        <v>881</v>
      </c>
      <c r="DW37" s="13">
        <v>2</v>
      </c>
      <c r="DX37" s="13">
        <v>3</v>
      </c>
      <c r="DY37" s="13" t="s">
        <v>310</v>
      </c>
      <c r="DZ37" s="13">
        <f>AI15</f>
        <v>3324</v>
      </c>
      <c r="EC37" s="13">
        <v>33</v>
      </c>
      <c r="ED37" s="13">
        <f t="shared" si="39"/>
        <v>6</v>
      </c>
      <c r="EE37" s="13" t="str">
        <f t="shared" si="40"/>
        <v>120级寄灵人洗练-3</v>
      </c>
      <c r="EF37" s="13">
        <f t="shared" si="41"/>
        <v>16</v>
      </c>
      <c r="EG37" s="13">
        <f t="shared" si="42"/>
        <v>3</v>
      </c>
      <c r="EH37" s="13">
        <f t="shared" si="43"/>
        <v>2600</v>
      </c>
      <c r="EI37" s="13" t="str">
        <f t="shared" si="44"/>
        <v>HPExt</v>
      </c>
      <c r="EJ37" s="13">
        <f t="shared" si="45"/>
        <v>1641</v>
      </c>
    </row>
    <row r="38" spans="1:140" s="20" customFormat="1" ht="16.5" x14ac:dyDescent="0.2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13">
        <v>33</v>
      </c>
      <c r="BE38" s="13">
        <v>3</v>
      </c>
      <c r="BF38" s="13">
        <v>60</v>
      </c>
      <c r="BG38" s="13">
        <v>4</v>
      </c>
      <c r="BH38" s="13">
        <v>1</v>
      </c>
      <c r="BI38" s="13">
        <v>5</v>
      </c>
      <c r="BJ38" s="13">
        <f t="shared" si="46"/>
        <v>2034050</v>
      </c>
      <c r="BK38" s="13" t="s">
        <v>739</v>
      </c>
      <c r="BL38" s="13">
        <v>1032</v>
      </c>
      <c r="BM38" s="13">
        <v>6</v>
      </c>
      <c r="BN38" s="13">
        <f>SUM(BM$6:BM38)</f>
        <v>242</v>
      </c>
      <c r="BO38" s="13">
        <v>1</v>
      </c>
      <c r="BP38" s="13">
        <v>4</v>
      </c>
      <c r="BQ38" s="13">
        <v>5</v>
      </c>
      <c r="BR38" s="13">
        <v>6</v>
      </c>
      <c r="BS38" s="13">
        <v>7</v>
      </c>
      <c r="BT38" s="13">
        <v>8</v>
      </c>
      <c r="BU38" s="13"/>
      <c r="BV38" s="13"/>
      <c r="BW38" s="37"/>
      <c r="BY38" s="13">
        <v>34</v>
      </c>
      <c r="BZ38" s="14">
        <f t="shared" si="21"/>
        <v>5</v>
      </c>
      <c r="CA38" s="14">
        <f t="shared" si="22"/>
        <v>1</v>
      </c>
      <c r="CB38" s="14">
        <f t="shared" si="1"/>
        <v>1</v>
      </c>
      <c r="CC38" s="14">
        <f t="shared" si="2"/>
        <v>2013012</v>
      </c>
      <c r="CD38" s="13" t="str">
        <f t="shared" si="3"/>
        <v>20级寄灵人紫色-头盔</v>
      </c>
      <c r="CE38" s="14">
        <f t="shared" si="4"/>
        <v>1</v>
      </c>
      <c r="CF38" s="14">
        <f t="shared" si="5"/>
        <v>3</v>
      </c>
      <c r="CG38" s="14">
        <f t="shared" si="23"/>
        <v>20</v>
      </c>
      <c r="CH38" s="14">
        <f t="shared" si="24"/>
        <v>20</v>
      </c>
      <c r="CI38" s="14">
        <f t="shared" si="6"/>
        <v>2</v>
      </c>
      <c r="CJ38" s="14" t="str">
        <f t="shared" si="25"/>
        <v/>
      </c>
      <c r="CK38" s="14">
        <f t="shared" si="7"/>
        <v>0</v>
      </c>
      <c r="CL38" s="14">
        <f t="shared" si="8"/>
        <v>14</v>
      </c>
      <c r="CM38" s="14">
        <f t="shared" si="9"/>
        <v>0</v>
      </c>
      <c r="CN38" s="14">
        <f t="shared" si="10"/>
        <v>0</v>
      </c>
      <c r="CO38" s="14">
        <f t="shared" si="11"/>
        <v>2.56</v>
      </c>
      <c r="CP38" s="14">
        <f t="shared" si="12"/>
        <v>0</v>
      </c>
      <c r="CQ38" s="14">
        <f t="shared" si="26"/>
        <v>3</v>
      </c>
      <c r="CR38" s="14">
        <f t="shared" si="27"/>
        <v>1</v>
      </c>
      <c r="CS38" s="14">
        <f t="shared" si="28"/>
        <v>11</v>
      </c>
      <c r="CV38" s="14">
        <f t="shared" si="13"/>
        <v>2</v>
      </c>
      <c r="CW38" s="14">
        <f t="shared" si="14"/>
        <v>0</v>
      </c>
      <c r="CX38" s="14" t="str">
        <f t="shared" si="29"/>
        <v>DefExt</v>
      </c>
      <c r="CY38" s="14">
        <f t="shared" si="30"/>
        <v>14</v>
      </c>
      <c r="CZ38" s="14">
        <f t="shared" si="31"/>
        <v>2.56</v>
      </c>
      <c r="DA38" s="14" t="str">
        <f t="shared" si="32"/>
        <v/>
      </c>
      <c r="DB38" s="14" t="str">
        <f t="shared" si="33"/>
        <v/>
      </c>
      <c r="DC38" s="14" t="str">
        <f t="shared" si="34"/>
        <v/>
      </c>
      <c r="DD38" s="14">
        <f t="shared" si="35"/>
        <v>3</v>
      </c>
      <c r="DE38" s="14">
        <f t="shared" si="36"/>
        <v>1</v>
      </c>
      <c r="DF38" s="14">
        <f t="shared" si="37"/>
        <v>11</v>
      </c>
      <c r="DG38" s="14">
        <f t="shared" si="38"/>
        <v>25</v>
      </c>
      <c r="DJ38" s="37"/>
      <c r="DK38" s="37"/>
      <c r="DL38" s="37"/>
      <c r="DM38" s="37"/>
      <c r="DN38" s="13">
        <v>11</v>
      </c>
      <c r="DO38" s="13" t="s">
        <v>895</v>
      </c>
      <c r="DP38" s="13">
        <v>3</v>
      </c>
      <c r="DQ38" s="13">
        <v>5</v>
      </c>
      <c r="DR38" s="13" t="s">
        <v>862</v>
      </c>
      <c r="DS38" s="13">
        <v>0.15</v>
      </c>
      <c r="DU38" s="13">
        <v>11</v>
      </c>
      <c r="DV38" s="13" t="s">
        <v>881</v>
      </c>
      <c r="DW38" s="13">
        <v>3</v>
      </c>
      <c r="DX38" s="13">
        <v>5</v>
      </c>
      <c r="DY38" s="13" t="s">
        <v>862</v>
      </c>
      <c r="DZ38" s="13">
        <v>0.15</v>
      </c>
      <c r="EC38" s="13">
        <v>34</v>
      </c>
      <c r="ED38" s="13">
        <f t="shared" si="39"/>
        <v>6</v>
      </c>
      <c r="EE38" s="13" t="str">
        <f t="shared" si="40"/>
        <v>120级寄灵人洗练-4</v>
      </c>
      <c r="EF38" s="13">
        <f t="shared" si="41"/>
        <v>16</v>
      </c>
      <c r="EG38" s="13">
        <f t="shared" si="42"/>
        <v>4</v>
      </c>
      <c r="EH38" s="13">
        <f t="shared" si="43"/>
        <v>800</v>
      </c>
      <c r="EI38" s="13" t="str">
        <f t="shared" si="44"/>
        <v>AtkRate</v>
      </c>
      <c r="EJ38" s="13">
        <f t="shared" si="45"/>
        <v>0.04</v>
      </c>
    </row>
    <row r="39" spans="1:140" s="20" customFormat="1" ht="16.5" x14ac:dyDescent="0.2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13">
        <v>34</v>
      </c>
      <c r="BE39" s="13">
        <v>3</v>
      </c>
      <c r="BF39" s="13">
        <v>60</v>
      </c>
      <c r="BG39" s="13">
        <v>4</v>
      </c>
      <c r="BH39" s="13">
        <v>2</v>
      </c>
      <c r="BI39" s="13">
        <v>6</v>
      </c>
      <c r="BJ39" s="13">
        <f t="shared" si="46"/>
        <v>2034060</v>
      </c>
      <c r="BK39" s="13" t="s">
        <v>740</v>
      </c>
      <c r="BL39" s="13">
        <v>2032</v>
      </c>
      <c r="BM39" s="13">
        <v>6</v>
      </c>
      <c r="BN39" s="13">
        <f>SUM(BM$6:BM39)</f>
        <v>248</v>
      </c>
      <c r="BO39" s="13">
        <v>1</v>
      </c>
      <c r="BP39" s="13">
        <v>4</v>
      </c>
      <c r="BQ39" s="13">
        <v>5</v>
      </c>
      <c r="BR39" s="13">
        <v>6</v>
      </c>
      <c r="BS39" s="13">
        <v>7</v>
      </c>
      <c r="BT39" s="13">
        <v>8</v>
      </c>
      <c r="BU39" s="13"/>
      <c r="BV39" s="13"/>
      <c r="BW39" s="37"/>
      <c r="BY39" s="13">
        <v>35</v>
      </c>
      <c r="BZ39" s="14">
        <f t="shared" si="21"/>
        <v>5</v>
      </c>
      <c r="CA39" s="14">
        <f t="shared" si="22"/>
        <v>1</v>
      </c>
      <c r="CB39" s="14">
        <f t="shared" si="1"/>
        <v>1</v>
      </c>
      <c r="CC39" s="14">
        <f t="shared" si="2"/>
        <v>2013013</v>
      </c>
      <c r="CD39" s="13" t="str">
        <f t="shared" si="3"/>
        <v>20级寄灵人紫色-肩甲</v>
      </c>
      <c r="CE39" s="14">
        <f t="shared" si="4"/>
        <v>1</v>
      </c>
      <c r="CF39" s="14">
        <f t="shared" si="5"/>
        <v>3</v>
      </c>
      <c r="CG39" s="14">
        <f t="shared" si="23"/>
        <v>20</v>
      </c>
      <c r="CH39" s="14">
        <f t="shared" si="24"/>
        <v>20</v>
      </c>
      <c r="CI39" s="14">
        <f t="shared" si="6"/>
        <v>3</v>
      </c>
      <c r="CJ39" s="14" t="str">
        <f t="shared" si="25"/>
        <v/>
      </c>
      <c r="CK39" s="14">
        <f t="shared" si="7"/>
        <v>0</v>
      </c>
      <c r="CL39" s="14">
        <f t="shared" si="8"/>
        <v>7</v>
      </c>
      <c r="CM39" s="14">
        <f t="shared" si="9"/>
        <v>61</v>
      </c>
      <c r="CN39" s="14">
        <f t="shared" si="10"/>
        <v>0</v>
      </c>
      <c r="CO39" s="14">
        <f t="shared" si="11"/>
        <v>1.28</v>
      </c>
      <c r="CP39" s="14">
        <f t="shared" si="12"/>
        <v>10.88</v>
      </c>
      <c r="CQ39" s="14">
        <f t="shared" si="26"/>
        <v>3</v>
      </c>
      <c r="CR39" s="14">
        <f t="shared" si="27"/>
        <v>1</v>
      </c>
      <c r="CS39" s="14">
        <f t="shared" si="28"/>
        <v>11</v>
      </c>
      <c r="CV39" s="14">
        <f t="shared" si="13"/>
        <v>2</v>
      </c>
      <c r="CW39" s="14">
        <f t="shared" si="14"/>
        <v>3</v>
      </c>
      <c r="CX39" s="14" t="str">
        <f t="shared" si="29"/>
        <v>DefExt</v>
      </c>
      <c r="CY39" s="14">
        <f t="shared" si="30"/>
        <v>7</v>
      </c>
      <c r="CZ39" s="14">
        <f t="shared" si="31"/>
        <v>1.28</v>
      </c>
      <c r="DA39" s="14" t="str">
        <f t="shared" si="32"/>
        <v>HPExt</v>
      </c>
      <c r="DB39" s="14">
        <f t="shared" si="33"/>
        <v>61</v>
      </c>
      <c r="DC39" s="14">
        <f t="shared" si="34"/>
        <v>10.88</v>
      </c>
      <c r="DD39" s="14">
        <f t="shared" si="35"/>
        <v>3</v>
      </c>
      <c r="DE39" s="14">
        <f t="shared" si="36"/>
        <v>1</v>
      </c>
      <c r="DF39" s="14">
        <f t="shared" si="37"/>
        <v>11</v>
      </c>
      <c r="DG39" s="14">
        <f t="shared" si="38"/>
        <v>25</v>
      </c>
      <c r="DJ39" s="37"/>
      <c r="DK39" s="37"/>
      <c r="DL39" s="37"/>
      <c r="DM39" s="37"/>
      <c r="DN39" s="13">
        <v>12</v>
      </c>
      <c r="DO39" s="13" t="s">
        <v>896</v>
      </c>
      <c r="DP39" s="13">
        <v>1</v>
      </c>
      <c r="DQ39" s="13">
        <v>2</v>
      </c>
      <c r="DR39" s="13" t="s">
        <v>310</v>
      </c>
      <c r="DS39" s="13">
        <f>AI10</f>
        <v>5752</v>
      </c>
      <c r="DU39" s="13">
        <v>12</v>
      </c>
      <c r="DV39" s="13" t="s">
        <v>882</v>
      </c>
      <c r="DW39" s="13">
        <v>1</v>
      </c>
      <c r="DX39" s="13">
        <v>2</v>
      </c>
      <c r="DY39" s="13" t="s">
        <v>310</v>
      </c>
      <c r="DZ39" s="13">
        <f>AI16</f>
        <v>5858</v>
      </c>
      <c r="EC39" s="13">
        <v>35</v>
      </c>
      <c r="ED39" s="13">
        <f t="shared" si="39"/>
        <v>6</v>
      </c>
      <c r="EE39" s="13" t="str">
        <f t="shared" si="40"/>
        <v>120级寄灵人洗练-5</v>
      </c>
      <c r="EF39" s="13">
        <f t="shared" si="41"/>
        <v>16</v>
      </c>
      <c r="EG39" s="13">
        <f t="shared" si="42"/>
        <v>5</v>
      </c>
      <c r="EH39" s="13">
        <f t="shared" si="43"/>
        <v>800</v>
      </c>
      <c r="EI39" s="13" t="str">
        <f t="shared" si="44"/>
        <v>AtkRate</v>
      </c>
      <c r="EJ39" s="13">
        <f t="shared" si="45"/>
        <v>0.04</v>
      </c>
    </row>
    <row r="40" spans="1:140" s="20" customFormat="1" ht="16.5" x14ac:dyDescent="0.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13">
        <v>35</v>
      </c>
      <c r="BE40" s="13">
        <v>4</v>
      </c>
      <c r="BF40" s="13">
        <v>80</v>
      </c>
      <c r="BG40" s="13">
        <v>1</v>
      </c>
      <c r="BH40" s="13">
        <v>1</v>
      </c>
      <c r="BI40" s="13">
        <v>1</v>
      </c>
      <c r="BJ40" s="13">
        <f t="shared" si="46"/>
        <v>2041010</v>
      </c>
      <c r="BK40" s="13" t="s">
        <v>741</v>
      </c>
      <c r="BL40" s="13"/>
      <c r="BM40" s="13">
        <v>8</v>
      </c>
      <c r="BN40" s="13">
        <f>SUM(BM$6:BM40)</f>
        <v>256</v>
      </c>
      <c r="BO40" s="13">
        <v>1</v>
      </c>
      <c r="BP40" s="13">
        <v>2</v>
      </c>
      <c r="BQ40" s="13">
        <v>3</v>
      </c>
      <c r="BR40" s="13">
        <v>4</v>
      </c>
      <c r="BS40" s="13">
        <v>5</v>
      </c>
      <c r="BT40" s="13">
        <v>6</v>
      </c>
      <c r="BU40" s="13">
        <v>7</v>
      </c>
      <c r="BV40" s="13">
        <v>8</v>
      </c>
      <c r="BW40" s="37"/>
      <c r="BY40" s="13">
        <v>36</v>
      </c>
      <c r="BZ40" s="14">
        <f t="shared" si="21"/>
        <v>5</v>
      </c>
      <c r="CA40" s="14">
        <f t="shared" si="22"/>
        <v>1</v>
      </c>
      <c r="CB40" s="14">
        <f t="shared" si="1"/>
        <v>1</v>
      </c>
      <c r="CC40" s="14">
        <f t="shared" si="2"/>
        <v>2013014</v>
      </c>
      <c r="CD40" s="13" t="str">
        <f t="shared" si="3"/>
        <v>20级寄灵人紫色-衣服</v>
      </c>
      <c r="CE40" s="14">
        <f t="shared" si="4"/>
        <v>1</v>
      </c>
      <c r="CF40" s="14">
        <f t="shared" si="5"/>
        <v>3</v>
      </c>
      <c r="CG40" s="14">
        <f t="shared" si="23"/>
        <v>20</v>
      </c>
      <c r="CH40" s="14">
        <f t="shared" si="24"/>
        <v>20</v>
      </c>
      <c r="CI40" s="14">
        <f t="shared" si="6"/>
        <v>4</v>
      </c>
      <c r="CJ40" s="14" t="str">
        <f t="shared" si="25"/>
        <v/>
      </c>
      <c r="CK40" s="14">
        <f t="shared" si="7"/>
        <v>0</v>
      </c>
      <c r="CL40" s="14">
        <f t="shared" si="8"/>
        <v>14</v>
      </c>
      <c r="CM40" s="14">
        <f t="shared" si="9"/>
        <v>0</v>
      </c>
      <c r="CN40" s="14">
        <f t="shared" si="10"/>
        <v>0</v>
      </c>
      <c r="CO40" s="14">
        <f t="shared" si="11"/>
        <v>2.56</v>
      </c>
      <c r="CP40" s="14">
        <f t="shared" si="12"/>
        <v>0</v>
      </c>
      <c r="CQ40" s="14">
        <f t="shared" si="26"/>
        <v>3</v>
      </c>
      <c r="CR40" s="14">
        <f t="shared" si="27"/>
        <v>1</v>
      </c>
      <c r="CS40" s="14">
        <f t="shared" si="28"/>
        <v>11</v>
      </c>
      <c r="CV40" s="14">
        <f t="shared" si="13"/>
        <v>2</v>
      </c>
      <c r="CW40" s="14">
        <f t="shared" si="14"/>
        <v>0</v>
      </c>
      <c r="CX40" s="14" t="str">
        <f t="shared" si="29"/>
        <v>DefExt</v>
      </c>
      <c r="CY40" s="14">
        <f t="shared" si="30"/>
        <v>14</v>
      </c>
      <c r="CZ40" s="14">
        <f t="shared" si="31"/>
        <v>2.56</v>
      </c>
      <c r="DA40" s="14" t="str">
        <f t="shared" si="32"/>
        <v/>
      </c>
      <c r="DB40" s="14" t="str">
        <f t="shared" si="33"/>
        <v/>
      </c>
      <c r="DC40" s="14" t="str">
        <f t="shared" si="34"/>
        <v/>
      </c>
      <c r="DD40" s="14">
        <f t="shared" si="35"/>
        <v>3</v>
      </c>
      <c r="DE40" s="14">
        <f t="shared" si="36"/>
        <v>1</v>
      </c>
      <c r="DF40" s="14">
        <f t="shared" si="37"/>
        <v>11</v>
      </c>
      <c r="DG40" s="14">
        <f t="shared" si="38"/>
        <v>25</v>
      </c>
      <c r="DJ40" s="37"/>
      <c r="DK40" s="37"/>
      <c r="DL40" s="37"/>
      <c r="DM40" s="37"/>
      <c r="DN40" s="13">
        <v>12</v>
      </c>
      <c r="DO40" s="13" t="s">
        <v>896</v>
      </c>
      <c r="DP40" s="13">
        <v>2</v>
      </c>
      <c r="DQ40" s="13">
        <v>3</v>
      </c>
      <c r="DR40" s="13" t="s">
        <v>312</v>
      </c>
      <c r="DS40" s="13">
        <f>AJ10</f>
        <v>17336</v>
      </c>
      <c r="DU40" s="13">
        <v>12</v>
      </c>
      <c r="DV40" s="13" t="s">
        <v>882</v>
      </c>
      <c r="DW40" s="13">
        <v>2</v>
      </c>
      <c r="DX40" s="13">
        <v>3</v>
      </c>
      <c r="DY40" s="13" t="s">
        <v>312</v>
      </c>
      <c r="DZ40" s="13">
        <f>AJ16</f>
        <v>31137</v>
      </c>
      <c r="EC40" s="13">
        <v>36</v>
      </c>
      <c r="ED40" s="13">
        <f t="shared" si="39"/>
        <v>6</v>
      </c>
      <c r="EE40" s="13" t="str">
        <f t="shared" si="40"/>
        <v>120级寄灵人洗练-6</v>
      </c>
      <c r="EF40" s="13">
        <f t="shared" si="41"/>
        <v>16</v>
      </c>
      <c r="EG40" s="13">
        <f t="shared" si="42"/>
        <v>6</v>
      </c>
      <c r="EH40" s="13">
        <f t="shared" si="43"/>
        <v>800</v>
      </c>
      <c r="EI40" s="13" t="str">
        <f t="shared" si="44"/>
        <v>AtkRate</v>
      </c>
      <c r="EJ40" s="13">
        <f t="shared" si="45"/>
        <v>0.04</v>
      </c>
    </row>
    <row r="41" spans="1:140" s="20" customFormat="1" ht="16.5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13">
        <v>36</v>
      </c>
      <c r="BE41" s="13">
        <v>4</v>
      </c>
      <c r="BF41" s="13">
        <v>80</v>
      </c>
      <c r="BG41" s="13">
        <v>1</v>
      </c>
      <c r="BH41" s="13">
        <v>2</v>
      </c>
      <c r="BI41" s="13">
        <v>2</v>
      </c>
      <c r="BJ41" s="13">
        <f t="shared" si="46"/>
        <v>2041020</v>
      </c>
      <c r="BK41" s="13" t="s">
        <v>742</v>
      </c>
      <c r="BL41" s="13"/>
      <c r="BM41" s="13">
        <v>8</v>
      </c>
      <c r="BN41" s="13">
        <f>SUM(BM$6:BM41)</f>
        <v>264</v>
      </c>
      <c r="BO41" s="13">
        <v>1</v>
      </c>
      <c r="BP41" s="13">
        <v>2</v>
      </c>
      <c r="BQ41" s="13">
        <v>3</v>
      </c>
      <c r="BR41" s="13">
        <v>4</v>
      </c>
      <c r="BS41" s="13">
        <v>5</v>
      </c>
      <c r="BT41" s="13">
        <v>6</v>
      </c>
      <c r="BU41" s="13">
        <v>7</v>
      </c>
      <c r="BV41" s="13">
        <v>8</v>
      </c>
      <c r="BW41" s="37"/>
      <c r="BY41" s="13">
        <v>37</v>
      </c>
      <c r="BZ41" s="14">
        <f t="shared" si="21"/>
        <v>5</v>
      </c>
      <c r="CA41" s="14">
        <f t="shared" si="22"/>
        <v>1</v>
      </c>
      <c r="CB41" s="14">
        <f t="shared" si="1"/>
        <v>1</v>
      </c>
      <c r="CC41" s="14">
        <f t="shared" si="2"/>
        <v>2013015</v>
      </c>
      <c r="CD41" s="13" t="str">
        <f t="shared" si="3"/>
        <v>20级寄灵人紫色-鞋子</v>
      </c>
      <c r="CE41" s="14">
        <f t="shared" si="4"/>
        <v>1</v>
      </c>
      <c r="CF41" s="14">
        <f t="shared" si="5"/>
        <v>3</v>
      </c>
      <c r="CG41" s="14">
        <f t="shared" si="23"/>
        <v>20</v>
      </c>
      <c r="CH41" s="14">
        <f t="shared" si="24"/>
        <v>20</v>
      </c>
      <c r="CI41" s="14">
        <f t="shared" si="6"/>
        <v>5</v>
      </c>
      <c r="CJ41" s="14" t="str">
        <f t="shared" si="25"/>
        <v/>
      </c>
      <c r="CK41" s="14">
        <f t="shared" si="7"/>
        <v>0</v>
      </c>
      <c r="CL41" s="14">
        <f t="shared" si="8"/>
        <v>0</v>
      </c>
      <c r="CM41" s="14">
        <f t="shared" si="9"/>
        <v>122</v>
      </c>
      <c r="CN41" s="14">
        <f t="shared" si="10"/>
        <v>0</v>
      </c>
      <c r="CO41" s="14">
        <f t="shared" si="11"/>
        <v>0</v>
      </c>
      <c r="CP41" s="14">
        <f t="shared" si="12"/>
        <v>21.75</v>
      </c>
      <c r="CQ41" s="14">
        <f t="shared" si="26"/>
        <v>3</v>
      </c>
      <c r="CR41" s="14">
        <f t="shared" si="27"/>
        <v>1</v>
      </c>
      <c r="CS41" s="14">
        <f t="shared" si="28"/>
        <v>11</v>
      </c>
      <c r="CV41" s="14">
        <f t="shared" si="13"/>
        <v>3</v>
      </c>
      <c r="CW41" s="14">
        <f t="shared" si="14"/>
        <v>0</v>
      </c>
      <c r="CX41" s="14" t="str">
        <f t="shared" si="29"/>
        <v>HPExt</v>
      </c>
      <c r="CY41" s="14">
        <f t="shared" si="30"/>
        <v>122</v>
      </c>
      <c r="CZ41" s="14">
        <f t="shared" si="31"/>
        <v>21.75</v>
      </c>
      <c r="DA41" s="14" t="str">
        <f t="shared" si="32"/>
        <v/>
      </c>
      <c r="DB41" s="14" t="str">
        <f t="shared" si="33"/>
        <v/>
      </c>
      <c r="DC41" s="14" t="str">
        <f t="shared" si="34"/>
        <v/>
      </c>
      <c r="DD41" s="14">
        <f t="shared" si="35"/>
        <v>3</v>
      </c>
      <c r="DE41" s="14">
        <f t="shared" si="36"/>
        <v>1</v>
      </c>
      <c r="DF41" s="14">
        <f t="shared" si="37"/>
        <v>11</v>
      </c>
      <c r="DG41" s="14">
        <f t="shared" si="38"/>
        <v>25</v>
      </c>
      <c r="DJ41" s="37"/>
      <c r="DK41" s="37"/>
      <c r="DL41" s="37"/>
      <c r="DM41" s="37"/>
      <c r="DN41" s="13">
        <v>12</v>
      </c>
      <c r="DO41" s="13" t="s">
        <v>896</v>
      </c>
      <c r="DP41" s="13">
        <v>3</v>
      </c>
      <c r="DQ41" s="13">
        <v>4</v>
      </c>
      <c r="DR41" s="13" t="s">
        <v>853</v>
      </c>
      <c r="DS41" s="13">
        <v>0.1</v>
      </c>
      <c r="DU41" s="13">
        <v>12</v>
      </c>
      <c r="DV41" s="13" t="s">
        <v>882</v>
      </c>
      <c r="DW41" s="13">
        <v>3</v>
      </c>
      <c r="DX41" s="13">
        <v>4</v>
      </c>
      <c r="DY41" s="13" t="s">
        <v>853</v>
      </c>
      <c r="DZ41" s="13">
        <v>0.1</v>
      </c>
      <c r="EC41" s="13">
        <v>37</v>
      </c>
      <c r="ED41" s="13">
        <f t="shared" si="39"/>
        <v>7</v>
      </c>
      <c r="EE41" s="13" t="str">
        <f t="shared" si="40"/>
        <v>20级守护灵洗练-1</v>
      </c>
      <c r="EF41" s="13">
        <f t="shared" si="41"/>
        <v>21</v>
      </c>
      <c r="EG41" s="13">
        <f t="shared" si="42"/>
        <v>1</v>
      </c>
      <c r="EH41" s="13">
        <f t="shared" si="43"/>
        <v>2500</v>
      </c>
      <c r="EI41" s="13" t="str">
        <f t="shared" si="44"/>
        <v>AtkExt</v>
      </c>
      <c r="EJ41" s="13">
        <f t="shared" si="45"/>
        <v>56</v>
      </c>
    </row>
    <row r="42" spans="1:140" s="20" customFormat="1" ht="16.5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13">
        <v>37</v>
      </c>
      <c r="BE42" s="13">
        <v>4</v>
      </c>
      <c r="BF42" s="13">
        <v>80</v>
      </c>
      <c r="BG42" s="13">
        <v>2</v>
      </c>
      <c r="BH42" s="13">
        <v>1</v>
      </c>
      <c r="BI42" s="13">
        <v>1</v>
      </c>
      <c r="BJ42" s="13">
        <f t="shared" si="46"/>
        <v>2042010</v>
      </c>
      <c r="BK42" s="13" t="s">
        <v>743</v>
      </c>
      <c r="BL42" s="13"/>
      <c r="BM42" s="13">
        <v>8</v>
      </c>
      <c r="BN42" s="13">
        <f>SUM(BM$6:BM42)</f>
        <v>272</v>
      </c>
      <c r="BO42" s="13">
        <v>1</v>
      </c>
      <c r="BP42" s="13">
        <v>2</v>
      </c>
      <c r="BQ42" s="13">
        <v>3</v>
      </c>
      <c r="BR42" s="13">
        <v>4</v>
      </c>
      <c r="BS42" s="13">
        <v>5</v>
      </c>
      <c r="BT42" s="13">
        <v>6</v>
      </c>
      <c r="BU42" s="13">
        <v>7</v>
      </c>
      <c r="BV42" s="13">
        <v>8</v>
      </c>
      <c r="BW42" s="37"/>
      <c r="BY42" s="13">
        <v>38</v>
      </c>
      <c r="BZ42" s="14">
        <f t="shared" si="21"/>
        <v>5</v>
      </c>
      <c r="CA42" s="14">
        <f t="shared" si="22"/>
        <v>1</v>
      </c>
      <c r="CB42" s="14">
        <f t="shared" si="1"/>
        <v>1</v>
      </c>
      <c r="CC42" s="14">
        <f t="shared" si="2"/>
        <v>2013016</v>
      </c>
      <c r="CD42" s="13" t="str">
        <f t="shared" si="3"/>
        <v>20级寄灵人紫色-护手</v>
      </c>
      <c r="CE42" s="14">
        <f t="shared" si="4"/>
        <v>1</v>
      </c>
      <c r="CF42" s="14">
        <f t="shared" si="5"/>
        <v>3</v>
      </c>
      <c r="CG42" s="14">
        <f t="shared" si="23"/>
        <v>20</v>
      </c>
      <c r="CH42" s="14">
        <f t="shared" si="24"/>
        <v>20</v>
      </c>
      <c r="CI42" s="14">
        <f t="shared" si="6"/>
        <v>6</v>
      </c>
      <c r="CJ42" s="14" t="str">
        <f t="shared" si="25"/>
        <v/>
      </c>
      <c r="CK42" s="14">
        <f t="shared" si="7"/>
        <v>0</v>
      </c>
      <c r="CL42" s="14">
        <f t="shared" si="8"/>
        <v>0</v>
      </c>
      <c r="CM42" s="14">
        <f t="shared" si="9"/>
        <v>122</v>
      </c>
      <c r="CN42" s="14">
        <f t="shared" si="10"/>
        <v>0</v>
      </c>
      <c r="CO42" s="14">
        <f t="shared" si="11"/>
        <v>0</v>
      </c>
      <c r="CP42" s="14">
        <f t="shared" si="12"/>
        <v>21.75</v>
      </c>
      <c r="CQ42" s="14">
        <f t="shared" si="26"/>
        <v>3</v>
      </c>
      <c r="CR42" s="14">
        <f t="shared" si="27"/>
        <v>1</v>
      </c>
      <c r="CS42" s="14">
        <f t="shared" si="28"/>
        <v>11</v>
      </c>
      <c r="CV42" s="14">
        <f t="shared" si="13"/>
        <v>3</v>
      </c>
      <c r="CW42" s="14">
        <f t="shared" si="14"/>
        <v>0</v>
      </c>
      <c r="CX42" s="14" t="str">
        <f t="shared" si="29"/>
        <v>HPExt</v>
      </c>
      <c r="CY42" s="14">
        <f t="shared" si="30"/>
        <v>122</v>
      </c>
      <c r="CZ42" s="14">
        <f t="shared" si="31"/>
        <v>21.75</v>
      </c>
      <c r="DA42" s="14" t="str">
        <f t="shared" si="32"/>
        <v/>
      </c>
      <c r="DB42" s="14" t="str">
        <f t="shared" si="33"/>
        <v/>
      </c>
      <c r="DC42" s="14" t="str">
        <f t="shared" si="34"/>
        <v/>
      </c>
      <c r="DD42" s="14">
        <f t="shared" si="35"/>
        <v>3</v>
      </c>
      <c r="DE42" s="14">
        <f t="shared" si="36"/>
        <v>1</v>
      </c>
      <c r="DF42" s="14">
        <f t="shared" si="37"/>
        <v>11</v>
      </c>
      <c r="DG42" s="14">
        <f t="shared" si="38"/>
        <v>25</v>
      </c>
      <c r="DJ42" s="37"/>
      <c r="DK42" s="37"/>
      <c r="DL42" s="37"/>
      <c r="DM42" s="37"/>
      <c r="DN42" s="13">
        <v>12</v>
      </c>
      <c r="DO42" s="13" t="s">
        <v>896</v>
      </c>
      <c r="DP42" s="13">
        <v>4</v>
      </c>
      <c r="DQ42" s="13">
        <v>5</v>
      </c>
      <c r="DR42" s="13" t="s">
        <v>855</v>
      </c>
      <c r="DS42" s="13">
        <v>0.1</v>
      </c>
      <c r="DU42" s="13">
        <v>12</v>
      </c>
      <c r="DV42" s="13" t="s">
        <v>882</v>
      </c>
      <c r="DW42" s="13">
        <v>4</v>
      </c>
      <c r="DX42" s="13">
        <v>5</v>
      </c>
      <c r="DY42" s="13" t="s">
        <v>855</v>
      </c>
      <c r="DZ42" s="13">
        <v>0.1</v>
      </c>
      <c r="EC42" s="13">
        <v>38</v>
      </c>
      <c r="ED42" s="13">
        <f t="shared" si="39"/>
        <v>7</v>
      </c>
      <c r="EE42" s="13" t="str">
        <f t="shared" si="40"/>
        <v>20级守护灵洗练-2</v>
      </c>
      <c r="EF42" s="13">
        <f t="shared" si="41"/>
        <v>21</v>
      </c>
      <c r="EG42" s="13">
        <f t="shared" si="42"/>
        <v>2</v>
      </c>
      <c r="EH42" s="13">
        <f t="shared" si="43"/>
        <v>2500</v>
      </c>
      <c r="EI42" s="13" t="str">
        <f t="shared" si="44"/>
        <v>DefExt</v>
      </c>
      <c r="EJ42" s="13">
        <f t="shared" si="45"/>
        <v>23</v>
      </c>
    </row>
    <row r="43" spans="1:140" s="20" customFormat="1" ht="16.5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13">
        <v>38</v>
      </c>
      <c r="BE43" s="13">
        <v>4</v>
      </c>
      <c r="BF43" s="13">
        <v>80</v>
      </c>
      <c r="BG43" s="13">
        <v>2</v>
      </c>
      <c r="BH43" s="13">
        <v>2</v>
      </c>
      <c r="BI43" s="13">
        <v>2</v>
      </c>
      <c r="BJ43" s="13">
        <f t="shared" si="46"/>
        <v>2042020</v>
      </c>
      <c r="BK43" s="13" t="s">
        <v>744</v>
      </c>
      <c r="BL43" s="13"/>
      <c r="BM43" s="13">
        <v>8</v>
      </c>
      <c r="BN43" s="13">
        <f>SUM(BM$6:BM43)</f>
        <v>280</v>
      </c>
      <c r="BO43" s="13">
        <v>1</v>
      </c>
      <c r="BP43" s="13">
        <v>2</v>
      </c>
      <c r="BQ43" s="13">
        <v>3</v>
      </c>
      <c r="BR43" s="13">
        <v>4</v>
      </c>
      <c r="BS43" s="13">
        <v>5</v>
      </c>
      <c r="BT43" s="13">
        <v>6</v>
      </c>
      <c r="BU43" s="13">
        <v>7</v>
      </c>
      <c r="BV43" s="13">
        <v>8</v>
      </c>
      <c r="BW43" s="37"/>
      <c r="BY43" s="13">
        <v>39</v>
      </c>
      <c r="BZ43" s="14">
        <f t="shared" si="21"/>
        <v>5</v>
      </c>
      <c r="CA43" s="14">
        <f t="shared" si="22"/>
        <v>1</v>
      </c>
      <c r="CB43" s="14">
        <f t="shared" si="1"/>
        <v>1</v>
      </c>
      <c r="CC43" s="14">
        <f t="shared" si="2"/>
        <v>2013017</v>
      </c>
      <c r="CD43" s="13" t="str">
        <f t="shared" si="3"/>
        <v>20级寄灵人紫色-项链</v>
      </c>
      <c r="CE43" s="14">
        <f t="shared" si="4"/>
        <v>1</v>
      </c>
      <c r="CF43" s="14">
        <f t="shared" si="5"/>
        <v>3</v>
      </c>
      <c r="CG43" s="14">
        <f t="shared" si="23"/>
        <v>20</v>
      </c>
      <c r="CH43" s="14">
        <f t="shared" si="24"/>
        <v>20</v>
      </c>
      <c r="CI43" s="14">
        <f t="shared" si="6"/>
        <v>7</v>
      </c>
      <c r="CJ43" s="14" t="str">
        <f t="shared" si="25"/>
        <v/>
      </c>
      <c r="CK43" s="14">
        <f t="shared" si="7"/>
        <v>23</v>
      </c>
      <c r="CL43" s="14">
        <f t="shared" si="8"/>
        <v>12</v>
      </c>
      <c r="CM43" s="14">
        <f t="shared" si="9"/>
        <v>0</v>
      </c>
      <c r="CN43" s="14">
        <f t="shared" si="10"/>
        <v>4.17</v>
      </c>
      <c r="CO43" s="14">
        <f t="shared" si="11"/>
        <v>2.13</v>
      </c>
      <c r="CP43" s="14">
        <f t="shared" si="12"/>
        <v>0</v>
      </c>
      <c r="CQ43" s="14">
        <f t="shared" si="26"/>
        <v>3</v>
      </c>
      <c r="CR43" s="14">
        <f t="shared" si="27"/>
        <v>1</v>
      </c>
      <c r="CS43" s="14">
        <f t="shared" si="28"/>
        <v>11</v>
      </c>
      <c r="CV43" s="14">
        <f t="shared" si="13"/>
        <v>1</v>
      </c>
      <c r="CW43" s="14">
        <f t="shared" si="14"/>
        <v>2</v>
      </c>
      <c r="CX43" s="14" t="str">
        <f t="shared" si="29"/>
        <v>AtkExt</v>
      </c>
      <c r="CY43" s="14">
        <f t="shared" si="30"/>
        <v>23</v>
      </c>
      <c r="CZ43" s="14">
        <f t="shared" si="31"/>
        <v>4.17</v>
      </c>
      <c r="DA43" s="14" t="str">
        <f t="shared" si="32"/>
        <v>DefExt</v>
      </c>
      <c r="DB43" s="14">
        <f t="shared" si="33"/>
        <v>12</v>
      </c>
      <c r="DC43" s="14">
        <f t="shared" si="34"/>
        <v>2.13</v>
      </c>
      <c r="DD43" s="14">
        <f t="shared" si="35"/>
        <v>3</v>
      </c>
      <c r="DE43" s="14">
        <f t="shared" si="36"/>
        <v>1</v>
      </c>
      <c r="DF43" s="14">
        <f t="shared" si="37"/>
        <v>11</v>
      </c>
      <c r="DG43" s="14">
        <f t="shared" si="38"/>
        <v>25</v>
      </c>
      <c r="DJ43" s="37"/>
      <c r="DK43" s="37"/>
      <c r="DL43" s="37"/>
      <c r="DM43" s="37"/>
      <c r="DN43" s="13">
        <v>13</v>
      </c>
      <c r="DO43" s="13" t="s">
        <v>897</v>
      </c>
      <c r="DP43" s="13">
        <v>1</v>
      </c>
      <c r="DQ43" s="13">
        <v>2</v>
      </c>
      <c r="DR43" s="13" t="s">
        <v>312</v>
      </c>
      <c r="DS43" s="13">
        <f>AJ10</f>
        <v>17336</v>
      </c>
      <c r="DU43" s="13">
        <v>13</v>
      </c>
      <c r="DV43" s="13" t="s">
        <v>883</v>
      </c>
      <c r="DW43" s="13">
        <v>1</v>
      </c>
      <c r="DX43" s="13">
        <v>2</v>
      </c>
      <c r="DY43" s="13" t="s">
        <v>312</v>
      </c>
      <c r="DZ43" s="13">
        <f>AJ16</f>
        <v>31137</v>
      </c>
      <c r="EC43" s="13">
        <v>39</v>
      </c>
      <c r="ED43" s="13">
        <f t="shared" si="39"/>
        <v>7</v>
      </c>
      <c r="EE43" s="13" t="str">
        <f t="shared" si="40"/>
        <v>20级守护灵洗练-3</v>
      </c>
      <c r="EF43" s="13">
        <f t="shared" si="41"/>
        <v>21</v>
      </c>
      <c r="EG43" s="13">
        <f t="shared" si="42"/>
        <v>3</v>
      </c>
      <c r="EH43" s="13">
        <f t="shared" si="43"/>
        <v>2600</v>
      </c>
      <c r="EI43" s="13" t="str">
        <f t="shared" si="44"/>
        <v>HPExt</v>
      </c>
      <c r="EJ43" s="13">
        <f t="shared" si="45"/>
        <v>109</v>
      </c>
    </row>
    <row r="44" spans="1:140" s="20" customFormat="1" ht="16.5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13">
        <v>39</v>
      </c>
      <c r="BE44" s="13">
        <v>4</v>
      </c>
      <c r="BF44" s="13">
        <v>80</v>
      </c>
      <c r="BG44" s="13">
        <v>3</v>
      </c>
      <c r="BH44" s="13">
        <v>1</v>
      </c>
      <c r="BI44" s="13">
        <v>1</v>
      </c>
      <c r="BJ44" s="13">
        <f t="shared" si="46"/>
        <v>2043010</v>
      </c>
      <c r="BK44" s="13" t="s">
        <v>745</v>
      </c>
      <c r="BL44" s="13"/>
      <c r="BM44" s="13">
        <v>8</v>
      </c>
      <c r="BN44" s="13">
        <f>SUM(BM$6:BM44)</f>
        <v>288</v>
      </c>
      <c r="BO44" s="13">
        <v>1</v>
      </c>
      <c r="BP44" s="13">
        <v>2</v>
      </c>
      <c r="BQ44" s="13">
        <v>3</v>
      </c>
      <c r="BR44" s="13">
        <v>4</v>
      </c>
      <c r="BS44" s="13">
        <v>5</v>
      </c>
      <c r="BT44" s="13">
        <v>6</v>
      </c>
      <c r="BU44" s="13">
        <v>7</v>
      </c>
      <c r="BV44" s="13">
        <v>8</v>
      </c>
      <c r="BW44" s="37"/>
      <c r="BY44" s="13">
        <v>40</v>
      </c>
      <c r="BZ44" s="14">
        <f t="shared" si="21"/>
        <v>5</v>
      </c>
      <c r="CA44" s="14">
        <f t="shared" si="22"/>
        <v>1</v>
      </c>
      <c r="CB44" s="14">
        <f t="shared" si="1"/>
        <v>1</v>
      </c>
      <c r="CC44" s="14">
        <f t="shared" si="2"/>
        <v>2013018</v>
      </c>
      <c r="CD44" s="13" t="str">
        <f t="shared" si="3"/>
        <v>20级寄灵人紫色-戒指</v>
      </c>
      <c r="CE44" s="14">
        <f t="shared" si="4"/>
        <v>1</v>
      </c>
      <c r="CF44" s="14">
        <f t="shared" si="5"/>
        <v>3</v>
      </c>
      <c r="CG44" s="14">
        <f t="shared" si="23"/>
        <v>20</v>
      </c>
      <c r="CH44" s="14">
        <f t="shared" si="24"/>
        <v>20</v>
      </c>
      <c r="CI44" s="14">
        <f t="shared" si="6"/>
        <v>8</v>
      </c>
      <c r="CJ44" s="14" t="str">
        <f t="shared" si="25"/>
        <v/>
      </c>
      <c r="CK44" s="14">
        <f t="shared" si="7"/>
        <v>23</v>
      </c>
      <c r="CL44" s="14">
        <f t="shared" si="8"/>
        <v>0</v>
      </c>
      <c r="CM44" s="14">
        <f t="shared" si="9"/>
        <v>102</v>
      </c>
      <c r="CN44" s="14">
        <f t="shared" si="10"/>
        <v>4.17</v>
      </c>
      <c r="CO44" s="14">
        <f t="shared" si="11"/>
        <v>0</v>
      </c>
      <c r="CP44" s="14">
        <f t="shared" si="12"/>
        <v>18.13</v>
      </c>
      <c r="CQ44" s="14">
        <f t="shared" si="26"/>
        <v>3</v>
      </c>
      <c r="CR44" s="14">
        <f t="shared" si="27"/>
        <v>1</v>
      </c>
      <c r="CS44" s="14">
        <f t="shared" si="28"/>
        <v>11</v>
      </c>
      <c r="CV44" s="14">
        <f t="shared" si="13"/>
        <v>1</v>
      </c>
      <c r="CW44" s="14">
        <f t="shared" si="14"/>
        <v>3</v>
      </c>
      <c r="CX44" s="14" t="str">
        <f t="shared" si="29"/>
        <v>AtkExt</v>
      </c>
      <c r="CY44" s="14">
        <f t="shared" si="30"/>
        <v>23</v>
      </c>
      <c r="CZ44" s="14">
        <f t="shared" si="31"/>
        <v>4.17</v>
      </c>
      <c r="DA44" s="14" t="str">
        <f t="shared" si="32"/>
        <v>HPExt</v>
      </c>
      <c r="DB44" s="14">
        <f t="shared" si="33"/>
        <v>102</v>
      </c>
      <c r="DC44" s="14">
        <f t="shared" si="34"/>
        <v>18.13</v>
      </c>
      <c r="DD44" s="14">
        <f t="shared" si="35"/>
        <v>3</v>
      </c>
      <c r="DE44" s="14">
        <f t="shared" si="36"/>
        <v>1</v>
      </c>
      <c r="DF44" s="14">
        <f t="shared" si="37"/>
        <v>11</v>
      </c>
      <c r="DG44" s="14">
        <f t="shared" si="38"/>
        <v>25</v>
      </c>
      <c r="DJ44" s="37"/>
      <c r="DK44" s="37"/>
      <c r="DL44" s="37"/>
      <c r="DM44" s="37"/>
      <c r="DN44" s="13">
        <v>13</v>
      </c>
      <c r="DO44" s="13" t="s">
        <v>897</v>
      </c>
      <c r="DP44" s="13">
        <v>2</v>
      </c>
      <c r="DQ44" s="13">
        <v>3</v>
      </c>
      <c r="DR44" s="13" t="s">
        <v>310</v>
      </c>
      <c r="DS44" s="13">
        <f>AI10</f>
        <v>5752</v>
      </c>
      <c r="DU44" s="13">
        <v>13</v>
      </c>
      <c r="DV44" s="13" t="s">
        <v>883</v>
      </c>
      <c r="DW44" s="13">
        <v>2</v>
      </c>
      <c r="DX44" s="13">
        <v>3</v>
      </c>
      <c r="DY44" s="13" t="s">
        <v>310</v>
      </c>
      <c r="DZ44" s="13">
        <f>AI16</f>
        <v>5858</v>
      </c>
      <c r="EC44" s="13">
        <v>40</v>
      </c>
      <c r="ED44" s="13">
        <f t="shared" si="39"/>
        <v>7</v>
      </c>
      <c r="EE44" s="13" t="str">
        <f t="shared" si="40"/>
        <v>20级守护灵洗练-4</v>
      </c>
      <c r="EF44" s="13">
        <f t="shared" si="41"/>
        <v>21</v>
      </c>
      <c r="EG44" s="13">
        <f t="shared" si="42"/>
        <v>4</v>
      </c>
      <c r="EH44" s="13">
        <f t="shared" si="43"/>
        <v>800</v>
      </c>
      <c r="EI44" s="13" t="str">
        <f t="shared" si="44"/>
        <v>AtkRate</v>
      </c>
      <c r="EJ44" s="13">
        <f t="shared" si="45"/>
        <v>0.04</v>
      </c>
    </row>
    <row r="45" spans="1:140" s="20" customFormat="1" ht="16.5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13">
        <v>40</v>
      </c>
      <c r="BE45" s="13">
        <v>4</v>
      </c>
      <c r="BF45" s="13">
        <v>80</v>
      </c>
      <c r="BG45" s="13">
        <v>3</v>
      </c>
      <c r="BH45" s="13">
        <v>2</v>
      </c>
      <c r="BI45" s="13">
        <v>2</v>
      </c>
      <c r="BJ45" s="13">
        <f t="shared" si="46"/>
        <v>2043020</v>
      </c>
      <c r="BK45" s="13" t="s">
        <v>746</v>
      </c>
      <c r="BL45" s="13"/>
      <c r="BM45" s="13">
        <v>8</v>
      </c>
      <c r="BN45" s="13">
        <f>SUM(BM$6:BM45)</f>
        <v>296</v>
      </c>
      <c r="BO45" s="13">
        <v>1</v>
      </c>
      <c r="BP45" s="13">
        <v>2</v>
      </c>
      <c r="BQ45" s="13">
        <v>3</v>
      </c>
      <c r="BR45" s="13">
        <v>4</v>
      </c>
      <c r="BS45" s="13">
        <v>5</v>
      </c>
      <c r="BT45" s="13">
        <v>6</v>
      </c>
      <c r="BU45" s="13">
        <v>7</v>
      </c>
      <c r="BV45" s="13">
        <v>8</v>
      </c>
      <c r="BW45" s="37"/>
      <c r="BY45" s="13">
        <v>41</v>
      </c>
      <c r="BZ45" s="14">
        <f t="shared" si="21"/>
        <v>6</v>
      </c>
      <c r="CA45" s="14">
        <f t="shared" si="22"/>
        <v>2</v>
      </c>
      <c r="CB45" s="14">
        <f t="shared" si="1"/>
        <v>1</v>
      </c>
      <c r="CC45" s="14">
        <f t="shared" si="2"/>
        <v>2013021</v>
      </c>
      <c r="CD45" s="13" t="str">
        <f t="shared" si="3"/>
        <v>20级守护灵紫色-武器</v>
      </c>
      <c r="CE45" s="14">
        <f t="shared" si="4"/>
        <v>2</v>
      </c>
      <c r="CF45" s="14">
        <f t="shared" si="5"/>
        <v>3</v>
      </c>
      <c r="CG45" s="14">
        <f t="shared" si="23"/>
        <v>20</v>
      </c>
      <c r="CH45" s="14">
        <f t="shared" si="24"/>
        <v>20</v>
      </c>
      <c r="CI45" s="14">
        <f t="shared" si="6"/>
        <v>1</v>
      </c>
      <c r="CJ45" s="14" t="str">
        <f t="shared" si="25"/>
        <v/>
      </c>
      <c r="CK45" s="14">
        <f t="shared" si="7"/>
        <v>108</v>
      </c>
      <c r="CL45" s="14">
        <f t="shared" si="8"/>
        <v>0</v>
      </c>
      <c r="CM45" s="14">
        <f t="shared" si="9"/>
        <v>0</v>
      </c>
      <c r="CN45" s="14">
        <f t="shared" si="10"/>
        <v>19.25</v>
      </c>
      <c r="CO45" s="14">
        <f t="shared" si="11"/>
        <v>0</v>
      </c>
      <c r="CP45" s="14">
        <f t="shared" si="12"/>
        <v>0</v>
      </c>
      <c r="CQ45" s="14">
        <f t="shared" si="26"/>
        <v>3</v>
      </c>
      <c r="CR45" s="14">
        <f t="shared" si="27"/>
        <v>1</v>
      </c>
      <c r="CS45" s="14">
        <f t="shared" si="28"/>
        <v>21</v>
      </c>
      <c r="CV45" s="14">
        <f t="shared" si="13"/>
        <v>1</v>
      </c>
      <c r="CW45" s="14">
        <f t="shared" si="14"/>
        <v>0</v>
      </c>
      <c r="CX45" s="14" t="str">
        <f t="shared" si="29"/>
        <v>AtkExt</v>
      </c>
      <c r="CY45" s="14">
        <f t="shared" si="30"/>
        <v>108</v>
      </c>
      <c r="CZ45" s="14">
        <f t="shared" si="31"/>
        <v>19.25</v>
      </c>
      <c r="DA45" s="14" t="str">
        <f t="shared" si="32"/>
        <v/>
      </c>
      <c r="DB45" s="14" t="str">
        <f t="shared" si="33"/>
        <v/>
      </c>
      <c r="DC45" s="14" t="str">
        <f t="shared" si="34"/>
        <v/>
      </c>
      <c r="DD45" s="14">
        <f t="shared" si="35"/>
        <v>3</v>
      </c>
      <c r="DE45" s="14">
        <f t="shared" si="36"/>
        <v>1</v>
      </c>
      <c r="DF45" s="14">
        <f t="shared" si="37"/>
        <v>21</v>
      </c>
      <c r="DG45" s="14">
        <f t="shared" si="38"/>
        <v>25</v>
      </c>
      <c r="DJ45" s="37"/>
      <c r="DK45" s="37"/>
      <c r="DL45" s="37"/>
      <c r="DM45" s="37"/>
      <c r="DN45" s="13">
        <v>13</v>
      </c>
      <c r="DO45" s="13" t="s">
        <v>897</v>
      </c>
      <c r="DP45" s="13">
        <v>3</v>
      </c>
      <c r="DQ45" s="13">
        <v>5</v>
      </c>
      <c r="DR45" s="13" t="s">
        <v>858</v>
      </c>
      <c r="DS45" s="13">
        <v>0.15</v>
      </c>
      <c r="DU45" s="13">
        <v>13</v>
      </c>
      <c r="DV45" s="13" t="s">
        <v>883</v>
      </c>
      <c r="DW45" s="13">
        <v>3</v>
      </c>
      <c r="DX45" s="13">
        <v>5</v>
      </c>
      <c r="DY45" s="13" t="s">
        <v>858</v>
      </c>
      <c r="DZ45" s="13">
        <v>0.15</v>
      </c>
      <c r="EC45" s="13">
        <v>41</v>
      </c>
      <c r="ED45" s="13">
        <f t="shared" si="39"/>
        <v>7</v>
      </c>
      <c r="EE45" s="13" t="str">
        <f t="shared" si="40"/>
        <v>20级守护灵洗练-5</v>
      </c>
      <c r="EF45" s="13">
        <f t="shared" si="41"/>
        <v>21</v>
      </c>
      <c r="EG45" s="13">
        <f t="shared" si="42"/>
        <v>5</v>
      </c>
      <c r="EH45" s="13">
        <f t="shared" si="43"/>
        <v>800</v>
      </c>
      <c r="EI45" s="13" t="str">
        <f t="shared" si="44"/>
        <v>AtkRate</v>
      </c>
      <c r="EJ45" s="13">
        <f t="shared" si="45"/>
        <v>0.04</v>
      </c>
    </row>
    <row r="46" spans="1:140" s="20" customFormat="1" ht="16.5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13">
        <v>41</v>
      </c>
      <c r="BE46" s="13">
        <v>4</v>
      </c>
      <c r="BF46" s="13">
        <v>80</v>
      </c>
      <c r="BG46" s="13">
        <v>4</v>
      </c>
      <c r="BH46" s="13">
        <v>1</v>
      </c>
      <c r="BI46" s="13">
        <v>1</v>
      </c>
      <c r="BJ46" s="13">
        <f t="shared" si="46"/>
        <v>2044010</v>
      </c>
      <c r="BK46" s="13" t="s">
        <v>747</v>
      </c>
      <c r="BL46" s="13"/>
      <c r="BM46" s="13">
        <v>8</v>
      </c>
      <c r="BN46" s="13">
        <f>SUM(BM$6:BM46)</f>
        <v>304</v>
      </c>
      <c r="BO46" s="13">
        <v>1</v>
      </c>
      <c r="BP46" s="13">
        <v>2</v>
      </c>
      <c r="BQ46" s="13">
        <v>3</v>
      </c>
      <c r="BR46" s="13">
        <v>4</v>
      </c>
      <c r="BS46" s="13">
        <v>5</v>
      </c>
      <c r="BT46" s="13">
        <v>6</v>
      </c>
      <c r="BU46" s="13">
        <v>7</v>
      </c>
      <c r="BV46" s="13">
        <v>8</v>
      </c>
      <c r="BW46" s="37"/>
      <c r="BY46" s="13">
        <v>42</v>
      </c>
      <c r="BZ46" s="14">
        <f t="shared" si="21"/>
        <v>6</v>
      </c>
      <c r="CA46" s="14">
        <f t="shared" si="22"/>
        <v>2</v>
      </c>
      <c r="CB46" s="14">
        <f t="shared" si="1"/>
        <v>1</v>
      </c>
      <c r="CC46" s="14">
        <f t="shared" si="2"/>
        <v>2013022</v>
      </c>
      <c r="CD46" s="13" t="str">
        <f t="shared" si="3"/>
        <v>20级守护灵紫色-头盔</v>
      </c>
      <c r="CE46" s="14">
        <f t="shared" si="4"/>
        <v>2</v>
      </c>
      <c r="CF46" s="14">
        <f t="shared" si="5"/>
        <v>3</v>
      </c>
      <c r="CG46" s="14">
        <f t="shared" si="23"/>
        <v>20</v>
      </c>
      <c r="CH46" s="14">
        <f t="shared" si="24"/>
        <v>20</v>
      </c>
      <c r="CI46" s="14">
        <f t="shared" si="6"/>
        <v>2</v>
      </c>
      <c r="CJ46" s="14" t="str">
        <f t="shared" si="25"/>
        <v/>
      </c>
      <c r="CK46" s="14">
        <f t="shared" si="7"/>
        <v>0</v>
      </c>
      <c r="CL46" s="14">
        <f t="shared" si="8"/>
        <v>22</v>
      </c>
      <c r="CM46" s="14">
        <f t="shared" si="9"/>
        <v>0</v>
      </c>
      <c r="CN46" s="14">
        <f t="shared" si="10"/>
        <v>0</v>
      </c>
      <c r="CO46" s="14">
        <f t="shared" si="11"/>
        <v>3.95</v>
      </c>
      <c r="CP46" s="14">
        <f t="shared" si="12"/>
        <v>0</v>
      </c>
      <c r="CQ46" s="14">
        <f t="shared" si="26"/>
        <v>3</v>
      </c>
      <c r="CR46" s="14">
        <f t="shared" si="27"/>
        <v>1</v>
      </c>
      <c r="CS46" s="14">
        <f t="shared" si="28"/>
        <v>21</v>
      </c>
      <c r="CV46" s="14">
        <f t="shared" si="13"/>
        <v>2</v>
      </c>
      <c r="CW46" s="14">
        <f t="shared" si="14"/>
        <v>0</v>
      </c>
      <c r="CX46" s="14" t="str">
        <f t="shared" si="29"/>
        <v>DefExt</v>
      </c>
      <c r="CY46" s="14">
        <f t="shared" si="30"/>
        <v>22</v>
      </c>
      <c r="CZ46" s="14">
        <f t="shared" si="31"/>
        <v>3.95</v>
      </c>
      <c r="DA46" s="14" t="str">
        <f t="shared" si="32"/>
        <v/>
      </c>
      <c r="DB46" s="14" t="str">
        <f t="shared" si="33"/>
        <v/>
      </c>
      <c r="DC46" s="14" t="str">
        <f t="shared" si="34"/>
        <v/>
      </c>
      <c r="DD46" s="14">
        <f t="shared" si="35"/>
        <v>3</v>
      </c>
      <c r="DE46" s="14">
        <f t="shared" si="36"/>
        <v>1</v>
      </c>
      <c r="DF46" s="14">
        <f t="shared" si="37"/>
        <v>21</v>
      </c>
      <c r="DG46" s="14">
        <f t="shared" si="38"/>
        <v>25</v>
      </c>
      <c r="DJ46" s="37"/>
      <c r="DK46" s="37"/>
      <c r="DL46" s="37"/>
      <c r="DM46" s="37"/>
      <c r="DN46" s="13">
        <v>14</v>
      </c>
      <c r="DO46" s="13" t="s">
        <v>898</v>
      </c>
      <c r="DP46" s="13">
        <v>1</v>
      </c>
      <c r="DQ46" s="13">
        <v>2</v>
      </c>
      <c r="DR46" s="13" t="s">
        <v>864</v>
      </c>
      <c r="DS46" s="13">
        <f>AI10</f>
        <v>5752</v>
      </c>
      <c r="DU46" s="13">
        <v>14</v>
      </c>
      <c r="DV46" s="13" t="s">
        <v>884</v>
      </c>
      <c r="DW46" s="13">
        <v>1</v>
      </c>
      <c r="DX46" s="13">
        <v>2</v>
      </c>
      <c r="DY46" s="13" t="s">
        <v>864</v>
      </c>
      <c r="DZ46" s="13">
        <f>AI16</f>
        <v>5858</v>
      </c>
      <c r="EC46" s="13">
        <v>42</v>
      </c>
      <c r="ED46" s="13">
        <f t="shared" si="39"/>
        <v>7</v>
      </c>
      <c r="EE46" s="13" t="str">
        <f t="shared" si="40"/>
        <v>20级守护灵洗练-6</v>
      </c>
      <c r="EF46" s="13">
        <f t="shared" si="41"/>
        <v>21</v>
      </c>
      <c r="EG46" s="13">
        <f t="shared" si="42"/>
        <v>6</v>
      </c>
      <c r="EH46" s="13">
        <f t="shared" si="43"/>
        <v>800</v>
      </c>
      <c r="EI46" s="13" t="str">
        <f t="shared" si="44"/>
        <v>AtkRate</v>
      </c>
      <c r="EJ46" s="13">
        <f t="shared" si="45"/>
        <v>0.04</v>
      </c>
    </row>
    <row r="47" spans="1:140" s="20" customFormat="1" ht="16.5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13">
        <v>42</v>
      </c>
      <c r="BE47" s="13">
        <v>4</v>
      </c>
      <c r="BF47" s="13">
        <v>80</v>
      </c>
      <c r="BG47" s="13">
        <v>4</v>
      </c>
      <c r="BH47" s="13">
        <v>2</v>
      </c>
      <c r="BI47" s="13">
        <v>2</v>
      </c>
      <c r="BJ47" s="13">
        <f t="shared" si="46"/>
        <v>2044020</v>
      </c>
      <c r="BK47" s="13" t="s">
        <v>748</v>
      </c>
      <c r="BL47" s="13"/>
      <c r="BM47" s="13">
        <v>8</v>
      </c>
      <c r="BN47" s="13">
        <f>SUM(BM$6:BM47)</f>
        <v>312</v>
      </c>
      <c r="BO47" s="13">
        <v>1</v>
      </c>
      <c r="BP47" s="13">
        <v>2</v>
      </c>
      <c r="BQ47" s="13">
        <v>3</v>
      </c>
      <c r="BR47" s="13">
        <v>4</v>
      </c>
      <c r="BS47" s="13">
        <v>5</v>
      </c>
      <c r="BT47" s="13">
        <v>6</v>
      </c>
      <c r="BU47" s="13">
        <v>7</v>
      </c>
      <c r="BV47" s="13">
        <v>8</v>
      </c>
      <c r="BW47" s="37"/>
      <c r="BY47" s="13">
        <v>43</v>
      </c>
      <c r="BZ47" s="14">
        <f t="shared" si="21"/>
        <v>6</v>
      </c>
      <c r="CA47" s="14">
        <f t="shared" si="22"/>
        <v>2</v>
      </c>
      <c r="CB47" s="14">
        <f t="shared" si="1"/>
        <v>1</v>
      </c>
      <c r="CC47" s="14">
        <f t="shared" si="2"/>
        <v>2013023</v>
      </c>
      <c r="CD47" s="13" t="str">
        <f t="shared" si="3"/>
        <v>20级守护灵紫色-肩甲</v>
      </c>
      <c r="CE47" s="14">
        <f t="shared" si="4"/>
        <v>2</v>
      </c>
      <c r="CF47" s="14">
        <f t="shared" si="5"/>
        <v>3</v>
      </c>
      <c r="CG47" s="14">
        <f t="shared" si="23"/>
        <v>20</v>
      </c>
      <c r="CH47" s="14">
        <f t="shared" si="24"/>
        <v>20</v>
      </c>
      <c r="CI47" s="14">
        <f t="shared" si="6"/>
        <v>3</v>
      </c>
      <c r="CJ47" s="14" t="str">
        <f t="shared" si="25"/>
        <v/>
      </c>
      <c r="CK47" s="14">
        <f t="shared" si="7"/>
        <v>0</v>
      </c>
      <c r="CL47" s="14">
        <f t="shared" si="8"/>
        <v>11</v>
      </c>
      <c r="CM47" s="14">
        <f t="shared" si="9"/>
        <v>105</v>
      </c>
      <c r="CN47" s="14">
        <f t="shared" si="10"/>
        <v>0</v>
      </c>
      <c r="CO47" s="14">
        <f t="shared" si="11"/>
        <v>1.98</v>
      </c>
      <c r="CP47" s="14">
        <f t="shared" si="12"/>
        <v>18.71</v>
      </c>
      <c r="CQ47" s="14">
        <f t="shared" si="26"/>
        <v>3</v>
      </c>
      <c r="CR47" s="14">
        <f t="shared" si="27"/>
        <v>1</v>
      </c>
      <c r="CS47" s="14">
        <f t="shared" si="28"/>
        <v>21</v>
      </c>
      <c r="CV47" s="14">
        <f t="shared" si="13"/>
        <v>2</v>
      </c>
      <c r="CW47" s="14">
        <f t="shared" si="14"/>
        <v>3</v>
      </c>
      <c r="CX47" s="14" t="str">
        <f t="shared" si="29"/>
        <v>DefExt</v>
      </c>
      <c r="CY47" s="14">
        <f t="shared" si="30"/>
        <v>11</v>
      </c>
      <c r="CZ47" s="14">
        <f t="shared" si="31"/>
        <v>1.98</v>
      </c>
      <c r="DA47" s="14" t="str">
        <f t="shared" si="32"/>
        <v>HPExt</v>
      </c>
      <c r="DB47" s="14">
        <f t="shared" si="33"/>
        <v>105</v>
      </c>
      <c r="DC47" s="14">
        <f t="shared" si="34"/>
        <v>18.71</v>
      </c>
      <c r="DD47" s="14">
        <f t="shared" si="35"/>
        <v>3</v>
      </c>
      <c r="DE47" s="14">
        <f t="shared" si="36"/>
        <v>1</v>
      </c>
      <c r="DF47" s="14">
        <f t="shared" si="37"/>
        <v>21</v>
      </c>
      <c r="DG47" s="14">
        <f t="shared" si="38"/>
        <v>25</v>
      </c>
      <c r="DJ47" s="37"/>
      <c r="DK47" s="37"/>
      <c r="DL47" s="37"/>
      <c r="DM47" s="37"/>
      <c r="DN47" s="13">
        <v>14</v>
      </c>
      <c r="DO47" s="13" t="s">
        <v>898</v>
      </c>
      <c r="DP47" s="13">
        <v>2</v>
      </c>
      <c r="DQ47" s="13">
        <v>3</v>
      </c>
      <c r="DR47" s="13" t="s">
        <v>865</v>
      </c>
      <c r="DS47" s="13">
        <f>AJ10</f>
        <v>17336</v>
      </c>
      <c r="DU47" s="13">
        <v>14</v>
      </c>
      <c r="DV47" s="13" t="s">
        <v>884</v>
      </c>
      <c r="DW47" s="13">
        <v>2</v>
      </c>
      <c r="DX47" s="13">
        <v>3</v>
      </c>
      <c r="DY47" s="13" t="s">
        <v>865</v>
      </c>
      <c r="DZ47" s="13">
        <f>AJ16</f>
        <v>31137</v>
      </c>
      <c r="EC47" s="13">
        <v>43</v>
      </c>
      <c r="ED47" s="13">
        <f t="shared" si="39"/>
        <v>8</v>
      </c>
      <c r="EE47" s="13" t="str">
        <f t="shared" si="40"/>
        <v>40级守护灵洗练-1</v>
      </c>
      <c r="EF47" s="13">
        <f t="shared" si="41"/>
        <v>22</v>
      </c>
      <c r="EG47" s="13">
        <f t="shared" si="42"/>
        <v>1</v>
      </c>
      <c r="EH47" s="13">
        <f t="shared" si="43"/>
        <v>2500</v>
      </c>
      <c r="EI47" s="13" t="str">
        <f t="shared" si="44"/>
        <v>AtkExt</v>
      </c>
      <c r="EJ47" s="13">
        <f t="shared" si="45"/>
        <v>58</v>
      </c>
    </row>
    <row r="48" spans="1:140" s="20" customFormat="1" ht="16.5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13">
        <v>43</v>
      </c>
      <c r="BE48" s="13">
        <v>4</v>
      </c>
      <c r="BF48" s="13">
        <v>80</v>
      </c>
      <c r="BG48" s="13">
        <v>4</v>
      </c>
      <c r="BH48" s="13">
        <v>1</v>
      </c>
      <c r="BI48" s="13">
        <v>3</v>
      </c>
      <c r="BJ48" s="13">
        <f t="shared" si="46"/>
        <v>2044030</v>
      </c>
      <c r="BK48" s="13" t="s">
        <v>749</v>
      </c>
      <c r="BL48" s="13">
        <v>1041</v>
      </c>
      <c r="BM48" s="13">
        <v>5</v>
      </c>
      <c r="BN48" s="13">
        <f>SUM(BM$6:BM48)</f>
        <v>317</v>
      </c>
      <c r="BO48" s="13">
        <v>1</v>
      </c>
      <c r="BP48" s="13">
        <v>2</v>
      </c>
      <c r="BQ48" s="13">
        <v>3</v>
      </c>
      <c r="BR48" s="13">
        <v>7</v>
      </c>
      <c r="BS48" s="13">
        <v>8</v>
      </c>
      <c r="BT48" s="13"/>
      <c r="BU48" s="13"/>
      <c r="BV48" s="13"/>
      <c r="BW48" s="37"/>
      <c r="BY48" s="13">
        <v>44</v>
      </c>
      <c r="BZ48" s="14">
        <f t="shared" si="21"/>
        <v>6</v>
      </c>
      <c r="CA48" s="14">
        <f t="shared" si="22"/>
        <v>2</v>
      </c>
      <c r="CB48" s="14">
        <f t="shared" si="1"/>
        <v>1</v>
      </c>
      <c r="CC48" s="14">
        <f t="shared" si="2"/>
        <v>2013024</v>
      </c>
      <c r="CD48" s="13" t="str">
        <f t="shared" si="3"/>
        <v>20级守护灵紫色-衣服</v>
      </c>
      <c r="CE48" s="14">
        <f t="shared" si="4"/>
        <v>2</v>
      </c>
      <c r="CF48" s="14">
        <f t="shared" si="5"/>
        <v>3</v>
      </c>
      <c r="CG48" s="14">
        <f t="shared" si="23"/>
        <v>20</v>
      </c>
      <c r="CH48" s="14">
        <f t="shared" si="24"/>
        <v>20</v>
      </c>
      <c r="CI48" s="14">
        <f t="shared" si="6"/>
        <v>4</v>
      </c>
      <c r="CJ48" s="14" t="str">
        <f t="shared" si="25"/>
        <v/>
      </c>
      <c r="CK48" s="14">
        <f t="shared" si="7"/>
        <v>0</v>
      </c>
      <c r="CL48" s="14">
        <f t="shared" si="8"/>
        <v>22</v>
      </c>
      <c r="CM48" s="14">
        <f t="shared" si="9"/>
        <v>0</v>
      </c>
      <c r="CN48" s="14">
        <f t="shared" si="10"/>
        <v>0</v>
      </c>
      <c r="CO48" s="14">
        <f t="shared" si="11"/>
        <v>3.95</v>
      </c>
      <c r="CP48" s="14">
        <f t="shared" si="12"/>
        <v>0</v>
      </c>
      <c r="CQ48" s="14">
        <f t="shared" si="26"/>
        <v>3</v>
      </c>
      <c r="CR48" s="14">
        <f t="shared" si="27"/>
        <v>1</v>
      </c>
      <c r="CS48" s="14">
        <f t="shared" si="28"/>
        <v>21</v>
      </c>
      <c r="CV48" s="14">
        <f t="shared" si="13"/>
        <v>2</v>
      </c>
      <c r="CW48" s="14">
        <f t="shared" si="14"/>
        <v>0</v>
      </c>
      <c r="CX48" s="14" t="str">
        <f t="shared" si="29"/>
        <v>DefExt</v>
      </c>
      <c r="CY48" s="14">
        <f t="shared" si="30"/>
        <v>22</v>
      </c>
      <c r="CZ48" s="14">
        <f t="shared" si="31"/>
        <v>3.95</v>
      </c>
      <c r="DA48" s="14" t="str">
        <f t="shared" si="32"/>
        <v/>
      </c>
      <c r="DB48" s="14" t="str">
        <f t="shared" si="33"/>
        <v/>
      </c>
      <c r="DC48" s="14" t="str">
        <f t="shared" si="34"/>
        <v/>
      </c>
      <c r="DD48" s="14">
        <f t="shared" si="35"/>
        <v>3</v>
      </c>
      <c r="DE48" s="14">
        <f t="shared" si="36"/>
        <v>1</v>
      </c>
      <c r="DF48" s="14">
        <f t="shared" si="37"/>
        <v>21</v>
      </c>
      <c r="DG48" s="14">
        <f t="shared" si="38"/>
        <v>25</v>
      </c>
      <c r="DJ48" s="37"/>
      <c r="DK48" s="37"/>
      <c r="DL48" s="37"/>
      <c r="DM48" s="37"/>
      <c r="DN48" s="13">
        <v>14</v>
      </c>
      <c r="DO48" s="13" t="s">
        <v>898</v>
      </c>
      <c r="DP48" s="13">
        <v>3</v>
      </c>
      <c r="DQ48" s="13">
        <v>5</v>
      </c>
      <c r="DR48" s="13" t="s">
        <v>862</v>
      </c>
      <c r="DS48" s="13">
        <v>0.15</v>
      </c>
      <c r="DU48" s="13">
        <v>14</v>
      </c>
      <c r="DV48" s="13" t="s">
        <v>884</v>
      </c>
      <c r="DW48" s="13">
        <v>3</v>
      </c>
      <c r="DX48" s="13">
        <v>5</v>
      </c>
      <c r="DY48" s="13" t="s">
        <v>862</v>
      </c>
      <c r="DZ48" s="13">
        <v>0.15</v>
      </c>
      <c r="EC48" s="13">
        <v>44</v>
      </c>
      <c r="ED48" s="13">
        <f t="shared" si="39"/>
        <v>8</v>
      </c>
      <c r="EE48" s="13" t="str">
        <f t="shared" si="40"/>
        <v>40级守护灵洗练-2</v>
      </c>
      <c r="EF48" s="13">
        <f t="shared" si="41"/>
        <v>22</v>
      </c>
      <c r="EG48" s="13">
        <f t="shared" si="42"/>
        <v>2</v>
      </c>
      <c r="EH48" s="13">
        <f t="shared" si="43"/>
        <v>2500</v>
      </c>
      <c r="EI48" s="13" t="str">
        <f t="shared" si="44"/>
        <v>DefExt</v>
      </c>
      <c r="EJ48" s="13">
        <f t="shared" si="45"/>
        <v>40</v>
      </c>
    </row>
    <row r="49" spans="1:140" s="20" customFormat="1" ht="16.5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13">
        <v>44</v>
      </c>
      <c r="BE49" s="13">
        <v>4</v>
      </c>
      <c r="BF49" s="13">
        <v>80</v>
      </c>
      <c r="BG49" s="13">
        <v>4</v>
      </c>
      <c r="BH49" s="13">
        <v>2</v>
      </c>
      <c r="BI49" s="13">
        <v>4</v>
      </c>
      <c r="BJ49" s="13">
        <f t="shared" si="46"/>
        <v>2044040</v>
      </c>
      <c r="BK49" s="13" t="s">
        <v>750</v>
      </c>
      <c r="BL49" s="13">
        <v>2041</v>
      </c>
      <c r="BM49" s="13">
        <v>5</v>
      </c>
      <c r="BN49" s="13">
        <f>SUM(BM$6:BM49)</f>
        <v>322</v>
      </c>
      <c r="BO49" s="13">
        <v>1</v>
      </c>
      <c r="BP49" s="13">
        <v>2</v>
      </c>
      <c r="BQ49" s="13">
        <v>3</v>
      </c>
      <c r="BR49" s="13">
        <v>7</v>
      </c>
      <c r="BS49" s="13">
        <v>8</v>
      </c>
      <c r="BT49" s="13"/>
      <c r="BU49" s="13"/>
      <c r="BV49" s="13"/>
      <c r="BW49" s="37"/>
      <c r="BY49" s="13">
        <v>45</v>
      </c>
      <c r="BZ49" s="14">
        <f t="shared" si="21"/>
        <v>6</v>
      </c>
      <c r="CA49" s="14">
        <f t="shared" si="22"/>
        <v>2</v>
      </c>
      <c r="CB49" s="14">
        <f t="shared" si="1"/>
        <v>1</v>
      </c>
      <c r="CC49" s="14">
        <f t="shared" si="2"/>
        <v>2013025</v>
      </c>
      <c r="CD49" s="13" t="str">
        <f t="shared" si="3"/>
        <v>20级守护灵紫色-鞋子</v>
      </c>
      <c r="CE49" s="14">
        <f t="shared" si="4"/>
        <v>2</v>
      </c>
      <c r="CF49" s="14">
        <f t="shared" si="5"/>
        <v>3</v>
      </c>
      <c r="CG49" s="14">
        <f t="shared" si="23"/>
        <v>20</v>
      </c>
      <c r="CH49" s="14">
        <f t="shared" si="24"/>
        <v>20</v>
      </c>
      <c r="CI49" s="14">
        <f t="shared" si="6"/>
        <v>5</v>
      </c>
      <c r="CJ49" s="14" t="str">
        <f t="shared" si="25"/>
        <v/>
      </c>
      <c r="CK49" s="14">
        <f t="shared" si="7"/>
        <v>0</v>
      </c>
      <c r="CL49" s="14">
        <f t="shared" si="8"/>
        <v>0</v>
      </c>
      <c r="CM49" s="14">
        <f t="shared" si="9"/>
        <v>209</v>
      </c>
      <c r="CN49" s="14">
        <f t="shared" si="10"/>
        <v>0</v>
      </c>
      <c r="CO49" s="14">
        <f t="shared" si="11"/>
        <v>0</v>
      </c>
      <c r="CP49" s="14">
        <f t="shared" si="12"/>
        <v>37.409999999999997</v>
      </c>
      <c r="CQ49" s="14">
        <f t="shared" si="26"/>
        <v>3</v>
      </c>
      <c r="CR49" s="14">
        <f t="shared" si="27"/>
        <v>1</v>
      </c>
      <c r="CS49" s="14">
        <f t="shared" si="28"/>
        <v>21</v>
      </c>
      <c r="CV49" s="14">
        <f t="shared" si="13"/>
        <v>3</v>
      </c>
      <c r="CW49" s="14">
        <f t="shared" si="14"/>
        <v>0</v>
      </c>
      <c r="CX49" s="14" t="str">
        <f t="shared" si="29"/>
        <v>HPExt</v>
      </c>
      <c r="CY49" s="14">
        <f t="shared" si="30"/>
        <v>209</v>
      </c>
      <c r="CZ49" s="14">
        <f t="shared" si="31"/>
        <v>37.409999999999997</v>
      </c>
      <c r="DA49" s="14" t="str">
        <f t="shared" si="32"/>
        <v/>
      </c>
      <c r="DB49" s="14" t="str">
        <f t="shared" si="33"/>
        <v/>
      </c>
      <c r="DC49" s="14" t="str">
        <f t="shared" si="34"/>
        <v/>
      </c>
      <c r="DD49" s="14">
        <f t="shared" si="35"/>
        <v>3</v>
      </c>
      <c r="DE49" s="14">
        <f t="shared" si="36"/>
        <v>1</v>
      </c>
      <c r="DF49" s="14">
        <f t="shared" si="37"/>
        <v>21</v>
      </c>
      <c r="DG49" s="14">
        <f t="shared" si="38"/>
        <v>25</v>
      </c>
      <c r="DJ49" s="37"/>
      <c r="DK49" s="37"/>
      <c r="DL49" s="37"/>
      <c r="DM49" s="37"/>
      <c r="DO49" s="37"/>
      <c r="DP49" s="37"/>
      <c r="DV49" s="37"/>
      <c r="DW49" s="37"/>
      <c r="EC49" s="13">
        <v>45</v>
      </c>
      <c r="ED49" s="13">
        <f t="shared" si="39"/>
        <v>8</v>
      </c>
      <c r="EE49" s="13" t="str">
        <f t="shared" si="40"/>
        <v>40级守护灵洗练-3</v>
      </c>
      <c r="EF49" s="13">
        <f t="shared" si="41"/>
        <v>22</v>
      </c>
      <c r="EG49" s="13">
        <f t="shared" si="42"/>
        <v>3</v>
      </c>
      <c r="EH49" s="13">
        <f t="shared" si="43"/>
        <v>2600</v>
      </c>
      <c r="EI49" s="13" t="str">
        <f t="shared" si="44"/>
        <v>HPExt</v>
      </c>
      <c r="EJ49" s="13">
        <f t="shared" si="45"/>
        <v>272</v>
      </c>
    </row>
    <row r="50" spans="1:140" s="20" customFormat="1" ht="16.5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13">
        <v>45</v>
      </c>
      <c r="BE50" s="13">
        <v>4</v>
      </c>
      <c r="BF50" s="13">
        <v>80</v>
      </c>
      <c r="BG50" s="13">
        <v>4</v>
      </c>
      <c r="BH50" s="13">
        <v>1</v>
      </c>
      <c r="BI50" s="13">
        <v>5</v>
      </c>
      <c r="BJ50" s="13">
        <f t="shared" si="46"/>
        <v>2044050</v>
      </c>
      <c r="BK50" s="13" t="s">
        <v>751</v>
      </c>
      <c r="BL50" s="13">
        <v>1042</v>
      </c>
      <c r="BM50" s="13">
        <v>6</v>
      </c>
      <c r="BN50" s="13">
        <f>SUM(BM$6:BM50)</f>
        <v>328</v>
      </c>
      <c r="BO50" s="13">
        <v>1</v>
      </c>
      <c r="BP50" s="13">
        <v>2</v>
      </c>
      <c r="BQ50" s="13">
        <v>3</v>
      </c>
      <c r="BR50" s="13">
        <v>4</v>
      </c>
      <c r="BS50" s="13">
        <v>5</v>
      </c>
      <c r="BT50" s="13">
        <v>6</v>
      </c>
      <c r="BU50" s="13"/>
      <c r="BV50" s="13"/>
      <c r="BW50" s="37"/>
      <c r="BY50" s="13">
        <v>46</v>
      </c>
      <c r="BZ50" s="14">
        <f t="shared" si="21"/>
        <v>6</v>
      </c>
      <c r="CA50" s="14">
        <f t="shared" si="22"/>
        <v>2</v>
      </c>
      <c r="CB50" s="14">
        <f t="shared" si="1"/>
        <v>1</v>
      </c>
      <c r="CC50" s="14">
        <f t="shared" si="2"/>
        <v>2013026</v>
      </c>
      <c r="CD50" s="13" t="str">
        <f t="shared" si="3"/>
        <v>20级守护灵紫色-护手</v>
      </c>
      <c r="CE50" s="14">
        <f t="shared" si="4"/>
        <v>2</v>
      </c>
      <c r="CF50" s="14">
        <f t="shared" si="5"/>
        <v>3</v>
      </c>
      <c r="CG50" s="14">
        <f t="shared" si="23"/>
        <v>20</v>
      </c>
      <c r="CH50" s="14">
        <f t="shared" si="24"/>
        <v>20</v>
      </c>
      <c r="CI50" s="14">
        <f t="shared" si="6"/>
        <v>6</v>
      </c>
      <c r="CJ50" s="14" t="str">
        <f t="shared" si="25"/>
        <v/>
      </c>
      <c r="CK50" s="14">
        <f t="shared" si="7"/>
        <v>0</v>
      </c>
      <c r="CL50" s="14">
        <f t="shared" si="8"/>
        <v>0</v>
      </c>
      <c r="CM50" s="14">
        <f t="shared" si="9"/>
        <v>209</v>
      </c>
      <c r="CN50" s="14">
        <f t="shared" si="10"/>
        <v>0</v>
      </c>
      <c r="CO50" s="14">
        <f t="shared" si="11"/>
        <v>0</v>
      </c>
      <c r="CP50" s="14">
        <f t="shared" si="12"/>
        <v>37.409999999999997</v>
      </c>
      <c r="CQ50" s="14">
        <f t="shared" si="26"/>
        <v>3</v>
      </c>
      <c r="CR50" s="14">
        <f t="shared" si="27"/>
        <v>1</v>
      </c>
      <c r="CS50" s="14">
        <f t="shared" si="28"/>
        <v>21</v>
      </c>
      <c r="CV50" s="14">
        <f t="shared" si="13"/>
        <v>3</v>
      </c>
      <c r="CW50" s="14">
        <f t="shared" si="14"/>
        <v>0</v>
      </c>
      <c r="CX50" s="14" t="str">
        <f t="shared" si="29"/>
        <v>HPExt</v>
      </c>
      <c r="CY50" s="14">
        <f t="shared" si="30"/>
        <v>209</v>
      </c>
      <c r="CZ50" s="14">
        <f t="shared" si="31"/>
        <v>37.409999999999997</v>
      </c>
      <c r="DA50" s="14" t="str">
        <f t="shared" si="32"/>
        <v/>
      </c>
      <c r="DB50" s="14" t="str">
        <f t="shared" si="33"/>
        <v/>
      </c>
      <c r="DC50" s="14" t="str">
        <f t="shared" si="34"/>
        <v/>
      </c>
      <c r="DD50" s="14">
        <f t="shared" si="35"/>
        <v>3</v>
      </c>
      <c r="DE50" s="14">
        <f t="shared" si="36"/>
        <v>1</v>
      </c>
      <c r="DF50" s="14">
        <f t="shared" si="37"/>
        <v>21</v>
      </c>
      <c r="DG50" s="14">
        <f t="shared" si="38"/>
        <v>25</v>
      </c>
      <c r="DJ50" s="37"/>
      <c r="DK50" s="37"/>
      <c r="DL50" s="37"/>
      <c r="DM50" s="37"/>
      <c r="DO50" s="37"/>
      <c r="DP50" s="37"/>
      <c r="DV50" s="37"/>
      <c r="DW50" s="37"/>
      <c r="EC50" s="13">
        <v>46</v>
      </c>
      <c r="ED50" s="13">
        <f t="shared" si="39"/>
        <v>8</v>
      </c>
      <c r="EE50" s="13" t="str">
        <f t="shared" si="40"/>
        <v>40级守护灵洗练-4</v>
      </c>
      <c r="EF50" s="13">
        <f t="shared" si="41"/>
        <v>22</v>
      </c>
      <c r="EG50" s="13">
        <f t="shared" si="42"/>
        <v>4</v>
      </c>
      <c r="EH50" s="13">
        <f t="shared" si="43"/>
        <v>800</v>
      </c>
      <c r="EI50" s="13" t="str">
        <f t="shared" si="44"/>
        <v>AtkRate</v>
      </c>
      <c r="EJ50" s="13">
        <f t="shared" si="45"/>
        <v>0.04</v>
      </c>
    </row>
    <row r="51" spans="1:140" s="20" customFormat="1" ht="16.5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13">
        <v>46</v>
      </c>
      <c r="BE51" s="13">
        <v>4</v>
      </c>
      <c r="BF51" s="13">
        <v>80</v>
      </c>
      <c r="BG51" s="13">
        <v>4</v>
      </c>
      <c r="BH51" s="13">
        <v>2</v>
      </c>
      <c r="BI51" s="13">
        <v>6</v>
      </c>
      <c r="BJ51" s="13">
        <f t="shared" si="46"/>
        <v>2044060</v>
      </c>
      <c r="BK51" s="13" t="s">
        <v>752</v>
      </c>
      <c r="BL51" s="13">
        <v>2042</v>
      </c>
      <c r="BM51" s="13">
        <v>6</v>
      </c>
      <c r="BN51" s="13">
        <f>SUM(BM$6:BM51)</f>
        <v>334</v>
      </c>
      <c r="BO51" s="13">
        <v>1</v>
      </c>
      <c r="BP51" s="13">
        <v>2</v>
      </c>
      <c r="BQ51" s="13">
        <v>3</v>
      </c>
      <c r="BR51" s="13">
        <v>4</v>
      </c>
      <c r="BS51" s="13">
        <v>5</v>
      </c>
      <c r="BT51" s="13">
        <v>6</v>
      </c>
      <c r="BU51" s="13"/>
      <c r="BV51" s="13"/>
      <c r="BW51" s="37"/>
      <c r="BY51" s="13">
        <v>47</v>
      </c>
      <c r="BZ51" s="14">
        <f t="shared" si="21"/>
        <v>6</v>
      </c>
      <c r="CA51" s="14">
        <f t="shared" si="22"/>
        <v>2</v>
      </c>
      <c r="CB51" s="14">
        <f t="shared" si="1"/>
        <v>1</v>
      </c>
      <c r="CC51" s="14">
        <f t="shared" si="2"/>
        <v>2013027</v>
      </c>
      <c r="CD51" s="13" t="str">
        <f t="shared" si="3"/>
        <v>20级守护灵紫色-项链</v>
      </c>
      <c r="CE51" s="14">
        <f t="shared" si="4"/>
        <v>2</v>
      </c>
      <c r="CF51" s="14">
        <f t="shared" si="5"/>
        <v>3</v>
      </c>
      <c r="CG51" s="14">
        <f t="shared" si="23"/>
        <v>20</v>
      </c>
      <c r="CH51" s="14">
        <f t="shared" si="24"/>
        <v>20</v>
      </c>
      <c r="CI51" s="14">
        <f t="shared" si="6"/>
        <v>7</v>
      </c>
      <c r="CJ51" s="14" t="str">
        <f t="shared" si="25"/>
        <v/>
      </c>
      <c r="CK51" s="14">
        <f t="shared" si="7"/>
        <v>36</v>
      </c>
      <c r="CL51" s="14">
        <f t="shared" si="8"/>
        <v>18</v>
      </c>
      <c r="CM51" s="14">
        <f t="shared" si="9"/>
        <v>0</v>
      </c>
      <c r="CN51" s="14">
        <f t="shared" si="10"/>
        <v>6.42</v>
      </c>
      <c r="CO51" s="14">
        <f t="shared" si="11"/>
        <v>3.29</v>
      </c>
      <c r="CP51" s="14">
        <f t="shared" si="12"/>
        <v>0</v>
      </c>
      <c r="CQ51" s="14">
        <f t="shared" si="26"/>
        <v>3</v>
      </c>
      <c r="CR51" s="14">
        <f t="shared" si="27"/>
        <v>1</v>
      </c>
      <c r="CS51" s="14">
        <f t="shared" si="28"/>
        <v>21</v>
      </c>
      <c r="CV51" s="14">
        <f t="shared" si="13"/>
        <v>1</v>
      </c>
      <c r="CW51" s="14">
        <f t="shared" si="14"/>
        <v>2</v>
      </c>
      <c r="CX51" s="14" t="str">
        <f t="shared" si="29"/>
        <v>AtkExt</v>
      </c>
      <c r="CY51" s="14">
        <f t="shared" si="30"/>
        <v>36</v>
      </c>
      <c r="CZ51" s="14">
        <f t="shared" si="31"/>
        <v>6.42</v>
      </c>
      <c r="DA51" s="14" t="str">
        <f t="shared" si="32"/>
        <v>DefExt</v>
      </c>
      <c r="DB51" s="14">
        <f t="shared" si="33"/>
        <v>18</v>
      </c>
      <c r="DC51" s="14">
        <f t="shared" si="34"/>
        <v>3.29</v>
      </c>
      <c r="DD51" s="14">
        <f t="shared" si="35"/>
        <v>3</v>
      </c>
      <c r="DE51" s="14">
        <f t="shared" si="36"/>
        <v>1</v>
      </c>
      <c r="DF51" s="14">
        <f t="shared" si="37"/>
        <v>21</v>
      </c>
      <c r="DG51" s="14">
        <f t="shared" si="38"/>
        <v>25</v>
      </c>
      <c r="DJ51" s="37"/>
      <c r="DK51" s="37"/>
      <c r="DL51" s="37"/>
      <c r="DM51" s="37"/>
      <c r="DO51" s="37"/>
      <c r="DP51" s="37"/>
      <c r="DV51" s="37"/>
      <c r="DW51" s="37"/>
      <c r="EC51" s="13">
        <v>47</v>
      </c>
      <c r="ED51" s="13">
        <f t="shared" si="39"/>
        <v>8</v>
      </c>
      <c r="EE51" s="13" t="str">
        <f t="shared" si="40"/>
        <v>40级守护灵洗练-5</v>
      </c>
      <c r="EF51" s="13">
        <f t="shared" si="41"/>
        <v>22</v>
      </c>
      <c r="EG51" s="13">
        <f t="shared" si="42"/>
        <v>5</v>
      </c>
      <c r="EH51" s="13">
        <f t="shared" si="43"/>
        <v>800</v>
      </c>
      <c r="EI51" s="13" t="str">
        <f t="shared" si="44"/>
        <v>AtkRate</v>
      </c>
      <c r="EJ51" s="13">
        <f t="shared" si="45"/>
        <v>0.04</v>
      </c>
    </row>
    <row r="52" spans="1:140" s="20" customFormat="1" ht="16.5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13">
        <v>47</v>
      </c>
      <c r="BE52" s="13">
        <v>4</v>
      </c>
      <c r="BF52" s="13">
        <v>80</v>
      </c>
      <c r="BG52" s="13">
        <v>4</v>
      </c>
      <c r="BH52" s="13">
        <v>1</v>
      </c>
      <c r="BI52" s="13">
        <v>7</v>
      </c>
      <c r="BJ52" s="13">
        <f t="shared" si="46"/>
        <v>2044070</v>
      </c>
      <c r="BK52" s="13" t="s">
        <v>753</v>
      </c>
      <c r="BL52" s="13">
        <v>1043</v>
      </c>
      <c r="BM52" s="13">
        <v>6</v>
      </c>
      <c r="BN52" s="13">
        <f>SUM(BM$6:BM52)</f>
        <v>340</v>
      </c>
      <c r="BO52" s="13">
        <v>1</v>
      </c>
      <c r="BP52" s="13">
        <v>4</v>
      </c>
      <c r="BQ52" s="13">
        <v>5</v>
      </c>
      <c r="BR52" s="13">
        <v>6</v>
      </c>
      <c r="BS52" s="13">
        <v>7</v>
      </c>
      <c r="BT52" s="13">
        <v>8</v>
      </c>
      <c r="BU52" s="13"/>
      <c r="BV52" s="13"/>
      <c r="BW52" s="37"/>
      <c r="BY52" s="13">
        <v>48</v>
      </c>
      <c r="BZ52" s="14">
        <f t="shared" si="21"/>
        <v>6</v>
      </c>
      <c r="CA52" s="14">
        <f t="shared" si="22"/>
        <v>2</v>
      </c>
      <c r="CB52" s="14">
        <f t="shared" si="1"/>
        <v>1</v>
      </c>
      <c r="CC52" s="14">
        <f t="shared" si="2"/>
        <v>2013028</v>
      </c>
      <c r="CD52" s="13" t="str">
        <f t="shared" si="3"/>
        <v>20级守护灵紫色-戒指</v>
      </c>
      <c r="CE52" s="14">
        <f t="shared" si="4"/>
        <v>2</v>
      </c>
      <c r="CF52" s="14">
        <f t="shared" si="5"/>
        <v>3</v>
      </c>
      <c r="CG52" s="14">
        <f t="shared" si="23"/>
        <v>20</v>
      </c>
      <c r="CH52" s="14">
        <f t="shared" si="24"/>
        <v>20</v>
      </c>
      <c r="CI52" s="14">
        <f t="shared" si="6"/>
        <v>8</v>
      </c>
      <c r="CJ52" s="14" t="str">
        <f t="shared" si="25"/>
        <v/>
      </c>
      <c r="CK52" s="14">
        <f t="shared" si="7"/>
        <v>36</v>
      </c>
      <c r="CL52" s="14">
        <f t="shared" si="8"/>
        <v>0</v>
      </c>
      <c r="CM52" s="14">
        <f t="shared" si="9"/>
        <v>175</v>
      </c>
      <c r="CN52" s="14">
        <f t="shared" si="10"/>
        <v>6.42</v>
      </c>
      <c r="CO52" s="14">
        <f t="shared" si="11"/>
        <v>0</v>
      </c>
      <c r="CP52" s="14">
        <f t="shared" si="12"/>
        <v>31.18</v>
      </c>
      <c r="CQ52" s="14">
        <f t="shared" si="26"/>
        <v>3</v>
      </c>
      <c r="CR52" s="14">
        <f t="shared" si="27"/>
        <v>1</v>
      </c>
      <c r="CS52" s="14">
        <f t="shared" si="28"/>
        <v>21</v>
      </c>
      <c r="CV52" s="14">
        <f t="shared" si="13"/>
        <v>1</v>
      </c>
      <c r="CW52" s="14">
        <f t="shared" si="14"/>
        <v>3</v>
      </c>
      <c r="CX52" s="14" t="str">
        <f t="shared" si="29"/>
        <v>AtkExt</v>
      </c>
      <c r="CY52" s="14">
        <f t="shared" si="30"/>
        <v>36</v>
      </c>
      <c r="CZ52" s="14">
        <f t="shared" si="31"/>
        <v>6.42</v>
      </c>
      <c r="DA52" s="14" t="str">
        <f t="shared" si="32"/>
        <v>HPExt</v>
      </c>
      <c r="DB52" s="14">
        <f t="shared" si="33"/>
        <v>175</v>
      </c>
      <c r="DC52" s="14">
        <f t="shared" si="34"/>
        <v>31.18</v>
      </c>
      <c r="DD52" s="14">
        <f t="shared" si="35"/>
        <v>3</v>
      </c>
      <c r="DE52" s="14">
        <f t="shared" si="36"/>
        <v>1</v>
      </c>
      <c r="DF52" s="14">
        <f t="shared" si="37"/>
        <v>21</v>
      </c>
      <c r="DG52" s="14">
        <f t="shared" si="38"/>
        <v>25</v>
      </c>
      <c r="DJ52" s="37"/>
      <c r="DK52" s="37"/>
      <c r="DL52" s="37"/>
      <c r="DM52" s="37"/>
      <c r="DO52" s="37"/>
      <c r="DP52" s="37"/>
      <c r="DV52" s="37"/>
      <c r="DW52" s="37"/>
      <c r="EC52" s="13">
        <v>48</v>
      </c>
      <c r="ED52" s="13">
        <f t="shared" si="39"/>
        <v>8</v>
      </c>
      <c r="EE52" s="13" t="str">
        <f t="shared" si="40"/>
        <v>40级守护灵洗练-6</v>
      </c>
      <c r="EF52" s="13">
        <f t="shared" si="41"/>
        <v>22</v>
      </c>
      <c r="EG52" s="13">
        <f t="shared" si="42"/>
        <v>6</v>
      </c>
      <c r="EH52" s="13">
        <f t="shared" si="43"/>
        <v>800</v>
      </c>
      <c r="EI52" s="13" t="str">
        <f t="shared" si="44"/>
        <v>AtkRate</v>
      </c>
      <c r="EJ52" s="13">
        <f t="shared" si="45"/>
        <v>0.04</v>
      </c>
    </row>
    <row r="53" spans="1:140" s="20" customFormat="1" ht="16.5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13">
        <v>48</v>
      </c>
      <c r="BE53" s="13">
        <v>4</v>
      </c>
      <c r="BF53" s="13">
        <v>80</v>
      </c>
      <c r="BG53" s="13">
        <v>4</v>
      </c>
      <c r="BH53" s="13">
        <v>2</v>
      </c>
      <c r="BI53" s="13">
        <v>8</v>
      </c>
      <c r="BJ53" s="13">
        <f t="shared" si="46"/>
        <v>2044080</v>
      </c>
      <c r="BK53" s="13" t="s">
        <v>754</v>
      </c>
      <c r="BL53" s="13">
        <v>2043</v>
      </c>
      <c r="BM53" s="13">
        <v>6</v>
      </c>
      <c r="BN53" s="13">
        <f>SUM(BM$6:BM53)</f>
        <v>346</v>
      </c>
      <c r="BO53" s="13">
        <v>1</v>
      </c>
      <c r="BP53" s="13">
        <v>4</v>
      </c>
      <c r="BQ53" s="13">
        <v>5</v>
      </c>
      <c r="BR53" s="13">
        <v>6</v>
      </c>
      <c r="BS53" s="13">
        <v>7</v>
      </c>
      <c r="BT53" s="13">
        <v>8</v>
      </c>
      <c r="BU53" s="13"/>
      <c r="BV53" s="13"/>
      <c r="BW53" s="37"/>
      <c r="BY53" s="13">
        <v>49</v>
      </c>
      <c r="BZ53" s="14">
        <f t="shared" si="21"/>
        <v>7</v>
      </c>
      <c r="CA53" s="14">
        <f t="shared" si="22"/>
        <v>1</v>
      </c>
      <c r="CB53" s="14">
        <f t="shared" si="1"/>
        <v>1</v>
      </c>
      <c r="CC53" s="14">
        <f t="shared" si="2"/>
        <v>2014011</v>
      </c>
      <c r="CD53" s="13" t="str">
        <f t="shared" si="3"/>
        <v>20级寄灵人橙色-武器</v>
      </c>
      <c r="CE53" s="14">
        <f t="shared" si="4"/>
        <v>1</v>
      </c>
      <c r="CF53" s="14">
        <f t="shared" si="5"/>
        <v>4</v>
      </c>
      <c r="CG53" s="14">
        <f t="shared" si="23"/>
        <v>20</v>
      </c>
      <c r="CH53" s="14">
        <f t="shared" si="24"/>
        <v>20</v>
      </c>
      <c r="CI53" s="14">
        <f t="shared" si="6"/>
        <v>1</v>
      </c>
      <c r="CJ53" s="14" t="str">
        <f t="shared" si="25"/>
        <v/>
      </c>
      <c r="CK53" s="14">
        <f t="shared" si="7"/>
        <v>88</v>
      </c>
      <c r="CL53" s="14">
        <f t="shared" si="8"/>
        <v>0</v>
      </c>
      <c r="CM53" s="14">
        <f t="shared" si="9"/>
        <v>0</v>
      </c>
      <c r="CN53" s="14">
        <f t="shared" si="10"/>
        <v>12.5</v>
      </c>
      <c r="CO53" s="14">
        <f t="shared" si="11"/>
        <v>0</v>
      </c>
      <c r="CP53" s="14">
        <f t="shared" si="12"/>
        <v>0</v>
      </c>
      <c r="CQ53" s="14">
        <f t="shared" si="26"/>
        <v>4</v>
      </c>
      <c r="CR53" s="14">
        <f t="shared" si="27"/>
        <v>2</v>
      </c>
      <c r="CS53" s="14">
        <f t="shared" si="28"/>
        <v>11</v>
      </c>
      <c r="CV53" s="14">
        <f t="shared" si="13"/>
        <v>1</v>
      </c>
      <c r="CW53" s="14">
        <f t="shared" si="14"/>
        <v>0</v>
      </c>
      <c r="CX53" s="14" t="str">
        <f t="shared" si="29"/>
        <v>AtkExt</v>
      </c>
      <c r="CY53" s="14">
        <f t="shared" si="30"/>
        <v>88</v>
      </c>
      <c r="CZ53" s="14">
        <f t="shared" si="31"/>
        <v>12.5</v>
      </c>
      <c r="DA53" s="14" t="str">
        <f t="shared" si="32"/>
        <v/>
      </c>
      <c r="DB53" s="14" t="str">
        <f t="shared" si="33"/>
        <v/>
      </c>
      <c r="DC53" s="14" t="str">
        <f t="shared" si="34"/>
        <v/>
      </c>
      <c r="DD53" s="14">
        <f t="shared" si="35"/>
        <v>4</v>
      </c>
      <c r="DE53" s="14">
        <f t="shared" si="36"/>
        <v>2</v>
      </c>
      <c r="DF53" s="14">
        <f t="shared" si="37"/>
        <v>11</v>
      </c>
      <c r="DG53" s="14">
        <f t="shared" si="38"/>
        <v>50</v>
      </c>
      <c r="DJ53" s="37"/>
      <c r="DK53" s="37"/>
      <c r="DL53" s="37"/>
      <c r="DM53" s="37"/>
      <c r="DO53" s="37"/>
      <c r="DP53" s="37"/>
      <c r="DV53" s="37"/>
      <c r="DW53" s="37"/>
      <c r="EC53" s="13">
        <v>49</v>
      </c>
      <c r="ED53" s="13">
        <f t="shared" si="39"/>
        <v>9</v>
      </c>
      <c r="EE53" s="13" t="str">
        <f t="shared" si="40"/>
        <v>60级守护灵洗练-1</v>
      </c>
      <c r="EF53" s="13">
        <f t="shared" si="41"/>
        <v>23</v>
      </c>
      <c r="EG53" s="13">
        <f t="shared" si="42"/>
        <v>1</v>
      </c>
      <c r="EH53" s="13">
        <f t="shared" si="43"/>
        <v>2500</v>
      </c>
      <c r="EI53" s="13" t="str">
        <f t="shared" si="44"/>
        <v>AtkExt</v>
      </c>
      <c r="EJ53" s="13">
        <f t="shared" si="45"/>
        <v>141</v>
      </c>
    </row>
    <row r="54" spans="1:140" s="20" customFormat="1" ht="16.5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13">
        <v>49</v>
      </c>
      <c r="BE54" s="13">
        <v>5</v>
      </c>
      <c r="BF54" s="13">
        <v>100</v>
      </c>
      <c r="BG54" s="13">
        <v>1</v>
      </c>
      <c r="BH54" s="13">
        <v>1</v>
      </c>
      <c r="BI54" s="13">
        <v>1</v>
      </c>
      <c r="BJ54" s="13">
        <f t="shared" si="46"/>
        <v>2051010</v>
      </c>
      <c r="BK54" s="13" t="s">
        <v>755</v>
      </c>
      <c r="BL54" s="13"/>
      <c r="BM54" s="13">
        <v>8</v>
      </c>
      <c r="BN54" s="13">
        <f>SUM(BM$6:BM54)</f>
        <v>354</v>
      </c>
      <c r="BO54" s="13">
        <v>1</v>
      </c>
      <c r="BP54" s="13">
        <v>2</v>
      </c>
      <c r="BQ54" s="13">
        <v>3</v>
      </c>
      <c r="BR54" s="13">
        <v>4</v>
      </c>
      <c r="BS54" s="13">
        <v>5</v>
      </c>
      <c r="BT54" s="13">
        <v>6</v>
      </c>
      <c r="BU54" s="13">
        <v>7</v>
      </c>
      <c r="BV54" s="13">
        <v>8</v>
      </c>
      <c r="BW54" s="37"/>
      <c r="BY54" s="13">
        <v>50</v>
      </c>
      <c r="BZ54" s="14">
        <f t="shared" si="21"/>
        <v>7</v>
      </c>
      <c r="CA54" s="14">
        <f t="shared" si="22"/>
        <v>1</v>
      </c>
      <c r="CB54" s="14">
        <f t="shared" si="1"/>
        <v>1</v>
      </c>
      <c r="CC54" s="14">
        <f t="shared" si="2"/>
        <v>2014012</v>
      </c>
      <c r="CD54" s="13" t="str">
        <f t="shared" si="3"/>
        <v>20级寄灵人橙色-头盔</v>
      </c>
      <c r="CE54" s="14">
        <f t="shared" si="4"/>
        <v>1</v>
      </c>
      <c r="CF54" s="14">
        <f t="shared" si="5"/>
        <v>4</v>
      </c>
      <c r="CG54" s="14">
        <f t="shared" si="23"/>
        <v>20</v>
      </c>
      <c r="CH54" s="14">
        <f t="shared" si="24"/>
        <v>20</v>
      </c>
      <c r="CI54" s="14">
        <f t="shared" si="6"/>
        <v>2</v>
      </c>
      <c r="CJ54" s="14" t="str">
        <f t="shared" si="25"/>
        <v/>
      </c>
      <c r="CK54" s="14">
        <f t="shared" si="7"/>
        <v>0</v>
      </c>
      <c r="CL54" s="14">
        <f t="shared" si="8"/>
        <v>18</v>
      </c>
      <c r="CM54" s="14">
        <f t="shared" si="9"/>
        <v>0</v>
      </c>
      <c r="CN54" s="14">
        <f t="shared" si="10"/>
        <v>0</v>
      </c>
      <c r="CO54" s="14">
        <f t="shared" si="11"/>
        <v>2.56</v>
      </c>
      <c r="CP54" s="14">
        <f t="shared" si="12"/>
        <v>0</v>
      </c>
      <c r="CQ54" s="14">
        <f t="shared" si="26"/>
        <v>4</v>
      </c>
      <c r="CR54" s="14">
        <f t="shared" si="27"/>
        <v>2</v>
      </c>
      <c r="CS54" s="14">
        <f t="shared" si="28"/>
        <v>11</v>
      </c>
      <c r="CV54" s="14">
        <f t="shared" si="13"/>
        <v>2</v>
      </c>
      <c r="CW54" s="14">
        <f t="shared" si="14"/>
        <v>0</v>
      </c>
      <c r="CX54" s="14" t="str">
        <f t="shared" si="29"/>
        <v>DefExt</v>
      </c>
      <c r="CY54" s="14">
        <f t="shared" si="30"/>
        <v>18</v>
      </c>
      <c r="CZ54" s="14">
        <f t="shared" si="31"/>
        <v>2.56</v>
      </c>
      <c r="DA54" s="14" t="str">
        <f t="shared" si="32"/>
        <v/>
      </c>
      <c r="DB54" s="14" t="str">
        <f t="shared" si="33"/>
        <v/>
      </c>
      <c r="DC54" s="14" t="str">
        <f t="shared" si="34"/>
        <v/>
      </c>
      <c r="DD54" s="14">
        <f t="shared" si="35"/>
        <v>4</v>
      </c>
      <c r="DE54" s="14">
        <f t="shared" si="36"/>
        <v>2</v>
      </c>
      <c r="DF54" s="14">
        <f t="shared" si="37"/>
        <v>11</v>
      </c>
      <c r="DG54" s="14">
        <f t="shared" si="38"/>
        <v>50</v>
      </c>
      <c r="DJ54" s="37"/>
      <c r="DK54" s="37"/>
      <c r="DL54" s="37"/>
      <c r="DM54" s="37"/>
      <c r="DO54" s="37"/>
      <c r="DP54" s="37"/>
      <c r="DV54" s="37"/>
      <c r="DW54" s="37"/>
      <c r="EC54" s="13">
        <v>50</v>
      </c>
      <c r="ED54" s="13">
        <f t="shared" si="39"/>
        <v>9</v>
      </c>
      <c r="EE54" s="13" t="str">
        <f t="shared" si="40"/>
        <v>60级守护灵洗练-2</v>
      </c>
      <c r="EF54" s="13">
        <f t="shared" si="41"/>
        <v>23</v>
      </c>
      <c r="EG54" s="13">
        <f t="shared" si="42"/>
        <v>2</v>
      </c>
      <c r="EH54" s="13">
        <f t="shared" si="43"/>
        <v>2500</v>
      </c>
      <c r="EI54" s="13" t="str">
        <f t="shared" si="44"/>
        <v>DefExt</v>
      </c>
      <c r="EJ54" s="13">
        <f t="shared" si="45"/>
        <v>50</v>
      </c>
    </row>
    <row r="55" spans="1:140" s="20" customFormat="1" ht="16.5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13">
        <v>50</v>
      </c>
      <c r="BE55" s="13">
        <v>5</v>
      </c>
      <c r="BF55" s="13">
        <v>100</v>
      </c>
      <c r="BG55" s="13">
        <v>1</v>
      </c>
      <c r="BH55" s="13">
        <v>2</v>
      </c>
      <c r="BI55" s="13">
        <v>2</v>
      </c>
      <c r="BJ55" s="13">
        <f t="shared" si="46"/>
        <v>2051020</v>
      </c>
      <c r="BK55" s="13" t="s">
        <v>756</v>
      </c>
      <c r="BL55" s="13"/>
      <c r="BM55" s="13">
        <v>8</v>
      </c>
      <c r="BN55" s="13">
        <f>SUM(BM$6:BM55)</f>
        <v>362</v>
      </c>
      <c r="BO55" s="13">
        <v>1</v>
      </c>
      <c r="BP55" s="13">
        <v>2</v>
      </c>
      <c r="BQ55" s="13">
        <v>3</v>
      </c>
      <c r="BR55" s="13">
        <v>4</v>
      </c>
      <c r="BS55" s="13">
        <v>5</v>
      </c>
      <c r="BT55" s="13">
        <v>6</v>
      </c>
      <c r="BU55" s="13">
        <v>7</v>
      </c>
      <c r="BV55" s="13">
        <v>8</v>
      </c>
      <c r="BW55" s="37"/>
      <c r="BY55" s="13">
        <v>51</v>
      </c>
      <c r="BZ55" s="14">
        <f t="shared" si="21"/>
        <v>7</v>
      </c>
      <c r="CA55" s="14">
        <f t="shared" si="22"/>
        <v>1</v>
      </c>
      <c r="CB55" s="14">
        <f t="shared" si="1"/>
        <v>1</v>
      </c>
      <c r="CC55" s="14">
        <f t="shared" si="2"/>
        <v>2014013</v>
      </c>
      <c r="CD55" s="13" t="str">
        <f t="shared" si="3"/>
        <v>20级寄灵人橙色-肩甲</v>
      </c>
      <c r="CE55" s="14">
        <f t="shared" si="4"/>
        <v>1</v>
      </c>
      <c r="CF55" s="14">
        <f t="shared" si="5"/>
        <v>4</v>
      </c>
      <c r="CG55" s="14">
        <f t="shared" si="23"/>
        <v>20</v>
      </c>
      <c r="CH55" s="14">
        <f t="shared" si="24"/>
        <v>20</v>
      </c>
      <c r="CI55" s="14">
        <f t="shared" si="6"/>
        <v>3</v>
      </c>
      <c r="CJ55" s="14" t="str">
        <f t="shared" si="25"/>
        <v/>
      </c>
      <c r="CK55" s="14">
        <f t="shared" si="7"/>
        <v>0</v>
      </c>
      <c r="CL55" s="14">
        <f t="shared" si="8"/>
        <v>9</v>
      </c>
      <c r="CM55" s="14">
        <f t="shared" si="9"/>
        <v>76</v>
      </c>
      <c r="CN55" s="14">
        <f t="shared" si="10"/>
        <v>0</v>
      </c>
      <c r="CO55" s="14">
        <f t="shared" si="11"/>
        <v>1.28</v>
      </c>
      <c r="CP55" s="14">
        <f t="shared" si="12"/>
        <v>10.88</v>
      </c>
      <c r="CQ55" s="14">
        <f t="shared" si="26"/>
        <v>4</v>
      </c>
      <c r="CR55" s="14">
        <f t="shared" si="27"/>
        <v>2</v>
      </c>
      <c r="CS55" s="14">
        <f t="shared" si="28"/>
        <v>11</v>
      </c>
      <c r="CV55" s="14">
        <f t="shared" si="13"/>
        <v>2</v>
      </c>
      <c r="CW55" s="14">
        <f t="shared" si="14"/>
        <v>3</v>
      </c>
      <c r="CX55" s="14" t="str">
        <f t="shared" si="29"/>
        <v>DefExt</v>
      </c>
      <c r="CY55" s="14">
        <f t="shared" si="30"/>
        <v>9</v>
      </c>
      <c r="CZ55" s="14">
        <f t="shared" si="31"/>
        <v>1.28</v>
      </c>
      <c r="DA55" s="14" t="str">
        <f t="shared" si="32"/>
        <v>HPExt</v>
      </c>
      <c r="DB55" s="14">
        <f t="shared" si="33"/>
        <v>76</v>
      </c>
      <c r="DC55" s="14">
        <f t="shared" si="34"/>
        <v>10.88</v>
      </c>
      <c r="DD55" s="14">
        <f t="shared" si="35"/>
        <v>4</v>
      </c>
      <c r="DE55" s="14">
        <f t="shared" si="36"/>
        <v>2</v>
      </c>
      <c r="DF55" s="14">
        <f t="shared" si="37"/>
        <v>11</v>
      </c>
      <c r="DG55" s="14">
        <f t="shared" si="38"/>
        <v>50</v>
      </c>
      <c r="DJ55" s="37"/>
      <c r="DK55" s="37"/>
      <c r="DL55" s="37"/>
      <c r="DM55" s="37"/>
      <c r="DO55" s="37"/>
      <c r="DP55" s="37"/>
      <c r="DV55" s="37"/>
      <c r="DW55" s="37"/>
      <c r="EC55" s="13">
        <v>51</v>
      </c>
      <c r="ED55" s="13">
        <f t="shared" si="39"/>
        <v>9</v>
      </c>
      <c r="EE55" s="13" t="str">
        <f t="shared" si="40"/>
        <v>60级守护灵洗练-3</v>
      </c>
      <c r="EF55" s="13">
        <f t="shared" si="41"/>
        <v>23</v>
      </c>
      <c r="EG55" s="13">
        <f t="shared" si="42"/>
        <v>3</v>
      </c>
      <c r="EH55" s="13">
        <f t="shared" si="43"/>
        <v>2600</v>
      </c>
      <c r="EI55" s="13" t="str">
        <f t="shared" si="44"/>
        <v>HPExt</v>
      </c>
      <c r="EJ55" s="13">
        <f t="shared" si="45"/>
        <v>527</v>
      </c>
    </row>
    <row r="56" spans="1:140" s="20" customFormat="1" ht="16.5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13">
        <v>51</v>
      </c>
      <c r="BE56" s="13">
        <v>5</v>
      </c>
      <c r="BF56" s="13">
        <v>100</v>
      </c>
      <c r="BG56" s="13">
        <v>2</v>
      </c>
      <c r="BH56" s="13">
        <v>1</v>
      </c>
      <c r="BI56" s="13">
        <v>1</v>
      </c>
      <c r="BJ56" s="13">
        <f t="shared" si="46"/>
        <v>2052010</v>
      </c>
      <c r="BK56" s="13" t="s">
        <v>757</v>
      </c>
      <c r="BL56" s="13"/>
      <c r="BM56" s="13">
        <v>8</v>
      </c>
      <c r="BN56" s="13">
        <f>SUM(BM$6:BM56)</f>
        <v>370</v>
      </c>
      <c r="BO56" s="13">
        <v>1</v>
      </c>
      <c r="BP56" s="13">
        <v>2</v>
      </c>
      <c r="BQ56" s="13">
        <v>3</v>
      </c>
      <c r="BR56" s="13">
        <v>4</v>
      </c>
      <c r="BS56" s="13">
        <v>5</v>
      </c>
      <c r="BT56" s="13">
        <v>6</v>
      </c>
      <c r="BU56" s="13">
        <v>7</v>
      </c>
      <c r="BV56" s="13">
        <v>8</v>
      </c>
      <c r="BW56" s="37"/>
      <c r="BY56" s="13">
        <v>52</v>
      </c>
      <c r="BZ56" s="14">
        <f t="shared" si="21"/>
        <v>7</v>
      </c>
      <c r="CA56" s="14">
        <f t="shared" si="22"/>
        <v>1</v>
      </c>
      <c r="CB56" s="14">
        <f t="shared" si="1"/>
        <v>1</v>
      </c>
      <c r="CC56" s="14">
        <f t="shared" si="2"/>
        <v>2014014</v>
      </c>
      <c r="CD56" s="13" t="str">
        <f t="shared" si="3"/>
        <v>20级寄灵人橙色-衣服</v>
      </c>
      <c r="CE56" s="14">
        <f t="shared" si="4"/>
        <v>1</v>
      </c>
      <c r="CF56" s="14">
        <f t="shared" si="5"/>
        <v>4</v>
      </c>
      <c r="CG56" s="14">
        <f t="shared" si="23"/>
        <v>20</v>
      </c>
      <c r="CH56" s="14">
        <f t="shared" si="24"/>
        <v>20</v>
      </c>
      <c r="CI56" s="14">
        <f t="shared" si="6"/>
        <v>4</v>
      </c>
      <c r="CJ56" s="14" t="str">
        <f t="shared" si="25"/>
        <v/>
      </c>
      <c r="CK56" s="14">
        <f t="shared" si="7"/>
        <v>0</v>
      </c>
      <c r="CL56" s="14">
        <f t="shared" si="8"/>
        <v>18</v>
      </c>
      <c r="CM56" s="14">
        <f t="shared" si="9"/>
        <v>0</v>
      </c>
      <c r="CN56" s="14">
        <f t="shared" si="10"/>
        <v>0</v>
      </c>
      <c r="CO56" s="14">
        <f t="shared" si="11"/>
        <v>2.56</v>
      </c>
      <c r="CP56" s="14">
        <f t="shared" si="12"/>
        <v>0</v>
      </c>
      <c r="CQ56" s="14">
        <f t="shared" si="26"/>
        <v>4</v>
      </c>
      <c r="CR56" s="14">
        <f t="shared" si="27"/>
        <v>2</v>
      </c>
      <c r="CS56" s="14">
        <f t="shared" si="28"/>
        <v>11</v>
      </c>
      <c r="CV56" s="14">
        <f t="shared" si="13"/>
        <v>2</v>
      </c>
      <c r="CW56" s="14">
        <f t="shared" si="14"/>
        <v>0</v>
      </c>
      <c r="CX56" s="14" t="str">
        <f t="shared" si="29"/>
        <v>DefExt</v>
      </c>
      <c r="CY56" s="14">
        <f t="shared" si="30"/>
        <v>18</v>
      </c>
      <c r="CZ56" s="14">
        <f t="shared" si="31"/>
        <v>2.56</v>
      </c>
      <c r="DA56" s="14" t="str">
        <f t="shared" si="32"/>
        <v/>
      </c>
      <c r="DB56" s="14" t="str">
        <f t="shared" si="33"/>
        <v/>
      </c>
      <c r="DC56" s="14" t="str">
        <f t="shared" si="34"/>
        <v/>
      </c>
      <c r="DD56" s="14">
        <f t="shared" si="35"/>
        <v>4</v>
      </c>
      <c r="DE56" s="14">
        <f t="shared" si="36"/>
        <v>2</v>
      </c>
      <c r="DF56" s="14">
        <f t="shared" si="37"/>
        <v>11</v>
      </c>
      <c r="DG56" s="14">
        <f t="shared" si="38"/>
        <v>50</v>
      </c>
      <c r="DJ56" s="37"/>
      <c r="DK56" s="37"/>
      <c r="DL56" s="37"/>
      <c r="DM56" s="37"/>
      <c r="DO56" s="37"/>
      <c r="DP56" s="37"/>
      <c r="DV56" s="37"/>
      <c r="DW56" s="37"/>
      <c r="EC56" s="13">
        <v>52</v>
      </c>
      <c r="ED56" s="13">
        <f t="shared" si="39"/>
        <v>9</v>
      </c>
      <c r="EE56" s="13" t="str">
        <f t="shared" si="40"/>
        <v>60级守护灵洗练-4</v>
      </c>
      <c r="EF56" s="13">
        <f t="shared" si="41"/>
        <v>23</v>
      </c>
      <c r="EG56" s="13">
        <f t="shared" si="42"/>
        <v>4</v>
      </c>
      <c r="EH56" s="13">
        <f t="shared" si="43"/>
        <v>800</v>
      </c>
      <c r="EI56" s="13" t="str">
        <f t="shared" si="44"/>
        <v>AtkRate</v>
      </c>
      <c r="EJ56" s="13">
        <f t="shared" si="45"/>
        <v>0.04</v>
      </c>
    </row>
    <row r="57" spans="1:140" s="20" customFormat="1" ht="16.5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13">
        <v>52</v>
      </c>
      <c r="BE57" s="13">
        <v>5</v>
      </c>
      <c r="BF57" s="13">
        <v>100</v>
      </c>
      <c r="BG57" s="13">
        <v>2</v>
      </c>
      <c r="BH57" s="13">
        <v>2</v>
      </c>
      <c r="BI57" s="13">
        <v>2</v>
      </c>
      <c r="BJ57" s="13">
        <f t="shared" si="46"/>
        <v>2052020</v>
      </c>
      <c r="BK57" s="13" t="s">
        <v>758</v>
      </c>
      <c r="BL57" s="13"/>
      <c r="BM57" s="13">
        <v>8</v>
      </c>
      <c r="BN57" s="13">
        <f>SUM(BM$6:BM57)</f>
        <v>378</v>
      </c>
      <c r="BO57" s="13">
        <v>1</v>
      </c>
      <c r="BP57" s="13">
        <v>2</v>
      </c>
      <c r="BQ57" s="13">
        <v>3</v>
      </c>
      <c r="BR57" s="13">
        <v>4</v>
      </c>
      <c r="BS57" s="13">
        <v>5</v>
      </c>
      <c r="BT57" s="13">
        <v>6</v>
      </c>
      <c r="BU57" s="13">
        <v>7</v>
      </c>
      <c r="BV57" s="13">
        <v>8</v>
      </c>
      <c r="BW57" s="37"/>
      <c r="BY57" s="13">
        <v>53</v>
      </c>
      <c r="BZ57" s="14">
        <f t="shared" si="21"/>
        <v>7</v>
      </c>
      <c r="CA57" s="14">
        <f t="shared" si="22"/>
        <v>1</v>
      </c>
      <c r="CB57" s="14">
        <f t="shared" si="1"/>
        <v>1</v>
      </c>
      <c r="CC57" s="14">
        <f t="shared" si="2"/>
        <v>2014015</v>
      </c>
      <c r="CD57" s="13" t="str">
        <f t="shared" si="3"/>
        <v>20级寄灵人橙色-鞋子</v>
      </c>
      <c r="CE57" s="14">
        <f t="shared" si="4"/>
        <v>1</v>
      </c>
      <c r="CF57" s="14">
        <f t="shared" si="5"/>
        <v>4</v>
      </c>
      <c r="CG57" s="14">
        <f t="shared" si="23"/>
        <v>20</v>
      </c>
      <c r="CH57" s="14">
        <f t="shared" si="24"/>
        <v>20</v>
      </c>
      <c r="CI57" s="14">
        <f t="shared" si="6"/>
        <v>5</v>
      </c>
      <c r="CJ57" s="14" t="str">
        <f t="shared" si="25"/>
        <v/>
      </c>
      <c r="CK57" s="14">
        <f t="shared" si="7"/>
        <v>0</v>
      </c>
      <c r="CL57" s="14">
        <f t="shared" si="8"/>
        <v>0</v>
      </c>
      <c r="CM57" s="14">
        <f t="shared" si="9"/>
        <v>152</v>
      </c>
      <c r="CN57" s="14">
        <f t="shared" si="10"/>
        <v>0</v>
      </c>
      <c r="CO57" s="14">
        <f t="shared" si="11"/>
        <v>0</v>
      </c>
      <c r="CP57" s="14">
        <f t="shared" si="12"/>
        <v>21.75</v>
      </c>
      <c r="CQ57" s="14">
        <f t="shared" si="26"/>
        <v>4</v>
      </c>
      <c r="CR57" s="14">
        <f t="shared" si="27"/>
        <v>2</v>
      </c>
      <c r="CS57" s="14">
        <f t="shared" si="28"/>
        <v>11</v>
      </c>
      <c r="CV57" s="14">
        <f t="shared" si="13"/>
        <v>3</v>
      </c>
      <c r="CW57" s="14">
        <f t="shared" si="14"/>
        <v>0</v>
      </c>
      <c r="CX57" s="14" t="str">
        <f t="shared" si="29"/>
        <v>HPExt</v>
      </c>
      <c r="CY57" s="14">
        <f t="shared" si="30"/>
        <v>152</v>
      </c>
      <c r="CZ57" s="14">
        <f t="shared" si="31"/>
        <v>21.75</v>
      </c>
      <c r="DA57" s="14" t="str">
        <f t="shared" si="32"/>
        <v/>
      </c>
      <c r="DB57" s="14" t="str">
        <f t="shared" si="33"/>
        <v/>
      </c>
      <c r="DC57" s="14" t="str">
        <f t="shared" si="34"/>
        <v/>
      </c>
      <c r="DD57" s="14">
        <f t="shared" si="35"/>
        <v>4</v>
      </c>
      <c r="DE57" s="14">
        <f t="shared" si="36"/>
        <v>2</v>
      </c>
      <c r="DF57" s="14">
        <f t="shared" si="37"/>
        <v>11</v>
      </c>
      <c r="DG57" s="14">
        <f t="shared" si="38"/>
        <v>50</v>
      </c>
      <c r="DJ57" s="37"/>
      <c r="DK57" s="37"/>
      <c r="DL57" s="37"/>
      <c r="DM57" s="37"/>
      <c r="DO57" s="37"/>
      <c r="DP57" s="37"/>
      <c r="DV57" s="37"/>
      <c r="DW57" s="37"/>
      <c r="EC57" s="13">
        <v>53</v>
      </c>
      <c r="ED57" s="13">
        <f t="shared" si="39"/>
        <v>9</v>
      </c>
      <c r="EE57" s="13" t="str">
        <f t="shared" si="40"/>
        <v>60级守护灵洗练-5</v>
      </c>
      <c r="EF57" s="13">
        <f t="shared" si="41"/>
        <v>23</v>
      </c>
      <c r="EG57" s="13">
        <f t="shared" si="42"/>
        <v>5</v>
      </c>
      <c r="EH57" s="13">
        <f t="shared" si="43"/>
        <v>800</v>
      </c>
      <c r="EI57" s="13" t="str">
        <f t="shared" si="44"/>
        <v>AtkRate</v>
      </c>
      <c r="EJ57" s="13">
        <f t="shared" si="45"/>
        <v>0.04</v>
      </c>
    </row>
    <row r="58" spans="1:140" s="20" customFormat="1" ht="16.5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13">
        <v>53</v>
      </c>
      <c r="BE58" s="13">
        <v>5</v>
      </c>
      <c r="BF58" s="13">
        <v>100</v>
      </c>
      <c r="BG58" s="13">
        <v>3</v>
      </c>
      <c r="BH58" s="13">
        <v>1</v>
      </c>
      <c r="BI58" s="13">
        <v>1</v>
      </c>
      <c r="BJ58" s="13">
        <f t="shared" si="46"/>
        <v>2053010</v>
      </c>
      <c r="BK58" s="13" t="s">
        <v>759</v>
      </c>
      <c r="BL58" s="13"/>
      <c r="BM58" s="13">
        <v>8</v>
      </c>
      <c r="BN58" s="13">
        <f>SUM(BM$6:BM58)</f>
        <v>386</v>
      </c>
      <c r="BO58" s="13">
        <v>1</v>
      </c>
      <c r="BP58" s="13">
        <v>2</v>
      </c>
      <c r="BQ58" s="13">
        <v>3</v>
      </c>
      <c r="BR58" s="13">
        <v>4</v>
      </c>
      <c r="BS58" s="13">
        <v>5</v>
      </c>
      <c r="BT58" s="13">
        <v>6</v>
      </c>
      <c r="BU58" s="13">
        <v>7</v>
      </c>
      <c r="BV58" s="13">
        <v>8</v>
      </c>
      <c r="BW58" s="37"/>
      <c r="BY58" s="13">
        <v>54</v>
      </c>
      <c r="BZ58" s="14">
        <f t="shared" si="21"/>
        <v>7</v>
      </c>
      <c r="CA58" s="14">
        <f t="shared" si="22"/>
        <v>1</v>
      </c>
      <c r="CB58" s="14">
        <f t="shared" si="1"/>
        <v>1</v>
      </c>
      <c r="CC58" s="14">
        <f t="shared" si="2"/>
        <v>2014016</v>
      </c>
      <c r="CD58" s="13" t="str">
        <f t="shared" si="3"/>
        <v>20级寄灵人橙色-护手</v>
      </c>
      <c r="CE58" s="14">
        <f t="shared" si="4"/>
        <v>1</v>
      </c>
      <c r="CF58" s="14">
        <f t="shared" si="5"/>
        <v>4</v>
      </c>
      <c r="CG58" s="14">
        <f t="shared" si="23"/>
        <v>20</v>
      </c>
      <c r="CH58" s="14">
        <f t="shared" si="24"/>
        <v>20</v>
      </c>
      <c r="CI58" s="14">
        <f t="shared" si="6"/>
        <v>6</v>
      </c>
      <c r="CJ58" s="14" t="str">
        <f t="shared" si="25"/>
        <v/>
      </c>
      <c r="CK58" s="14">
        <f t="shared" si="7"/>
        <v>0</v>
      </c>
      <c r="CL58" s="14">
        <f t="shared" si="8"/>
        <v>0</v>
      </c>
      <c r="CM58" s="14">
        <f t="shared" si="9"/>
        <v>152</v>
      </c>
      <c r="CN58" s="14">
        <f t="shared" si="10"/>
        <v>0</v>
      </c>
      <c r="CO58" s="14">
        <f t="shared" si="11"/>
        <v>0</v>
      </c>
      <c r="CP58" s="14">
        <f t="shared" si="12"/>
        <v>21.75</v>
      </c>
      <c r="CQ58" s="14">
        <f t="shared" si="26"/>
        <v>4</v>
      </c>
      <c r="CR58" s="14">
        <f t="shared" si="27"/>
        <v>2</v>
      </c>
      <c r="CS58" s="14">
        <f t="shared" si="28"/>
        <v>11</v>
      </c>
      <c r="CV58" s="14">
        <f t="shared" si="13"/>
        <v>3</v>
      </c>
      <c r="CW58" s="14">
        <f t="shared" si="14"/>
        <v>0</v>
      </c>
      <c r="CX58" s="14" t="str">
        <f t="shared" si="29"/>
        <v>HPExt</v>
      </c>
      <c r="CY58" s="14">
        <f t="shared" si="30"/>
        <v>152</v>
      </c>
      <c r="CZ58" s="14">
        <f t="shared" si="31"/>
        <v>21.75</v>
      </c>
      <c r="DA58" s="14" t="str">
        <f t="shared" si="32"/>
        <v/>
      </c>
      <c r="DB58" s="14" t="str">
        <f t="shared" si="33"/>
        <v/>
      </c>
      <c r="DC58" s="14" t="str">
        <f t="shared" si="34"/>
        <v/>
      </c>
      <c r="DD58" s="14">
        <f t="shared" si="35"/>
        <v>4</v>
      </c>
      <c r="DE58" s="14">
        <f t="shared" si="36"/>
        <v>2</v>
      </c>
      <c r="DF58" s="14">
        <f t="shared" si="37"/>
        <v>11</v>
      </c>
      <c r="DG58" s="14">
        <f t="shared" si="38"/>
        <v>50</v>
      </c>
      <c r="DJ58" s="37"/>
      <c r="DK58" s="37"/>
      <c r="DL58" s="37"/>
      <c r="DM58" s="37"/>
      <c r="DO58" s="37"/>
      <c r="DP58" s="37"/>
      <c r="DV58" s="37"/>
      <c r="DW58" s="37"/>
      <c r="EC58" s="13">
        <v>54</v>
      </c>
      <c r="ED58" s="13">
        <f t="shared" si="39"/>
        <v>9</v>
      </c>
      <c r="EE58" s="13" t="str">
        <f t="shared" si="40"/>
        <v>60级守护灵洗练-6</v>
      </c>
      <c r="EF58" s="13">
        <f t="shared" si="41"/>
        <v>23</v>
      </c>
      <c r="EG58" s="13">
        <f t="shared" si="42"/>
        <v>6</v>
      </c>
      <c r="EH58" s="13">
        <f t="shared" si="43"/>
        <v>800</v>
      </c>
      <c r="EI58" s="13" t="str">
        <f t="shared" si="44"/>
        <v>AtkRate</v>
      </c>
      <c r="EJ58" s="13">
        <f t="shared" si="45"/>
        <v>0.04</v>
      </c>
    </row>
    <row r="59" spans="1:140" s="20" customFormat="1" ht="16.5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13">
        <v>54</v>
      </c>
      <c r="BE59" s="13">
        <v>5</v>
      </c>
      <c r="BF59" s="13">
        <v>100</v>
      </c>
      <c r="BG59" s="13">
        <v>3</v>
      </c>
      <c r="BH59" s="13">
        <v>2</v>
      </c>
      <c r="BI59" s="13">
        <v>2</v>
      </c>
      <c r="BJ59" s="13">
        <f t="shared" si="46"/>
        <v>2053020</v>
      </c>
      <c r="BK59" s="13" t="s">
        <v>760</v>
      </c>
      <c r="BL59" s="13"/>
      <c r="BM59" s="13">
        <v>8</v>
      </c>
      <c r="BN59" s="13">
        <f>SUM(BM$6:BM59)</f>
        <v>394</v>
      </c>
      <c r="BO59" s="13">
        <v>1</v>
      </c>
      <c r="BP59" s="13">
        <v>2</v>
      </c>
      <c r="BQ59" s="13">
        <v>3</v>
      </c>
      <c r="BR59" s="13">
        <v>4</v>
      </c>
      <c r="BS59" s="13">
        <v>5</v>
      </c>
      <c r="BT59" s="13">
        <v>6</v>
      </c>
      <c r="BU59" s="13">
        <v>7</v>
      </c>
      <c r="BV59" s="13">
        <v>8</v>
      </c>
      <c r="BW59" s="37"/>
      <c r="BY59" s="13">
        <v>55</v>
      </c>
      <c r="BZ59" s="14">
        <f t="shared" si="21"/>
        <v>7</v>
      </c>
      <c r="CA59" s="14">
        <f t="shared" si="22"/>
        <v>1</v>
      </c>
      <c r="CB59" s="14">
        <f t="shared" si="1"/>
        <v>1</v>
      </c>
      <c r="CC59" s="14">
        <f t="shared" si="2"/>
        <v>2014017</v>
      </c>
      <c r="CD59" s="13" t="str">
        <f t="shared" si="3"/>
        <v>20级寄灵人橙色-项链</v>
      </c>
      <c r="CE59" s="14">
        <f t="shared" si="4"/>
        <v>1</v>
      </c>
      <c r="CF59" s="14">
        <f t="shared" si="5"/>
        <v>4</v>
      </c>
      <c r="CG59" s="14">
        <f t="shared" si="23"/>
        <v>20</v>
      </c>
      <c r="CH59" s="14">
        <f t="shared" si="24"/>
        <v>20</v>
      </c>
      <c r="CI59" s="14">
        <f t="shared" si="6"/>
        <v>7</v>
      </c>
      <c r="CJ59" s="14" t="str">
        <f t="shared" si="25"/>
        <v/>
      </c>
      <c r="CK59" s="14">
        <f t="shared" si="7"/>
        <v>29</v>
      </c>
      <c r="CL59" s="14">
        <f t="shared" si="8"/>
        <v>15</v>
      </c>
      <c r="CM59" s="14">
        <f t="shared" si="9"/>
        <v>0</v>
      </c>
      <c r="CN59" s="14">
        <f t="shared" si="10"/>
        <v>4.17</v>
      </c>
      <c r="CO59" s="14">
        <f t="shared" si="11"/>
        <v>2.13</v>
      </c>
      <c r="CP59" s="14">
        <f t="shared" si="12"/>
        <v>0</v>
      </c>
      <c r="CQ59" s="14">
        <f t="shared" si="26"/>
        <v>4</v>
      </c>
      <c r="CR59" s="14">
        <f t="shared" si="27"/>
        <v>2</v>
      </c>
      <c r="CS59" s="14">
        <f t="shared" si="28"/>
        <v>11</v>
      </c>
      <c r="CV59" s="14">
        <f t="shared" si="13"/>
        <v>1</v>
      </c>
      <c r="CW59" s="14">
        <f t="shared" si="14"/>
        <v>2</v>
      </c>
      <c r="CX59" s="14" t="str">
        <f t="shared" si="29"/>
        <v>AtkExt</v>
      </c>
      <c r="CY59" s="14">
        <f t="shared" si="30"/>
        <v>29</v>
      </c>
      <c r="CZ59" s="14">
        <f t="shared" si="31"/>
        <v>4.17</v>
      </c>
      <c r="DA59" s="14" t="str">
        <f t="shared" si="32"/>
        <v>DefExt</v>
      </c>
      <c r="DB59" s="14">
        <f t="shared" si="33"/>
        <v>15</v>
      </c>
      <c r="DC59" s="14">
        <f t="shared" si="34"/>
        <v>2.13</v>
      </c>
      <c r="DD59" s="14">
        <f t="shared" si="35"/>
        <v>4</v>
      </c>
      <c r="DE59" s="14">
        <f t="shared" si="36"/>
        <v>2</v>
      </c>
      <c r="DF59" s="14">
        <f t="shared" si="37"/>
        <v>11</v>
      </c>
      <c r="DG59" s="14">
        <f t="shared" si="38"/>
        <v>50</v>
      </c>
      <c r="DJ59" s="37"/>
      <c r="DK59" s="37"/>
      <c r="DL59" s="37"/>
      <c r="DM59" s="37"/>
      <c r="DO59" s="37"/>
      <c r="DP59" s="37"/>
      <c r="DV59" s="37"/>
      <c r="DW59" s="37"/>
      <c r="EC59" s="13">
        <v>55</v>
      </c>
      <c r="ED59" s="13">
        <f t="shared" si="39"/>
        <v>10</v>
      </c>
      <c r="EE59" s="13" t="str">
        <f t="shared" si="40"/>
        <v>80级守护灵洗练-1</v>
      </c>
      <c r="EF59" s="13">
        <f t="shared" si="41"/>
        <v>24</v>
      </c>
      <c r="EG59" s="13">
        <f t="shared" si="42"/>
        <v>1</v>
      </c>
      <c r="EH59" s="13">
        <f t="shared" si="43"/>
        <v>2500</v>
      </c>
      <c r="EI59" s="13" t="str">
        <f t="shared" si="44"/>
        <v>AtkExt</v>
      </c>
      <c r="EJ59" s="13">
        <f t="shared" si="45"/>
        <v>180</v>
      </c>
    </row>
    <row r="60" spans="1:140" s="20" customFormat="1" ht="16.5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13">
        <v>55</v>
      </c>
      <c r="BE60" s="13">
        <v>5</v>
      </c>
      <c r="BF60" s="13">
        <v>100</v>
      </c>
      <c r="BG60" s="13">
        <v>4</v>
      </c>
      <c r="BH60" s="13">
        <v>1</v>
      </c>
      <c r="BI60" s="13">
        <v>1</v>
      </c>
      <c r="BJ60" s="13">
        <f t="shared" si="46"/>
        <v>2054010</v>
      </c>
      <c r="BK60" s="13" t="s">
        <v>761</v>
      </c>
      <c r="BL60" s="13"/>
      <c r="BM60" s="13">
        <v>8</v>
      </c>
      <c r="BN60" s="13">
        <f>SUM(BM$6:BM60)</f>
        <v>402</v>
      </c>
      <c r="BO60" s="13">
        <v>1</v>
      </c>
      <c r="BP60" s="13">
        <v>2</v>
      </c>
      <c r="BQ60" s="13">
        <v>3</v>
      </c>
      <c r="BR60" s="13">
        <v>4</v>
      </c>
      <c r="BS60" s="13">
        <v>5</v>
      </c>
      <c r="BT60" s="13">
        <v>6</v>
      </c>
      <c r="BU60" s="13">
        <v>7</v>
      </c>
      <c r="BV60" s="13">
        <v>8</v>
      </c>
      <c r="BW60" s="37"/>
      <c r="BY60" s="13">
        <v>56</v>
      </c>
      <c r="BZ60" s="14">
        <f t="shared" si="21"/>
        <v>7</v>
      </c>
      <c r="CA60" s="14">
        <f t="shared" si="22"/>
        <v>1</v>
      </c>
      <c r="CB60" s="14">
        <f t="shared" si="1"/>
        <v>1</v>
      </c>
      <c r="CC60" s="14">
        <f t="shared" si="2"/>
        <v>2014018</v>
      </c>
      <c r="CD60" s="13" t="str">
        <f t="shared" si="3"/>
        <v>20级寄灵人橙色-戒指</v>
      </c>
      <c r="CE60" s="14">
        <f t="shared" si="4"/>
        <v>1</v>
      </c>
      <c r="CF60" s="14">
        <f t="shared" si="5"/>
        <v>4</v>
      </c>
      <c r="CG60" s="14">
        <f t="shared" si="23"/>
        <v>20</v>
      </c>
      <c r="CH60" s="14">
        <f t="shared" si="24"/>
        <v>20</v>
      </c>
      <c r="CI60" s="14">
        <f t="shared" si="6"/>
        <v>8</v>
      </c>
      <c r="CJ60" s="14" t="str">
        <f t="shared" si="25"/>
        <v/>
      </c>
      <c r="CK60" s="14">
        <f t="shared" si="7"/>
        <v>29</v>
      </c>
      <c r="CL60" s="14">
        <f t="shared" si="8"/>
        <v>0</v>
      </c>
      <c r="CM60" s="14">
        <f t="shared" si="9"/>
        <v>127</v>
      </c>
      <c r="CN60" s="14">
        <f t="shared" si="10"/>
        <v>4.17</v>
      </c>
      <c r="CO60" s="14">
        <f t="shared" si="11"/>
        <v>0</v>
      </c>
      <c r="CP60" s="14">
        <f t="shared" si="12"/>
        <v>18.13</v>
      </c>
      <c r="CQ60" s="14">
        <f t="shared" si="26"/>
        <v>4</v>
      </c>
      <c r="CR60" s="14">
        <f t="shared" si="27"/>
        <v>2</v>
      </c>
      <c r="CS60" s="14">
        <f t="shared" si="28"/>
        <v>11</v>
      </c>
      <c r="CV60" s="14">
        <f t="shared" si="13"/>
        <v>1</v>
      </c>
      <c r="CW60" s="14">
        <f t="shared" si="14"/>
        <v>3</v>
      </c>
      <c r="CX60" s="14" t="str">
        <f t="shared" si="29"/>
        <v>AtkExt</v>
      </c>
      <c r="CY60" s="14">
        <f t="shared" si="30"/>
        <v>29</v>
      </c>
      <c r="CZ60" s="14">
        <f t="shared" si="31"/>
        <v>4.17</v>
      </c>
      <c r="DA60" s="14" t="str">
        <f t="shared" si="32"/>
        <v>HPExt</v>
      </c>
      <c r="DB60" s="14">
        <f t="shared" si="33"/>
        <v>127</v>
      </c>
      <c r="DC60" s="14">
        <f t="shared" si="34"/>
        <v>18.13</v>
      </c>
      <c r="DD60" s="14">
        <f t="shared" si="35"/>
        <v>4</v>
      </c>
      <c r="DE60" s="14">
        <f t="shared" si="36"/>
        <v>2</v>
      </c>
      <c r="DF60" s="14">
        <f t="shared" si="37"/>
        <v>11</v>
      </c>
      <c r="DG60" s="14">
        <f t="shared" si="38"/>
        <v>50</v>
      </c>
      <c r="DJ60" s="37"/>
      <c r="DK60" s="37"/>
      <c r="DL60" s="37"/>
      <c r="DM60" s="37"/>
      <c r="DO60" s="37"/>
      <c r="DP60" s="37"/>
      <c r="DV60" s="37"/>
      <c r="DW60" s="37"/>
      <c r="EC60" s="13">
        <v>56</v>
      </c>
      <c r="ED60" s="13">
        <f t="shared" si="39"/>
        <v>10</v>
      </c>
      <c r="EE60" s="13" t="str">
        <f t="shared" si="40"/>
        <v>80级守护灵洗练-2</v>
      </c>
      <c r="EF60" s="13">
        <f t="shared" si="41"/>
        <v>24</v>
      </c>
      <c r="EG60" s="13">
        <f t="shared" si="42"/>
        <v>2</v>
      </c>
      <c r="EH60" s="13">
        <f t="shared" si="43"/>
        <v>2500</v>
      </c>
      <c r="EI60" s="13" t="str">
        <f t="shared" si="44"/>
        <v>DefExt</v>
      </c>
      <c r="EJ60" s="13">
        <f t="shared" si="45"/>
        <v>87</v>
      </c>
    </row>
    <row r="61" spans="1:140" s="20" customFormat="1" ht="16.5" x14ac:dyDescent="0.2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13">
        <v>56</v>
      </c>
      <c r="BE61" s="13">
        <v>5</v>
      </c>
      <c r="BF61" s="13">
        <v>100</v>
      </c>
      <c r="BG61" s="13">
        <v>4</v>
      </c>
      <c r="BH61" s="13">
        <v>2</v>
      </c>
      <c r="BI61" s="13">
        <v>2</v>
      </c>
      <c r="BJ61" s="13">
        <f t="shared" si="46"/>
        <v>2054020</v>
      </c>
      <c r="BK61" s="13" t="s">
        <v>762</v>
      </c>
      <c r="BL61" s="13"/>
      <c r="BM61" s="13">
        <v>8</v>
      </c>
      <c r="BN61" s="13">
        <f>SUM(BM$6:BM61)</f>
        <v>410</v>
      </c>
      <c r="BO61" s="13">
        <v>1</v>
      </c>
      <c r="BP61" s="13">
        <v>2</v>
      </c>
      <c r="BQ61" s="13">
        <v>3</v>
      </c>
      <c r="BR61" s="13">
        <v>4</v>
      </c>
      <c r="BS61" s="13">
        <v>5</v>
      </c>
      <c r="BT61" s="13">
        <v>6</v>
      </c>
      <c r="BU61" s="13">
        <v>7</v>
      </c>
      <c r="BV61" s="13">
        <v>8</v>
      </c>
      <c r="BW61" s="37"/>
      <c r="BY61" s="13">
        <v>57</v>
      </c>
      <c r="BZ61" s="14">
        <f t="shared" si="21"/>
        <v>8</v>
      </c>
      <c r="CA61" s="14">
        <f t="shared" si="22"/>
        <v>2</v>
      </c>
      <c r="CB61" s="14">
        <f t="shared" si="1"/>
        <v>1</v>
      </c>
      <c r="CC61" s="14">
        <f t="shared" si="2"/>
        <v>2014021</v>
      </c>
      <c r="CD61" s="13" t="str">
        <f t="shared" si="3"/>
        <v>20级守护灵橙色-武器</v>
      </c>
      <c r="CE61" s="14">
        <f t="shared" si="4"/>
        <v>2</v>
      </c>
      <c r="CF61" s="14">
        <f t="shared" si="5"/>
        <v>4</v>
      </c>
      <c r="CG61" s="14">
        <f t="shared" si="23"/>
        <v>20</v>
      </c>
      <c r="CH61" s="14">
        <f t="shared" si="24"/>
        <v>20</v>
      </c>
      <c r="CI61" s="14">
        <f t="shared" si="6"/>
        <v>1</v>
      </c>
      <c r="CJ61" s="14" t="str">
        <f t="shared" si="25"/>
        <v/>
      </c>
      <c r="CK61" s="14">
        <f t="shared" si="7"/>
        <v>135</v>
      </c>
      <c r="CL61" s="14">
        <f t="shared" si="8"/>
        <v>0</v>
      </c>
      <c r="CM61" s="14">
        <f t="shared" si="9"/>
        <v>0</v>
      </c>
      <c r="CN61" s="14">
        <f t="shared" si="10"/>
        <v>19.25</v>
      </c>
      <c r="CO61" s="14">
        <f t="shared" si="11"/>
        <v>0</v>
      </c>
      <c r="CP61" s="14">
        <f t="shared" si="12"/>
        <v>0</v>
      </c>
      <c r="CQ61" s="14">
        <f t="shared" si="26"/>
        <v>4</v>
      </c>
      <c r="CR61" s="14">
        <f t="shared" si="27"/>
        <v>2</v>
      </c>
      <c r="CS61" s="14">
        <f t="shared" si="28"/>
        <v>21</v>
      </c>
      <c r="CV61" s="14">
        <f t="shared" si="13"/>
        <v>1</v>
      </c>
      <c r="CW61" s="14">
        <f t="shared" si="14"/>
        <v>0</v>
      </c>
      <c r="CX61" s="14" t="str">
        <f t="shared" si="29"/>
        <v>AtkExt</v>
      </c>
      <c r="CY61" s="14">
        <f t="shared" si="30"/>
        <v>135</v>
      </c>
      <c r="CZ61" s="14">
        <f t="shared" si="31"/>
        <v>19.25</v>
      </c>
      <c r="DA61" s="14" t="str">
        <f t="shared" si="32"/>
        <v/>
      </c>
      <c r="DB61" s="14" t="str">
        <f t="shared" si="33"/>
        <v/>
      </c>
      <c r="DC61" s="14" t="str">
        <f t="shared" si="34"/>
        <v/>
      </c>
      <c r="DD61" s="14">
        <f t="shared" si="35"/>
        <v>4</v>
      </c>
      <c r="DE61" s="14">
        <f t="shared" si="36"/>
        <v>2</v>
      </c>
      <c r="DF61" s="14">
        <f t="shared" si="37"/>
        <v>21</v>
      </c>
      <c r="DG61" s="14">
        <f t="shared" si="38"/>
        <v>50</v>
      </c>
      <c r="DJ61" s="37"/>
      <c r="DK61" s="37"/>
      <c r="DL61" s="37"/>
      <c r="DM61" s="37"/>
      <c r="DO61" s="37"/>
      <c r="DP61" s="37"/>
      <c r="DV61" s="37"/>
      <c r="DW61" s="37"/>
      <c r="EC61" s="13">
        <v>57</v>
      </c>
      <c r="ED61" s="13">
        <f t="shared" si="39"/>
        <v>10</v>
      </c>
      <c r="EE61" s="13" t="str">
        <f t="shared" si="40"/>
        <v>80级守护灵洗练-3</v>
      </c>
      <c r="EF61" s="13">
        <f t="shared" si="41"/>
        <v>24</v>
      </c>
      <c r="EG61" s="13">
        <f t="shared" si="42"/>
        <v>3</v>
      </c>
      <c r="EH61" s="13">
        <f t="shared" si="43"/>
        <v>2600</v>
      </c>
      <c r="EI61" s="13" t="str">
        <f t="shared" si="44"/>
        <v>HPExt</v>
      </c>
      <c r="EJ61" s="13">
        <f t="shared" si="45"/>
        <v>926</v>
      </c>
    </row>
    <row r="62" spans="1:140" s="20" customFormat="1" ht="16.5" x14ac:dyDescent="0.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13">
        <v>57</v>
      </c>
      <c r="BE62" s="13">
        <v>5</v>
      </c>
      <c r="BF62" s="13">
        <v>100</v>
      </c>
      <c r="BG62" s="13">
        <v>4</v>
      </c>
      <c r="BH62" s="13">
        <v>1</v>
      </c>
      <c r="BI62" s="13">
        <v>3</v>
      </c>
      <c r="BJ62" s="13">
        <f t="shared" si="46"/>
        <v>2054030</v>
      </c>
      <c r="BK62" s="13" t="s">
        <v>763</v>
      </c>
      <c r="BL62" s="13">
        <v>1051</v>
      </c>
      <c r="BM62" s="13">
        <v>5</v>
      </c>
      <c r="BN62" s="13">
        <f>SUM(BM$6:BM62)</f>
        <v>415</v>
      </c>
      <c r="BO62" s="13">
        <v>1</v>
      </c>
      <c r="BP62" s="13">
        <v>2</v>
      </c>
      <c r="BQ62" s="13">
        <v>3</v>
      </c>
      <c r="BR62" s="13">
        <v>7</v>
      </c>
      <c r="BS62" s="13">
        <v>8</v>
      </c>
      <c r="BT62" s="13"/>
      <c r="BU62" s="13"/>
      <c r="BV62" s="13"/>
      <c r="BW62" s="37"/>
      <c r="BY62" s="13">
        <v>58</v>
      </c>
      <c r="BZ62" s="14">
        <f t="shared" si="21"/>
        <v>8</v>
      </c>
      <c r="CA62" s="14">
        <f t="shared" si="22"/>
        <v>2</v>
      </c>
      <c r="CB62" s="14">
        <f t="shared" si="1"/>
        <v>1</v>
      </c>
      <c r="CC62" s="14">
        <f t="shared" si="2"/>
        <v>2014022</v>
      </c>
      <c r="CD62" s="13" t="str">
        <f t="shared" si="3"/>
        <v>20级守护灵橙色-头盔</v>
      </c>
      <c r="CE62" s="14">
        <f t="shared" si="4"/>
        <v>2</v>
      </c>
      <c r="CF62" s="14">
        <f t="shared" si="5"/>
        <v>4</v>
      </c>
      <c r="CG62" s="14">
        <f t="shared" si="23"/>
        <v>20</v>
      </c>
      <c r="CH62" s="14">
        <f t="shared" si="24"/>
        <v>20</v>
      </c>
      <c r="CI62" s="14">
        <f t="shared" si="6"/>
        <v>2</v>
      </c>
      <c r="CJ62" s="14" t="str">
        <f t="shared" si="25"/>
        <v/>
      </c>
      <c r="CK62" s="14">
        <f t="shared" si="7"/>
        <v>0</v>
      </c>
      <c r="CL62" s="14">
        <f t="shared" si="8"/>
        <v>28</v>
      </c>
      <c r="CM62" s="14">
        <f t="shared" si="9"/>
        <v>0</v>
      </c>
      <c r="CN62" s="14">
        <f t="shared" si="10"/>
        <v>0</v>
      </c>
      <c r="CO62" s="14">
        <f t="shared" si="11"/>
        <v>3.95</v>
      </c>
      <c r="CP62" s="14">
        <f t="shared" si="12"/>
        <v>0</v>
      </c>
      <c r="CQ62" s="14">
        <f t="shared" si="26"/>
        <v>4</v>
      </c>
      <c r="CR62" s="14">
        <f t="shared" si="27"/>
        <v>2</v>
      </c>
      <c r="CS62" s="14">
        <f t="shared" si="28"/>
        <v>21</v>
      </c>
      <c r="CV62" s="14">
        <f t="shared" si="13"/>
        <v>2</v>
      </c>
      <c r="CW62" s="14">
        <f t="shared" si="14"/>
        <v>0</v>
      </c>
      <c r="CX62" s="14" t="str">
        <f t="shared" si="29"/>
        <v>DefExt</v>
      </c>
      <c r="CY62" s="14">
        <f t="shared" si="30"/>
        <v>28</v>
      </c>
      <c r="CZ62" s="14">
        <f t="shared" si="31"/>
        <v>3.95</v>
      </c>
      <c r="DA62" s="14" t="str">
        <f t="shared" si="32"/>
        <v/>
      </c>
      <c r="DB62" s="14" t="str">
        <f t="shared" si="33"/>
        <v/>
      </c>
      <c r="DC62" s="14" t="str">
        <f t="shared" si="34"/>
        <v/>
      </c>
      <c r="DD62" s="14">
        <f t="shared" si="35"/>
        <v>4</v>
      </c>
      <c r="DE62" s="14">
        <f t="shared" si="36"/>
        <v>2</v>
      </c>
      <c r="DF62" s="14">
        <f t="shared" si="37"/>
        <v>21</v>
      </c>
      <c r="DG62" s="14">
        <f t="shared" si="38"/>
        <v>50</v>
      </c>
      <c r="DJ62" s="37"/>
      <c r="DK62" s="37"/>
      <c r="DL62" s="37"/>
      <c r="DM62" s="37"/>
      <c r="DO62" s="37"/>
      <c r="DP62" s="37"/>
      <c r="DV62" s="37"/>
      <c r="DW62" s="37"/>
      <c r="EC62" s="13">
        <v>58</v>
      </c>
      <c r="ED62" s="13">
        <f t="shared" si="39"/>
        <v>10</v>
      </c>
      <c r="EE62" s="13" t="str">
        <f t="shared" si="40"/>
        <v>80级守护灵洗练-4</v>
      </c>
      <c r="EF62" s="13">
        <f t="shared" si="41"/>
        <v>24</v>
      </c>
      <c r="EG62" s="13">
        <f t="shared" si="42"/>
        <v>4</v>
      </c>
      <c r="EH62" s="13">
        <f t="shared" si="43"/>
        <v>800</v>
      </c>
      <c r="EI62" s="13" t="str">
        <f t="shared" si="44"/>
        <v>AtkRate</v>
      </c>
      <c r="EJ62" s="13">
        <f t="shared" si="45"/>
        <v>0.04</v>
      </c>
    </row>
    <row r="63" spans="1:140" s="20" customFormat="1" ht="16.5" x14ac:dyDescent="0.2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13">
        <v>58</v>
      </c>
      <c r="BE63" s="13">
        <v>5</v>
      </c>
      <c r="BF63" s="13">
        <v>100</v>
      </c>
      <c r="BG63" s="13">
        <v>4</v>
      </c>
      <c r="BH63" s="13">
        <v>2</v>
      </c>
      <c r="BI63" s="13">
        <v>4</v>
      </c>
      <c r="BJ63" s="13">
        <f t="shared" si="46"/>
        <v>2054040</v>
      </c>
      <c r="BK63" s="13" t="s">
        <v>764</v>
      </c>
      <c r="BL63" s="13">
        <v>2051</v>
      </c>
      <c r="BM63" s="13">
        <v>5</v>
      </c>
      <c r="BN63" s="13">
        <f>SUM(BM$6:BM63)</f>
        <v>420</v>
      </c>
      <c r="BO63" s="13">
        <v>1</v>
      </c>
      <c r="BP63" s="13">
        <v>2</v>
      </c>
      <c r="BQ63" s="13">
        <v>3</v>
      </c>
      <c r="BR63" s="13">
        <v>7</v>
      </c>
      <c r="BS63" s="13">
        <v>8</v>
      </c>
      <c r="BT63" s="13"/>
      <c r="BU63" s="13"/>
      <c r="BV63" s="13"/>
      <c r="BW63" s="37"/>
      <c r="BY63" s="13">
        <v>59</v>
      </c>
      <c r="BZ63" s="14">
        <f t="shared" si="21"/>
        <v>8</v>
      </c>
      <c r="CA63" s="14">
        <f t="shared" si="22"/>
        <v>2</v>
      </c>
      <c r="CB63" s="14">
        <f t="shared" si="1"/>
        <v>1</v>
      </c>
      <c r="CC63" s="14">
        <f t="shared" si="2"/>
        <v>2014023</v>
      </c>
      <c r="CD63" s="13" t="str">
        <f t="shared" si="3"/>
        <v>20级守护灵橙色-肩甲</v>
      </c>
      <c r="CE63" s="14">
        <f t="shared" si="4"/>
        <v>2</v>
      </c>
      <c r="CF63" s="14">
        <f t="shared" si="5"/>
        <v>4</v>
      </c>
      <c r="CG63" s="14">
        <f t="shared" si="23"/>
        <v>20</v>
      </c>
      <c r="CH63" s="14">
        <f t="shared" si="24"/>
        <v>20</v>
      </c>
      <c r="CI63" s="14">
        <f t="shared" si="6"/>
        <v>3</v>
      </c>
      <c r="CJ63" s="14" t="str">
        <f t="shared" si="25"/>
        <v/>
      </c>
      <c r="CK63" s="14">
        <f t="shared" si="7"/>
        <v>0</v>
      </c>
      <c r="CL63" s="14">
        <f t="shared" si="8"/>
        <v>14</v>
      </c>
      <c r="CM63" s="14">
        <f t="shared" si="9"/>
        <v>131</v>
      </c>
      <c r="CN63" s="14">
        <f t="shared" si="10"/>
        <v>0</v>
      </c>
      <c r="CO63" s="14">
        <f t="shared" si="11"/>
        <v>1.98</v>
      </c>
      <c r="CP63" s="14">
        <f t="shared" si="12"/>
        <v>18.71</v>
      </c>
      <c r="CQ63" s="14">
        <f t="shared" si="26"/>
        <v>4</v>
      </c>
      <c r="CR63" s="14">
        <f t="shared" si="27"/>
        <v>2</v>
      </c>
      <c r="CS63" s="14">
        <f t="shared" si="28"/>
        <v>21</v>
      </c>
      <c r="CV63" s="14">
        <f t="shared" si="13"/>
        <v>2</v>
      </c>
      <c r="CW63" s="14">
        <f t="shared" si="14"/>
        <v>3</v>
      </c>
      <c r="CX63" s="14" t="str">
        <f t="shared" si="29"/>
        <v>DefExt</v>
      </c>
      <c r="CY63" s="14">
        <f t="shared" si="30"/>
        <v>14</v>
      </c>
      <c r="CZ63" s="14">
        <f t="shared" si="31"/>
        <v>1.98</v>
      </c>
      <c r="DA63" s="14" t="str">
        <f t="shared" si="32"/>
        <v>HPExt</v>
      </c>
      <c r="DB63" s="14">
        <f t="shared" si="33"/>
        <v>131</v>
      </c>
      <c r="DC63" s="14">
        <f t="shared" si="34"/>
        <v>18.71</v>
      </c>
      <c r="DD63" s="14">
        <f t="shared" si="35"/>
        <v>4</v>
      </c>
      <c r="DE63" s="14">
        <f t="shared" si="36"/>
        <v>2</v>
      </c>
      <c r="DF63" s="14">
        <f t="shared" si="37"/>
        <v>21</v>
      </c>
      <c r="DG63" s="14">
        <f t="shared" si="38"/>
        <v>50</v>
      </c>
      <c r="DJ63" s="37"/>
      <c r="DK63" s="37"/>
      <c r="DL63" s="37"/>
      <c r="DM63" s="37"/>
      <c r="DO63" s="37"/>
      <c r="DP63" s="37"/>
      <c r="DV63" s="37"/>
      <c r="DW63" s="37"/>
      <c r="EC63" s="13">
        <v>59</v>
      </c>
      <c r="ED63" s="13">
        <f t="shared" si="39"/>
        <v>10</v>
      </c>
      <c r="EE63" s="13" t="str">
        <f t="shared" si="40"/>
        <v>80级守护灵洗练-5</v>
      </c>
      <c r="EF63" s="13">
        <f t="shared" si="41"/>
        <v>24</v>
      </c>
      <c r="EG63" s="13">
        <f t="shared" si="42"/>
        <v>5</v>
      </c>
      <c r="EH63" s="13">
        <f t="shared" si="43"/>
        <v>800</v>
      </c>
      <c r="EI63" s="13" t="str">
        <f t="shared" si="44"/>
        <v>AtkRate</v>
      </c>
      <c r="EJ63" s="13">
        <f t="shared" si="45"/>
        <v>0.04</v>
      </c>
    </row>
    <row r="64" spans="1:140" s="20" customFormat="1" ht="16.5" x14ac:dyDescent="0.2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13">
        <v>59</v>
      </c>
      <c r="BE64" s="13">
        <v>5</v>
      </c>
      <c r="BF64" s="13">
        <v>100</v>
      </c>
      <c r="BG64" s="13">
        <v>4</v>
      </c>
      <c r="BH64" s="13">
        <v>1</v>
      </c>
      <c r="BI64" s="13">
        <v>5</v>
      </c>
      <c r="BJ64" s="13">
        <f t="shared" si="46"/>
        <v>2054050</v>
      </c>
      <c r="BK64" s="13" t="s">
        <v>765</v>
      </c>
      <c r="BL64" s="13">
        <v>1052</v>
      </c>
      <c r="BM64" s="13">
        <v>6</v>
      </c>
      <c r="BN64" s="13">
        <f>SUM(BM$6:BM64)</f>
        <v>426</v>
      </c>
      <c r="BO64" s="13">
        <v>1</v>
      </c>
      <c r="BP64" s="13">
        <v>2</v>
      </c>
      <c r="BQ64" s="13">
        <v>3</v>
      </c>
      <c r="BR64" s="13">
        <v>4</v>
      </c>
      <c r="BS64" s="13">
        <v>5</v>
      </c>
      <c r="BT64" s="13">
        <v>6</v>
      </c>
      <c r="BU64" s="13"/>
      <c r="BV64" s="13"/>
      <c r="BW64" s="37"/>
      <c r="BY64" s="13">
        <v>60</v>
      </c>
      <c r="BZ64" s="14">
        <f t="shared" si="21"/>
        <v>8</v>
      </c>
      <c r="CA64" s="14">
        <f t="shared" si="22"/>
        <v>2</v>
      </c>
      <c r="CB64" s="14">
        <f t="shared" si="1"/>
        <v>1</v>
      </c>
      <c r="CC64" s="14">
        <f t="shared" si="2"/>
        <v>2014024</v>
      </c>
      <c r="CD64" s="13" t="str">
        <f t="shared" si="3"/>
        <v>20级守护灵橙色-衣服</v>
      </c>
      <c r="CE64" s="14">
        <f t="shared" si="4"/>
        <v>2</v>
      </c>
      <c r="CF64" s="14">
        <f t="shared" si="5"/>
        <v>4</v>
      </c>
      <c r="CG64" s="14">
        <f t="shared" si="23"/>
        <v>20</v>
      </c>
      <c r="CH64" s="14">
        <f t="shared" si="24"/>
        <v>20</v>
      </c>
      <c r="CI64" s="14">
        <f t="shared" si="6"/>
        <v>4</v>
      </c>
      <c r="CJ64" s="14" t="str">
        <f t="shared" si="25"/>
        <v/>
      </c>
      <c r="CK64" s="14">
        <f t="shared" si="7"/>
        <v>0</v>
      </c>
      <c r="CL64" s="14">
        <f t="shared" si="8"/>
        <v>28</v>
      </c>
      <c r="CM64" s="14">
        <f t="shared" si="9"/>
        <v>0</v>
      </c>
      <c r="CN64" s="14">
        <f t="shared" si="10"/>
        <v>0</v>
      </c>
      <c r="CO64" s="14">
        <f t="shared" si="11"/>
        <v>3.95</v>
      </c>
      <c r="CP64" s="14">
        <f t="shared" si="12"/>
        <v>0</v>
      </c>
      <c r="CQ64" s="14">
        <f t="shared" si="26"/>
        <v>4</v>
      </c>
      <c r="CR64" s="14">
        <f t="shared" si="27"/>
        <v>2</v>
      </c>
      <c r="CS64" s="14">
        <f t="shared" si="28"/>
        <v>21</v>
      </c>
      <c r="CV64" s="14">
        <f t="shared" si="13"/>
        <v>2</v>
      </c>
      <c r="CW64" s="14">
        <f t="shared" si="14"/>
        <v>0</v>
      </c>
      <c r="CX64" s="14" t="str">
        <f t="shared" si="29"/>
        <v>DefExt</v>
      </c>
      <c r="CY64" s="14">
        <f t="shared" si="30"/>
        <v>28</v>
      </c>
      <c r="CZ64" s="14">
        <f t="shared" si="31"/>
        <v>3.95</v>
      </c>
      <c r="DA64" s="14" t="str">
        <f t="shared" si="32"/>
        <v/>
      </c>
      <c r="DB64" s="14" t="str">
        <f t="shared" si="33"/>
        <v/>
      </c>
      <c r="DC64" s="14" t="str">
        <f t="shared" si="34"/>
        <v/>
      </c>
      <c r="DD64" s="14">
        <f t="shared" si="35"/>
        <v>4</v>
      </c>
      <c r="DE64" s="14">
        <f t="shared" si="36"/>
        <v>2</v>
      </c>
      <c r="DF64" s="14">
        <f t="shared" si="37"/>
        <v>21</v>
      </c>
      <c r="DG64" s="14">
        <f t="shared" si="38"/>
        <v>50</v>
      </c>
      <c r="DJ64" s="37"/>
      <c r="DK64" s="37"/>
      <c r="DL64" s="37"/>
      <c r="DM64" s="37"/>
      <c r="DO64" s="37"/>
      <c r="DP64" s="37"/>
      <c r="DV64" s="37"/>
      <c r="DW64" s="37"/>
      <c r="EC64" s="13">
        <v>60</v>
      </c>
      <c r="ED64" s="13">
        <f t="shared" si="39"/>
        <v>10</v>
      </c>
      <c r="EE64" s="13" t="str">
        <f t="shared" si="40"/>
        <v>80级守护灵洗练-6</v>
      </c>
      <c r="EF64" s="13">
        <f t="shared" si="41"/>
        <v>24</v>
      </c>
      <c r="EG64" s="13">
        <f t="shared" si="42"/>
        <v>6</v>
      </c>
      <c r="EH64" s="13">
        <f t="shared" si="43"/>
        <v>800</v>
      </c>
      <c r="EI64" s="13" t="str">
        <f t="shared" si="44"/>
        <v>AtkRate</v>
      </c>
      <c r="EJ64" s="13">
        <f t="shared" si="45"/>
        <v>0.04</v>
      </c>
    </row>
    <row r="65" spans="1:140" s="20" customFormat="1" ht="16.5" x14ac:dyDescent="0.2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13">
        <v>60</v>
      </c>
      <c r="BE65" s="13">
        <v>5</v>
      </c>
      <c r="BF65" s="13">
        <v>100</v>
      </c>
      <c r="BG65" s="13">
        <v>4</v>
      </c>
      <c r="BH65" s="13">
        <v>2</v>
      </c>
      <c r="BI65" s="13">
        <v>6</v>
      </c>
      <c r="BJ65" s="13">
        <f t="shared" si="46"/>
        <v>2054060</v>
      </c>
      <c r="BK65" s="13" t="s">
        <v>766</v>
      </c>
      <c r="BL65" s="13">
        <v>2052</v>
      </c>
      <c r="BM65" s="13">
        <v>6</v>
      </c>
      <c r="BN65" s="13">
        <f>SUM(BM$6:BM65)</f>
        <v>432</v>
      </c>
      <c r="BO65" s="13">
        <v>1</v>
      </c>
      <c r="BP65" s="13">
        <v>2</v>
      </c>
      <c r="BQ65" s="13">
        <v>3</v>
      </c>
      <c r="BR65" s="13">
        <v>4</v>
      </c>
      <c r="BS65" s="13">
        <v>5</v>
      </c>
      <c r="BT65" s="13">
        <v>6</v>
      </c>
      <c r="BU65" s="13"/>
      <c r="BV65" s="13"/>
      <c r="BW65" s="37"/>
      <c r="BY65" s="13">
        <v>61</v>
      </c>
      <c r="BZ65" s="14">
        <f t="shared" si="21"/>
        <v>8</v>
      </c>
      <c r="CA65" s="14">
        <f t="shared" si="22"/>
        <v>2</v>
      </c>
      <c r="CB65" s="14">
        <f t="shared" si="1"/>
        <v>1</v>
      </c>
      <c r="CC65" s="14">
        <f t="shared" si="2"/>
        <v>2014025</v>
      </c>
      <c r="CD65" s="13" t="str">
        <f t="shared" si="3"/>
        <v>20级守护灵橙色-鞋子</v>
      </c>
      <c r="CE65" s="14">
        <f t="shared" si="4"/>
        <v>2</v>
      </c>
      <c r="CF65" s="14">
        <f t="shared" si="5"/>
        <v>4</v>
      </c>
      <c r="CG65" s="14">
        <f t="shared" si="23"/>
        <v>20</v>
      </c>
      <c r="CH65" s="14">
        <f t="shared" si="24"/>
        <v>20</v>
      </c>
      <c r="CI65" s="14">
        <f t="shared" si="6"/>
        <v>5</v>
      </c>
      <c r="CJ65" s="14" t="str">
        <f t="shared" si="25"/>
        <v/>
      </c>
      <c r="CK65" s="14">
        <f t="shared" si="7"/>
        <v>0</v>
      </c>
      <c r="CL65" s="14">
        <f t="shared" si="8"/>
        <v>0</v>
      </c>
      <c r="CM65" s="14">
        <f t="shared" si="9"/>
        <v>262</v>
      </c>
      <c r="CN65" s="14">
        <f t="shared" si="10"/>
        <v>0</v>
      </c>
      <c r="CO65" s="14">
        <f t="shared" si="11"/>
        <v>0</v>
      </c>
      <c r="CP65" s="14">
        <f t="shared" si="12"/>
        <v>37.409999999999997</v>
      </c>
      <c r="CQ65" s="14">
        <f t="shared" si="26"/>
        <v>4</v>
      </c>
      <c r="CR65" s="14">
        <f t="shared" si="27"/>
        <v>2</v>
      </c>
      <c r="CS65" s="14">
        <f t="shared" si="28"/>
        <v>21</v>
      </c>
      <c r="CV65" s="14">
        <f t="shared" si="13"/>
        <v>3</v>
      </c>
      <c r="CW65" s="14">
        <f t="shared" si="14"/>
        <v>0</v>
      </c>
      <c r="CX65" s="14" t="str">
        <f t="shared" si="29"/>
        <v>HPExt</v>
      </c>
      <c r="CY65" s="14">
        <f t="shared" si="30"/>
        <v>262</v>
      </c>
      <c r="CZ65" s="14">
        <f t="shared" si="31"/>
        <v>37.409999999999997</v>
      </c>
      <c r="DA65" s="14" t="str">
        <f t="shared" si="32"/>
        <v/>
      </c>
      <c r="DB65" s="14" t="str">
        <f t="shared" si="33"/>
        <v/>
      </c>
      <c r="DC65" s="14" t="str">
        <f t="shared" si="34"/>
        <v/>
      </c>
      <c r="DD65" s="14">
        <f t="shared" si="35"/>
        <v>4</v>
      </c>
      <c r="DE65" s="14">
        <f t="shared" si="36"/>
        <v>2</v>
      </c>
      <c r="DF65" s="14">
        <f t="shared" si="37"/>
        <v>21</v>
      </c>
      <c r="DG65" s="14">
        <f t="shared" si="38"/>
        <v>50</v>
      </c>
      <c r="DJ65" s="37"/>
      <c r="DK65" s="37"/>
      <c r="DL65" s="37"/>
      <c r="DM65" s="37"/>
      <c r="DO65" s="37"/>
      <c r="DP65" s="37"/>
      <c r="DV65" s="37"/>
      <c r="DW65" s="37"/>
      <c r="EC65" s="13">
        <v>61</v>
      </c>
      <c r="ED65" s="13">
        <f t="shared" si="39"/>
        <v>11</v>
      </c>
      <c r="EE65" s="13" t="str">
        <f t="shared" si="40"/>
        <v>100级守护灵洗练-1</v>
      </c>
      <c r="EF65" s="13">
        <f t="shared" si="41"/>
        <v>25</v>
      </c>
      <c r="EG65" s="13">
        <f t="shared" si="42"/>
        <v>1</v>
      </c>
      <c r="EH65" s="13">
        <f t="shared" si="43"/>
        <v>2500</v>
      </c>
      <c r="EI65" s="13" t="str">
        <f t="shared" si="44"/>
        <v>AtkExt</v>
      </c>
      <c r="EJ65" s="13">
        <f t="shared" si="45"/>
        <v>377</v>
      </c>
    </row>
    <row r="66" spans="1:140" s="20" customFormat="1" ht="16.5" x14ac:dyDescent="0.2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13">
        <v>61</v>
      </c>
      <c r="BE66" s="13">
        <v>5</v>
      </c>
      <c r="BF66" s="13">
        <v>100</v>
      </c>
      <c r="BG66" s="13">
        <v>4</v>
      </c>
      <c r="BH66" s="13">
        <v>1</v>
      </c>
      <c r="BI66" s="13">
        <v>7</v>
      </c>
      <c r="BJ66" s="13">
        <f t="shared" si="46"/>
        <v>2054070</v>
      </c>
      <c r="BK66" s="13" t="s">
        <v>767</v>
      </c>
      <c r="BL66" s="13">
        <v>1053</v>
      </c>
      <c r="BM66" s="13">
        <v>6</v>
      </c>
      <c r="BN66" s="13">
        <f>SUM(BM$6:BM66)</f>
        <v>438</v>
      </c>
      <c r="BO66" s="13">
        <v>1</v>
      </c>
      <c r="BP66" s="13">
        <v>4</v>
      </c>
      <c r="BQ66" s="13">
        <v>5</v>
      </c>
      <c r="BR66" s="13">
        <v>6</v>
      </c>
      <c r="BS66" s="13">
        <v>7</v>
      </c>
      <c r="BT66" s="13">
        <v>8</v>
      </c>
      <c r="BU66" s="13"/>
      <c r="BV66" s="13"/>
      <c r="BW66" s="37"/>
      <c r="BY66" s="13">
        <v>62</v>
      </c>
      <c r="BZ66" s="14">
        <f t="shared" si="21"/>
        <v>8</v>
      </c>
      <c r="CA66" s="14">
        <f t="shared" si="22"/>
        <v>2</v>
      </c>
      <c r="CB66" s="14">
        <f t="shared" si="1"/>
        <v>1</v>
      </c>
      <c r="CC66" s="14">
        <f t="shared" si="2"/>
        <v>2014026</v>
      </c>
      <c r="CD66" s="13" t="str">
        <f t="shared" si="3"/>
        <v>20级守护灵橙色-护手</v>
      </c>
      <c r="CE66" s="14">
        <f t="shared" si="4"/>
        <v>2</v>
      </c>
      <c r="CF66" s="14">
        <f t="shared" si="5"/>
        <v>4</v>
      </c>
      <c r="CG66" s="14">
        <f t="shared" si="23"/>
        <v>20</v>
      </c>
      <c r="CH66" s="14">
        <f t="shared" si="24"/>
        <v>20</v>
      </c>
      <c r="CI66" s="14">
        <f t="shared" si="6"/>
        <v>6</v>
      </c>
      <c r="CJ66" s="14" t="str">
        <f t="shared" si="25"/>
        <v/>
      </c>
      <c r="CK66" s="14">
        <f t="shared" si="7"/>
        <v>0</v>
      </c>
      <c r="CL66" s="14">
        <f t="shared" si="8"/>
        <v>0</v>
      </c>
      <c r="CM66" s="14">
        <f t="shared" si="9"/>
        <v>262</v>
      </c>
      <c r="CN66" s="14">
        <f t="shared" si="10"/>
        <v>0</v>
      </c>
      <c r="CO66" s="14">
        <f t="shared" si="11"/>
        <v>0</v>
      </c>
      <c r="CP66" s="14">
        <f t="shared" si="12"/>
        <v>37.409999999999997</v>
      </c>
      <c r="CQ66" s="14">
        <f t="shared" si="26"/>
        <v>4</v>
      </c>
      <c r="CR66" s="14">
        <f t="shared" si="27"/>
        <v>2</v>
      </c>
      <c r="CS66" s="14">
        <f t="shared" si="28"/>
        <v>21</v>
      </c>
      <c r="CV66" s="14">
        <f t="shared" si="13"/>
        <v>3</v>
      </c>
      <c r="CW66" s="14">
        <f t="shared" si="14"/>
        <v>0</v>
      </c>
      <c r="CX66" s="14" t="str">
        <f t="shared" si="29"/>
        <v>HPExt</v>
      </c>
      <c r="CY66" s="14">
        <f t="shared" si="30"/>
        <v>262</v>
      </c>
      <c r="CZ66" s="14">
        <f t="shared" si="31"/>
        <v>37.409999999999997</v>
      </c>
      <c r="DA66" s="14" t="str">
        <f t="shared" si="32"/>
        <v/>
      </c>
      <c r="DB66" s="14" t="str">
        <f t="shared" si="33"/>
        <v/>
      </c>
      <c r="DC66" s="14" t="str">
        <f t="shared" si="34"/>
        <v/>
      </c>
      <c r="DD66" s="14">
        <f t="shared" si="35"/>
        <v>4</v>
      </c>
      <c r="DE66" s="14">
        <f t="shared" si="36"/>
        <v>2</v>
      </c>
      <c r="DF66" s="14">
        <f t="shared" si="37"/>
        <v>21</v>
      </c>
      <c r="DG66" s="14">
        <f t="shared" si="38"/>
        <v>50</v>
      </c>
      <c r="DJ66" s="37"/>
      <c r="DK66" s="37"/>
      <c r="DL66" s="37"/>
      <c r="DM66" s="37"/>
      <c r="DO66" s="37"/>
      <c r="DP66" s="37"/>
      <c r="DV66" s="37"/>
      <c r="DW66" s="37"/>
      <c r="EC66" s="13">
        <v>62</v>
      </c>
      <c r="ED66" s="13">
        <f t="shared" si="39"/>
        <v>11</v>
      </c>
      <c r="EE66" s="13" t="str">
        <f t="shared" si="40"/>
        <v>100级守护灵洗练-2</v>
      </c>
      <c r="EF66" s="13">
        <f t="shared" si="41"/>
        <v>25</v>
      </c>
      <c r="EG66" s="13">
        <f t="shared" si="42"/>
        <v>2</v>
      </c>
      <c r="EH66" s="13">
        <f t="shared" si="43"/>
        <v>2500</v>
      </c>
      <c r="EI66" s="13" t="str">
        <f t="shared" si="44"/>
        <v>DefExt</v>
      </c>
      <c r="EJ66" s="13">
        <f t="shared" si="45"/>
        <v>124</v>
      </c>
    </row>
    <row r="67" spans="1:140" s="20" customFormat="1" ht="16.5" x14ac:dyDescent="0.2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13">
        <v>62</v>
      </c>
      <c r="BE67" s="13">
        <v>5</v>
      </c>
      <c r="BF67" s="13">
        <v>100</v>
      </c>
      <c r="BG67" s="13">
        <v>4</v>
      </c>
      <c r="BH67" s="13">
        <v>2</v>
      </c>
      <c r="BI67" s="13">
        <v>8</v>
      </c>
      <c r="BJ67" s="13">
        <f t="shared" si="46"/>
        <v>2054080</v>
      </c>
      <c r="BK67" s="13" t="s">
        <v>768</v>
      </c>
      <c r="BL67" s="13">
        <v>2053</v>
      </c>
      <c r="BM67" s="13">
        <v>6</v>
      </c>
      <c r="BN67" s="13">
        <f>SUM(BM$6:BM67)</f>
        <v>444</v>
      </c>
      <c r="BO67" s="13">
        <v>1</v>
      </c>
      <c r="BP67" s="13">
        <v>4</v>
      </c>
      <c r="BQ67" s="13">
        <v>5</v>
      </c>
      <c r="BR67" s="13">
        <v>6</v>
      </c>
      <c r="BS67" s="13">
        <v>7</v>
      </c>
      <c r="BT67" s="13">
        <v>8</v>
      </c>
      <c r="BU67" s="13"/>
      <c r="BV67" s="13"/>
      <c r="BW67" s="37"/>
      <c r="BY67" s="13">
        <v>63</v>
      </c>
      <c r="BZ67" s="14">
        <f t="shared" si="21"/>
        <v>8</v>
      </c>
      <c r="CA67" s="14">
        <f t="shared" si="22"/>
        <v>2</v>
      </c>
      <c r="CB67" s="14">
        <f t="shared" si="1"/>
        <v>1</v>
      </c>
      <c r="CC67" s="14">
        <f t="shared" si="2"/>
        <v>2014027</v>
      </c>
      <c r="CD67" s="13" t="str">
        <f t="shared" si="3"/>
        <v>20级守护灵橙色-项链</v>
      </c>
      <c r="CE67" s="14">
        <f t="shared" si="4"/>
        <v>2</v>
      </c>
      <c r="CF67" s="14">
        <f t="shared" si="5"/>
        <v>4</v>
      </c>
      <c r="CG67" s="14">
        <f t="shared" si="23"/>
        <v>20</v>
      </c>
      <c r="CH67" s="14">
        <f t="shared" si="24"/>
        <v>20</v>
      </c>
      <c r="CI67" s="14">
        <f t="shared" si="6"/>
        <v>7</v>
      </c>
      <c r="CJ67" s="14" t="str">
        <f t="shared" si="25"/>
        <v/>
      </c>
      <c r="CK67" s="14">
        <f t="shared" si="7"/>
        <v>45</v>
      </c>
      <c r="CL67" s="14">
        <f t="shared" si="8"/>
        <v>23</v>
      </c>
      <c r="CM67" s="14">
        <f t="shared" si="9"/>
        <v>0</v>
      </c>
      <c r="CN67" s="14">
        <f t="shared" si="10"/>
        <v>6.42</v>
      </c>
      <c r="CO67" s="14">
        <f t="shared" si="11"/>
        <v>3.29</v>
      </c>
      <c r="CP67" s="14">
        <f t="shared" si="12"/>
        <v>0</v>
      </c>
      <c r="CQ67" s="14">
        <f t="shared" si="26"/>
        <v>4</v>
      </c>
      <c r="CR67" s="14">
        <f t="shared" si="27"/>
        <v>2</v>
      </c>
      <c r="CS67" s="14">
        <f t="shared" si="28"/>
        <v>21</v>
      </c>
      <c r="CV67" s="14">
        <f t="shared" si="13"/>
        <v>1</v>
      </c>
      <c r="CW67" s="14">
        <f t="shared" si="14"/>
        <v>2</v>
      </c>
      <c r="CX67" s="14" t="str">
        <f t="shared" si="29"/>
        <v>AtkExt</v>
      </c>
      <c r="CY67" s="14">
        <f t="shared" si="30"/>
        <v>45</v>
      </c>
      <c r="CZ67" s="14">
        <f t="shared" si="31"/>
        <v>6.42</v>
      </c>
      <c r="DA67" s="14" t="str">
        <f t="shared" si="32"/>
        <v>DefExt</v>
      </c>
      <c r="DB67" s="14">
        <f t="shared" si="33"/>
        <v>23</v>
      </c>
      <c r="DC67" s="14">
        <f t="shared" si="34"/>
        <v>3.29</v>
      </c>
      <c r="DD67" s="14">
        <f t="shared" si="35"/>
        <v>4</v>
      </c>
      <c r="DE67" s="14">
        <f t="shared" si="36"/>
        <v>2</v>
      </c>
      <c r="DF67" s="14">
        <f t="shared" si="37"/>
        <v>21</v>
      </c>
      <c r="DG67" s="14">
        <f t="shared" si="38"/>
        <v>50</v>
      </c>
      <c r="DJ67" s="37"/>
      <c r="DK67" s="37"/>
      <c r="DL67" s="37"/>
      <c r="DM67" s="37"/>
      <c r="DO67" s="37"/>
      <c r="DP67" s="37"/>
      <c r="DV67" s="37"/>
      <c r="DW67" s="37"/>
      <c r="EC67" s="13">
        <v>63</v>
      </c>
      <c r="ED67" s="13">
        <f t="shared" si="39"/>
        <v>11</v>
      </c>
      <c r="EE67" s="13" t="str">
        <f t="shared" si="40"/>
        <v>100级守护灵洗练-3</v>
      </c>
      <c r="EF67" s="13">
        <f t="shared" si="41"/>
        <v>25</v>
      </c>
      <c r="EG67" s="13">
        <f t="shared" si="42"/>
        <v>3</v>
      </c>
      <c r="EH67" s="13">
        <f t="shared" si="43"/>
        <v>2600</v>
      </c>
      <c r="EI67" s="13" t="str">
        <f t="shared" si="44"/>
        <v>HPExt</v>
      </c>
      <c r="EJ67" s="13">
        <f t="shared" si="45"/>
        <v>1653</v>
      </c>
    </row>
    <row r="68" spans="1:140" s="20" customFormat="1" ht="16.5" x14ac:dyDescent="0.2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13">
        <v>63</v>
      </c>
      <c r="BE68" s="13">
        <v>6</v>
      </c>
      <c r="BF68" s="13">
        <v>120</v>
      </c>
      <c r="BG68" s="13">
        <v>1</v>
      </c>
      <c r="BH68" s="13">
        <v>1</v>
      </c>
      <c r="BI68" s="13">
        <v>1</v>
      </c>
      <c r="BJ68" s="13">
        <f t="shared" si="46"/>
        <v>2061010</v>
      </c>
      <c r="BK68" s="13" t="s">
        <v>769</v>
      </c>
      <c r="BL68" s="13"/>
      <c r="BM68" s="13">
        <v>8</v>
      </c>
      <c r="BN68" s="13">
        <f>SUM(BM$6:BM68)</f>
        <v>452</v>
      </c>
      <c r="BO68" s="13">
        <v>1</v>
      </c>
      <c r="BP68" s="13">
        <v>2</v>
      </c>
      <c r="BQ68" s="13">
        <v>3</v>
      </c>
      <c r="BR68" s="13">
        <v>4</v>
      </c>
      <c r="BS68" s="13">
        <v>5</v>
      </c>
      <c r="BT68" s="13">
        <v>6</v>
      </c>
      <c r="BU68" s="13">
        <v>7</v>
      </c>
      <c r="BV68" s="13">
        <v>8</v>
      </c>
      <c r="BW68" s="37"/>
      <c r="BY68" s="13">
        <v>64</v>
      </c>
      <c r="BZ68" s="14">
        <f t="shared" si="21"/>
        <v>8</v>
      </c>
      <c r="CA68" s="14">
        <f t="shared" si="22"/>
        <v>2</v>
      </c>
      <c r="CB68" s="14">
        <f t="shared" si="1"/>
        <v>1</v>
      </c>
      <c r="CC68" s="14">
        <f t="shared" si="2"/>
        <v>2014028</v>
      </c>
      <c r="CD68" s="13" t="str">
        <f t="shared" si="3"/>
        <v>20级守护灵橙色-戒指</v>
      </c>
      <c r="CE68" s="14">
        <f t="shared" si="4"/>
        <v>2</v>
      </c>
      <c r="CF68" s="14">
        <f t="shared" si="5"/>
        <v>4</v>
      </c>
      <c r="CG68" s="14">
        <f t="shared" si="23"/>
        <v>20</v>
      </c>
      <c r="CH68" s="14">
        <f t="shared" si="24"/>
        <v>20</v>
      </c>
      <c r="CI68" s="14">
        <f t="shared" si="6"/>
        <v>8</v>
      </c>
      <c r="CJ68" s="14" t="str">
        <f t="shared" si="25"/>
        <v/>
      </c>
      <c r="CK68" s="14">
        <f t="shared" si="7"/>
        <v>45</v>
      </c>
      <c r="CL68" s="14">
        <f t="shared" si="8"/>
        <v>0</v>
      </c>
      <c r="CM68" s="14">
        <f t="shared" si="9"/>
        <v>218</v>
      </c>
      <c r="CN68" s="14">
        <f t="shared" si="10"/>
        <v>6.42</v>
      </c>
      <c r="CO68" s="14">
        <f t="shared" si="11"/>
        <v>0</v>
      </c>
      <c r="CP68" s="14">
        <f t="shared" si="12"/>
        <v>31.18</v>
      </c>
      <c r="CQ68" s="14">
        <f t="shared" si="26"/>
        <v>4</v>
      </c>
      <c r="CR68" s="14">
        <f t="shared" si="27"/>
        <v>2</v>
      </c>
      <c r="CS68" s="14">
        <f t="shared" si="28"/>
        <v>21</v>
      </c>
      <c r="CV68" s="14">
        <f t="shared" si="13"/>
        <v>1</v>
      </c>
      <c r="CW68" s="14">
        <f t="shared" si="14"/>
        <v>3</v>
      </c>
      <c r="CX68" s="14" t="str">
        <f t="shared" si="29"/>
        <v>AtkExt</v>
      </c>
      <c r="CY68" s="14">
        <f t="shared" si="30"/>
        <v>45</v>
      </c>
      <c r="CZ68" s="14">
        <f t="shared" si="31"/>
        <v>6.42</v>
      </c>
      <c r="DA68" s="14" t="str">
        <f t="shared" si="32"/>
        <v>HPExt</v>
      </c>
      <c r="DB68" s="14">
        <f t="shared" si="33"/>
        <v>218</v>
      </c>
      <c r="DC68" s="14">
        <f t="shared" si="34"/>
        <v>31.18</v>
      </c>
      <c r="DD68" s="14">
        <f t="shared" si="35"/>
        <v>4</v>
      </c>
      <c r="DE68" s="14">
        <f t="shared" si="36"/>
        <v>2</v>
      </c>
      <c r="DF68" s="14">
        <f t="shared" si="37"/>
        <v>21</v>
      </c>
      <c r="DG68" s="14">
        <f t="shared" si="38"/>
        <v>50</v>
      </c>
      <c r="DJ68" s="37"/>
      <c r="DK68" s="37"/>
      <c r="DL68" s="37"/>
      <c r="DM68" s="37"/>
      <c r="DO68" s="37"/>
      <c r="DP68" s="37"/>
      <c r="DV68" s="37"/>
      <c r="DW68" s="37"/>
      <c r="EC68" s="13">
        <v>64</v>
      </c>
      <c r="ED68" s="13">
        <f t="shared" si="39"/>
        <v>11</v>
      </c>
      <c r="EE68" s="13" t="str">
        <f t="shared" si="40"/>
        <v>100级守护灵洗练-4</v>
      </c>
      <c r="EF68" s="13">
        <f t="shared" si="41"/>
        <v>25</v>
      </c>
      <c r="EG68" s="13">
        <f t="shared" si="42"/>
        <v>4</v>
      </c>
      <c r="EH68" s="13">
        <f t="shared" si="43"/>
        <v>800</v>
      </c>
      <c r="EI68" s="13" t="str">
        <f t="shared" si="44"/>
        <v>AtkRate</v>
      </c>
      <c r="EJ68" s="13">
        <f t="shared" si="45"/>
        <v>0.04</v>
      </c>
    </row>
    <row r="69" spans="1:140" s="20" customFormat="1" ht="16.5" x14ac:dyDescent="0.2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13">
        <v>64</v>
      </c>
      <c r="BE69" s="13">
        <v>6</v>
      </c>
      <c r="BF69" s="13">
        <v>120</v>
      </c>
      <c r="BG69" s="13">
        <v>1</v>
      </c>
      <c r="BH69" s="13">
        <v>2</v>
      </c>
      <c r="BI69" s="13">
        <v>2</v>
      </c>
      <c r="BJ69" s="13">
        <f t="shared" si="46"/>
        <v>2061020</v>
      </c>
      <c r="BK69" s="13" t="s">
        <v>770</v>
      </c>
      <c r="BL69" s="13"/>
      <c r="BM69" s="13">
        <v>8</v>
      </c>
      <c r="BN69" s="13">
        <f>SUM(BM$6:BM69)</f>
        <v>460</v>
      </c>
      <c r="BO69" s="13">
        <v>1</v>
      </c>
      <c r="BP69" s="13">
        <v>2</v>
      </c>
      <c r="BQ69" s="13">
        <v>3</v>
      </c>
      <c r="BR69" s="13">
        <v>4</v>
      </c>
      <c r="BS69" s="13">
        <v>5</v>
      </c>
      <c r="BT69" s="13">
        <v>6</v>
      </c>
      <c r="BU69" s="13">
        <v>7</v>
      </c>
      <c r="BV69" s="13">
        <v>8</v>
      </c>
      <c r="BW69" s="37"/>
      <c r="BY69" s="13">
        <v>65</v>
      </c>
      <c r="BZ69" s="14">
        <f t="shared" si="21"/>
        <v>9</v>
      </c>
      <c r="CA69" s="14">
        <f t="shared" si="22"/>
        <v>3</v>
      </c>
      <c r="CB69" s="14">
        <f t="shared" ref="CB69:CB132" si="48">INDEX($BE$6:$BE$81,BZ69)</f>
        <v>1</v>
      </c>
      <c r="CC69" s="14">
        <f t="shared" ref="CC69:CC132" si="49">INDEX($BJ$6:$BJ$81,BZ69)+CI69</f>
        <v>2014031</v>
      </c>
      <c r="CD69" s="13" t="str">
        <f t="shared" ref="CD69:CD132" si="50">INDEX($BK$6:$BK$81,BZ69)&amp;"-"&amp;INDEX($BO$3:$BV$3,CI69)</f>
        <v>20级寄灵人橙色套1-武器</v>
      </c>
      <c r="CE69" s="14">
        <f t="shared" ref="CE69:CE132" si="51">INDEX($BH$6:$BH$81,BZ69)</f>
        <v>1</v>
      </c>
      <c r="CF69" s="14">
        <f t="shared" ref="CF69:CF132" si="52">INDEX($BG$6:$BG$81,BZ69)</f>
        <v>4</v>
      </c>
      <c r="CG69" s="14">
        <f t="shared" si="23"/>
        <v>20</v>
      </c>
      <c r="CH69" s="14">
        <f t="shared" si="24"/>
        <v>20</v>
      </c>
      <c r="CI69" s="14">
        <f t="shared" ref="CI69:CI132" si="53">BY69-INDEX($BN$5:$BN$81,BZ69)</f>
        <v>1</v>
      </c>
      <c r="CJ69" s="14">
        <f t="shared" si="25"/>
        <v>1011</v>
      </c>
      <c r="CK69" s="14">
        <f t="shared" ref="CK69:CK132" si="54">ROUND(INDEX(I$5:I$16,($CE69-1)*6+$CB69)*INDEX(W$5:W$12,$CI69)*INDEX($AF$5:$AF$8,$CF69),0)</f>
        <v>88</v>
      </c>
      <c r="CL69" s="14">
        <f t="shared" ref="CL69:CL132" si="55">ROUND(INDEX(J$5:J$16,($CE69-1)*6+$CB69)*INDEX(X$5:X$12,$CI69)*INDEX($AF$5:$AF$8,$CF69),0)</f>
        <v>0</v>
      </c>
      <c r="CM69" s="14">
        <f t="shared" ref="CM69:CM132" si="56">ROUND(INDEX(K$5:K$16,($CE69-1)*6+$CB69)*INDEX(Y$5:Y$12,$CI69)*INDEX($AF$5:$AF$8,$CF69),0)</f>
        <v>0</v>
      </c>
      <c r="CN69" s="14">
        <f t="shared" ref="CN69:CN132" si="57">ROUND(INDEX(E$5:E$16,($CE69-1)*6+$CB69)*INDEX(W$5:W$12,$CI69),2)</f>
        <v>12.5</v>
      </c>
      <c r="CO69" s="14">
        <f t="shared" ref="CO69:CO132" si="58">ROUND(INDEX(F$5:F$16,($CE69-1)*6+$CB69)*INDEX(X$5:X$12,$CI69),2)</f>
        <v>0</v>
      </c>
      <c r="CP69" s="14">
        <f t="shared" ref="CP69:CP132" si="59">ROUND(INDEX(G$5:G$16,($CE69-1)*6+$CB69)*INDEX(Y$5:Y$12,$CI69),2)</f>
        <v>0</v>
      </c>
      <c r="CQ69" s="14">
        <f t="shared" si="26"/>
        <v>4</v>
      </c>
      <c r="CR69" s="14">
        <f t="shared" si="27"/>
        <v>2</v>
      </c>
      <c r="CS69" s="14">
        <f t="shared" si="28"/>
        <v>11</v>
      </c>
      <c r="CV69" s="14">
        <f t="shared" ref="CV69:CV132" si="60">INDEX(Z$5:Z$12,$CI69)</f>
        <v>1</v>
      </c>
      <c r="CW69" s="14">
        <f t="shared" ref="CW69:CW132" si="61">INDEX(AA$5:AA$12,$CI69)</f>
        <v>0</v>
      </c>
      <c r="CX69" s="14" t="str">
        <f t="shared" si="29"/>
        <v>AtkExt</v>
      </c>
      <c r="CY69" s="14">
        <f t="shared" si="30"/>
        <v>88</v>
      </c>
      <c r="CZ69" s="14">
        <f t="shared" si="31"/>
        <v>12.5</v>
      </c>
      <c r="DA69" s="14" t="str">
        <f t="shared" si="32"/>
        <v/>
      </c>
      <c r="DB69" s="14" t="str">
        <f t="shared" si="33"/>
        <v/>
      </c>
      <c r="DC69" s="14" t="str">
        <f t="shared" si="34"/>
        <v/>
      </c>
      <c r="DD69" s="14">
        <f t="shared" si="35"/>
        <v>4</v>
      </c>
      <c r="DE69" s="14">
        <f t="shared" si="36"/>
        <v>2</v>
      </c>
      <c r="DF69" s="14">
        <f t="shared" si="37"/>
        <v>11</v>
      </c>
      <c r="DG69" s="14">
        <f t="shared" si="38"/>
        <v>50</v>
      </c>
      <c r="DJ69" s="37"/>
      <c r="DK69" s="37"/>
      <c r="DL69" s="37"/>
      <c r="DM69" s="37"/>
      <c r="DO69" s="37"/>
      <c r="DP69" s="37"/>
      <c r="DV69" s="37"/>
      <c r="DW69" s="37"/>
      <c r="EC69" s="13">
        <v>65</v>
      </c>
      <c r="ED69" s="13">
        <f t="shared" si="39"/>
        <v>11</v>
      </c>
      <c r="EE69" s="13" t="str">
        <f t="shared" si="40"/>
        <v>100级守护灵洗练-5</v>
      </c>
      <c r="EF69" s="13">
        <f t="shared" si="41"/>
        <v>25</v>
      </c>
      <c r="EG69" s="13">
        <f t="shared" si="42"/>
        <v>5</v>
      </c>
      <c r="EH69" s="13">
        <f t="shared" si="43"/>
        <v>800</v>
      </c>
      <c r="EI69" s="13" t="str">
        <f t="shared" si="44"/>
        <v>AtkRate</v>
      </c>
      <c r="EJ69" s="13">
        <f t="shared" si="45"/>
        <v>0.04</v>
      </c>
    </row>
    <row r="70" spans="1:140" s="20" customFormat="1" ht="16.5" x14ac:dyDescent="0.2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13">
        <v>65</v>
      </c>
      <c r="BE70" s="13">
        <v>6</v>
      </c>
      <c r="BF70" s="13">
        <v>120</v>
      </c>
      <c r="BG70" s="13">
        <v>2</v>
      </c>
      <c r="BH70" s="13">
        <v>1</v>
      </c>
      <c r="BI70" s="13">
        <v>1</v>
      </c>
      <c r="BJ70" s="13">
        <f t="shared" si="46"/>
        <v>2062010</v>
      </c>
      <c r="BK70" s="13" t="s">
        <v>771</v>
      </c>
      <c r="BL70" s="13"/>
      <c r="BM70" s="13">
        <v>8</v>
      </c>
      <c r="BN70" s="13">
        <f>SUM(BM$6:BM70)</f>
        <v>468</v>
      </c>
      <c r="BO70" s="13">
        <v>1</v>
      </c>
      <c r="BP70" s="13">
        <v>2</v>
      </c>
      <c r="BQ70" s="13">
        <v>3</v>
      </c>
      <c r="BR70" s="13">
        <v>4</v>
      </c>
      <c r="BS70" s="13">
        <v>5</v>
      </c>
      <c r="BT70" s="13">
        <v>6</v>
      </c>
      <c r="BU70" s="13">
        <v>7</v>
      </c>
      <c r="BV70" s="13">
        <v>8</v>
      </c>
      <c r="BW70" s="37"/>
      <c r="BY70" s="13">
        <v>66</v>
      </c>
      <c r="BZ70" s="14">
        <f t="shared" ref="BZ70:BZ133" si="62">MATCH(BY70-1,$BN$5:$BN$81,1)</f>
        <v>9</v>
      </c>
      <c r="CA70" s="14">
        <f t="shared" ref="CA70:CA133" si="63">INDEX($BI$6:$BI$81,BZ70)</f>
        <v>3</v>
      </c>
      <c r="CB70" s="14">
        <f t="shared" si="48"/>
        <v>1</v>
      </c>
      <c r="CC70" s="14">
        <f t="shared" si="49"/>
        <v>2014032</v>
      </c>
      <c r="CD70" s="13" t="str">
        <f t="shared" si="50"/>
        <v>20级寄灵人橙色套1-头盔</v>
      </c>
      <c r="CE70" s="14">
        <f t="shared" si="51"/>
        <v>1</v>
      </c>
      <c r="CF70" s="14">
        <f t="shared" si="52"/>
        <v>4</v>
      </c>
      <c r="CG70" s="14">
        <f t="shared" ref="CG70:CG133" si="64">INDEX($D$5:$D$16,(CE70-1)*6+CB70)</f>
        <v>20</v>
      </c>
      <c r="CH70" s="14">
        <f t="shared" ref="CH70:CH133" si="65">INDEX($D$5:$D$16,(CE70-1)*6+CB70)</f>
        <v>20</v>
      </c>
      <c r="CI70" s="14">
        <f t="shared" si="53"/>
        <v>2</v>
      </c>
      <c r="CJ70" s="14">
        <f t="shared" ref="CJ70:CJ133" si="66">IF(INDEX($BL$6:$BL$81,BZ70)&gt;0,INDEX($BL$6:$BL$81,BZ70),"")</f>
        <v>1011</v>
      </c>
      <c r="CK70" s="14">
        <f t="shared" si="54"/>
        <v>0</v>
      </c>
      <c r="CL70" s="14">
        <f t="shared" si="55"/>
        <v>18</v>
      </c>
      <c r="CM70" s="14">
        <f t="shared" si="56"/>
        <v>0</v>
      </c>
      <c r="CN70" s="14">
        <f t="shared" si="57"/>
        <v>0</v>
      </c>
      <c r="CO70" s="14">
        <f t="shared" si="58"/>
        <v>2.56</v>
      </c>
      <c r="CP70" s="14">
        <f t="shared" si="59"/>
        <v>0</v>
      </c>
      <c r="CQ70" s="14">
        <f t="shared" ref="CQ70:CQ133" si="67">(CB70-1)*4+CF70</f>
        <v>4</v>
      </c>
      <c r="CR70" s="14">
        <f t="shared" ref="CR70:CR133" si="68">INDEX($AY$5:$BB$16,CB70,CF70)</f>
        <v>2</v>
      </c>
      <c r="CS70" s="14">
        <f t="shared" ref="CS70:CS133" si="69">CE70*10+CB70</f>
        <v>11</v>
      </c>
      <c r="CV70" s="14">
        <f t="shared" si="60"/>
        <v>2</v>
      </c>
      <c r="CW70" s="14">
        <f t="shared" si="61"/>
        <v>0</v>
      </c>
      <c r="CX70" s="14" t="str">
        <f t="shared" ref="CX70:CX133" si="70">INDEX($U$3:$W$3,CV70)</f>
        <v>DefExt</v>
      </c>
      <c r="CY70" s="14">
        <f t="shared" ref="CY70:CY133" si="71">INDEX(CK70:CM70,CV70)</f>
        <v>18</v>
      </c>
      <c r="CZ70" s="14">
        <f t="shared" ref="CZ70:CZ133" si="72">INDEX(CN70:CP70,CV70)</f>
        <v>2.56</v>
      </c>
      <c r="DA70" s="14" t="str">
        <f t="shared" ref="DA70:DA133" si="73">IF(CW70&gt;0,INDEX($U$3:$W$3,CW70),"")</f>
        <v/>
      </c>
      <c r="DB70" s="14" t="str">
        <f t="shared" ref="DB70:DB133" si="74">IF(CW70&gt;0,INDEX(CK70:CM70,CW70),"")</f>
        <v/>
      </c>
      <c r="DC70" s="14" t="str">
        <f t="shared" ref="DC70:DC133" si="75">IF(CW70&gt;0,INDEX(CN70:CP70,CW70),"")</f>
        <v/>
      </c>
      <c r="DD70" s="14">
        <f t="shared" ref="DD70:DD133" si="76">(CB70-1)*4+CF70</f>
        <v>4</v>
      </c>
      <c r="DE70" s="14">
        <f t="shared" ref="DE70:DE133" si="77">INDEX($AY$5:$BB$16,CB70,CF70)</f>
        <v>2</v>
      </c>
      <c r="DF70" s="14">
        <f t="shared" ref="DF70:DF133" si="78">CE70*10+CB70</f>
        <v>11</v>
      </c>
      <c r="DG70" s="14">
        <f t="shared" ref="DG70:DG133" si="79">INDEX($N$5:$S$8,CF70,CB70)</f>
        <v>50</v>
      </c>
      <c r="DJ70" s="37"/>
      <c r="DK70" s="37"/>
      <c r="DL70" s="37"/>
      <c r="DM70" s="37"/>
      <c r="DO70" s="37"/>
      <c r="DP70" s="37"/>
      <c r="DV70" s="37"/>
      <c r="DW70" s="37"/>
      <c r="EC70" s="13">
        <v>66</v>
      </c>
      <c r="ED70" s="13">
        <f t="shared" ref="ED70:ED76" si="80">INT((EC70-1)/6)+1</f>
        <v>11</v>
      </c>
      <c r="EE70" s="13" t="str">
        <f t="shared" ref="EE70:EE76" si="81">INDEX($AN$5:$AN$16,ED70)&amp;"洗练-"&amp;EG70</f>
        <v>100级守护灵洗练-6</v>
      </c>
      <c r="EF70" s="13">
        <f t="shared" ref="EF70:EF76" si="82">INDEX($AM$5:$AM$16,ED70)</f>
        <v>25</v>
      </c>
      <c r="EG70" s="13">
        <f t="shared" ref="EG70:EG76" si="83">MOD(EC70-1,6)+1</f>
        <v>6</v>
      </c>
      <c r="EH70" s="13">
        <f t="shared" ref="EH70:EH76" si="84">INDEX($AR$2:$AW$2,EG70)</f>
        <v>800</v>
      </c>
      <c r="EI70" s="13" t="str">
        <f t="shared" ref="EI70:EI76" si="85">INDEX($AR$3:$AW$3,EG70)</f>
        <v>AtkRate</v>
      </c>
      <c r="EJ70" s="13">
        <f t="shared" ref="EJ70:EJ76" si="86">INDEX($AR$5:$AW$16,ED70,EG70)</f>
        <v>0.04</v>
      </c>
    </row>
    <row r="71" spans="1:140" s="20" customFormat="1" ht="16.5" x14ac:dyDescent="0.2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13">
        <v>66</v>
      </c>
      <c r="BE71" s="13">
        <v>6</v>
      </c>
      <c r="BF71" s="13">
        <v>120</v>
      </c>
      <c r="BG71" s="13">
        <v>2</v>
      </c>
      <c r="BH71" s="13">
        <v>2</v>
      </c>
      <c r="BI71" s="13">
        <v>2</v>
      </c>
      <c r="BJ71" s="13">
        <f t="shared" ref="BJ71:BJ81" si="87">BI71*10+BG71*1000+BE71*10000+2000000</f>
        <v>2062020</v>
      </c>
      <c r="BK71" s="13" t="s">
        <v>772</v>
      </c>
      <c r="BL71" s="13"/>
      <c r="BM71" s="13">
        <v>8</v>
      </c>
      <c r="BN71" s="13">
        <f>SUM(BM$6:BM71)</f>
        <v>476</v>
      </c>
      <c r="BO71" s="13">
        <v>1</v>
      </c>
      <c r="BP71" s="13">
        <v>2</v>
      </c>
      <c r="BQ71" s="13">
        <v>3</v>
      </c>
      <c r="BR71" s="13">
        <v>4</v>
      </c>
      <c r="BS71" s="13">
        <v>5</v>
      </c>
      <c r="BT71" s="13">
        <v>6</v>
      </c>
      <c r="BU71" s="13">
        <v>7</v>
      </c>
      <c r="BV71" s="13">
        <v>8</v>
      </c>
      <c r="BW71" s="37"/>
      <c r="BY71" s="13">
        <v>67</v>
      </c>
      <c r="BZ71" s="14">
        <f t="shared" si="62"/>
        <v>9</v>
      </c>
      <c r="CA71" s="14">
        <f t="shared" si="63"/>
        <v>3</v>
      </c>
      <c r="CB71" s="14">
        <f t="shared" si="48"/>
        <v>1</v>
      </c>
      <c r="CC71" s="14">
        <f t="shared" si="49"/>
        <v>2014033</v>
      </c>
      <c r="CD71" s="13" t="str">
        <f t="shared" si="50"/>
        <v>20级寄灵人橙色套1-肩甲</v>
      </c>
      <c r="CE71" s="14">
        <f t="shared" si="51"/>
        <v>1</v>
      </c>
      <c r="CF71" s="14">
        <f t="shared" si="52"/>
        <v>4</v>
      </c>
      <c r="CG71" s="14">
        <f t="shared" si="64"/>
        <v>20</v>
      </c>
      <c r="CH71" s="14">
        <f t="shared" si="65"/>
        <v>20</v>
      </c>
      <c r="CI71" s="14">
        <f t="shared" si="53"/>
        <v>3</v>
      </c>
      <c r="CJ71" s="14">
        <f t="shared" si="66"/>
        <v>1011</v>
      </c>
      <c r="CK71" s="14">
        <f t="shared" si="54"/>
        <v>0</v>
      </c>
      <c r="CL71" s="14">
        <f t="shared" si="55"/>
        <v>9</v>
      </c>
      <c r="CM71" s="14">
        <f t="shared" si="56"/>
        <v>76</v>
      </c>
      <c r="CN71" s="14">
        <f t="shared" si="57"/>
        <v>0</v>
      </c>
      <c r="CO71" s="14">
        <f t="shared" si="58"/>
        <v>1.28</v>
      </c>
      <c r="CP71" s="14">
        <f t="shared" si="59"/>
        <v>10.88</v>
      </c>
      <c r="CQ71" s="14">
        <f t="shared" si="67"/>
        <v>4</v>
      </c>
      <c r="CR71" s="14">
        <f t="shared" si="68"/>
        <v>2</v>
      </c>
      <c r="CS71" s="14">
        <f t="shared" si="69"/>
        <v>11</v>
      </c>
      <c r="CV71" s="14">
        <f t="shared" si="60"/>
        <v>2</v>
      </c>
      <c r="CW71" s="14">
        <f t="shared" si="61"/>
        <v>3</v>
      </c>
      <c r="CX71" s="14" t="str">
        <f t="shared" si="70"/>
        <v>DefExt</v>
      </c>
      <c r="CY71" s="14">
        <f t="shared" si="71"/>
        <v>9</v>
      </c>
      <c r="CZ71" s="14">
        <f t="shared" si="72"/>
        <v>1.28</v>
      </c>
      <c r="DA71" s="14" t="str">
        <f t="shared" si="73"/>
        <v>HPExt</v>
      </c>
      <c r="DB71" s="14">
        <f t="shared" si="74"/>
        <v>76</v>
      </c>
      <c r="DC71" s="14">
        <f t="shared" si="75"/>
        <v>10.88</v>
      </c>
      <c r="DD71" s="14">
        <f t="shared" si="76"/>
        <v>4</v>
      </c>
      <c r="DE71" s="14">
        <f t="shared" si="77"/>
        <v>2</v>
      </c>
      <c r="DF71" s="14">
        <f t="shared" si="78"/>
        <v>11</v>
      </c>
      <c r="DG71" s="14">
        <f t="shared" si="79"/>
        <v>50</v>
      </c>
      <c r="DJ71" s="37"/>
      <c r="DK71" s="37"/>
      <c r="DL71" s="37"/>
      <c r="DM71" s="37"/>
      <c r="DO71" s="37"/>
      <c r="DP71" s="37"/>
      <c r="DV71" s="37"/>
      <c r="DW71" s="37"/>
      <c r="EC71" s="13">
        <v>67</v>
      </c>
      <c r="ED71" s="13">
        <f t="shared" si="80"/>
        <v>12</v>
      </c>
      <c r="EE71" s="13" t="str">
        <f t="shared" si="81"/>
        <v>120级守护灵洗练-1</v>
      </c>
      <c r="EF71" s="13">
        <f t="shared" si="82"/>
        <v>26</v>
      </c>
      <c r="EG71" s="13">
        <f t="shared" si="83"/>
        <v>1</v>
      </c>
      <c r="EH71" s="13">
        <f t="shared" si="84"/>
        <v>2500</v>
      </c>
      <c r="EI71" s="13" t="str">
        <f t="shared" si="85"/>
        <v>AtkExt</v>
      </c>
      <c r="EJ71" s="13">
        <f t="shared" si="86"/>
        <v>554</v>
      </c>
    </row>
    <row r="72" spans="1:140" s="20" customFormat="1" ht="16.5" x14ac:dyDescent="0.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13">
        <v>67</v>
      </c>
      <c r="BE72" s="13">
        <v>6</v>
      </c>
      <c r="BF72" s="13">
        <v>120</v>
      </c>
      <c r="BG72" s="13">
        <v>3</v>
      </c>
      <c r="BH72" s="13">
        <v>1</v>
      </c>
      <c r="BI72" s="13">
        <v>1</v>
      </c>
      <c r="BJ72" s="13">
        <f t="shared" si="87"/>
        <v>2063010</v>
      </c>
      <c r="BK72" s="13" t="s">
        <v>773</v>
      </c>
      <c r="BL72" s="13"/>
      <c r="BM72" s="13">
        <v>8</v>
      </c>
      <c r="BN72" s="13">
        <f>SUM(BM$6:BM72)</f>
        <v>484</v>
      </c>
      <c r="BO72" s="13">
        <v>1</v>
      </c>
      <c r="BP72" s="13">
        <v>2</v>
      </c>
      <c r="BQ72" s="13">
        <v>3</v>
      </c>
      <c r="BR72" s="13">
        <v>4</v>
      </c>
      <c r="BS72" s="13">
        <v>5</v>
      </c>
      <c r="BT72" s="13">
        <v>6</v>
      </c>
      <c r="BU72" s="13">
        <v>7</v>
      </c>
      <c r="BV72" s="13">
        <v>8</v>
      </c>
      <c r="BW72" s="37"/>
      <c r="BY72" s="13">
        <v>68</v>
      </c>
      <c r="BZ72" s="14">
        <f t="shared" si="62"/>
        <v>9</v>
      </c>
      <c r="CA72" s="14">
        <f t="shared" si="63"/>
        <v>3</v>
      </c>
      <c r="CB72" s="14">
        <f t="shared" si="48"/>
        <v>1</v>
      </c>
      <c r="CC72" s="14">
        <f t="shared" si="49"/>
        <v>2014034</v>
      </c>
      <c r="CD72" s="13" t="str">
        <f t="shared" si="50"/>
        <v>20级寄灵人橙色套1-衣服</v>
      </c>
      <c r="CE72" s="14">
        <f t="shared" si="51"/>
        <v>1</v>
      </c>
      <c r="CF72" s="14">
        <f t="shared" si="52"/>
        <v>4</v>
      </c>
      <c r="CG72" s="14">
        <f t="shared" si="64"/>
        <v>20</v>
      </c>
      <c r="CH72" s="14">
        <f t="shared" si="65"/>
        <v>20</v>
      </c>
      <c r="CI72" s="14">
        <f t="shared" si="53"/>
        <v>4</v>
      </c>
      <c r="CJ72" s="14">
        <f t="shared" si="66"/>
        <v>1011</v>
      </c>
      <c r="CK72" s="14">
        <f t="shared" si="54"/>
        <v>0</v>
      </c>
      <c r="CL72" s="14">
        <f t="shared" si="55"/>
        <v>18</v>
      </c>
      <c r="CM72" s="14">
        <f t="shared" si="56"/>
        <v>0</v>
      </c>
      <c r="CN72" s="14">
        <f t="shared" si="57"/>
        <v>0</v>
      </c>
      <c r="CO72" s="14">
        <f t="shared" si="58"/>
        <v>2.56</v>
      </c>
      <c r="CP72" s="14">
        <f t="shared" si="59"/>
        <v>0</v>
      </c>
      <c r="CQ72" s="14">
        <f t="shared" si="67"/>
        <v>4</v>
      </c>
      <c r="CR72" s="14">
        <f t="shared" si="68"/>
        <v>2</v>
      </c>
      <c r="CS72" s="14">
        <f t="shared" si="69"/>
        <v>11</v>
      </c>
      <c r="CV72" s="14">
        <f t="shared" si="60"/>
        <v>2</v>
      </c>
      <c r="CW72" s="14">
        <f t="shared" si="61"/>
        <v>0</v>
      </c>
      <c r="CX72" s="14" t="str">
        <f t="shared" si="70"/>
        <v>DefExt</v>
      </c>
      <c r="CY72" s="14">
        <f t="shared" si="71"/>
        <v>18</v>
      </c>
      <c r="CZ72" s="14">
        <f t="shared" si="72"/>
        <v>2.56</v>
      </c>
      <c r="DA72" s="14" t="str">
        <f t="shared" si="73"/>
        <v/>
      </c>
      <c r="DB72" s="14" t="str">
        <f t="shared" si="74"/>
        <v/>
      </c>
      <c r="DC72" s="14" t="str">
        <f t="shared" si="75"/>
        <v/>
      </c>
      <c r="DD72" s="14">
        <f t="shared" si="76"/>
        <v>4</v>
      </c>
      <c r="DE72" s="14">
        <f t="shared" si="77"/>
        <v>2</v>
      </c>
      <c r="DF72" s="14">
        <f t="shared" si="78"/>
        <v>11</v>
      </c>
      <c r="DG72" s="14">
        <f t="shared" si="79"/>
        <v>50</v>
      </c>
      <c r="DJ72" s="37"/>
      <c r="DK72" s="37"/>
      <c r="DL72" s="37"/>
      <c r="DM72" s="37"/>
      <c r="DO72" s="37"/>
      <c r="DP72" s="37"/>
      <c r="DV72" s="37"/>
      <c r="DW72" s="37"/>
      <c r="EC72" s="13">
        <v>68</v>
      </c>
      <c r="ED72" s="13">
        <f t="shared" si="80"/>
        <v>12</v>
      </c>
      <c r="EE72" s="13" t="str">
        <f t="shared" si="81"/>
        <v>120级守护灵洗练-2</v>
      </c>
      <c r="EF72" s="13">
        <f t="shared" si="82"/>
        <v>26</v>
      </c>
      <c r="EG72" s="13">
        <f t="shared" si="83"/>
        <v>2</v>
      </c>
      <c r="EH72" s="13">
        <f t="shared" si="84"/>
        <v>2500</v>
      </c>
      <c r="EI72" s="13" t="str">
        <f t="shared" si="85"/>
        <v>DefExt</v>
      </c>
      <c r="EJ72" s="13">
        <f t="shared" si="86"/>
        <v>229</v>
      </c>
    </row>
    <row r="73" spans="1:140" s="20" customFormat="1" ht="16.5" x14ac:dyDescent="0.2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13">
        <v>68</v>
      </c>
      <c r="BE73" s="13">
        <v>6</v>
      </c>
      <c r="BF73" s="13">
        <v>120</v>
      </c>
      <c r="BG73" s="13">
        <v>3</v>
      </c>
      <c r="BH73" s="13">
        <v>2</v>
      </c>
      <c r="BI73" s="13">
        <v>2</v>
      </c>
      <c r="BJ73" s="13">
        <f t="shared" si="87"/>
        <v>2063020</v>
      </c>
      <c r="BK73" s="13" t="s">
        <v>774</v>
      </c>
      <c r="BL73" s="13"/>
      <c r="BM73" s="13">
        <v>8</v>
      </c>
      <c r="BN73" s="13">
        <f>SUM(BM$6:BM73)</f>
        <v>492</v>
      </c>
      <c r="BO73" s="13">
        <v>1</v>
      </c>
      <c r="BP73" s="13">
        <v>2</v>
      </c>
      <c r="BQ73" s="13">
        <v>3</v>
      </c>
      <c r="BR73" s="13">
        <v>4</v>
      </c>
      <c r="BS73" s="13">
        <v>5</v>
      </c>
      <c r="BT73" s="13">
        <v>6</v>
      </c>
      <c r="BU73" s="13">
        <v>7</v>
      </c>
      <c r="BV73" s="13">
        <v>8</v>
      </c>
      <c r="BW73" s="37"/>
      <c r="BY73" s="13">
        <v>69</v>
      </c>
      <c r="BZ73" s="14">
        <f t="shared" si="62"/>
        <v>9</v>
      </c>
      <c r="CA73" s="14">
        <f t="shared" si="63"/>
        <v>3</v>
      </c>
      <c r="CB73" s="14">
        <f t="shared" si="48"/>
        <v>1</v>
      </c>
      <c r="CC73" s="14">
        <f t="shared" si="49"/>
        <v>2014035</v>
      </c>
      <c r="CD73" s="13" t="str">
        <f t="shared" si="50"/>
        <v>20级寄灵人橙色套1-鞋子</v>
      </c>
      <c r="CE73" s="14">
        <f t="shared" si="51"/>
        <v>1</v>
      </c>
      <c r="CF73" s="14">
        <f t="shared" si="52"/>
        <v>4</v>
      </c>
      <c r="CG73" s="14">
        <f t="shared" si="64"/>
        <v>20</v>
      </c>
      <c r="CH73" s="14">
        <f t="shared" si="65"/>
        <v>20</v>
      </c>
      <c r="CI73" s="14">
        <f t="shared" si="53"/>
        <v>5</v>
      </c>
      <c r="CJ73" s="14">
        <f t="shared" si="66"/>
        <v>1011</v>
      </c>
      <c r="CK73" s="14">
        <f t="shared" si="54"/>
        <v>0</v>
      </c>
      <c r="CL73" s="14">
        <f t="shared" si="55"/>
        <v>0</v>
      </c>
      <c r="CM73" s="14">
        <f t="shared" si="56"/>
        <v>152</v>
      </c>
      <c r="CN73" s="14">
        <f t="shared" si="57"/>
        <v>0</v>
      </c>
      <c r="CO73" s="14">
        <f t="shared" si="58"/>
        <v>0</v>
      </c>
      <c r="CP73" s="14">
        <f t="shared" si="59"/>
        <v>21.75</v>
      </c>
      <c r="CQ73" s="14">
        <f t="shared" si="67"/>
        <v>4</v>
      </c>
      <c r="CR73" s="14">
        <f t="shared" si="68"/>
        <v>2</v>
      </c>
      <c r="CS73" s="14">
        <f t="shared" si="69"/>
        <v>11</v>
      </c>
      <c r="CV73" s="14">
        <f t="shared" si="60"/>
        <v>3</v>
      </c>
      <c r="CW73" s="14">
        <f t="shared" si="61"/>
        <v>0</v>
      </c>
      <c r="CX73" s="14" t="str">
        <f t="shared" si="70"/>
        <v>HPExt</v>
      </c>
      <c r="CY73" s="14">
        <f t="shared" si="71"/>
        <v>152</v>
      </c>
      <c r="CZ73" s="14">
        <f t="shared" si="72"/>
        <v>21.75</v>
      </c>
      <c r="DA73" s="14" t="str">
        <f t="shared" si="73"/>
        <v/>
      </c>
      <c r="DB73" s="14" t="str">
        <f t="shared" si="74"/>
        <v/>
      </c>
      <c r="DC73" s="14" t="str">
        <f t="shared" si="75"/>
        <v/>
      </c>
      <c r="DD73" s="14">
        <f t="shared" si="76"/>
        <v>4</v>
      </c>
      <c r="DE73" s="14">
        <f t="shared" si="77"/>
        <v>2</v>
      </c>
      <c r="DF73" s="14">
        <f t="shared" si="78"/>
        <v>11</v>
      </c>
      <c r="DG73" s="14">
        <f t="shared" si="79"/>
        <v>50</v>
      </c>
      <c r="DJ73" s="37"/>
      <c r="DK73" s="37"/>
      <c r="DL73" s="37"/>
      <c r="DM73" s="37"/>
      <c r="DO73" s="37"/>
      <c r="DP73" s="37"/>
      <c r="DV73" s="37"/>
      <c r="DW73" s="37"/>
      <c r="EC73" s="13">
        <v>69</v>
      </c>
      <c r="ED73" s="13">
        <f t="shared" si="80"/>
        <v>12</v>
      </c>
      <c r="EE73" s="13" t="str">
        <f t="shared" si="81"/>
        <v>120级守护灵洗练-3</v>
      </c>
      <c r="EF73" s="13">
        <f t="shared" si="82"/>
        <v>26</v>
      </c>
      <c r="EG73" s="13">
        <f t="shared" si="83"/>
        <v>3</v>
      </c>
      <c r="EH73" s="13">
        <f t="shared" si="84"/>
        <v>2600</v>
      </c>
      <c r="EI73" s="13" t="str">
        <f t="shared" si="85"/>
        <v>HPExt</v>
      </c>
      <c r="EJ73" s="13">
        <f t="shared" si="86"/>
        <v>2946</v>
      </c>
    </row>
    <row r="74" spans="1:140" s="20" customFormat="1" ht="16.5" x14ac:dyDescent="0.2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13">
        <v>69</v>
      </c>
      <c r="BE74" s="13">
        <v>6</v>
      </c>
      <c r="BF74" s="13">
        <v>120</v>
      </c>
      <c r="BG74" s="13">
        <v>4</v>
      </c>
      <c r="BH74" s="13">
        <v>1</v>
      </c>
      <c r="BI74" s="13">
        <v>1</v>
      </c>
      <c r="BJ74" s="13">
        <f t="shared" si="87"/>
        <v>2064010</v>
      </c>
      <c r="BK74" s="13" t="s">
        <v>775</v>
      </c>
      <c r="BL74" s="13"/>
      <c r="BM74" s="13">
        <v>8</v>
      </c>
      <c r="BN74" s="13">
        <f>SUM(BM$6:BM74)</f>
        <v>500</v>
      </c>
      <c r="BO74" s="13">
        <v>1</v>
      </c>
      <c r="BP74" s="13">
        <v>2</v>
      </c>
      <c r="BQ74" s="13">
        <v>3</v>
      </c>
      <c r="BR74" s="13">
        <v>4</v>
      </c>
      <c r="BS74" s="13">
        <v>5</v>
      </c>
      <c r="BT74" s="13">
        <v>6</v>
      </c>
      <c r="BU74" s="13">
        <v>7</v>
      </c>
      <c r="BV74" s="13">
        <v>8</v>
      </c>
      <c r="BW74" s="37"/>
      <c r="BY74" s="13">
        <v>70</v>
      </c>
      <c r="BZ74" s="14">
        <f t="shared" si="62"/>
        <v>9</v>
      </c>
      <c r="CA74" s="14">
        <f t="shared" si="63"/>
        <v>3</v>
      </c>
      <c r="CB74" s="14">
        <f t="shared" si="48"/>
        <v>1</v>
      </c>
      <c r="CC74" s="14">
        <f t="shared" si="49"/>
        <v>2014036</v>
      </c>
      <c r="CD74" s="13" t="str">
        <f t="shared" si="50"/>
        <v>20级寄灵人橙色套1-护手</v>
      </c>
      <c r="CE74" s="14">
        <f t="shared" si="51"/>
        <v>1</v>
      </c>
      <c r="CF74" s="14">
        <f t="shared" si="52"/>
        <v>4</v>
      </c>
      <c r="CG74" s="14">
        <f t="shared" si="64"/>
        <v>20</v>
      </c>
      <c r="CH74" s="14">
        <f t="shared" si="65"/>
        <v>20</v>
      </c>
      <c r="CI74" s="14">
        <f t="shared" si="53"/>
        <v>6</v>
      </c>
      <c r="CJ74" s="14">
        <f t="shared" si="66"/>
        <v>1011</v>
      </c>
      <c r="CK74" s="14">
        <f t="shared" si="54"/>
        <v>0</v>
      </c>
      <c r="CL74" s="14">
        <f t="shared" si="55"/>
        <v>0</v>
      </c>
      <c r="CM74" s="14">
        <f t="shared" si="56"/>
        <v>152</v>
      </c>
      <c r="CN74" s="14">
        <f t="shared" si="57"/>
        <v>0</v>
      </c>
      <c r="CO74" s="14">
        <f t="shared" si="58"/>
        <v>0</v>
      </c>
      <c r="CP74" s="14">
        <f t="shared" si="59"/>
        <v>21.75</v>
      </c>
      <c r="CQ74" s="14">
        <f t="shared" si="67"/>
        <v>4</v>
      </c>
      <c r="CR74" s="14">
        <f t="shared" si="68"/>
        <v>2</v>
      </c>
      <c r="CS74" s="14">
        <f t="shared" si="69"/>
        <v>11</v>
      </c>
      <c r="CV74" s="14">
        <f t="shared" si="60"/>
        <v>3</v>
      </c>
      <c r="CW74" s="14">
        <f t="shared" si="61"/>
        <v>0</v>
      </c>
      <c r="CX74" s="14" t="str">
        <f t="shared" si="70"/>
        <v>HPExt</v>
      </c>
      <c r="CY74" s="14">
        <f t="shared" si="71"/>
        <v>152</v>
      </c>
      <c r="CZ74" s="14">
        <f t="shared" si="72"/>
        <v>21.75</v>
      </c>
      <c r="DA74" s="14" t="str">
        <f t="shared" si="73"/>
        <v/>
      </c>
      <c r="DB74" s="14" t="str">
        <f t="shared" si="74"/>
        <v/>
      </c>
      <c r="DC74" s="14" t="str">
        <f t="shared" si="75"/>
        <v/>
      </c>
      <c r="DD74" s="14">
        <f t="shared" si="76"/>
        <v>4</v>
      </c>
      <c r="DE74" s="14">
        <f t="shared" si="77"/>
        <v>2</v>
      </c>
      <c r="DF74" s="14">
        <f t="shared" si="78"/>
        <v>11</v>
      </c>
      <c r="DG74" s="14">
        <f t="shared" si="79"/>
        <v>50</v>
      </c>
      <c r="DJ74" s="37"/>
      <c r="DK74" s="37"/>
      <c r="DL74" s="37"/>
      <c r="DM74" s="37"/>
      <c r="DO74" s="37"/>
      <c r="DP74" s="37"/>
      <c r="DV74" s="37"/>
      <c r="DW74" s="37"/>
      <c r="EC74" s="13">
        <v>70</v>
      </c>
      <c r="ED74" s="13">
        <f t="shared" si="80"/>
        <v>12</v>
      </c>
      <c r="EE74" s="13" t="str">
        <f t="shared" si="81"/>
        <v>120级守护灵洗练-4</v>
      </c>
      <c r="EF74" s="13">
        <f t="shared" si="82"/>
        <v>26</v>
      </c>
      <c r="EG74" s="13">
        <f t="shared" si="83"/>
        <v>4</v>
      </c>
      <c r="EH74" s="13">
        <f t="shared" si="84"/>
        <v>800</v>
      </c>
      <c r="EI74" s="13" t="str">
        <f t="shared" si="85"/>
        <v>AtkRate</v>
      </c>
      <c r="EJ74" s="13">
        <f t="shared" si="86"/>
        <v>0.04</v>
      </c>
    </row>
    <row r="75" spans="1:140" s="20" customFormat="1" ht="16.5" x14ac:dyDescent="0.2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13">
        <v>70</v>
      </c>
      <c r="BE75" s="13">
        <v>6</v>
      </c>
      <c r="BF75" s="13">
        <v>120</v>
      </c>
      <c r="BG75" s="13">
        <v>4</v>
      </c>
      <c r="BH75" s="13">
        <v>2</v>
      </c>
      <c r="BI75" s="13">
        <v>2</v>
      </c>
      <c r="BJ75" s="13">
        <f t="shared" si="87"/>
        <v>2064020</v>
      </c>
      <c r="BK75" s="13" t="s">
        <v>776</v>
      </c>
      <c r="BL75" s="13"/>
      <c r="BM75" s="13">
        <v>8</v>
      </c>
      <c r="BN75" s="13">
        <f>SUM(BM$6:BM75)</f>
        <v>508</v>
      </c>
      <c r="BO75" s="13">
        <v>1</v>
      </c>
      <c r="BP75" s="13">
        <v>2</v>
      </c>
      <c r="BQ75" s="13">
        <v>3</v>
      </c>
      <c r="BR75" s="13">
        <v>4</v>
      </c>
      <c r="BS75" s="13">
        <v>5</v>
      </c>
      <c r="BT75" s="13">
        <v>6</v>
      </c>
      <c r="BU75" s="13">
        <v>7</v>
      </c>
      <c r="BV75" s="13">
        <v>8</v>
      </c>
      <c r="BW75" s="37"/>
      <c r="BY75" s="13">
        <v>71</v>
      </c>
      <c r="BZ75" s="14">
        <f t="shared" si="62"/>
        <v>9</v>
      </c>
      <c r="CA75" s="14">
        <f t="shared" si="63"/>
        <v>3</v>
      </c>
      <c r="CB75" s="14">
        <f t="shared" si="48"/>
        <v>1</v>
      </c>
      <c r="CC75" s="14">
        <f t="shared" si="49"/>
        <v>2014037</v>
      </c>
      <c r="CD75" s="13" t="str">
        <f t="shared" si="50"/>
        <v>20级寄灵人橙色套1-项链</v>
      </c>
      <c r="CE75" s="14">
        <f t="shared" si="51"/>
        <v>1</v>
      </c>
      <c r="CF75" s="14">
        <f t="shared" si="52"/>
        <v>4</v>
      </c>
      <c r="CG75" s="14">
        <f t="shared" si="64"/>
        <v>20</v>
      </c>
      <c r="CH75" s="14">
        <f t="shared" si="65"/>
        <v>20</v>
      </c>
      <c r="CI75" s="14">
        <f t="shared" si="53"/>
        <v>7</v>
      </c>
      <c r="CJ75" s="14">
        <f t="shared" si="66"/>
        <v>1011</v>
      </c>
      <c r="CK75" s="14">
        <f t="shared" si="54"/>
        <v>29</v>
      </c>
      <c r="CL75" s="14">
        <f t="shared" si="55"/>
        <v>15</v>
      </c>
      <c r="CM75" s="14">
        <f t="shared" si="56"/>
        <v>0</v>
      </c>
      <c r="CN75" s="14">
        <f t="shared" si="57"/>
        <v>4.17</v>
      </c>
      <c r="CO75" s="14">
        <f t="shared" si="58"/>
        <v>2.13</v>
      </c>
      <c r="CP75" s="14">
        <f t="shared" si="59"/>
        <v>0</v>
      </c>
      <c r="CQ75" s="14">
        <f t="shared" si="67"/>
        <v>4</v>
      </c>
      <c r="CR75" s="14">
        <f t="shared" si="68"/>
        <v>2</v>
      </c>
      <c r="CS75" s="14">
        <f t="shared" si="69"/>
        <v>11</v>
      </c>
      <c r="CV75" s="14">
        <f t="shared" si="60"/>
        <v>1</v>
      </c>
      <c r="CW75" s="14">
        <f t="shared" si="61"/>
        <v>2</v>
      </c>
      <c r="CX75" s="14" t="str">
        <f t="shared" si="70"/>
        <v>AtkExt</v>
      </c>
      <c r="CY75" s="14">
        <f t="shared" si="71"/>
        <v>29</v>
      </c>
      <c r="CZ75" s="14">
        <f t="shared" si="72"/>
        <v>4.17</v>
      </c>
      <c r="DA75" s="14" t="str">
        <f t="shared" si="73"/>
        <v>DefExt</v>
      </c>
      <c r="DB75" s="14">
        <f t="shared" si="74"/>
        <v>15</v>
      </c>
      <c r="DC75" s="14">
        <f t="shared" si="75"/>
        <v>2.13</v>
      </c>
      <c r="DD75" s="14">
        <f t="shared" si="76"/>
        <v>4</v>
      </c>
      <c r="DE75" s="14">
        <f t="shared" si="77"/>
        <v>2</v>
      </c>
      <c r="DF75" s="14">
        <f t="shared" si="78"/>
        <v>11</v>
      </c>
      <c r="DG75" s="14">
        <f t="shared" si="79"/>
        <v>50</v>
      </c>
      <c r="DJ75" s="37"/>
      <c r="DK75" s="37"/>
      <c r="DL75" s="37"/>
      <c r="DM75" s="37"/>
      <c r="DO75" s="37"/>
      <c r="DP75" s="37"/>
      <c r="DV75" s="37"/>
      <c r="DW75" s="37"/>
      <c r="EC75" s="13">
        <v>71</v>
      </c>
      <c r="ED75" s="13">
        <f t="shared" si="80"/>
        <v>12</v>
      </c>
      <c r="EE75" s="13" t="str">
        <f t="shared" si="81"/>
        <v>120级守护灵洗练-5</v>
      </c>
      <c r="EF75" s="13">
        <f t="shared" si="82"/>
        <v>26</v>
      </c>
      <c r="EG75" s="13">
        <f t="shared" si="83"/>
        <v>5</v>
      </c>
      <c r="EH75" s="13">
        <f t="shared" si="84"/>
        <v>800</v>
      </c>
      <c r="EI75" s="13" t="str">
        <f t="shared" si="85"/>
        <v>AtkRate</v>
      </c>
      <c r="EJ75" s="13">
        <f t="shared" si="86"/>
        <v>0.04</v>
      </c>
    </row>
    <row r="76" spans="1:140" s="20" customFormat="1" ht="16.5" x14ac:dyDescent="0.2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13">
        <v>71</v>
      </c>
      <c r="BE76" s="13">
        <v>6</v>
      </c>
      <c r="BF76" s="13">
        <v>120</v>
      </c>
      <c r="BG76" s="13">
        <v>4</v>
      </c>
      <c r="BH76" s="13">
        <v>1</v>
      </c>
      <c r="BI76" s="13">
        <v>3</v>
      </c>
      <c r="BJ76" s="13">
        <f t="shared" si="87"/>
        <v>2064030</v>
      </c>
      <c r="BK76" s="13" t="s">
        <v>777</v>
      </c>
      <c r="BL76" s="13">
        <v>1061</v>
      </c>
      <c r="BM76" s="13">
        <v>5</v>
      </c>
      <c r="BN76" s="13">
        <f>SUM(BM$6:BM76)</f>
        <v>513</v>
      </c>
      <c r="BO76" s="13">
        <v>1</v>
      </c>
      <c r="BP76" s="13">
        <v>2</v>
      </c>
      <c r="BQ76" s="13">
        <v>3</v>
      </c>
      <c r="BR76" s="13">
        <v>7</v>
      </c>
      <c r="BS76" s="13">
        <v>8</v>
      </c>
      <c r="BT76" s="13"/>
      <c r="BU76" s="13"/>
      <c r="BV76" s="13"/>
      <c r="BW76" s="37"/>
      <c r="BY76" s="13">
        <v>72</v>
      </c>
      <c r="BZ76" s="14">
        <f t="shared" si="62"/>
        <v>9</v>
      </c>
      <c r="CA76" s="14">
        <f t="shared" si="63"/>
        <v>3</v>
      </c>
      <c r="CB76" s="14">
        <f t="shared" si="48"/>
        <v>1</v>
      </c>
      <c r="CC76" s="14">
        <f t="shared" si="49"/>
        <v>2014038</v>
      </c>
      <c r="CD76" s="13" t="str">
        <f t="shared" si="50"/>
        <v>20级寄灵人橙色套1-戒指</v>
      </c>
      <c r="CE76" s="14">
        <f t="shared" si="51"/>
        <v>1</v>
      </c>
      <c r="CF76" s="14">
        <f t="shared" si="52"/>
        <v>4</v>
      </c>
      <c r="CG76" s="14">
        <f t="shared" si="64"/>
        <v>20</v>
      </c>
      <c r="CH76" s="14">
        <f t="shared" si="65"/>
        <v>20</v>
      </c>
      <c r="CI76" s="14">
        <f t="shared" si="53"/>
        <v>8</v>
      </c>
      <c r="CJ76" s="14">
        <f t="shared" si="66"/>
        <v>1011</v>
      </c>
      <c r="CK76" s="14">
        <f t="shared" si="54"/>
        <v>29</v>
      </c>
      <c r="CL76" s="14">
        <f t="shared" si="55"/>
        <v>0</v>
      </c>
      <c r="CM76" s="14">
        <f t="shared" si="56"/>
        <v>127</v>
      </c>
      <c r="CN76" s="14">
        <f t="shared" si="57"/>
        <v>4.17</v>
      </c>
      <c r="CO76" s="14">
        <f t="shared" si="58"/>
        <v>0</v>
      </c>
      <c r="CP76" s="14">
        <f t="shared" si="59"/>
        <v>18.13</v>
      </c>
      <c r="CQ76" s="14">
        <f t="shared" si="67"/>
        <v>4</v>
      </c>
      <c r="CR76" s="14">
        <f t="shared" si="68"/>
        <v>2</v>
      </c>
      <c r="CS76" s="14">
        <f t="shared" si="69"/>
        <v>11</v>
      </c>
      <c r="CV76" s="14">
        <f t="shared" si="60"/>
        <v>1</v>
      </c>
      <c r="CW76" s="14">
        <f t="shared" si="61"/>
        <v>3</v>
      </c>
      <c r="CX76" s="14" t="str">
        <f t="shared" si="70"/>
        <v>AtkExt</v>
      </c>
      <c r="CY76" s="14">
        <f t="shared" si="71"/>
        <v>29</v>
      </c>
      <c r="CZ76" s="14">
        <f t="shared" si="72"/>
        <v>4.17</v>
      </c>
      <c r="DA76" s="14" t="str">
        <f t="shared" si="73"/>
        <v>HPExt</v>
      </c>
      <c r="DB76" s="14">
        <f t="shared" si="74"/>
        <v>127</v>
      </c>
      <c r="DC76" s="14">
        <f t="shared" si="75"/>
        <v>18.13</v>
      </c>
      <c r="DD76" s="14">
        <f t="shared" si="76"/>
        <v>4</v>
      </c>
      <c r="DE76" s="14">
        <f t="shared" si="77"/>
        <v>2</v>
      </c>
      <c r="DF76" s="14">
        <f t="shared" si="78"/>
        <v>11</v>
      </c>
      <c r="DG76" s="14">
        <f t="shared" si="79"/>
        <v>50</v>
      </c>
      <c r="DJ76" s="37"/>
      <c r="DK76" s="37"/>
      <c r="DL76" s="37"/>
      <c r="DM76" s="37"/>
      <c r="DO76" s="37"/>
      <c r="DP76" s="37"/>
      <c r="DV76" s="37"/>
      <c r="DW76" s="37"/>
      <c r="EC76" s="13">
        <v>72</v>
      </c>
      <c r="ED76" s="13">
        <f t="shared" si="80"/>
        <v>12</v>
      </c>
      <c r="EE76" s="13" t="str">
        <f t="shared" si="81"/>
        <v>120级守护灵洗练-6</v>
      </c>
      <c r="EF76" s="13">
        <f t="shared" si="82"/>
        <v>26</v>
      </c>
      <c r="EG76" s="13">
        <f t="shared" si="83"/>
        <v>6</v>
      </c>
      <c r="EH76" s="13">
        <f t="shared" si="84"/>
        <v>800</v>
      </c>
      <c r="EI76" s="13" t="str">
        <f t="shared" si="85"/>
        <v>AtkRate</v>
      </c>
      <c r="EJ76" s="13">
        <f t="shared" si="86"/>
        <v>0.04</v>
      </c>
    </row>
    <row r="77" spans="1:140" s="20" customFormat="1" ht="16.5" x14ac:dyDescent="0.2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13">
        <v>72</v>
      </c>
      <c r="BE77" s="13">
        <v>6</v>
      </c>
      <c r="BF77" s="13">
        <v>120</v>
      </c>
      <c r="BG77" s="13">
        <v>4</v>
      </c>
      <c r="BH77" s="13">
        <v>2</v>
      </c>
      <c r="BI77" s="13">
        <v>4</v>
      </c>
      <c r="BJ77" s="13">
        <f t="shared" si="87"/>
        <v>2064040</v>
      </c>
      <c r="BK77" s="13" t="s">
        <v>778</v>
      </c>
      <c r="BL77" s="13">
        <v>2061</v>
      </c>
      <c r="BM77" s="13">
        <v>5</v>
      </c>
      <c r="BN77" s="13">
        <f>SUM(BM$6:BM77)</f>
        <v>518</v>
      </c>
      <c r="BO77" s="13">
        <v>1</v>
      </c>
      <c r="BP77" s="13">
        <v>2</v>
      </c>
      <c r="BQ77" s="13">
        <v>3</v>
      </c>
      <c r="BR77" s="13">
        <v>7</v>
      </c>
      <c r="BS77" s="13">
        <v>8</v>
      </c>
      <c r="BT77" s="13"/>
      <c r="BU77" s="13"/>
      <c r="BV77" s="13"/>
      <c r="BW77" s="37"/>
      <c r="BY77" s="13">
        <v>73</v>
      </c>
      <c r="BZ77" s="14">
        <f t="shared" si="62"/>
        <v>10</v>
      </c>
      <c r="CA77" s="14">
        <f t="shared" si="63"/>
        <v>4</v>
      </c>
      <c r="CB77" s="14">
        <f t="shared" si="48"/>
        <v>1</v>
      </c>
      <c r="CC77" s="14">
        <f t="shared" si="49"/>
        <v>2014041</v>
      </c>
      <c r="CD77" s="13" t="str">
        <f t="shared" si="50"/>
        <v>20级守护灵橙色套1-武器</v>
      </c>
      <c r="CE77" s="14">
        <f t="shared" si="51"/>
        <v>2</v>
      </c>
      <c r="CF77" s="14">
        <f t="shared" si="52"/>
        <v>4</v>
      </c>
      <c r="CG77" s="14">
        <f t="shared" si="64"/>
        <v>20</v>
      </c>
      <c r="CH77" s="14">
        <f t="shared" si="65"/>
        <v>20</v>
      </c>
      <c r="CI77" s="14">
        <f t="shared" si="53"/>
        <v>1</v>
      </c>
      <c r="CJ77" s="14">
        <f t="shared" si="66"/>
        <v>2011</v>
      </c>
      <c r="CK77" s="14">
        <f t="shared" si="54"/>
        <v>135</v>
      </c>
      <c r="CL77" s="14">
        <f t="shared" si="55"/>
        <v>0</v>
      </c>
      <c r="CM77" s="14">
        <f t="shared" si="56"/>
        <v>0</v>
      </c>
      <c r="CN77" s="14">
        <f t="shared" si="57"/>
        <v>19.25</v>
      </c>
      <c r="CO77" s="14">
        <f t="shared" si="58"/>
        <v>0</v>
      </c>
      <c r="CP77" s="14">
        <f t="shared" si="59"/>
        <v>0</v>
      </c>
      <c r="CQ77" s="14">
        <f t="shared" si="67"/>
        <v>4</v>
      </c>
      <c r="CR77" s="14">
        <f t="shared" si="68"/>
        <v>2</v>
      </c>
      <c r="CS77" s="14">
        <f t="shared" si="69"/>
        <v>21</v>
      </c>
      <c r="CV77" s="14">
        <f t="shared" si="60"/>
        <v>1</v>
      </c>
      <c r="CW77" s="14">
        <f t="shared" si="61"/>
        <v>0</v>
      </c>
      <c r="CX77" s="14" t="str">
        <f t="shared" si="70"/>
        <v>AtkExt</v>
      </c>
      <c r="CY77" s="14">
        <f t="shared" si="71"/>
        <v>135</v>
      </c>
      <c r="CZ77" s="14">
        <f t="shared" si="72"/>
        <v>19.25</v>
      </c>
      <c r="DA77" s="14" t="str">
        <f t="shared" si="73"/>
        <v/>
      </c>
      <c r="DB77" s="14" t="str">
        <f t="shared" si="74"/>
        <v/>
      </c>
      <c r="DC77" s="14" t="str">
        <f t="shared" si="75"/>
        <v/>
      </c>
      <c r="DD77" s="14">
        <f t="shared" si="76"/>
        <v>4</v>
      </c>
      <c r="DE77" s="14">
        <f t="shared" si="77"/>
        <v>2</v>
      </c>
      <c r="DF77" s="14">
        <f t="shared" si="78"/>
        <v>21</v>
      </c>
      <c r="DG77" s="14">
        <f t="shared" si="79"/>
        <v>50</v>
      </c>
      <c r="DJ77" s="37"/>
      <c r="DK77" s="37"/>
      <c r="DL77" s="37"/>
      <c r="DM77" s="37"/>
      <c r="DO77" s="37"/>
      <c r="DP77" s="37"/>
      <c r="DV77" s="37"/>
      <c r="DW77" s="37"/>
      <c r="EC77" s="37"/>
      <c r="ED77" s="37"/>
      <c r="EE77" s="37"/>
    </row>
    <row r="78" spans="1:140" s="20" customFormat="1" ht="16.5" x14ac:dyDescent="0.2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13">
        <v>73</v>
      </c>
      <c r="BE78" s="13">
        <v>6</v>
      </c>
      <c r="BF78" s="13">
        <v>120</v>
      </c>
      <c r="BG78" s="13">
        <v>4</v>
      </c>
      <c r="BH78" s="13">
        <v>1</v>
      </c>
      <c r="BI78" s="13">
        <v>5</v>
      </c>
      <c r="BJ78" s="13">
        <f t="shared" si="87"/>
        <v>2064050</v>
      </c>
      <c r="BK78" s="13" t="s">
        <v>779</v>
      </c>
      <c r="BL78" s="13">
        <v>1062</v>
      </c>
      <c r="BM78" s="13">
        <v>6</v>
      </c>
      <c r="BN78" s="13">
        <f>SUM(BM$6:BM78)</f>
        <v>524</v>
      </c>
      <c r="BO78" s="13">
        <v>1</v>
      </c>
      <c r="BP78" s="13">
        <v>2</v>
      </c>
      <c r="BQ78" s="13">
        <v>3</v>
      </c>
      <c r="BR78" s="13">
        <v>4</v>
      </c>
      <c r="BS78" s="13">
        <v>5</v>
      </c>
      <c r="BT78" s="13">
        <v>6</v>
      </c>
      <c r="BU78" s="13"/>
      <c r="BV78" s="13"/>
      <c r="BW78" s="37"/>
      <c r="BY78" s="13">
        <v>74</v>
      </c>
      <c r="BZ78" s="14">
        <f t="shared" si="62"/>
        <v>10</v>
      </c>
      <c r="CA78" s="14">
        <f t="shared" si="63"/>
        <v>4</v>
      </c>
      <c r="CB78" s="14">
        <f t="shared" si="48"/>
        <v>1</v>
      </c>
      <c r="CC78" s="14">
        <f t="shared" si="49"/>
        <v>2014042</v>
      </c>
      <c r="CD78" s="13" t="str">
        <f t="shared" si="50"/>
        <v>20级守护灵橙色套1-头盔</v>
      </c>
      <c r="CE78" s="14">
        <f t="shared" si="51"/>
        <v>2</v>
      </c>
      <c r="CF78" s="14">
        <f t="shared" si="52"/>
        <v>4</v>
      </c>
      <c r="CG78" s="14">
        <f t="shared" si="64"/>
        <v>20</v>
      </c>
      <c r="CH78" s="14">
        <f t="shared" si="65"/>
        <v>20</v>
      </c>
      <c r="CI78" s="14">
        <f t="shared" si="53"/>
        <v>2</v>
      </c>
      <c r="CJ78" s="14">
        <f t="shared" si="66"/>
        <v>2011</v>
      </c>
      <c r="CK78" s="14">
        <f t="shared" si="54"/>
        <v>0</v>
      </c>
      <c r="CL78" s="14">
        <f t="shared" si="55"/>
        <v>28</v>
      </c>
      <c r="CM78" s="14">
        <f t="shared" si="56"/>
        <v>0</v>
      </c>
      <c r="CN78" s="14">
        <f t="shared" si="57"/>
        <v>0</v>
      </c>
      <c r="CO78" s="14">
        <f t="shared" si="58"/>
        <v>3.95</v>
      </c>
      <c r="CP78" s="14">
        <f t="shared" si="59"/>
        <v>0</v>
      </c>
      <c r="CQ78" s="14">
        <f t="shared" si="67"/>
        <v>4</v>
      </c>
      <c r="CR78" s="14">
        <f t="shared" si="68"/>
        <v>2</v>
      </c>
      <c r="CS78" s="14">
        <f t="shared" si="69"/>
        <v>21</v>
      </c>
      <c r="CV78" s="14">
        <f t="shared" si="60"/>
        <v>2</v>
      </c>
      <c r="CW78" s="14">
        <f t="shared" si="61"/>
        <v>0</v>
      </c>
      <c r="CX78" s="14" t="str">
        <f t="shared" si="70"/>
        <v>DefExt</v>
      </c>
      <c r="CY78" s="14">
        <f t="shared" si="71"/>
        <v>28</v>
      </c>
      <c r="CZ78" s="14">
        <f t="shared" si="72"/>
        <v>3.95</v>
      </c>
      <c r="DA78" s="14" t="str">
        <f t="shared" si="73"/>
        <v/>
      </c>
      <c r="DB78" s="14" t="str">
        <f t="shared" si="74"/>
        <v/>
      </c>
      <c r="DC78" s="14" t="str">
        <f t="shared" si="75"/>
        <v/>
      </c>
      <c r="DD78" s="14">
        <f t="shared" si="76"/>
        <v>4</v>
      </c>
      <c r="DE78" s="14">
        <f t="shared" si="77"/>
        <v>2</v>
      </c>
      <c r="DF78" s="14">
        <f t="shared" si="78"/>
        <v>21</v>
      </c>
      <c r="DG78" s="14">
        <f t="shared" si="79"/>
        <v>50</v>
      </c>
      <c r="DJ78" s="37"/>
      <c r="DK78" s="37"/>
      <c r="DL78" s="37"/>
      <c r="DM78" s="37"/>
      <c r="DO78" s="37"/>
      <c r="DP78" s="37"/>
      <c r="DV78" s="37"/>
      <c r="DW78" s="37"/>
      <c r="EC78" s="37"/>
      <c r="ED78" s="37"/>
      <c r="EE78" s="37"/>
    </row>
    <row r="79" spans="1:140" s="20" customFormat="1" ht="16.5" x14ac:dyDescent="0.2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13">
        <v>74</v>
      </c>
      <c r="BE79" s="13">
        <v>6</v>
      </c>
      <c r="BF79" s="13">
        <v>120</v>
      </c>
      <c r="BG79" s="13">
        <v>4</v>
      </c>
      <c r="BH79" s="13">
        <v>2</v>
      </c>
      <c r="BI79" s="13">
        <v>6</v>
      </c>
      <c r="BJ79" s="13">
        <f t="shared" si="87"/>
        <v>2064060</v>
      </c>
      <c r="BK79" s="13" t="s">
        <v>780</v>
      </c>
      <c r="BL79" s="13">
        <v>2062</v>
      </c>
      <c r="BM79" s="13">
        <v>6</v>
      </c>
      <c r="BN79" s="13">
        <f>SUM(BM$6:BM79)</f>
        <v>530</v>
      </c>
      <c r="BO79" s="13">
        <v>1</v>
      </c>
      <c r="BP79" s="13">
        <v>2</v>
      </c>
      <c r="BQ79" s="13">
        <v>3</v>
      </c>
      <c r="BR79" s="13">
        <v>4</v>
      </c>
      <c r="BS79" s="13">
        <v>5</v>
      </c>
      <c r="BT79" s="13">
        <v>6</v>
      </c>
      <c r="BU79" s="13"/>
      <c r="BV79" s="13"/>
      <c r="BW79" s="37"/>
      <c r="BY79" s="13">
        <v>75</v>
      </c>
      <c r="BZ79" s="14">
        <f t="shared" si="62"/>
        <v>10</v>
      </c>
      <c r="CA79" s="14">
        <f t="shared" si="63"/>
        <v>4</v>
      </c>
      <c r="CB79" s="14">
        <f t="shared" si="48"/>
        <v>1</v>
      </c>
      <c r="CC79" s="14">
        <f t="shared" si="49"/>
        <v>2014043</v>
      </c>
      <c r="CD79" s="13" t="str">
        <f t="shared" si="50"/>
        <v>20级守护灵橙色套1-肩甲</v>
      </c>
      <c r="CE79" s="14">
        <f t="shared" si="51"/>
        <v>2</v>
      </c>
      <c r="CF79" s="14">
        <f t="shared" si="52"/>
        <v>4</v>
      </c>
      <c r="CG79" s="14">
        <f t="shared" si="64"/>
        <v>20</v>
      </c>
      <c r="CH79" s="14">
        <f t="shared" si="65"/>
        <v>20</v>
      </c>
      <c r="CI79" s="14">
        <f t="shared" si="53"/>
        <v>3</v>
      </c>
      <c r="CJ79" s="14">
        <f t="shared" si="66"/>
        <v>2011</v>
      </c>
      <c r="CK79" s="14">
        <f t="shared" si="54"/>
        <v>0</v>
      </c>
      <c r="CL79" s="14">
        <f t="shared" si="55"/>
        <v>14</v>
      </c>
      <c r="CM79" s="14">
        <f t="shared" si="56"/>
        <v>131</v>
      </c>
      <c r="CN79" s="14">
        <f t="shared" si="57"/>
        <v>0</v>
      </c>
      <c r="CO79" s="14">
        <f t="shared" si="58"/>
        <v>1.98</v>
      </c>
      <c r="CP79" s="14">
        <f t="shared" si="59"/>
        <v>18.71</v>
      </c>
      <c r="CQ79" s="14">
        <f t="shared" si="67"/>
        <v>4</v>
      </c>
      <c r="CR79" s="14">
        <f t="shared" si="68"/>
        <v>2</v>
      </c>
      <c r="CS79" s="14">
        <f t="shared" si="69"/>
        <v>21</v>
      </c>
      <c r="CV79" s="14">
        <f t="shared" si="60"/>
        <v>2</v>
      </c>
      <c r="CW79" s="14">
        <f t="shared" si="61"/>
        <v>3</v>
      </c>
      <c r="CX79" s="14" t="str">
        <f t="shared" si="70"/>
        <v>DefExt</v>
      </c>
      <c r="CY79" s="14">
        <f t="shared" si="71"/>
        <v>14</v>
      </c>
      <c r="CZ79" s="14">
        <f t="shared" si="72"/>
        <v>1.98</v>
      </c>
      <c r="DA79" s="14" t="str">
        <f t="shared" si="73"/>
        <v>HPExt</v>
      </c>
      <c r="DB79" s="14">
        <f t="shared" si="74"/>
        <v>131</v>
      </c>
      <c r="DC79" s="14">
        <f t="shared" si="75"/>
        <v>18.71</v>
      </c>
      <c r="DD79" s="14">
        <f t="shared" si="76"/>
        <v>4</v>
      </c>
      <c r="DE79" s="14">
        <f t="shared" si="77"/>
        <v>2</v>
      </c>
      <c r="DF79" s="14">
        <f t="shared" si="78"/>
        <v>21</v>
      </c>
      <c r="DG79" s="14">
        <f t="shared" si="79"/>
        <v>50</v>
      </c>
      <c r="DJ79" s="37"/>
      <c r="DK79" s="37"/>
      <c r="DL79" s="37"/>
      <c r="DM79" s="37"/>
      <c r="DO79" s="37"/>
      <c r="DP79" s="37"/>
      <c r="DV79" s="37"/>
      <c r="DW79" s="37"/>
      <c r="EC79" s="37"/>
      <c r="ED79" s="37"/>
      <c r="EE79" s="37"/>
    </row>
    <row r="80" spans="1:140" s="20" customFormat="1" ht="16.5" x14ac:dyDescent="0.2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13">
        <v>75</v>
      </c>
      <c r="BE80" s="13">
        <v>6</v>
      </c>
      <c r="BF80" s="13">
        <v>120</v>
      </c>
      <c r="BG80" s="13">
        <v>4</v>
      </c>
      <c r="BH80" s="13">
        <v>1</v>
      </c>
      <c r="BI80" s="13">
        <v>7</v>
      </c>
      <c r="BJ80" s="13">
        <f t="shared" si="87"/>
        <v>2064070</v>
      </c>
      <c r="BK80" s="13" t="s">
        <v>781</v>
      </c>
      <c r="BL80" s="13">
        <v>1063</v>
      </c>
      <c r="BM80" s="13">
        <v>6</v>
      </c>
      <c r="BN80" s="13">
        <f>SUM(BM$6:BM80)</f>
        <v>536</v>
      </c>
      <c r="BO80" s="13">
        <v>1</v>
      </c>
      <c r="BP80" s="13">
        <v>4</v>
      </c>
      <c r="BQ80" s="13">
        <v>5</v>
      </c>
      <c r="BR80" s="13">
        <v>6</v>
      </c>
      <c r="BS80" s="13">
        <v>7</v>
      </c>
      <c r="BT80" s="13">
        <v>8</v>
      </c>
      <c r="BU80" s="13"/>
      <c r="BV80" s="13"/>
      <c r="BW80" s="37"/>
      <c r="BY80" s="13">
        <v>76</v>
      </c>
      <c r="BZ80" s="14">
        <f t="shared" si="62"/>
        <v>10</v>
      </c>
      <c r="CA80" s="14">
        <f t="shared" si="63"/>
        <v>4</v>
      </c>
      <c r="CB80" s="14">
        <f t="shared" si="48"/>
        <v>1</v>
      </c>
      <c r="CC80" s="14">
        <f t="shared" si="49"/>
        <v>2014044</v>
      </c>
      <c r="CD80" s="13" t="str">
        <f t="shared" si="50"/>
        <v>20级守护灵橙色套1-衣服</v>
      </c>
      <c r="CE80" s="14">
        <f t="shared" si="51"/>
        <v>2</v>
      </c>
      <c r="CF80" s="14">
        <f t="shared" si="52"/>
        <v>4</v>
      </c>
      <c r="CG80" s="14">
        <f t="shared" si="64"/>
        <v>20</v>
      </c>
      <c r="CH80" s="14">
        <f t="shared" si="65"/>
        <v>20</v>
      </c>
      <c r="CI80" s="14">
        <f t="shared" si="53"/>
        <v>4</v>
      </c>
      <c r="CJ80" s="14">
        <f t="shared" si="66"/>
        <v>2011</v>
      </c>
      <c r="CK80" s="14">
        <f t="shared" si="54"/>
        <v>0</v>
      </c>
      <c r="CL80" s="14">
        <f t="shared" si="55"/>
        <v>28</v>
      </c>
      <c r="CM80" s="14">
        <f t="shared" si="56"/>
        <v>0</v>
      </c>
      <c r="CN80" s="14">
        <f t="shared" si="57"/>
        <v>0</v>
      </c>
      <c r="CO80" s="14">
        <f t="shared" si="58"/>
        <v>3.95</v>
      </c>
      <c r="CP80" s="14">
        <f t="shared" si="59"/>
        <v>0</v>
      </c>
      <c r="CQ80" s="14">
        <f t="shared" si="67"/>
        <v>4</v>
      </c>
      <c r="CR80" s="14">
        <f t="shared" si="68"/>
        <v>2</v>
      </c>
      <c r="CS80" s="14">
        <f t="shared" si="69"/>
        <v>21</v>
      </c>
      <c r="CV80" s="14">
        <f t="shared" si="60"/>
        <v>2</v>
      </c>
      <c r="CW80" s="14">
        <f t="shared" si="61"/>
        <v>0</v>
      </c>
      <c r="CX80" s="14" t="str">
        <f t="shared" si="70"/>
        <v>DefExt</v>
      </c>
      <c r="CY80" s="14">
        <f t="shared" si="71"/>
        <v>28</v>
      </c>
      <c r="CZ80" s="14">
        <f t="shared" si="72"/>
        <v>3.95</v>
      </c>
      <c r="DA80" s="14" t="str">
        <f t="shared" si="73"/>
        <v/>
      </c>
      <c r="DB80" s="14" t="str">
        <f t="shared" si="74"/>
        <v/>
      </c>
      <c r="DC80" s="14" t="str">
        <f t="shared" si="75"/>
        <v/>
      </c>
      <c r="DD80" s="14">
        <f t="shared" si="76"/>
        <v>4</v>
      </c>
      <c r="DE80" s="14">
        <f t="shared" si="77"/>
        <v>2</v>
      </c>
      <c r="DF80" s="14">
        <f t="shared" si="78"/>
        <v>21</v>
      </c>
      <c r="DG80" s="14">
        <f t="shared" si="79"/>
        <v>50</v>
      </c>
      <c r="DJ80" s="37"/>
      <c r="DK80" s="37"/>
      <c r="DL80" s="37"/>
      <c r="DM80" s="37"/>
      <c r="DO80" s="37"/>
      <c r="DP80" s="37"/>
      <c r="DV80" s="37"/>
      <c r="DW80" s="37"/>
      <c r="EC80" s="37"/>
      <c r="ED80" s="37"/>
      <c r="EE80" s="37"/>
    </row>
    <row r="81" spans="1:135" s="20" customFormat="1" ht="16.5" x14ac:dyDescent="0.2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13">
        <v>76</v>
      </c>
      <c r="BE81" s="13">
        <v>6</v>
      </c>
      <c r="BF81" s="13">
        <v>120</v>
      </c>
      <c r="BG81" s="13">
        <v>4</v>
      </c>
      <c r="BH81" s="13">
        <v>2</v>
      </c>
      <c r="BI81" s="13">
        <v>8</v>
      </c>
      <c r="BJ81" s="13">
        <f t="shared" si="87"/>
        <v>2064080</v>
      </c>
      <c r="BK81" s="13" t="s">
        <v>782</v>
      </c>
      <c r="BL81" s="13">
        <v>2063</v>
      </c>
      <c r="BM81" s="13">
        <v>6</v>
      </c>
      <c r="BN81" s="13">
        <f>SUM(BM$6:BM81)</f>
        <v>542</v>
      </c>
      <c r="BO81" s="13">
        <v>1</v>
      </c>
      <c r="BP81" s="13">
        <v>4</v>
      </c>
      <c r="BQ81" s="13">
        <v>5</v>
      </c>
      <c r="BR81" s="13">
        <v>6</v>
      </c>
      <c r="BS81" s="13">
        <v>7</v>
      </c>
      <c r="BT81" s="13">
        <v>8</v>
      </c>
      <c r="BU81" s="13"/>
      <c r="BV81" s="13"/>
      <c r="BW81" s="37"/>
      <c r="BY81" s="13">
        <v>77</v>
      </c>
      <c r="BZ81" s="14">
        <f t="shared" si="62"/>
        <v>10</v>
      </c>
      <c r="CA81" s="14">
        <f t="shared" si="63"/>
        <v>4</v>
      </c>
      <c r="CB81" s="14">
        <f t="shared" si="48"/>
        <v>1</v>
      </c>
      <c r="CC81" s="14">
        <f t="shared" si="49"/>
        <v>2014045</v>
      </c>
      <c r="CD81" s="13" t="str">
        <f t="shared" si="50"/>
        <v>20级守护灵橙色套1-鞋子</v>
      </c>
      <c r="CE81" s="14">
        <f t="shared" si="51"/>
        <v>2</v>
      </c>
      <c r="CF81" s="14">
        <f t="shared" si="52"/>
        <v>4</v>
      </c>
      <c r="CG81" s="14">
        <f t="shared" si="64"/>
        <v>20</v>
      </c>
      <c r="CH81" s="14">
        <f t="shared" si="65"/>
        <v>20</v>
      </c>
      <c r="CI81" s="14">
        <f t="shared" si="53"/>
        <v>5</v>
      </c>
      <c r="CJ81" s="14">
        <f t="shared" si="66"/>
        <v>2011</v>
      </c>
      <c r="CK81" s="14">
        <f t="shared" si="54"/>
        <v>0</v>
      </c>
      <c r="CL81" s="14">
        <f t="shared" si="55"/>
        <v>0</v>
      </c>
      <c r="CM81" s="14">
        <f t="shared" si="56"/>
        <v>262</v>
      </c>
      <c r="CN81" s="14">
        <f t="shared" si="57"/>
        <v>0</v>
      </c>
      <c r="CO81" s="14">
        <f t="shared" si="58"/>
        <v>0</v>
      </c>
      <c r="CP81" s="14">
        <f t="shared" si="59"/>
        <v>37.409999999999997</v>
      </c>
      <c r="CQ81" s="14">
        <f t="shared" si="67"/>
        <v>4</v>
      </c>
      <c r="CR81" s="14">
        <f t="shared" si="68"/>
        <v>2</v>
      </c>
      <c r="CS81" s="14">
        <f t="shared" si="69"/>
        <v>21</v>
      </c>
      <c r="CV81" s="14">
        <f t="shared" si="60"/>
        <v>3</v>
      </c>
      <c r="CW81" s="14">
        <f t="shared" si="61"/>
        <v>0</v>
      </c>
      <c r="CX81" s="14" t="str">
        <f t="shared" si="70"/>
        <v>HPExt</v>
      </c>
      <c r="CY81" s="14">
        <f t="shared" si="71"/>
        <v>262</v>
      </c>
      <c r="CZ81" s="14">
        <f t="shared" si="72"/>
        <v>37.409999999999997</v>
      </c>
      <c r="DA81" s="14" t="str">
        <f t="shared" si="73"/>
        <v/>
      </c>
      <c r="DB81" s="14" t="str">
        <f t="shared" si="74"/>
        <v/>
      </c>
      <c r="DC81" s="14" t="str">
        <f t="shared" si="75"/>
        <v/>
      </c>
      <c r="DD81" s="14">
        <f t="shared" si="76"/>
        <v>4</v>
      </c>
      <c r="DE81" s="14">
        <f t="shared" si="77"/>
        <v>2</v>
      </c>
      <c r="DF81" s="14">
        <f t="shared" si="78"/>
        <v>21</v>
      </c>
      <c r="DG81" s="14">
        <f t="shared" si="79"/>
        <v>50</v>
      </c>
      <c r="DJ81" s="37"/>
      <c r="DK81" s="37"/>
      <c r="DL81" s="37"/>
      <c r="DM81" s="37"/>
      <c r="DO81" s="37"/>
      <c r="DP81" s="37"/>
      <c r="DV81" s="37"/>
      <c r="DW81" s="37"/>
      <c r="EC81" s="37"/>
      <c r="ED81" s="37"/>
      <c r="EE81" s="37"/>
    </row>
    <row r="82" spans="1:135" s="20" customFormat="1" ht="16.5" x14ac:dyDescent="0.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K82" s="37"/>
      <c r="BW82" s="37"/>
      <c r="BY82" s="13">
        <v>78</v>
      </c>
      <c r="BZ82" s="14">
        <f t="shared" si="62"/>
        <v>10</v>
      </c>
      <c r="CA82" s="14">
        <f t="shared" si="63"/>
        <v>4</v>
      </c>
      <c r="CB82" s="14">
        <f t="shared" si="48"/>
        <v>1</v>
      </c>
      <c r="CC82" s="14">
        <f t="shared" si="49"/>
        <v>2014046</v>
      </c>
      <c r="CD82" s="13" t="str">
        <f t="shared" si="50"/>
        <v>20级守护灵橙色套1-护手</v>
      </c>
      <c r="CE82" s="14">
        <f t="shared" si="51"/>
        <v>2</v>
      </c>
      <c r="CF82" s="14">
        <f t="shared" si="52"/>
        <v>4</v>
      </c>
      <c r="CG82" s="14">
        <f t="shared" si="64"/>
        <v>20</v>
      </c>
      <c r="CH82" s="14">
        <f t="shared" si="65"/>
        <v>20</v>
      </c>
      <c r="CI82" s="14">
        <f t="shared" si="53"/>
        <v>6</v>
      </c>
      <c r="CJ82" s="14">
        <f t="shared" si="66"/>
        <v>2011</v>
      </c>
      <c r="CK82" s="14">
        <f t="shared" si="54"/>
        <v>0</v>
      </c>
      <c r="CL82" s="14">
        <f t="shared" si="55"/>
        <v>0</v>
      </c>
      <c r="CM82" s="14">
        <f t="shared" si="56"/>
        <v>262</v>
      </c>
      <c r="CN82" s="14">
        <f t="shared" si="57"/>
        <v>0</v>
      </c>
      <c r="CO82" s="14">
        <f t="shared" si="58"/>
        <v>0</v>
      </c>
      <c r="CP82" s="14">
        <f t="shared" si="59"/>
        <v>37.409999999999997</v>
      </c>
      <c r="CQ82" s="14">
        <f t="shared" si="67"/>
        <v>4</v>
      </c>
      <c r="CR82" s="14">
        <f t="shared" si="68"/>
        <v>2</v>
      </c>
      <c r="CS82" s="14">
        <f t="shared" si="69"/>
        <v>21</v>
      </c>
      <c r="CV82" s="14">
        <f t="shared" si="60"/>
        <v>3</v>
      </c>
      <c r="CW82" s="14">
        <f t="shared" si="61"/>
        <v>0</v>
      </c>
      <c r="CX82" s="14" t="str">
        <f t="shared" si="70"/>
        <v>HPExt</v>
      </c>
      <c r="CY82" s="14">
        <f t="shared" si="71"/>
        <v>262</v>
      </c>
      <c r="CZ82" s="14">
        <f t="shared" si="72"/>
        <v>37.409999999999997</v>
      </c>
      <c r="DA82" s="14" t="str">
        <f t="shared" si="73"/>
        <v/>
      </c>
      <c r="DB82" s="14" t="str">
        <f t="shared" si="74"/>
        <v/>
      </c>
      <c r="DC82" s="14" t="str">
        <f t="shared" si="75"/>
        <v/>
      </c>
      <c r="DD82" s="14">
        <f t="shared" si="76"/>
        <v>4</v>
      </c>
      <c r="DE82" s="14">
        <f t="shared" si="77"/>
        <v>2</v>
      </c>
      <c r="DF82" s="14">
        <f t="shared" si="78"/>
        <v>21</v>
      </c>
      <c r="DG82" s="14">
        <f t="shared" si="79"/>
        <v>50</v>
      </c>
      <c r="DJ82" s="37"/>
      <c r="DK82" s="37"/>
      <c r="DL82" s="37"/>
      <c r="DM82" s="37"/>
      <c r="DO82" s="37"/>
      <c r="DP82" s="37"/>
      <c r="DV82" s="37"/>
      <c r="DW82" s="37"/>
      <c r="EC82" s="37"/>
      <c r="ED82" s="37"/>
      <c r="EE82" s="37"/>
    </row>
    <row r="83" spans="1:135" ht="16.5" x14ac:dyDescent="0.2">
      <c r="BY83" s="13">
        <v>79</v>
      </c>
      <c r="BZ83" s="14">
        <f t="shared" si="62"/>
        <v>10</v>
      </c>
      <c r="CA83" s="14">
        <f t="shared" si="63"/>
        <v>4</v>
      </c>
      <c r="CB83" s="14">
        <f t="shared" si="48"/>
        <v>1</v>
      </c>
      <c r="CC83" s="14">
        <f t="shared" si="49"/>
        <v>2014047</v>
      </c>
      <c r="CD83" s="13" t="str">
        <f t="shared" si="50"/>
        <v>20级守护灵橙色套1-项链</v>
      </c>
      <c r="CE83" s="14">
        <f t="shared" si="51"/>
        <v>2</v>
      </c>
      <c r="CF83" s="14">
        <f t="shared" si="52"/>
        <v>4</v>
      </c>
      <c r="CG83" s="14">
        <f t="shared" si="64"/>
        <v>20</v>
      </c>
      <c r="CH83" s="14">
        <f t="shared" si="65"/>
        <v>20</v>
      </c>
      <c r="CI83" s="14">
        <f t="shared" si="53"/>
        <v>7</v>
      </c>
      <c r="CJ83" s="14">
        <f t="shared" si="66"/>
        <v>2011</v>
      </c>
      <c r="CK83" s="14">
        <f t="shared" si="54"/>
        <v>45</v>
      </c>
      <c r="CL83" s="14">
        <f t="shared" si="55"/>
        <v>23</v>
      </c>
      <c r="CM83" s="14">
        <f t="shared" si="56"/>
        <v>0</v>
      </c>
      <c r="CN83" s="14">
        <f t="shared" si="57"/>
        <v>6.42</v>
      </c>
      <c r="CO83" s="14">
        <f t="shared" si="58"/>
        <v>3.29</v>
      </c>
      <c r="CP83" s="14">
        <f t="shared" si="59"/>
        <v>0</v>
      </c>
      <c r="CQ83" s="14">
        <f t="shared" si="67"/>
        <v>4</v>
      </c>
      <c r="CR83" s="14">
        <f t="shared" si="68"/>
        <v>2</v>
      </c>
      <c r="CS83" s="14">
        <f t="shared" si="69"/>
        <v>21</v>
      </c>
      <c r="CV83" s="14">
        <f t="shared" si="60"/>
        <v>1</v>
      </c>
      <c r="CW83" s="14">
        <f t="shared" si="61"/>
        <v>2</v>
      </c>
      <c r="CX83" s="14" t="str">
        <f t="shared" si="70"/>
        <v>AtkExt</v>
      </c>
      <c r="CY83" s="14">
        <f t="shared" si="71"/>
        <v>45</v>
      </c>
      <c r="CZ83" s="14">
        <f t="shared" si="72"/>
        <v>6.42</v>
      </c>
      <c r="DA83" s="14" t="str">
        <f t="shared" si="73"/>
        <v>DefExt</v>
      </c>
      <c r="DB83" s="14">
        <f t="shared" si="74"/>
        <v>23</v>
      </c>
      <c r="DC83" s="14">
        <f t="shared" si="75"/>
        <v>3.29</v>
      </c>
      <c r="DD83" s="14">
        <f t="shared" si="76"/>
        <v>4</v>
      </c>
      <c r="DE83" s="14">
        <f t="shared" si="77"/>
        <v>2</v>
      </c>
      <c r="DF83" s="14">
        <f t="shared" si="78"/>
        <v>21</v>
      </c>
      <c r="DG83" s="14">
        <f t="shared" si="79"/>
        <v>50</v>
      </c>
    </row>
    <row r="84" spans="1:135" ht="16.5" x14ac:dyDescent="0.2">
      <c r="BE84" s="16"/>
      <c r="BF84" s="16"/>
      <c r="BG84" s="16"/>
      <c r="BH84" s="16"/>
      <c r="BI84" s="16"/>
      <c r="BJ84" s="16"/>
      <c r="BK84" s="16"/>
      <c r="BL84" s="16"/>
      <c r="BY84" s="13">
        <v>80</v>
      </c>
      <c r="BZ84" s="14">
        <f t="shared" si="62"/>
        <v>10</v>
      </c>
      <c r="CA84" s="14">
        <f t="shared" si="63"/>
        <v>4</v>
      </c>
      <c r="CB84" s="14">
        <f t="shared" si="48"/>
        <v>1</v>
      </c>
      <c r="CC84" s="14">
        <f t="shared" si="49"/>
        <v>2014048</v>
      </c>
      <c r="CD84" s="13" t="str">
        <f t="shared" si="50"/>
        <v>20级守护灵橙色套1-戒指</v>
      </c>
      <c r="CE84" s="14">
        <f t="shared" si="51"/>
        <v>2</v>
      </c>
      <c r="CF84" s="14">
        <f t="shared" si="52"/>
        <v>4</v>
      </c>
      <c r="CG84" s="14">
        <f t="shared" si="64"/>
        <v>20</v>
      </c>
      <c r="CH84" s="14">
        <f t="shared" si="65"/>
        <v>20</v>
      </c>
      <c r="CI84" s="14">
        <f t="shared" si="53"/>
        <v>8</v>
      </c>
      <c r="CJ84" s="14">
        <f t="shared" si="66"/>
        <v>2011</v>
      </c>
      <c r="CK84" s="14">
        <f t="shared" si="54"/>
        <v>45</v>
      </c>
      <c r="CL84" s="14">
        <f t="shared" si="55"/>
        <v>0</v>
      </c>
      <c r="CM84" s="14">
        <f t="shared" si="56"/>
        <v>218</v>
      </c>
      <c r="CN84" s="14">
        <f t="shared" si="57"/>
        <v>6.42</v>
      </c>
      <c r="CO84" s="14">
        <f t="shared" si="58"/>
        <v>0</v>
      </c>
      <c r="CP84" s="14">
        <f t="shared" si="59"/>
        <v>31.18</v>
      </c>
      <c r="CQ84" s="14">
        <f t="shared" si="67"/>
        <v>4</v>
      </c>
      <c r="CR84" s="14">
        <f t="shared" si="68"/>
        <v>2</v>
      </c>
      <c r="CS84" s="14">
        <f t="shared" si="69"/>
        <v>21</v>
      </c>
      <c r="CV84" s="14">
        <f t="shared" si="60"/>
        <v>1</v>
      </c>
      <c r="CW84" s="14">
        <f t="shared" si="61"/>
        <v>3</v>
      </c>
      <c r="CX84" s="14" t="str">
        <f t="shared" si="70"/>
        <v>AtkExt</v>
      </c>
      <c r="CY84" s="14">
        <f t="shared" si="71"/>
        <v>45</v>
      </c>
      <c r="CZ84" s="14">
        <f t="shared" si="72"/>
        <v>6.42</v>
      </c>
      <c r="DA84" s="14" t="str">
        <f t="shared" si="73"/>
        <v>HPExt</v>
      </c>
      <c r="DB84" s="14">
        <f t="shared" si="74"/>
        <v>218</v>
      </c>
      <c r="DC84" s="14">
        <f t="shared" si="75"/>
        <v>31.18</v>
      </c>
      <c r="DD84" s="14">
        <f t="shared" si="76"/>
        <v>4</v>
      </c>
      <c r="DE84" s="14">
        <f t="shared" si="77"/>
        <v>2</v>
      </c>
      <c r="DF84" s="14">
        <f t="shared" si="78"/>
        <v>21</v>
      </c>
      <c r="DG84" s="14">
        <f t="shared" si="79"/>
        <v>50</v>
      </c>
    </row>
    <row r="85" spans="1:135" ht="16.5" x14ac:dyDescent="0.2">
      <c r="BE85" s="16"/>
      <c r="BF85" s="16"/>
      <c r="BG85" s="16"/>
      <c r="BH85" s="16"/>
      <c r="BI85" s="16"/>
      <c r="BJ85" s="16"/>
      <c r="BK85" s="16"/>
      <c r="BL85" s="16"/>
      <c r="BY85" s="13">
        <v>81</v>
      </c>
      <c r="BZ85" s="14">
        <f t="shared" si="62"/>
        <v>11</v>
      </c>
      <c r="CA85" s="14">
        <f t="shared" si="63"/>
        <v>1</v>
      </c>
      <c r="CB85" s="14">
        <f t="shared" si="48"/>
        <v>2</v>
      </c>
      <c r="CC85" s="14">
        <f t="shared" si="49"/>
        <v>2021011</v>
      </c>
      <c r="CD85" s="13" t="str">
        <f t="shared" si="50"/>
        <v>40级寄灵人绿色-武器</v>
      </c>
      <c r="CE85" s="14">
        <f t="shared" si="51"/>
        <v>1</v>
      </c>
      <c r="CF85" s="14">
        <f t="shared" si="52"/>
        <v>1</v>
      </c>
      <c r="CG85" s="14">
        <f t="shared" si="64"/>
        <v>40</v>
      </c>
      <c r="CH85" s="14">
        <f t="shared" si="65"/>
        <v>40</v>
      </c>
      <c r="CI85" s="14">
        <f t="shared" si="53"/>
        <v>1</v>
      </c>
      <c r="CJ85" s="14" t="str">
        <f t="shared" si="66"/>
        <v/>
      </c>
      <c r="CK85" s="14">
        <f t="shared" si="54"/>
        <v>100</v>
      </c>
      <c r="CL85" s="14">
        <f t="shared" si="55"/>
        <v>0</v>
      </c>
      <c r="CM85" s="14">
        <f t="shared" si="56"/>
        <v>0</v>
      </c>
      <c r="CN85" s="14">
        <f t="shared" si="57"/>
        <v>16.62</v>
      </c>
      <c r="CO85" s="14">
        <f t="shared" si="58"/>
        <v>0</v>
      </c>
      <c r="CP85" s="14">
        <f t="shared" si="59"/>
        <v>0</v>
      </c>
      <c r="CQ85" s="14">
        <f t="shared" si="67"/>
        <v>5</v>
      </c>
      <c r="CR85" s="14">
        <f t="shared" si="68"/>
        <v>0</v>
      </c>
      <c r="CS85" s="14">
        <f t="shared" si="69"/>
        <v>12</v>
      </c>
      <c r="CV85" s="14">
        <f t="shared" si="60"/>
        <v>1</v>
      </c>
      <c r="CW85" s="14">
        <f t="shared" si="61"/>
        <v>0</v>
      </c>
      <c r="CX85" s="14" t="str">
        <f t="shared" si="70"/>
        <v>AtkExt</v>
      </c>
      <c r="CY85" s="14">
        <f t="shared" si="71"/>
        <v>100</v>
      </c>
      <c r="CZ85" s="14">
        <f t="shared" si="72"/>
        <v>16.62</v>
      </c>
      <c r="DA85" s="14" t="str">
        <f t="shared" si="73"/>
        <v/>
      </c>
      <c r="DB85" s="14" t="str">
        <f t="shared" si="74"/>
        <v/>
      </c>
      <c r="DC85" s="14" t="str">
        <f t="shared" si="75"/>
        <v/>
      </c>
      <c r="DD85" s="14">
        <f t="shared" si="76"/>
        <v>5</v>
      </c>
      <c r="DE85" s="14">
        <f t="shared" si="77"/>
        <v>0</v>
      </c>
      <c r="DF85" s="14">
        <f t="shared" si="78"/>
        <v>12</v>
      </c>
      <c r="DG85" s="14">
        <f t="shared" si="79"/>
        <v>10</v>
      </c>
    </row>
    <row r="86" spans="1:135" ht="16.5" x14ac:dyDescent="0.2">
      <c r="BE86" s="16"/>
      <c r="BF86" s="16"/>
      <c r="BG86" s="16"/>
      <c r="BH86" s="16"/>
      <c r="BI86" s="16"/>
      <c r="BJ86" s="16"/>
      <c r="BK86" s="16"/>
      <c r="BL86" s="16"/>
      <c r="BY86" s="13">
        <v>82</v>
      </c>
      <c r="BZ86" s="14">
        <f t="shared" si="62"/>
        <v>11</v>
      </c>
      <c r="CA86" s="14">
        <f t="shared" si="63"/>
        <v>1</v>
      </c>
      <c r="CB86" s="14">
        <f t="shared" si="48"/>
        <v>2</v>
      </c>
      <c r="CC86" s="14">
        <f t="shared" si="49"/>
        <v>2021012</v>
      </c>
      <c r="CD86" s="13" t="str">
        <f t="shared" si="50"/>
        <v>40级寄灵人绿色-头盔</v>
      </c>
      <c r="CE86" s="14">
        <f t="shared" si="51"/>
        <v>1</v>
      </c>
      <c r="CF86" s="14">
        <f t="shared" si="52"/>
        <v>1</v>
      </c>
      <c r="CG86" s="14">
        <f t="shared" si="64"/>
        <v>40</v>
      </c>
      <c r="CH86" s="14">
        <f t="shared" si="65"/>
        <v>40</v>
      </c>
      <c r="CI86" s="14">
        <f t="shared" si="53"/>
        <v>2</v>
      </c>
      <c r="CJ86" s="14" t="str">
        <f t="shared" si="66"/>
        <v/>
      </c>
      <c r="CK86" s="14">
        <f t="shared" si="54"/>
        <v>0</v>
      </c>
      <c r="CL86" s="14">
        <f t="shared" si="55"/>
        <v>23</v>
      </c>
      <c r="CM86" s="14">
        <f t="shared" si="56"/>
        <v>0</v>
      </c>
      <c r="CN86" s="14">
        <f t="shared" si="57"/>
        <v>0</v>
      </c>
      <c r="CO86" s="14">
        <f t="shared" si="58"/>
        <v>3.87</v>
      </c>
      <c r="CP86" s="14">
        <f t="shared" si="59"/>
        <v>0</v>
      </c>
      <c r="CQ86" s="14">
        <f t="shared" si="67"/>
        <v>5</v>
      </c>
      <c r="CR86" s="14">
        <f t="shared" si="68"/>
        <v>0</v>
      </c>
      <c r="CS86" s="14">
        <f t="shared" si="69"/>
        <v>12</v>
      </c>
      <c r="CV86" s="14">
        <f t="shared" si="60"/>
        <v>2</v>
      </c>
      <c r="CW86" s="14">
        <f t="shared" si="61"/>
        <v>0</v>
      </c>
      <c r="CX86" s="14" t="str">
        <f t="shared" si="70"/>
        <v>DefExt</v>
      </c>
      <c r="CY86" s="14">
        <f t="shared" si="71"/>
        <v>23</v>
      </c>
      <c r="CZ86" s="14">
        <f t="shared" si="72"/>
        <v>3.87</v>
      </c>
      <c r="DA86" s="14" t="str">
        <f t="shared" si="73"/>
        <v/>
      </c>
      <c r="DB86" s="14" t="str">
        <f t="shared" si="74"/>
        <v/>
      </c>
      <c r="DC86" s="14" t="str">
        <f t="shared" si="75"/>
        <v/>
      </c>
      <c r="DD86" s="14">
        <f t="shared" si="76"/>
        <v>5</v>
      </c>
      <c r="DE86" s="14">
        <f t="shared" si="77"/>
        <v>0</v>
      </c>
      <c r="DF86" s="14">
        <f t="shared" si="78"/>
        <v>12</v>
      </c>
      <c r="DG86" s="14">
        <f t="shared" si="79"/>
        <v>10</v>
      </c>
    </row>
    <row r="87" spans="1:135" ht="16.5" x14ac:dyDescent="0.2">
      <c r="BE87" s="16"/>
      <c r="BF87" s="16"/>
      <c r="BG87" s="16"/>
      <c r="BH87" s="16"/>
      <c r="BI87" s="16"/>
      <c r="BJ87" s="16"/>
      <c r="BK87" s="16"/>
      <c r="BL87" s="16"/>
      <c r="BY87" s="13">
        <v>83</v>
      </c>
      <c r="BZ87" s="14">
        <f t="shared" si="62"/>
        <v>11</v>
      </c>
      <c r="CA87" s="14">
        <f t="shared" si="63"/>
        <v>1</v>
      </c>
      <c r="CB87" s="14">
        <f t="shared" si="48"/>
        <v>2</v>
      </c>
      <c r="CC87" s="14">
        <f t="shared" si="49"/>
        <v>2021013</v>
      </c>
      <c r="CD87" s="13" t="str">
        <f t="shared" si="50"/>
        <v>40级寄灵人绿色-肩甲</v>
      </c>
      <c r="CE87" s="14">
        <f t="shared" si="51"/>
        <v>1</v>
      </c>
      <c r="CF87" s="14">
        <f t="shared" si="52"/>
        <v>1</v>
      </c>
      <c r="CG87" s="14">
        <f t="shared" si="64"/>
        <v>40</v>
      </c>
      <c r="CH87" s="14">
        <f t="shared" si="65"/>
        <v>40</v>
      </c>
      <c r="CI87" s="14">
        <f t="shared" si="53"/>
        <v>3</v>
      </c>
      <c r="CJ87" s="14" t="str">
        <f t="shared" si="66"/>
        <v/>
      </c>
      <c r="CK87" s="14">
        <f t="shared" si="54"/>
        <v>0</v>
      </c>
      <c r="CL87" s="14">
        <f t="shared" si="55"/>
        <v>12</v>
      </c>
      <c r="CM87" s="14">
        <f t="shared" si="56"/>
        <v>79</v>
      </c>
      <c r="CN87" s="14">
        <f t="shared" si="57"/>
        <v>0</v>
      </c>
      <c r="CO87" s="14">
        <f t="shared" si="58"/>
        <v>1.93</v>
      </c>
      <c r="CP87" s="14">
        <f t="shared" si="59"/>
        <v>13.21</v>
      </c>
      <c r="CQ87" s="14">
        <f t="shared" si="67"/>
        <v>5</v>
      </c>
      <c r="CR87" s="14">
        <f t="shared" si="68"/>
        <v>0</v>
      </c>
      <c r="CS87" s="14">
        <f t="shared" si="69"/>
        <v>12</v>
      </c>
      <c r="CV87" s="14">
        <f t="shared" si="60"/>
        <v>2</v>
      </c>
      <c r="CW87" s="14">
        <f t="shared" si="61"/>
        <v>3</v>
      </c>
      <c r="CX87" s="14" t="str">
        <f t="shared" si="70"/>
        <v>DefExt</v>
      </c>
      <c r="CY87" s="14">
        <f t="shared" si="71"/>
        <v>12</v>
      </c>
      <c r="CZ87" s="14">
        <f t="shared" si="72"/>
        <v>1.93</v>
      </c>
      <c r="DA87" s="14" t="str">
        <f t="shared" si="73"/>
        <v>HPExt</v>
      </c>
      <c r="DB87" s="14">
        <f t="shared" si="74"/>
        <v>79</v>
      </c>
      <c r="DC87" s="14">
        <f t="shared" si="75"/>
        <v>13.21</v>
      </c>
      <c r="DD87" s="14">
        <f t="shared" si="76"/>
        <v>5</v>
      </c>
      <c r="DE87" s="14">
        <f t="shared" si="77"/>
        <v>0</v>
      </c>
      <c r="DF87" s="14">
        <f t="shared" si="78"/>
        <v>12</v>
      </c>
      <c r="DG87" s="14">
        <f t="shared" si="79"/>
        <v>10</v>
      </c>
    </row>
    <row r="88" spans="1:135" ht="16.5" x14ac:dyDescent="0.2">
      <c r="BE88" s="16"/>
      <c r="BF88" s="16"/>
      <c r="BG88" s="16"/>
      <c r="BH88" s="16"/>
      <c r="BI88" s="16"/>
      <c r="BJ88" s="16"/>
      <c r="BK88" s="16"/>
      <c r="BL88" s="16"/>
      <c r="BY88" s="13">
        <v>84</v>
      </c>
      <c r="BZ88" s="14">
        <f t="shared" si="62"/>
        <v>11</v>
      </c>
      <c r="CA88" s="14">
        <f t="shared" si="63"/>
        <v>1</v>
      </c>
      <c r="CB88" s="14">
        <f t="shared" si="48"/>
        <v>2</v>
      </c>
      <c r="CC88" s="14">
        <f t="shared" si="49"/>
        <v>2021014</v>
      </c>
      <c r="CD88" s="13" t="str">
        <f t="shared" si="50"/>
        <v>40级寄灵人绿色-衣服</v>
      </c>
      <c r="CE88" s="14">
        <f t="shared" si="51"/>
        <v>1</v>
      </c>
      <c r="CF88" s="14">
        <f t="shared" si="52"/>
        <v>1</v>
      </c>
      <c r="CG88" s="14">
        <f t="shared" si="64"/>
        <v>40</v>
      </c>
      <c r="CH88" s="14">
        <f t="shared" si="65"/>
        <v>40</v>
      </c>
      <c r="CI88" s="14">
        <f t="shared" si="53"/>
        <v>4</v>
      </c>
      <c r="CJ88" s="14" t="str">
        <f t="shared" si="66"/>
        <v/>
      </c>
      <c r="CK88" s="14">
        <f t="shared" si="54"/>
        <v>0</v>
      </c>
      <c r="CL88" s="14">
        <f t="shared" si="55"/>
        <v>23</v>
      </c>
      <c r="CM88" s="14">
        <f t="shared" si="56"/>
        <v>0</v>
      </c>
      <c r="CN88" s="14">
        <f t="shared" si="57"/>
        <v>0</v>
      </c>
      <c r="CO88" s="14">
        <f t="shared" si="58"/>
        <v>3.87</v>
      </c>
      <c r="CP88" s="14">
        <f t="shared" si="59"/>
        <v>0</v>
      </c>
      <c r="CQ88" s="14">
        <f t="shared" si="67"/>
        <v>5</v>
      </c>
      <c r="CR88" s="14">
        <f t="shared" si="68"/>
        <v>0</v>
      </c>
      <c r="CS88" s="14">
        <f t="shared" si="69"/>
        <v>12</v>
      </c>
      <c r="CV88" s="14">
        <f t="shared" si="60"/>
        <v>2</v>
      </c>
      <c r="CW88" s="14">
        <f t="shared" si="61"/>
        <v>0</v>
      </c>
      <c r="CX88" s="14" t="str">
        <f t="shared" si="70"/>
        <v>DefExt</v>
      </c>
      <c r="CY88" s="14">
        <f t="shared" si="71"/>
        <v>23</v>
      </c>
      <c r="CZ88" s="14">
        <f t="shared" si="72"/>
        <v>3.87</v>
      </c>
      <c r="DA88" s="14" t="str">
        <f t="shared" si="73"/>
        <v/>
      </c>
      <c r="DB88" s="14" t="str">
        <f t="shared" si="74"/>
        <v/>
      </c>
      <c r="DC88" s="14" t="str">
        <f t="shared" si="75"/>
        <v/>
      </c>
      <c r="DD88" s="14">
        <f t="shared" si="76"/>
        <v>5</v>
      </c>
      <c r="DE88" s="14">
        <f t="shared" si="77"/>
        <v>0</v>
      </c>
      <c r="DF88" s="14">
        <f t="shared" si="78"/>
        <v>12</v>
      </c>
      <c r="DG88" s="14">
        <f t="shared" si="79"/>
        <v>10</v>
      </c>
    </row>
    <row r="89" spans="1:135" ht="16.5" x14ac:dyDescent="0.2">
      <c r="BE89" s="16"/>
      <c r="BF89" s="16"/>
      <c r="BG89" s="16"/>
      <c r="BH89" s="16"/>
      <c r="BI89" s="16"/>
      <c r="BJ89" s="16"/>
      <c r="BK89" s="16"/>
      <c r="BL89" s="16"/>
      <c r="BY89" s="13">
        <v>85</v>
      </c>
      <c r="BZ89" s="14">
        <f t="shared" si="62"/>
        <v>11</v>
      </c>
      <c r="CA89" s="14">
        <f t="shared" si="63"/>
        <v>1</v>
      </c>
      <c r="CB89" s="14">
        <f t="shared" si="48"/>
        <v>2</v>
      </c>
      <c r="CC89" s="14">
        <f t="shared" si="49"/>
        <v>2021015</v>
      </c>
      <c r="CD89" s="13" t="str">
        <f t="shared" si="50"/>
        <v>40级寄灵人绿色-鞋子</v>
      </c>
      <c r="CE89" s="14">
        <f t="shared" si="51"/>
        <v>1</v>
      </c>
      <c r="CF89" s="14">
        <f t="shared" si="52"/>
        <v>1</v>
      </c>
      <c r="CG89" s="14">
        <f t="shared" si="64"/>
        <v>40</v>
      </c>
      <c r="CH89" s="14">
        <f t="shared" si="65"/>
        <v>40</v>
      </c>
      <c r="CI89" s="14">
        <f t="shared" si="53"/>
        <v>5</v>
      </c>
      <c r="CJ89" s="14" t="str">
        <f t="shared" si="66"/>
        <v/>
      </c>
      <c r="CK89" s="14">
        <f t="shared" si="54"/>
        <v>0</v>
      </c>
      <c r="CL89" s="14">
        <f t="shared" si="55"/>
        <v>0</v>
      </c>
      <c r="CM89" s="14">
        <f t="shared" si="56"/>
        <v>159</v>
      </c>
      <c r="CN89" s="14">
        <f t="shared" si="57"/>
        <v>0</v>
      </c>
      <c r="CO89" s="14">
        <f t="shared" si="58"/>
        <v>0</v>
      </c>
      <c r="CP89" s="14">
        <f t="shared" si="59"/>
        <v>26.42</v>
      </c>
      <c r="CQ89" s="14">
        <f t="shared" si="67"/>
        <v>5</v>
      </c>
      <c r="CR89" s="14">
        <f t="shared" si="68"/>
        <v>0</v>
      </c>
      <c r="CS89" s="14">
        <f t="shared" si="69"/>
        <v>12</v>
      </c>
      <c r="CV89" s="14">
        <f t="shared" si="60"/>
        <v>3</v>
      </c>
      <c r="CW89" s="14">
        <f t="shared" si="61"/>
        <v>0</v>
      </c>
      <c r="CX89" s="14" t="str">
        <f t="shared" si="70"/>
        <v>HPExt</v>
      </c>
      <c r="CY89" s="14">
        <f t="shared" si="71"/>
        <v>159</v>
      </c>
      <c r="CZ89" s="14">
        <f t="shared" si="72"/>
        <v>26.42</v>
      </c>
      <c r="DA89" s="14" t="str">
        <f t="shared" si="73"/>
        <v/>
      </c>
      <c r="DB89" s="14" t="str">
        <f t="shared" si="74"/>
        <v/>
      </c>
      <c r="DC89" s="14" t="str">
        <f t="shared" si="75"/>
        <v/>
      </c>
      <c r="DD89" s="14">
        <f t="shared" si="76"/>
        <v>5</v>
      </c>
      <c r="DE89" s="14">
        <f t="shared" si="77"/>
        <v>0</v>
      </c>
      <c r="DF89" s="14">
        <f t="shared" si="78"/>
        <v>12</v>
      </c>
      <c r="DG89" s="14">
        <f t="shared" si="79"/>
        <v>10</v>
      </c>
    </row>
    <row r="90" spans="1:135" ht="16.5" x14ac:dyDescent="0.2">
      <c r="BE90" s="16"/>
      <c r="BF90" s="16"/>
      <c r="BG90" s="16"/>
      <c r="BH90" s="16"/>
      <c r="BI90" s="16"/>
      <c r="BJ90" s="16"/>
      <c r="BK90" s="16"/>
      <c r="BL90" s="16"/>
      <c r="BY90" s="13">
        <v>86</v>
      </c>
      <c r="BZ90" s="14">
        <f t="shared" si="62"/>
        <v>11</v>
      </c>
      <c r="CA90" s="14">
        <f t="shared" si="63"/>
        <v>1</v>
      </c>
      <c r="CB90" s="14">
        <f t="shared" si="48"/>
        <v>2</v>
      </c>
      <c r="CC90" s="14">
        <f t="shared" si="49"/>
        <v>2021016</v>
      </c>
      <c r="CD90" s="13" t="str">
        <f t="shared" si="50"/>
        <v>40级寄灵人绿色-护手</v>
      </c>
      <c r="CE90" s="14">
        <f t="shared" si="51"/>
        <v>1</v>
      </c>
      <c r="CF90" s="14">
        <f t="shared" si="52"/>
        <v>1</v>
      </c>
      <c r="CG90" s="14">
        <f t="shared" si="64"/>
        <v>40</v>
      </c>
      <c r="CH90" s="14">
        <f t="shared" si="65"/>
        <v>40</v>
      </c>
      <c r="CI90" s="14">
        <f t="shared" si="53"/>
        <v>6</v>
      </c>
      <c r="CJ90" s="14" t="str">
        <f t="shared" si="66"/>
        <v/>
      </c>
      <c r="CK90" s="14">
        <f t="shared" si="54"/>
        <v>0</v>
      </c>
      <c r="CL90" s="14">
        <f t="shared" si="55"/>
        <v>0</v>
      </c>
      <c r="CM90" s="14">
        <f t="shared" si="56"/>
        <v>159</v>
      </c>
      <c r="CN90" s="14">
        <f t="shared" si="57"/>
        <v>0</v>
      </c>
      <c r="CO90" s="14">
        <f t="shared" si="58"/>
        <v>0</v>
      </c>
      <c r="CP90" s="14">
        <f t="shared" si="59"/>
        <v>26.42</v>
      </c>
      <c r="CQ90" s="14">
        <f t="shared" si="67"/>
        <v>5</v>
      </c>
      <c r="CR90" s="14">
        <f t="shared" si="68"/>
        <v>0</v>
      </c>
      <c r="CS90" s="14">
        <f t="shared" si="69"/>
        <v>12</v>
      </c>
      <c r="CV90" s="14">
        <f t="shared" si="60"/>
        <v>3</v>
      </c>
      <c r="CW90" s="14">
        <f t="shared" si="61"/>
        <v>0</v>
      </c>
      <c r="CX90" s="14" t="str">
        <f t="shared" si="70"/>
        <v>HPExt</v>
      </c>
      <c r="CY90" s="14">
        <f t="shared" si="71"/>
        <v>159</v>
      </c>
      <c r="CZ90" s="14">
        <f t="shared" si="72"/>
        <v>26.42</v>
      </c>
      <c r="DA90" s="14" t="str">
        <f t="shared" si="73"/>
        <v/>
      </c>
      <c r="DB90" s="14" t="str">
        <f t="shared" si="74"/>
        <v/>
      </c>
      <c r="DC90" s="14" t="str">
        <f t="shared" si="75"/>
        <v/>
      </c>
      <c r="DD90" s="14">
        <f t="shared" si="76"/>
        <v>5</v>
      </c>
      <c r="DE90" s="14">
        <f t="shared" si="77"/>
        <v>0</v>
      </c>
      <c r="DF90" s="14">
        <f t="shared" si="78"/>
        <v>12</v>
      </c>
      <c r="DG90" s="14">
        <f t="shared" si="79"/>
        <v>10</v>
      </c>
    </row>
    <row r="91" spans="1:135" ht="16.5" x14ac:dyDescent="0.2">
      <c r="BE91" s="16"/>
      <c r="BF91" s="16"/>
      <c r="BG91" s="16"/>
      <c r="BH91" s="16"/>
      <c r="BI91" s="16"/>
      <c r="BJ91" s="16"/>
      <c r="BK91" s="16"/>
      <c r="BL91" s="16"/>
      <c r="BY91" s="13">
        <v>87</v>
      </c>
      <c r="BZ91" s="14">
        <f t="shared" si="62"/>
        <v>11</v>
      </c>
      <c r="CA91" s="14">
        <f t="shared" si="63"/>
        <v>1</v>
      </c>
      <c r="CB91" s="14">
        <f t="shared" si="48"/>
        <v>2</v>
      </c>
      <c r="CC91" s="14">
        <f t="shared" si="49"/>
        <v>2021017</v>
      </c>
      <c r="CD91" s="13" t="str">
        <f t="shared" si="50"/>
        <v>40级寄灵人绿色-项链</v>
      </c>
      <c r="CE91" s="14">
        <f t="shared" si="51"/>
        <v>1</v>
      </c>
      <c r="CF91" s="14">
        <f t="shared" si="52"/>
        <v>1</v>
      </c>
      <c r="CG91" s="14">
        <f t="shared" si="64"/>
        <v>40</v>
      </c>
      <c r="CH91" s="14">
        <f t="shared" si="65"/>
        <v>40</v>
      </c>
      <c r="CI91" s="14">
        <f t="shared" si="53"/>
        <v>7</v>
      </c>
      <c r="CJ91" s="14" t="str">
        <f t="shared" si="66"/>
        <v/>
      </c>
      <c r="CK91" s="14">
        <f t="shared" si="54"/>
        <v>33</v>
      </c>
      <c r="CL91" s="14">
        <f t="shared" si="55"/>
        <v>19</v>
      </c>
      <c r="CM91" s="14">
        <f t="shared" si="56"/>
        <v>0</v>
      </c>
      <c r="CN91" s="14">
        <f t="shared" si="57"/>
        <v>5.54</v>
      </c>
      <c r="CO91" s="14">
        <f t="shared" si="58"/>
        <v>3.22</v>
      </c>
      <c r="CP91" s="14">
        <f t="shared" si="59"/>
        <v>0</v>
      </c>
      <c r="CQ91" s="14">
        <f t="shared" si="67"/>
        <v>5</v>
      </c>
      <c r="CR91" s="14">
        <f t="shared" si="68"/>
        <v>0</v>
      </c>
      <c r="CS91" s="14">
        <f t="shared" si="69"/>
        <v>12</v>
      </c>
      <c r="CV91" s="14">
        <f t="shared" si="60"/>
        <v>1</v>
      </c>
      <c r="CW91" s="14">
        <f t="shared" si="61"/>
        <v>2</v>
      </c>
      <c r="CX91" s="14" t="str">
        <f t="shared" si="70"/>
        <v>AtkExt</v>
      </c>
      <c r="CY91" s="14">
        <f t="shared" si="71"/>
        <v>33</v>
      </c>
      <c r="CZ91" s="14">
        <f t="shared" si="72"/>
        <v>5.54</v>
      </c>
      <c r="DA91" s="14" t="str">
        <f t="shared" si="73"/>
        <v>DefExt</v>
      </c>
      <c r="DB91" s="14">
        <f t="shared" si="74"/>
        <v>19</v>
      </c>
      <c r="DC91" s="14">
        <f t="shared" si="75"/>
        <v>3.22</v>
      </c>
      <c r="DD91" s="14">
        <f t="shared" si="76"/>
        <v>5</v>
      </c>
      <c r="DE91" s="14">
        <f t="shared" si="77"/>
        <v>0</v>
      </c>
      <c r="DF91" s="14">
        <f t="shared" si="78"/>
        <v>12</v>
      </c>
      <c r="DG91" s="14">
        <f t="shared" si="79"/>
        <v>10</v>
      </c>
    </row>
    <row r="92" spans="1:135" ht="16.5" x14ac:dyDescent="0.2">
      <c r="BE92" s="16"/>
      <c r="BF92" s="16"/>
      <c r="BG92" s="16"/>
      <c r="BH92" s="16"/>
      <c r="BI92" s="16"/>
      <c r="BJ92" s="16"/>
      <c r="BK92" s="16"/>
      <c r="BL92" s="16"/>
      <c r="BY92" s="13">
        <v>88</v>
      </c>
      <c r="BZ92" s="14">
        <f t="shared" si="62"/>
        <v>11</v>
      </c>
      <c r="CA92" s="14">
        <f t="shared" si="63"/>
        <v>1</v>
      </c>
      <c r="CB92" s="14">
        <f t="shared" si="48"/>
        <v>2</v>
      </c>
      <c r="CC92" s="14">
        <f t="shared" si="49"/>
        <v>2021018</v>
      </c>
      <c r="CD92" s="13" t="str">
        <f t="shared" si="50"/>
        <v>40级寄灵人绿色-戒指</v>
      </c>
      <c r="CE92" s="14">
        <f t="shared" si="51"/>
        <v>1</v>
      </c>
      <c r="CF92" s="14">
        <f t="shared" si="52"/>
        <v>1</v>
      </c>
      <c r="CG92" s="14">
        <f t="shared" si="64"/>
        <v>40</v>
      </c>
      <c r="CH92" s="14">
        <f t="shared" si="65"/>
        <v>40</v>
      </c>
      <c r="CI92" s="14">
        <f t="shared" si="53"/>
        <v>8</v>
      </c>
      <c r="CJ92" s="14" t="str">
        <f t="shared" si="66"/>
        <v/>
      </c>
      <c r="CK92" s="14">
        <f t="shared" si="54"/>
        <v>33</v>
      </c>
      <c r="CL92" s="14">
        <f t="shared" si="55"/>
        <v>0</v>
      </c>
      <c r="CM92" s="14">
        <f t="shared" si="56"/>
        <v>132</v>
      </c>
      <c r="CN92" s="14">
        <f t="shared" si="57"/>
        <v>5.54</v>
      </c>
      <c r="CO92" s="14">
        <f t="shared" si="58"/>
        <v>0</v>
      </c>
      <c r="CP92" s="14">
        <f t="shared" si="59"/>
        <v>22.02</v>
      </c>
      <c r="CQ92" s="14">
        <f t="shared" si="67"/>
        <v>5</v>
      </c>
      <c r="CR92" s="14">
        <f t="shared" si="68"/>
        <v>0</v>
      </c>
      <c r="CS92" s="14">
        <f t="shared" si="69"/>
        <v>12</v>
      </c>
      <c r="CV92" s="14">
        <f t="shared" si="60"/>
        <v>1</v>
      </c>
      <c r="CW92" s="14">
        <f t="shared" si="61"/>
        <v>3</v>
      </c>
      <c r="CX92" s="14" t="str">
        <f t="shared" si="70"/>
        <v>AtkExt</v>
      </c>
      <c r="CY92" s="14">
        <f t="shared" si="71"/>
        <v>33</v>
      </c>
      <c r="CZ92" s="14">
        <f t="shared" si="72"/>
        <v>5.54</v>
      </c>
      <c r="DA92" s="14" t="str">
        <f t="shared" si="73"/>
        <v>HPExt</v>
      </c>
      <c r="DB92" s="14">
        <f t="shared" si="74"/>
        <v>132</v>
      </c>
      <c r="DC92" s="14">
        <f t="shared" si="75"/>
        <v>22.02</v>
      </c>
      <c r="DD92" s="14">
        <f t="shared" si="76"/>
        <v>5</v>
      </c>
      <c r="DE92" s="14">
        <f t="shared" si="77"/>
        <v>0</v>
      </c>
      <c r="DF92" s="14">
        <f t="shared" si="78"/>
        <v>12</v>
      </c>
      <c r="DG92" s="14">
        <f t="shared" si="79"/>
        <v>10</v>
      </c>
    </row>
    <row r="93" spans="1:135" ht="16.5" x14ac:dyDescent="0.2">
      <c r="BE93" s="16"/>
      <c r="BF93" s="16"/>
      <c r="BG93" s="16"/>
      <c r="BH93" s="16"/>
      <c r="BI93" s="16"/>
      <c r="BJ93" s="16"/>
      <c r="BK93" s="16"/>
      <c r="BL93" s="16"/>
      <c r="BY93" s="13">
        <v>89</v>
      </c>
      <c r="BZ93" s="14">
        <f t="shared" si="62"/>
        <v>12</v>
      </c>
      <c r="CA93" s="14">
        <f t="shared" si="63"/>
        <v>2</v>
      </c>
      <c r="CB93" s="14">
        <f t="shared" si="48"/>
        <v>2</v>
      </c>
      <c r="CC93" s="14">
        <f t="shared" si="49"/>
        <v>2021021</v>
      </c>
      <c r="CD93" s="13" t="str">
        <f t="shared" si="50"/>
        <v>40级守护灵绿色-武器</v>
      </c>
      <c r="CE93" s="14">
        <f t="shared" si="51"/>
        <v>2</v>
      </c>
      <c r="CF93" s="14">
        <f t="shared" si="52"/>
        <v>1</v>
      </c>
      <c r="CG93" s="14">
        <f t="shared" si="64"/>
        <v>40</v>
      </c>
      <c r="CH93" s="14">
        <f t="shared" si="65"/>
        <v>40</v>
      </c>
      <c r="CI93" s="14">
        <f t="shared" si="53"/>
        <v>1</v>
      </c>
      <c r="CJ93" s="14" t="str">
        <f t="shared" si="66"/>
        <v/>
      </c>
      <c r="CK93" s="14">
        <f t="shared" si="54"/>
        <v>120</v>
      </c>
      <c r="CL93" s="14">
        <f t="shared" si="55"/>
        <v>0</v>
      </c>
      <c r="CM93" s="14">
        <f t="shared" si="56"/>
        <v>0</v>
      </c>
      <c r="CN93" s="14">
        <f t="shared" si="57"/>
        <v>19.989999999999998</v>
      </c>
      <c r="CO93" s="14">
        <f t="shared" si="58"/>
        <v>0</v>
      </c>
      <c r="CP93" s="14">
        <f t="shared" si="59"/>
        <v>0</v>
      </c>
      <c r="CQ93" s="14">
        <f t="shared" si="67"/>
        <v>5</v>
      </c>
      <c r="CR93" s="14">
        <f t="shared" si="68"/>
        <v>0</v>
      </c>
      <c r="CS93" s="14">
        <f t="shared" si="69"/>
        <v>22</v>
      </c>
      <c r="CV93" s="14">
        <f t="shared" si="60"/>
        <v>1</v>
      </c>
      <c r="CW93" s="14">
        <f t="shared" si="61"/>
        <v>0</v>
      </c>
      <c r="CX93" s="14" t="str">
        <f t="shared" si="70"/>
        <v>AtkExt</v>
      </c>
      <c r="CY93" s="14">
        <f t="shared" si="71"/>
        <v>120</v>
      </c>
      <c r="CZ93" s="14">
        <f t="shared" si="72"/>
        <v>19.989999999999998</v>
      </c>
      <c r="DA93" s="14" t="str">
        <f t="shared" si="73"/>
        <v/>
      </c>
      <c r="DB93" s="14" t="str">
        <f t="shared" si="74"/>
        <v/>
      </c>
      <c r="DC93" s="14" t="str">
        <f t="shared" si="75"/>
        <v/>
      </c>
      <c r="DD93" s="14">
        <f t="shared" si="76"/>
        <v>5</v>
      </c>
      <c r="DE93" s="14">
        <f t="shared" si="77"/>
        <v>0</v>
      </c>
      <c r="DF93" s="14">
        <f t="shared" si="78"/>
        <v>22</v>
      </c>
      <c r="DG93" s="14">
        <f t="shared" si="79"/>
        <v>10</v>
      </c>
    </row>
    <row r="94" spans="1:135" ht="16.5" x14ac:dyDescent="0.2">
      <c r="BE94" s="16"/>
      <c r="BF94" s="16"/>
      <c r="BG94" s="16"/>
      <c r="BH94" s="16"/>
      <c r="BI94" s="16"/>
      <c r="BJ94" s="16"/>
      <c r="BK94" s="16"/>
      <c r="BL94" s="16"/>
      <c r="BY94" s="13">
        <v>90</v>
      </c>
      <c r="BZ94" s="14">
        <f t="shared" si="62"/>
        <v>12</v>
      </c>
      <c r="CA94" s="14">
        <f t="shared" si="63"/>
        <v>2</v>
      </c>
      <c r="CB94" s="14">
        <f t="shared" si="48"/>
        <v>2</v>
      </c>
      <c r="CC94" s="14">
        <f t="shared" si="49"/>
        <v>2021022</v>
      </c>
      <c r="CD94" s="13" t="str">
        <f t="shared" si="50"/>
        <v>40级守护灵绿色-头盔</v>
      </c>
      <c r="CE94" s="14">
        <f t="shared" si="51"/>
        <v>2</v>
      </c>
      <c r="CF94" s="14">
        <f t="shared" si="52"/>
        <v>1</v>
      </c>
      <c r="CG94" s="14">
        <f t="shared" si="64"/>
        <v>40</v>
      </c>
      <c r="CH94" s="14">
        <f t="shared" si="65"/>
        <v>40</v>
      </c>
      <c r="CI94" s="14">
        <f t="shared" si="53"/>
        <v>2</v>
      </c>
      <c r="CJ94" s="14" t="str">
        <f t="shared" si="66"/>
        <v/>
      </c>
      <c r="CK94" s="14">
        <f t="shared" si="54"/>
        <v>0</v>
      </c>
      <c r="CL94" s="14">
        <f t="shared" si="55"/>
        <v>27</v>
      </c>
      <c r="CM94" s="14">
        <f t="shared" si="56"/>
        <v>0</v>
      </c>
      <c r="CN94" s="14">
        <f t="shared" si="57"/>
        <v>0</v>
      </c>
      <c r="CO94" s="14">
        <f t="shared" si="58"/>
        <v>4.57</v>
      </c>
      <c r="CP94" s="14">
        <f t="shared" si="59"/>
        <v>0</v>
      </c>
      <c r="CQ94" s="14">
        <f t="shared" si="67"/>
        <v>5</v>
      </c>
      <c r="CR94" s="14">
        <f t="shared" si="68"/>
        <v>0</v>
      </c>
      <c r="CS94" s="14">
        <f t="shared" si="69"/>
        <v>22</v>
      </c>
      <c r="CV94" s="14">
        <f t="shared" si="60"/>
        <v>2</v>
      </c>
      <c r="CW94" s="14">
        <f t="shared" si="61"/>
        <v>0</v>
      </c>
      <c r="CX94" s="14" t="str">
        <f t="shared" si="70"/>
        <v>DefExt</v>
      </c>
      <c r="CY94" s="14">
        <f t="shared" si="71"/>
        <v>27</v>
      </c>
      <c r="CZ94" s="14">
        <f t="shared" si="72"/>
        <v>4.57</v>
      </c>
      <c r="DA94" s="14" t="str">
        <f t="shared" si="73"/>
        <v/>
      </c>
      <c r="DB94" s="14" t="str">
        <f t="shared" si="74"/>
        <v/>
      </c>
      <c r="DC94" s="14" t="str">
        <f t="shared" si="75"/>
        <v/>
      </c>
      <c r="DD94" s="14">
        <f t="shared" si="76"/>
        <v>5</v>
      </c>
      <c r="DE94" s="14">
        <f t="shared" si="77"/>
        <v>0</v>
      </c>
      <c r="DF94" s="14">
        <f t="shared" si="78"/>
        <v>22</v>
      </c>
      <c r="DG94" s="14">
        <f t="shared" si="79"/>
        <v>10</v>
      </c>
    </row>
    <row r="95" spans="1:135" ht="16.5" x14ac:dyDescent="0.2">
      <c r="BE95" s="16"/>
      <c r="BF95" s="16"/>
      <c r="BG95" s="16"/>
      <c r="BH95" s="16"/>
      <c r="BI95" s="16"/>
      <c r="BJ95" s="16"/>
      <c r="BK95" s="16"/>
      <c r="BL95" s="16"/>
      <c r="BY95" s="13">
        <v>91</v>
      </c>
      <c r="BZ95" s="14">
        <f t="shared" si="62"/>
        <v>12</v>
      </c>
      <c r="CA95" s="14">
        <f t="shared" si="63"/>
        <v>2</v>
      </c>
      <c r="CB95" s="14">
        <f t="shared" si="48"/>
        <v>2</v>
      </c>
      <c r="CC95" s="14">
        <f t="shared" si="49"/>
        <v>2021023</v>
      </c>
      <c r="CD95" s="13" t="str">
        <f t="shared" si="50"/>
        <v>40级守护灵绿色-肩甲</v>
      </c>
      <c r="CE95" s="14">
        <f t="shared" si="51"/>
        <v>2</v>
      </c>
      <c r="CF95" s="14">
        <f t="shared" si="52"/>
        <v>1</v>
      </c>
      <c r="CG95" s="14">
        <f t="shared" si="64"/>
        <v>40</v>
      </c>
      <c r="CH95" s="14">
        <f t="shared" si="65"/>
        <v>40</v>
      </c>
      <c r="CI95" s="14">
        <f t="shared" si="53"/>
        <v>3</v>
      </c>
      <c r="CJ95" s="14" t="str">
        <f t="shared" si="66"/>
        <v/>
      </c>
      <c r="CK95" s="14">
        <f t="shared" si="54"/>
        <v>0</v>
      </c>
      <c r="CL95" s="14">
        <f t="shared" si="55"/>
        <v>14</v>
      </c>
      <c r="CM95" s="14">
        <f t="shared" si="56"/>
        <v>140</v>
      </c>
      <c r="CN95" s="14">
        <f t="shared" si="57"/>
        <v>0</v>
      </c>
      <c r="CO95" s="14">
        <f t="shared" si="58"/>
        <v>2.2799999999999998</v>
      </c>
      <c r="CP95" s="14">
        <f t="shared" si="59"/>
        <v>23.31</v>
      </c>
      <c r="CQ95" s="14">
        <f t="shared" si="67"/>
        <v>5</v>
      </c>
      <c r="CR95" s="14">
        <f t="shared" si="68"/>
        <v>0</v>
      </c>
      <c r="CS95" s="14">
        <f t="shared" si="69"/>
        <v>22</v>
      </c>
      <c r="CV95" s="14">
        <f t="shared" si="60"/>
        <v>2</v>
      </c>
      <c r="CW95" s="14">
        <f t="shared" si="61"/>
        <v>3</v>
      </c>
      <c r="CX95" s="14" t="str">
        <f t="shared" si="70"/>
        <v>DefExt</v>
      </c>
      <c r="CY95" s="14">
        <f t="shared" si="71"/>
        <v>14</v>
      </c>
      <c r="CZ95" s="14">
        <f t="shared" si="72"/>
        <v>2.2799999999999998</v>
      </c>
      <c r="DA95" s="14" t="str">
        <f t="shared" si="73"/>
        <v>HPExt</v>
      </c>
      <c r="DB95" s="14">
        <f t="shared" si="74"/>
        <v>140</v>
      </c>
      <c r="DC95" s="14">
        <f t="shared" si="75"/>
        <v>23.31</v>
      </c>
      <c r="DD95" s="14">
        <f t="shared" si="76"/>
        <v>5</v>
      </c>
      <c r="DE95" s="14">
        <f t="shared" si="77"/>
        <v>0</v>
      </c>
      <c r="DF95" s="14">
        <f t="shared" si="78"/>
        <v>22</v>
      </c>
      <c r="DG95" s="14">
        <f t="shared" si="79"/>
        <v>10</v>
      </c>
    </row>
    <row r="96" spans="1:135" ht="16.5" x14ac:dyDescent="0.2">
      <c r="BE96" s="16"/>
      <c r="BF96" s="16"/>
      <c r="BG96" s="16"/>
      <c r="BH96" s="16"/>
      <c r="BI96" s="16"/>
      <c r="BJ96" s="16"/>
      <c r="BK96" s="16"/>
      <c r="BL96" s="16"/>
      <c r="BY96" s="13">
        <v>92</v>
      </c>
      <c r="BZ96" s="14">
        <f t="shared" si="62"/>
        <v>12</v>
      </c>
      <c r="CA96" s="14">
        <f t="shared" si="63"/>
        <v>2</v>
      </c>
      <c r="CB96" s="14">
        <f t="shared" si="48"/>
        <v>2</v>
      </c>
      <c r="CC96" s="14">
        <f t="shared" si="49"/>
        <v>2021024</v>
      </c>
      <c r="CD96" s="13" t="str">
        <f t="shared" si="50"/>
        <v>40级守护灵绿色-衣服</v>
      </c>
      <c r="CE96" s="14">
        <f t="shared" si="51"/>
        <v>2</v>
      </c>
      <c r="CF96" s="14">
        <f t="shared" si="52"/>
        <v>1</v>
      </c>
      <c r="CG96" s="14">
        <f t="shared" si="64"/>
        <v>40</v>
      </c>
      <c r="CH96" s="14">
        <f t="shared" si="65"/>
        <v>40</v>
      </c>
      <c r="CI96" s="14">
        <f t="shared" si="53"/>
        <v>4</v>
      </c>
      <c r="CJ96" s="14" t="str">
        <f t="shared" si="66"/>
        <v/>
      </c>
      <c r="CK96" s="14">
        <f t="shared" si="54"/>
        <v>0</v>
      </c>
      <c r="CL96" s="14">
        <f t="shared" si="55"/>
        <v>27</v>
      </c>
      <c r="CM96" s="14">
        <f t="shared" si="56"/>
        <v>0</v>
      </c>
      <c r="CN96" s="14">
        <f t="shared" si="57"/>
        <v>0</v>
      </c>
      <c r="CO96" s="14">
        <f t="shared" si="58"/>
        <v>4.57</v>
      </c>
      <c r="CP96" s="14">
        <f t="shared" si="59"/>
        <v>0</v>
      </c>
      <c r="CQ96" s="14">
        <f t="shared" si="67"/>
        <v>5</v>
      </c>
      <c r="CR96" s="14">
        <f t="shared" si="68"/>
        <v>0</v>
      </c>
      <c r="CS96" s="14">
        <f t="shared" si="69"/>
        <v>22</v>
      </c>
      <c r="CV96" s="14">
        <f t="shared" si="60"/>
        <v>2</v>
      </c>
      <c r="CW96" s="14">
        <f t="shared" si="61"/>
        <v>0</v>
      </c>
      <c r="CX96" s="14" t="str">
        <f t="shared" si="70"/>
        <v>DefExt</v>
      </c>
      <c r="CY96" s="14">
        <f t="shared" si="71"/>
        <v>27</v>
      </c>
      <c r="CZ96" s="14">
        <f t="shared" si="72"/>
        <v>4.57</v>
      </c>
      <c r="DA96" s="14" t="str">
        <f t="shared" si="73"/>
        <v/>
      </c>
      <c r="DB96" s="14" t="str">
        <f t="shared" si="74"/>
        <v/>
      </c>
      <c r="DC96" s="14" t="str">
        <f t="shared" si="75"/>
        <v/>
      </c>
      <c r="DD96" s="14">
        <f t="shared" si="76"/>
        <v>5</v>
      </c>
      <c r="DE96" s="14">
        <f t="shared" si="77"/>
        <v>0</v>
      </c>
      <c r="DF96" s="14">
        <f t="shared" si="78"/>
        <v>22</v>
      </c>
      <c r="DG96" s="14">
        <f t="shared" si="79"/>
        <v>10</v>
      </c>
    </row>
    <row r="97" spans="57:111" ht="16.5" x14ac:dyDescent="0.2">
      <c r="BE97" s="16"/>
      <c r="BF97" s="16"/>
      <c r="BG97" s="16"/>
      <c r="BH97" s="16"/>
      <c r="BI97" s="16"/>
      <c r="BJ97" s="16"/>
      <c r="BK97" s="16"/>
      <c r="BL97" s="16"/>
      <c r="BY97" s="13">
        <v>93</v>
      </c>
      <c r="BZ97" s="14">
        <f t="shared" si="62"/>
        <v>12</v>
      </c>
      <c r="CA97" s="14">
        <f t="shared" si="63"/>
        <v>2</v>
      </c>
      <c r="CB97" s="14">
        <f t="shared" si="48"/>
        <v>2</v>
      </c>
      <c r="CC97" s="14">
        <f t="shared" si="49"/>
        <v>2021025</v>
      </c>
      <c r="CD97" s="13" t="str">
        <f t="shared" si="50"/>
        <v>40级守护灵绿色-鞋子</v>
      </c>
      <c r="CE97" s="14">
        <f t="shared" si="51"/>
        <v>2</v>
      </c>
      <c r="CF97" s="14">
        <f t="shared" si="52"/>
        <v>1</v>
      </c>
      <c r="CG97" s="14">
        <f t="shared" si="64"/>
        <v>40</v>
      </c>
      <c r="CH97" s="14">
        <f t="shared" si="65"/>
        <v>40</v>
      </c>
      <c r="CI97" s="14">
        <f t="shared" si="53"/>
        <v>5</v>
      </c>
      <c r="CJ97" s="14" t="str">
        <f t="shared" si="66"/>
        <v/>
      </c>
      <c r="CK97" s="14">
        <f t="shared" si="54"/>
        <v>0</v>
      </c>
      <c r="CL97" s="14">
        <f t="shared" si="55"/>
        <v>0</v>
      </c>
      <c r="CM97" s="14">
        <f t="shared" si="56"/>
        <v>280</v>
      </c>
      <c r="CN97" s="14">
        <f t="shared" si="57"/>
        <v>0</v>
      </c>
      <c r="CO97" s="14">
        <f t="shared" si="58"/>
        <v>0</v>
      </c>
      <c r="CP97" s="14">
        <f t="shared" si="59"/>
        <v>46.62</v>
      </c>
      <c r="CQ97" s="14">
        <f t="shared" si="67"/>
        <v>5</v>
      </c>
      <c r="CR97" s="14">
        <f t="shared" si="68"/>
        <v>0</v>
      </c>
      <c r="CS97" s="14">
        <f t="shared" si="69"/>
        <v>22</v>
      </c>
      <c r="CV97" s="14">
        <f t="shared" si="60"/>
        <v>3</v>
      </c>
      <c r="CW97" s="14">
        <f t="shared" si="61"/>
        <v>0</v>
      </c>
      <c r="CX97" s="14" t="str">
        <f t="shared" si="70"/>
        <v>HPExt</v>
      </c>
      <c r="CY97" s="14">
        <f t="shared" si="71"/>
        <v>280</v>
      </c>
      <c r="CZ97" s="14">
        <f t="shared" si="72"/>
        <v>46.62</v>
      </c>
      <c r="DA97" s="14" t="str">
        <f t="shared" si="73"/>
        <v/>
      </c>
      <c r="DB97" s="14" t="str">
        <f t="shared" si="74"/>
        <v/>
      </c>
      <c r="DC97" s="14" t="str">
        <f t="shared" si="75"/>
        <v/>
      </c>
      <c r="DD97" s="14">
        <f t="shared" si="76"/>
        <v>5</v>
      </c>
      <c r="DE97" s="14">
        <f t="shared" si="77"/>
        <v>0</v>
      </c>
      <c r="DF97" s="14">
        <f t="shared" si="78"/>
        <v>22</v>
      </c>
      <c r="DG97" s="14">
        <f t="shared" si="79"/>
        <v>10</v>
      </c>
    </row>
    <row r="98" spans="57:111" ht="16.5" x14ac:dyDescent="0.2">
      <c r="BE98" s="16"/>
      <c r="BF98" s="16"/>
      <c r="BG98" s="16"/>
      <c r="BH98" s="16"/>
      <c r="BI98" s="16"/>
      <c r="BJ98" s="16"/>
      <c r="BK98" s="16"/>
      <c r="BL98" s="16"/>
      <c r="BY98" s="13">
        <v>94</v>
      </c>
      <c r="BZ98" s="14">
        <f t="shared" si="62"/>
        <v>12</v>
      </c>
      <c r="CA98" s="14">
        <f t="shared" si="63"/>
        <v>2</v>
      </c>
      <c r="CB98" s="14">
        <f t="shared" si="48"/>
        <v>2</v>
      </c>
      <c r="CC98" s="14">
        <f t="shared" si="49"/>
        <v>2021026</v>
      </c>
      <c r="CD98" s="13" t="str">
        <f t="shared" si="50"/>
        <v>40级守护灵绿色-护手</v>
      </c>
      <c r="CE98" s="14">
        <f t="shared" si="51"/>
        <v>2</v>
      </c>
      <c r="CF98" s="14">
        <f t="shared" si="52"/>
        <v>1</v>
      </c>
      <c r="CG98" s="14">
        <f t="shared" si="64"/>
        <v>40</v>
      </c>
      <c r="CH98" s="14">
        <f t="shared" si="65"/>
        <v>40</v>
      </c>
      <c r="CI98" s="14">
        <f t="shared" si="53"/>
        <v>6</v>
      </c>
      <c r="CJ98" s="14" t="str">
        <f t="shared" si="66"/>
        <v/>
      </c>
      <c r="CK98" s="14">
        <f t="shared" si="54"/>
        <v>0</v>
      </c>
      <c r="CL98" s="14">
        <f t="shared" si="55"/>
        <v>0</v>
      </c>
      <c r="CM98" s="14">
        <f t="shared" si="56"/>
        <v>280</v>
      </c>
      <c r="CN98" s="14">
        <f t="shared" si="57"/>
        <v>0</v>
      </c>
      <c r="CO98" s="14">
        <f t="shared" si="58"/>
        <v>0</v>
      </c>
      <c r="CP98" s="14">
        <f t="shared" si="59"/>
        <v>46.62</v>
      </c>
      <c r="CQ98" s="14">
        <f t="shared" si="67"/>
        <v>5</v>
      </c>
      <c r="CR98" s="14">
        <f t="shared" si="68"/>
        <v>0</v>
      </c>
      <c r="CS98" s="14">
        <f t="shared" si="69"/>
        <v>22</v>
      </c>
      <c r="CV98" s="14">
        <f t="shared" si="60"/>
        <v>3</v>
      </c>
      <c r="CW98" s="14">
        <f t="shared" si="61"/>
        <v>0</v>
      </c>
      <c r="CX98" s="14" t="str">
        <f t="shared" si="70"/>
        <v>HPExt</v>
      </c>
      <c r="CY98" s="14">
        <f t="shared" si="71"/>
        <v>280</v>
      </c>
      <c r="CZ98" s="14">
        <f t="shared" si="72"/>
        <v>46.62</v>
      </c>
      <c r="DA98" s="14" t="str">
        <f t="shared" si="73"/>
        <v/>
      </c>
      <c r="DB98" s="14" t="str">
        <f t="shared" si="74"/>
        <v/>
      </c>
      <c r="DC98" s="14" t="str">
        <f t="shared" si="75"/>
        <v/>
      </c>
      <c r="DD98" s="14">
        <f t="shared" si="76"/>
        <v>5</v>
      </c>
      <c r="DE98" s="14">
        <f t="shared" si="77"/>
        <v>0</v>
      </c>
      <c r="DF98" s="14">
        <f t="shared" si="78"/>
        <v>22</v>
      </c>
      <c r="DG98" s="14">
        <f t="shared" si="79"/>
        <v>10</v>
      </c>
    </row>
    <row r="99" spans="57:111" ht="16.5" x14ac:dyDescent="0.2">
      <c r="BE99" s="16"/>
      <c r="BF99" s="16"/>
      <c r="BG99" s="16"/>
      <c r="BH99" s="16"/>
      <c r="BI99" s="16"/>
      <c r="BJ99" s="16"/>
      <c r="BK99" s="16"/>
      <c r="BL99" s="16"/>
      <c r="BY99" s="13">
        <v>95</v>
      </c>
      <c r="BZ99" s="14">
        <f t="shared" si="62"/>
        <v>12</v>
      </c>
      <c r="CA99" s="14">
        <f t="shared" si="63"/>
        <v>2</v>
      </c>
      <c r="CB99" s="14">
        <f t="shared" si="48"/>
        <v>2</v>
      </c>
      <c r="CC99" s="14">
        <f t="shared" si="49"/>
        <v>2021027</v>
      </c>
      <c r="CD99" s="13" t="str">
        <f t="shared" si="50"/>
        <v>40级守护灵绿色-项链</v>
      </c>
      <c r="CE99" s="14">
        <f t="shared" si="51"/>
        <v>2</v>
      </c>
      <c r="CF99" s="14">
        <f t="shared" si="52"/>
        <v>1</v>
      </c>
      <c r="CG99" s="14">
        <f t="shared" si="64"/>
        <v>40</v>
      </c>
      <c r="CH99" s="14">
        <f t="shared" si="65"/>
        <v>40</v>
      </c>
      <c r="CI99" s="14">
        <f t="shared" si="53"/>
        <v>7</v>
      </c>
      <c r="CJ99" s="14" t="str">
        <f t="shared" si="66"/>
        <v/>
      </c>
      <c r="CK99" s="14">
        <f t="shared" si="54"/>
        <v>40</v>
      </c>
      <c r="CL99" s="14">
        <f t="shared" si="55"/>
        <v>23</v>
      </c>
      <c r="CM99" s="14">
        <f t="shared" si="56"/>
        <v>0</v>
      </c>
      <c r="CN99" s="14">
        <f t="shared" si="57"/>
        <v>6.66</v>
      </c>
      <c r="CO99" s="14">
        <f t="shared" si="58"/>
        <v>3.81</v>
      </c>
      <c r="CP99" s="14">
        <f t="shared" si="59"/>
        <v>0</v>
      </c>
      <c r="CQ99" s="14">
        <f t="shared" si="67"/>
        <v>5</v>
      </c>
      <c r="CR99" s="14">
        <f t="shared" si="68"/>
        <v>0</v>
      </c>
      <c r="CS99" s="14">
        <f t="shared" si="69"/>
        <v>22</v>
      </c>
      <c r="CV99" s="14">
        <f t="shared" si="60"/>
        <v>1</v>
      </c>
      <c r="CW99" s="14">
        <f t="shared" si="61"/>
        <v>2</v>
      </c>
      <c r="CX99" s="14" t="str">
        <f t="shared" si="70"/>
        <v>AtkExt</v>
      </c>
      <c r="CY99" s="14">
        <f t="shared" si="71"/>
        <v>40</v>
      </c>
      <c r="CZ99" s="14">
        <f t="shared" si="72"/>
        <v>6.66</v>
      </c>
      <c r="DA99" s="14" t="str">
        <f t="shared" si="73"/>
        <v>DefExt</v>
      </c>
      <c r="DB99" s="14">
        <f t="shared" si="74"/>
        <v>23</v>
      </c>
      <c r="DC99" s="14">
        <f t="shared" si="75"/>
        <v>3.81</v>
      </c>
      <c r="DD99" s="14">
        <f t="shared" si="76"/>
        <v>5</v>
      </c>
      <c r="DE99" s="14">
        <f t="shared" si="77"/>
        <v>0</v>
      </c>
      <c r="DF99" s="14">
        <f t="shared" si="78"/>
        <v>22</v>
      </c>
      <c r="DG99" s="14">
        <f t="shared" si="79"/>
        <v>10</v>
      </c>
    </row>
    <row r="100" spans="57:111" ht="16.5" x14ac:dyDescent="0.2">
      <c r="BE100" s="16"/>
      <c r="BF100" s="16"/>
      <c r="BG100" s="16"/>
      <c r="BH100" s="16"/>
      <c r="BI100" s="16"/>
      <c r="BJ100" s="16"/>
      <c r="BK100" s="16"/>
      <c r="BL100" s="16"/>
      <c r="BY100" s="13">
        <v>96</v>
      </c>
      <c r="BZ100" s="14">
        <f t="shared" si="62"/>
        <v>12</v>
      </c>
      <c r="CA100" s="14">
        <f t="shared" si="63"/>
        <v>2</v>
      </c>
      <c r="CB100" s="14">
        <f t="shared" si="48"/>
        <v>2</v>
      </c>
      <c r="CC100" s="14">
        <f t="shared" si="49"/>
        <v>2021028</v>
      </c>
      <c r="CD100" s="13" t="str">
        <f t="shared" si="50"/>
        <v>40级守护灵绿色-戒指</v>
      </c>
      <c r="CE100" s="14">
        <f t="shared" si="51"/>
        <v>2</v>
      </c>
      <c r="CF100" s="14">
        <f t="shared" si="52"/>
        <v>1</v>
      </c>
      <c r="CG100" s="14">
        <f t="shared" si="64"/>
        <v>40</v>
      </c>
      <c r="CH100" s="14">
        <f t="shared" si="65"/>
        <v>40</v>
      </c>
      <c r="CI100" s="14">
        <f t="shared" si="53"/>
        <v>8</v>
      </c>
      <c r="CJ100" s="14" t="str">
        <f t="shared" si="66"/>
        <v/>
      </c>
      <c r="CK100" s="14">
        <f t="shared" si="54"/>
        <v>40</v>
      </c>
      <c r="CL100" s="14">
        <f t="shared" si="55"/>
        <v>0</v>
      </c>
      <c r="CM100" s="14">
        <f t="shared" si="56"/>
        <v>233</v>
      </c>
      <c r="CN100" s="14">
        <f t="shared" si="57"/>
        <v>6.66</v>
      </c>
      <c r="CO100" s="14">
        <f t="shared" si="58"/>
        <v>0</v>
      </c>
      <c r="CP100" s="14">
        <f t="shared" si="59"/>
        <v>38.85</v>
      </c>
      <c r="CQ100" s="14">
        <f t="shared" si="67"/>
        <v>5</v>
      </c>
      <c r="CR100" s="14">
        <f t="shared" si="68"/>
        <v>0</v>
      </c>
      <c r="CS100" s="14">
        <f t="shared" si="69"/>
        <v>22</v>
      </c>
      <c r="CV100" s="14">
        <f t="shared" si="60"/>
        <v>1</v>
      </c>
      <c r="CW100" s="14">
        <f t="shared" si="61"/>
        <v>3</v>
      </c>
      <c r="CX100" s="14" t="str">
        <f t="shared" si="70"/>
        <v>AtkExt</v>
      </c>
      <c r="CY100" s="14">
        <f t="shared" si="71"/>
        <v>40</v>
      </c>
      <c r="CZ100" s="14">
        <f t="shared" si="72"/>
        <v>6.66</v>
      </c>
      <c r="DA100" s="14" t="str">
        <f t="shared" si="73"/>
        <v>HPExt</v>
      </c>
      <c r="DB100" s="14">
        <f t="shared" si="74"/>
        <v>233</v>
      </c>
      <c r="DC100" s="14">
        <f t="shared" si="75"/>
        <v>38.85</v>
      </c>
      <c r="DD100" s="14">
        <f t="shared" si="76"/>
        <v>5</v>
      </c>
      <c r="DE100" s="14">
        <f t="shared" si="77"/>
        <v>0</v>
      </c>
      <c r="DF100" s="14">
        <f t="shared" si="78"/>
        <v>22</v>
      </c>
      <c r="DG100" s="14">
        <f t="shared" si="79"/>
        <v>10</v>
      </c>
    </row>
    <row r="101" spans="57:111" ht="16.5" x14ac:dyDescent="0.2">
      <c r="BE101" s="16"/>
      <c r="BF101" s="16"/>
      <c r="BG101" s="16"/>
      <c r="BH101" s="16"/>
      <c r="BI101" s="16"/>
      <c r="BJ101" s="16"/>
      <c r="BK101" s="16"/>
      <c r="BL101" s="16"/>
      <c r="BY101" s="13">
        <v>97</v>
      </c>
      <c r="BZ101" s="14">
        <f t="shared" si="62"/>
        <v>13</v>
      </c>
      <c r="CA101" s="14">
        <f t="shared" si="63"/>
        <v>1</v>
      </c>
      <c r="CB101" s="14">
        <f t="shared" si="48"/>
        <v>2</v>
      </c>
      <c r="CC101" s="14">
        <f t="shared" si="49"/>
        <v>2022011</v>
      </c>
      <c r="CD101" s="13" t="str">
        <f t="shared" si="50"/>
        <v>40级寄灵人蓝色-武器</v>
      </c>
      <c r="CE101" s="14">
        <f t="shared" si="51"/>
        <v>1</v>
      </c>
      <c r="CF101" s="14">
        <f t="shared" si="52"/>
        <v>2</v>
      </c>
      <c r="CG101" s="14">
        <f t="shared" si="64"/>
        <v>40</v>
      </c>
      <c r="CH101" s="14">
        <f t="shared" si="65"/>
        <v>40</v>
      </c>
      <c r="CI101" s="14">
        <f t="shared" si="53"/>
        <v>1</v>
      </c>
      <c r="CJ101" s="14" t="str">
        <f t="shared" si="66"/>
        <v/>
      </c>
      <c r="CK101" s="14">
        <f t="shared" si="54"/>
        <v>150</v>
      </c>
      <c r="CL101" s="14">
        <f t="shared" si="55"/>
        <v>0</v>
      </c>
      <c r="CM101" s="14">
        <f t="shared" si="56"/>
        <v>0</v>
      </c>
      <c r="CN101" s="14">
        <f t="shared" si="57"/>
        <v>16.62</v>
      </c>
      <c r="CO101" s="14">
        <f t="shared" si="58"/>
        <v>0</v>
      </c>
      <c r="CP101" s="14">
        <f t="shared" si="59"/>
        <v>0</v>
      </c>
      <c r="CQ101" s="14">
        <f t="shared" si="67"/>
        <v>6</v>
      </c>
      <c r="CR101" s="14">
        <f t="shared" si="68"/>
        <v>0</v>
      </c>
      <c r="CS101" s="14">
        <f t="shared" si="69"/>
        <v>12</v>
      </c>
      <c r="CV101" s="14">
        <f t="shared" si="60"/>
        <v>1</v>
      </c>
      <c r="CW101" s="14">
        <f t="shared" si="61"/>
        <v>0</v>
      </c>
      <c r="CX101" s="14" t="str">
        <f t="shared" si="70"/>
        <v>AtkExt</v>
      </c>
      <c r="CY101" s="14">
        <f t="shared" si="71"/>
        <v>150</v>
      </c>
      <c r="CZ101" s="14">
        <f t="shared" si="72"/>
        <v>16.62</v>
      </c>
      <c r="DA101" s="14" t="str">
        <f t="shared" si="73"/>
        <v/>
      </c>
      <c r="DB101" s="14" t="str">
        <f t="shared" si="74"/>
        <v/>
      </c>
      <c r="DC101" s="14" t="str">
        <f t="shared" si="75"/>
        <v/>
      </c>
      <c r="DD101" s="14">
        <f t="shared" si="76"/>
        <v>6</v>
      </c>
      <c r="DE101" s="14">
        <f t="shared" si="77"/>
        <v>0</v>
      </c>
      <c r="DF101" s="14">
        <f t="shared" si="78"/>
        <v>12</v>
      </c>
      <c r="DG101" s="14">
        <f t="shared" si="79"/>
        <v>30</v>
      </c>
    </row>
    <row r="102" spans="57:111" ht="16.5" x14ac:dyDescent="0.2">
      <c r="BE102" s="16"/>
      <c r="BF102" s="16"/>
      <c r="BG102" s="16"/>
      <c r="BH102" s="16"/>
      <c r="BI102" s="16"/>
      <c r="BJ102" s="16"/>
      <c r="BK102" s="16"/>
      <c r="BL102" s="16"/>
      <c r="BY102" s="13">
        <v>98</v>
      </c>
      <c r="BZ102" s="14">
        <f t="shared" si="62"/>
        <v>13</v>
      </c>
      <c r="CA102" s="14">
        <f t="shared" si="63"/>
        <v>1</v>
      </c>
      <c r="CB102" s="14">
        <f t="shared" si="48"/>
        <v>2</v>
      </c>
      <c r="CC102" s="14">
        <f t="shared" si="49"/>
        <v>2022012</v>
      </c>
      <c r="CD102" s="13" t="str">
        <f t="shared" si="50"/>
        <v>40级寄灵人蓝色-头盔</v>
      </c>
      <c r="CE102" s="14">
        <f t="shared" si="51"/>
        <v>1</v>
      </c>
      <c r="CF102" s="14">
        <f t="shared" si="52"/>
        <v>2</v>
      </c>
      <c r="CG102" s="14">
        <f t="shared" si="64"/>
        <v>40</v>
      </c>
      <c r="CH102" s="14">
        <f t="shared" si="65"/>
        <v>40</v>
      </c>
      <c r="CI102" s="14">
        <f t="shared" si="53"/>
        <v>2</v>
      </c>
      <c r="CJ102" s="14" t="str">
        <f t="shared" si="66"/>
        <v/>
      </c>
      <c r="CK102" s="14">
        <f t="shared" si="54"/>
        <v>0</v>
      </c>
      <c r="CL102" s="14">
        <f t="shared" si="55"/>
        <v>35</v>
      </c>
      <c r="CM102" s="14">
        <f t="shared" si="56"/>
        <v>0</v>
      </c>
      <c r="CN102" s="14">
        <f t="shared" si="57"/>
        <v>0</v>
      </c>
      <c r="CO102" s="14">
        <f t="shared" si="58"/>
        <v>3.87</v>
      </c>
      <c r="CP102" s="14">
        <f t="shared" si="59"/>
        <v>0</v>
      </c>
      <c r="CQ102" s="14">
        <f t="shared" si="67"/>
        <v>6</v>
      </c>
      <c r="CR102" s="14">
        <f t="shared" si="68"/>
        <v>0</v>
      </c>
      <c r="CS102" s="14">
        <f t="shared" si="69"/>
        <v>12</v>
      </c>
      <c r="CV102" s="14">
        <f t="shared" si="60"/>
        <v>2</v>
      </c>
      <c r="CW102" s="14">
        <f t="shared" si="61"/>
        <v>0</v>
      </c>
      <c r="CX102" s="14" t="str">
        <f t="shared" si="70"/>
        <v>DefExt</v>
      </c>
      <c r="CY102" s="14">
        <f t="shared" si="71"/>
        <v>35</v>
      </c>
      <c r="CZ102" s="14">
        <f t="shared" si="72"/>
        <v>3.87</v>
      </c>
      <c r="DA102" s="14" t="str">
        <f t="shared" si="73"/>
        <v/>
      </c>
      <c r="DB102" s="14" t="str">
        <f t="shared" si="74"/>
        <v/>
      </c>
      <c r="DC102" s="14" t="str">
        <f t="shared" si="75"/>
        <v/>
      </c>
      <c r="DD102" s="14">
        <f t="shared" si="76"/>
        <v>6</v>
      </c>
      <c r="DE102" s="14">
        <f t="shared" si="77"/>
        <v>0</v>
      </c>
      <c r="DF102" s="14">
        <f t="shared" si="78"/>
        <v>12</v>
      </c>
      <c r="DG102" s="14">
        <f t="shared" si="79"/>
        <v>30</v>
      </c>
    </row>
    <row r="103" spans="57:111" ht="16.5" x14ac:dyDescent="0.2">
      <c r="BE103" s="16"/>
      <c r="BF103" s="16"/>
      <c r="BG103" s="16"/>
      <c r="BH103" s="16"/>
      <c r="BI103" s="16"/>
      <c r="BJ103" s="16"/>
      <c r="BK103" s="16"/>
      <c r="BL103" s="16"/>
      <c r="BY103" s="13">
        <v>99</v>
      </c>
      <c r="BZ103" s="14">
        <f t="shared" si="62"/>
        <v>13</v>
      </c>
      <c r="CA103" s="14">
        <f t="shared" si="63"/>
        <v>1</v>
      </c>
      <c r="CB103" s="14">
        <f t="shared" si="48"/>
        <v>2</v>
      </c>
      <c r="CC103" s="14">
        <f t="shared" si="49"/>
        <v>2022013</v>
      </c>
      <c r="CD103" s="13" t="str">
        <f t="shared" si="50"/>
        <v>40级寄灵人蓝色-肩甲</v>
      </c>
      <c r="CE103" s="14">
        <f t="shared" si="51"/>
        <v>1</v>
      </c>
      <c r="CF103" s="14">
        <f t="shared" si="52"/>
        <v>2</v>
      </c>
      <c r="CG103" s="14">
        <f t="shared" si="64"/>
        <v>40</v>
      </c>
      <c r="CH103" s="14">
        <f t="shared" si="65"/>
        <v>40</v>
      </c>
      <c r="CI103" s="14">
        <f t="shared" si="53"/>
        <v>3</v>
      </c>
      <c r="CJ103" s="14" t="str">
        <f t="shared" si="66"/>
        <v/>
      </c>
      <c r="CK103" s="14">
        <f t="shared" si="54"/>
        <v>0</v>
      </c>
      <c r="CL103" s="14">
        <f t="shared" si="55"/>
        <v>17</v>
      </c>
      <c r="CM103" s="14">
        <f t="shared" si="56"/>
        <v>119</v>
      </c>
      <c r="CN103" s="14">
        <f t="shared" si="57"/>
        <v>0</v>
      </c>
      <c r="CO103" s="14">
        <f t="shared" si="58"/>
        <v>1.93</v>
      </c>
      <c r="CP103" s="14">
        <f t="shared" si="59"/>
        <v>13.21</v>
      </c>
      <c r="CQ103" s="14">
        <f t="shared" si="67"/>
        <v>6</v>
      </c>
      <c r="CR103" s="14">
        <f t="shared" si="68"/>
        <v>0</v>
      </c>
      <c r="CS103" s="14">
        <f t="shared" si="69"/>
        <v>12</v>
      </c>
      <c r="CV103" s="14">
        <f t="shared" si="60"/>
        <v>2</v>
      </c>
      <c r="CW103" s="14">
        <f t="shared" si="61"/>
        <v>3</v>
      </c>
      <c r="CX103" s="14" t="str">
        <f t="shared" si="70"/>
        <v>DefExt</v>
      </c>
      <c r="CY103" s="14">
        <f t="shared" si="71"/>
        <v>17</v>
      </c>
      <c r="CZ103" s="14">
        <f t="shared" si="72"/>
        <v>1.93</v>
      </c>
      <c r="DA103" s="14" t="str">
        <f t="shared" si="73"/>
        <v>HPExt</v>
      </c>
      <c r="DB103" s="14">
        <f t="shared" si="74"/>
        <v>119</v>
      </c>
      <c r="DC103" s="14">
        <f t="shared" si="75"/>
        <v>13.21</v>
      </c>
      <c r="DD103" s="14">
        <f t="shared" si="76"/>
        <v>6</v>
      </c>
      <c r="DE103" s="14">
        <f t="shared" si="77"/>
        <v>0</v>
      </c>
      <c r="DF103" s="14">
        <f t="shared" si="78"/>
        <v>12</v>
      </c>
      <c r="DG103" s="14">
        <f t="shared" si="79"/>
        <v>30</v>
      </c>
    </row>
    <row r="104" spans="57:111" ht="16.5" x14ac:dyDescent="0.2">
      <c r="BE104" s="16"/>
      <c r="BF104" s="16"/>
      <c r="BG104" s="16"/>
      <c r="BH104" s="16"/>
      <c r="BI104" s="16"/>
      <c r="BJ104" s="16"/>
      <c r="BK104" s="16"/>
      <c r="BL104" s="16"/>
      <c r="BY104" s="13">
        <v>100</v>
      </c>
      <c r="BZ104" s="14">
        <f t="shared" si="62"/>
        <v>13</v>
      </c>
      <c r="CA104" s="14">
        <f t="shared" si="63"/>
        <v>1</v>
      </c>
      <c r="CB104" s="14">
        <f t="shared" si="48"/>
        <v>2</v>
      </c>
      <c r="CC104" s="14">
        <f t="shared" si="49"/>
        <v>2022014</v>
      </c>
      <c r="CD104" s="13" t="str">
        <f t="shared" si="50"/>
        <v>40级寄灵人蓝色-衣服</v>
      </c>
      <c r="CE104" s="14">
        <f t="shared" si="51"/>
        <v>1</v>
      </c>
      <c r="CF104" s="14">
        <f t="shared" si="52"/>
        <v>2</v>
      </c>
      <c r="CG104" s="14">
        <f t="shared" si="64"/>
        <v>40</v>
      </c>
      <c r="CH104" s="14">
        <f t="shared" si="65"/>
        <v>40</v>
      </c>
      <c r="CI104" s="14">
        <f t="shared" si="53"/>
        <v>4</v>
      </c>
      <c r="CJ104" s="14" t="str">
        <f t="shared" si="66"/>
        <v/>
      </c>
      <c r="CK104" s="14">
        <f t="shared" si="54"/>
        <v>0</v>
      </c>
      <c r="CL104" s="14">
        <f t="shared" si="55"/>
        <v>35</v>
      </c>
      <c r="CM104" s="14">
        <f t="shared" si="56"/>
        <v>0</v>
      </c>
      <c r="CN104" s="14">
        <f t="shared" si="57"/>
        <v>0</v>
      </c>
      <c r="CO104" s="14">
        <f t="shared" si="58"/>
        <v>3.87</v>
      </c>
      <c r="CP104" s="14">
        <f t="shared" si="59"/>
        <v>0</v>
      </c>
      <c r="CQ104" s="14">
        <f t="shared" si="67"/>
        <v>6</v>
      </c>
      <c r="CR104" s="14">
        <f t="shared" si="68"/>
        <v>0</v>
      </c>
      <c r="CS104" s="14">
        <f t="shared" si="69"/>
        <v>12</v>
      </c>
      <c r="CV104" s="14">
        <f t="shared" si="60"/>
        <v>2</v>
      </c>
      <c r="CW104" s="14">
        <f t="shared" si="61"/>
        <v>0</v>
      </c>
      <c r="CX104" s="14" t="str">
        <f t="shared" si="70"/>
        <v>DefExt</v>
      </c>
      <c r="CY104" s="14">
        <f t="shared" si="71"/>
        <v>35</v>
      </c>
      <c r="CZ104" s="14">
        <f t="shared" si="72"/>
        <v>3.87</v>
      </c>
      <c r="DA104" s="14" t="str">
        <f t="shared" si="73"/>
        <v/>
      </c>
      <c r="DB104" s="14" t="str">
        <f t="shared" si="74"/>
        <v/>
      </c>
      <c r="DC104" s="14" t="str">
        <f t="shared" si="75"/>
        <v/>
      </c>
      <c r="DD104" s="14">
        <f t="shared" si="76"/>
        <v>6</v>
      </c>
      <c r="DE104" s="14">
        <f t="shared" si="77"/>
        <v>0</v>
      </c>
      <c r="DF104" s="14">
        <f t="shared" si="78"/>
        <v>12</v>
      </c>
      <c r="DG104" s="14">
        <f t="shared" si="79"/>
        <v>30</v>
      </c>
    </row>
    <row r="105" spans="57:111" ht="16.5" x14ac:dyDescent="0.2">
      <c r="BE105" s="16"/>
      <c r="BF105" s="16"/>
      <c r="BG105" s="16"/>
      <c r="BH105" s="16"/>
      <c r="BI105" s="16"/>
      <c r="BJ105" s="16"/>
      <c r="BK105" s="16"/>
      <c r="BL105" s="16"/>
      <c r="BY105" s="13">
        <v>101</v>
      </c>
      <c r="BZ105" s="14">
        <f t="shared" si="62"/>
        <v>13</v>
      </c>
      <c r="CA105" s="14">
        <f t="shared" si="63"/>
        <v>1</v>
      </c>
      <c r="CB105" s="14">
        <f t="shared" si="48"/>
        <v>2</v>
      </c>
      <c r="CC105" s="14">
        <f t="shared" si="49"/>
        <v>2022015</v>
      </c>
      <c r="CD105" s="13" t="str">
        <f t="shared" si="50"/>
        <v>40级寄灵人蓝色-鞋子</v>
      </c>
      <c r="CE105" s="14">
        <f t="shared" si="51"/>
        <v>1</v>
      </c>
      <c r="CF105" s="14">
        <f t="shared" si="52"/>
        <v>2</v>
      </c>
      <c r="CG105" s="14">
        <f t="shared" si="64"/>
        <v>40</v>
      </c>
      <c r="CH105" s="14">
        <f t="shared" si="65"/>
        <v>40</v>
      </c>
      <c r="CI105" s="14">
        <f t="shared" si="53"/>
        <v>5</v>
      </c>
      <c r="CJ105" s="14" t="str">
        <f t="shared" si="66"/>
        <v/>
      </c>
      <c r="CK105" s="14">
        <f t="shared" si="54"/>
        <v>0</v>
      </c>
      <c r="CL105" s="14">
        <f t="shared" si="55"/>
        <v>0</v>
      </c>
      <c r="CM105" s="14">
        <f t="shared" si="56"/>
        <v>238</v>
      </c>
      <c r="CN105" s="14">
        <f t="shared" si="57"/>
        <v>0</v>
      </c>
      <c r="CO105" s="14">
        <f t="shared" si="58"/>
        <v>0</v>
      </c>
      <c r="CP105" s="14">
        <f t="shared" si="59"/>
        <v>26.42</v>
      </c>
      <c r="CQ105" s="14">
        <f t="shared" si="67"/>
        <v>6</v>
      </c>
      <c r="CR105" s="14">
        <f t="shared" si="68"/>
        <v>0</v>
      </c>
      <c r="CS105" s="14">
        <f t="shared" si="69"/>
        <v>12</v>
      </c>
      <c r="CV105" s="14">
        <f t="shared" si="60"/>
        <v>3</v>
      </c>
      <c r="CW105" s="14">
        <f t="shared" si="61"/>
        <v>0</v>
      </c>
      <c r="CX105" s="14" t="str">
        <f t="shared" si="70"/>
        <v>HPExt</v>
      </c>
      <c r="CY105" s="14">
        <f t="shared" si="71"/>
        <v>238</v>
      </c>
      <c r="CZ105" s="14">
        <f t="shared" si="72"/>
        <v>26.42</v>
      </c>
      <c r="DA105" s="14" t="str">
        <f t="shared" si="73"/>
        <v/>
      </c>
      <c r="DB105" s="14" t="str">
        <f t="shared" si="74"/>
        <v/>
      </c>
      <c r="DC105" s="14" t="str">
        <f t="shared" si="75"/>
        <v/>
      </c>
      <c r="DD105" s="14">
        <f t="shared" si="76"/>
        <v>6</v>
      </c>
      <c r="DE105" s="14">
        <f t="shared" si="77"/>
        <v>0</v>
      </c>
      <c r="DF105" s="14">
        <f t="shared" si="78"/>
        <v>12</v>
      </c>
      <c r="DG105" s="14">
        <f t="shared" si="79"/>
        <v>30</v>
      </c>
    </row>
    <row r="106" spans="57:111" ht="16.5" x14ac:dyDescent="0.2">
      <c r="BE106" s="16"/>
      <c r="BF106" s="16"/>
      <c r="BG106" s="16"/>
      <c r="BH106" s="16"/>
      <c r="BI106" s="16"/>
      <c r="BJ106" s="16"/>
      <c r="BK106" s="16"/>
      <c r="BL106" s="16"/>
      <c r="BY106" s="13">
        <v>102</v>
      </c>
      <c r="BZ106" s="14">
        <f t="shared" si="62"/>
        <v>13</v>
      </c>
      <c r="CA106" s="14">
        <f t="shared" si="63"/>
        <v>1</v>
      </c>
      <c r="CB106" s="14">
        <f t="shared" si="48"/>
        <v>2</v>
      </c>
      <c r="CC106" s="14">
        <f t="shared" si="49"/>
        <v>2022016</v>
      </c>
      <c r="CD106" s="13" t="str">
        <f t="shared" si="50"/>
        <v>40级寄灵人蓝色-护手</v>
      </c>
      <c r="CE106" s="14">
        <f t="shared" si="51"/>
        <v>1</v>
      </c>
      <c r="CF106" s="14">
        <f t="shared" si="52"/>
        <v>2</v>
      </c>
      <c r="CG106" s="14">
        <f t="shared" si="64"/>
        <v>40</v>
      </c>
      <c r="CH106" s="14">
        <f t="shared" si="65"/>
        <v>40</v>
      </c>
      <c r="CI106" s="14">
        <f t="shared" si="53"/>
        <v>6</v>
      </c>
      <c r="CJ106" s="14" t="str">
        <f t="shared" si="66"/>
        <v/>
      </c>
      <c r="CK106" s="14">
        <f t="shared" si="54"/>
        <v>0</v>
      </c>
      <c r="CL106" s="14">
        <f t="shared" si="55"/>
        <v>0</v>
      </c>
      <c r="CM106" s="14">
        <f t="shared" si="56"/>
        <v>238</v>
      </c>
      <c r="CN106" s="14">
        <f t="shared" si="57"/>
        <v>0</v>
      </c>
      <c r="CO106" s="14">
        <f t="shared" si="58"/>
        <v>0</v>
      </c>
      <c r="CP106" s="14">
        <f t="shared" si="59"/>
        <v>26.42</v>
      </c>
      <c r="CQ106" s="14">
        <f t="shared" si="67"/>
        <v>6</v>
      </c>
      <c r="CR106" s="14">
        <f t="shared" si="68"/>
        <v>0</v>
      </c>
      <c r="CS106" s="14">
        <f t="shared" si="69"/>
        <v>12</v>
      </c>
      <c r="CV106" s="14">
        <f t="shared" si="60"/>
        <v>3</v>
      </c>
      <c r="CW106" s="14">
        <f t="shared" si="61"/>
        <v>0</v>
      </c>
      <c r="CX106" s="14" t="str">
        <f t="shared" si="70"/>
        <v>HPExt</v>
      </c>
      <c r="CY106" s="14">
        <f t="shared" si="71"/>
        <v>238</v>
      </c>
      <c r="CZ106" s="14">
        <f t="shared" si="72"/>
        <v>26.42</v>
      </c>
      <c r="DA106" s="14" t="str">
        <f t="shared" si="73"/>
        <v/>
      </c>
      <c r="DB106" s="14" t="str">
        <f t="shared" si="74"/>
        <v/>
      </c>
      <c r="DC106" s="14" t="str">
        <f t="shared" si="75"/>
        <v/>
      </c>
      <c r="DD106" s="14">
        <f t="shared" si="76"/>
        <v>6</v>
      </c>
      <c r="DE106" s="14">
        <f t="shared" si="77"/>
        <v>0</v>
      </c>
      <c r="DF106" s="14">
        <f t="shared" si="78"/>
        <v>12</v>
      </c>
      <c r="DG106" s="14">
        <f t="shared" si="79"/>
        <v>30</v>
      </c>
    </row>
    <row r="107" spans="57:111" ht="16.5" x14ac:dyDescent="0.2">
      <c r="BE107" s="16"/>
      <c r="BF107" s="16"/>
      <c r="BG107" s="16"/>
      <c r="BH107" s="16"/>
      <c r="BI107" s="16"/>
      <c r="BJ107" s="16"/>
      <c r="BK107" s="16"/>
      <c r="BL107" s="16"/>
      <c r="BY107" s="13">
        <v>103</v>
      </c>
      <c r="BZ107" s="14">
        <f t="shared" si="62"/>
        <v>13</v>
      </c>
      <c r="CA107" s="14">
        <f t="shared" si="63"/>
        <v>1</v>
      </c>
      <c r="CB107" s="14">
        <f t="shared" si="48"/>
        <v>2</v>
      </c>
      <c r="CC107" s="14">
        <f t="shared" si="49"/>
        <v>2022017</v>
      </c>
      <c r="CD107" s="13" t="str">
        <f t="shared" si="50"/>
        <v>40级寄灵人蓝色-项链</v>
      </c>
      <c r="CE107" s="14">
        <f t="shared" si="51"/>
        <v>1</v>
      </c>
      <c r="CF107" s="14">
        <f t="shared" si="52"/>
        <v>2</v>
      </c>
      <c r="CG107" s="14">
        <f t="shared" si="64"/>
        <v>40</v>
      </c>
      <c r="CH107" s="14">
        <f t="shared" si="65"/>
        <v>40</v>
      </c>
      <c r="CI107" s="14">
        <f t="shared" si="53"/>
        <v>7</v>
      </c>
      <c r="CJ107" s="14" t="str">
        <f t="shared" si="66"/>
        <v/>
      </c>
      <c r="CK107" s="14">
        <f t="shared" si="54"/>
        <v>50</v>
      </c>
      <c r="CL107" s="14">
        <f t="shared" si="55"/>
        <v>29</v>
      </c>
      <c r="CM107" s="14">
        <f t="shared" si="56"/>
        <v>0</v>
      </c>
      <c r="CN107" s="14">
        <f t="shared" si="57"/>
        <v>5.54</v>
      </c>
      <c r="CO107" s="14">
        <f t="shared" si="58"/>
        <v>3.22</v>
      </c>
      <c r="CP107" s="14">
        <f t="shared" si="59"/>
        <v>0</v>
      </c>
      <c r="CQ107" s="14">
        <f t="shared" si="67"/>
        <v>6</v>
      </c>
      <c r="CR107" s="14">
        <f t="shared" si="68"/>
        <v>0</v>
      </c>
      <c r="CS107" s="14">
        <f t="shared" si="69"/>
        <v>12</v>
      </c>
      <c r="CV107" s="14">
        <f t="shared" si="60"/>
        <v>1</v>
      </c>
      <c r="CW107" s="14">
        <f t="shared" si="61"/>
        <v>2</v>
      </c>
      <c r="CX107" s="14" t="str">
        <f t="shared" si="70"/>
        <v>AtkExt</v>
      </c>
      <c r="CY107" s="14">
        <f t="shared" si="71"/>
        <v>50</v>
      </c>
      <c r="CZ107" s="14">
        <f t="shared" si="72"/>
        <v>5.54</v>
      </c>
      <c r="DA107" s="14" t="str">
        <f t="shared" si="73"/>
        <v>DefExt</v>
      </c>
      <c r="DB107" s="14">
        <f t="shared" si="74"/>
        <v>29</v>
      </c>
      <c r="DC107" s="14">
        <f t="shared" si="75"/>
        <v>3.22</v>
      </c>
      <c r="DD107" s="14">
        <f t="shared" si="76"/>
        <v>6</v>
      </c>
      <c r="DE107" s="14">
        <f t="shared" si="77"/>
        <v>0</v>
      </c>
      <c r="DF107" s="14">
        <f t="shared" si="78"/>
        <v>12</v>
      </c>
      <c r="DG107" s="14">
        <f t="shared" si="79"/>
        <v>30</v>
      </c>
    </row>
    <row r="108" spans="57:111" ht="16.5" x14ac:dyDescent="0.2">
      <c r="BE108" s="16"/>
      <c r="BF108" s="16"/>
      <c r="BG108" s="16"/>
      <c r="BH108" s="16"/>
      <c r="BI108" s="16"/>
      <c r="BJ108" s="16"/>
      <c r="BK108" s="16"/>
      <c r="BL108" s="16"/>
      <c r="BY108" s="13">
        <v>104</v>
      </c>
      <c r="BZ108" s="14">
        <f t="shared" si="62"/>
        <v>13</v>
      </c>
      <c r="CA108" s="14">
        <f t="shared" si="63"/>
        <v>1</v>
      </c>
      <c r="CB108" s="14">
        <f t="shared" si="48"/>
        <v>2</v>
      </c>
      <c r="CC108" s="14">
        <f t="shared" si="49"/>
        <v>2022018</v>
      </c>
      <c r="CD108" s="13" t="str">
        <f t="shared" si="50"/>
        <v>40级寄灵人蓝色-戒指</v>
      </c>
      <c r="CE108" s="14">
        <f t="shared" si="51"/>
        <v>1</v>
      </c>
      <c r="CF108" s="14">
        <f t="shared" si="52"/>
        <v>2</v>
      </c>
      <c r="CG108" s="14">
        <f t="shared" si="64"/>
        <v>40</v>
      </c>
      <c r="CH108" s="14">
        <f t="shared" si="65"/>
        <v>40</v>
      </c>
      <c r="CI108" s="14">
        <f t="shared" si="53"/>
        <v>8</v>
      </c>
      <c r="CJ108" s="14" t="str">
        <f t="shared" si="66"/>
        <v/>
      </c>
      <c r="CK108" s="14">
        <f t="shared" si="54"/>
        <v>50</v>
      </c>
      <c r="CL108" s="14">
        <f t="shared" si="55"/>
        <v>0</v>
      </c>
      <c r="CM108" s="14">
        <f t="shared" si="56"/>
        <v>198</v>
      </c>
      <c r="CN108" s="14">
        <f t="shared" si="57"/>
        <v>5.54</v>
      </c>
      <c r="CO108" s="14">
        <f t="shared" si="58"/>
        <v>0</v>
      </c>
      <c r="CP108" s="14">
        <f t="shared" si="59"/>
        <v>22.02</v>
      </c>
      <c r="CQ108" s="14">
        <f t="shared" si="67"/>
        <v>6</v>
      </c>
      <c r="CR108" s="14">
        <f t="shared" si="68"/>
        <v>0</v>
      </c>
      <c r="CS108" s="14">
        <f t="shared" si="69"/>
        <v>12</v>
      </c>
      <c r="CV108" s="14">
        <f t="shared" si="60"/>
        <v>1</v>
      </c>
      <c r="CW108" s="14">
        <f t="shared" si="61"/>
        <v>3</v>
      </c>
      <c r="CX108" s="14" t="str">
        <f t="shared" si="70"/>
        <v>AtkExt</v>
      </c>
      <c r="CY108" s="14">
        <f t="shared" si="71"/>
        <v>50</v>
      </c>
      <c r="CZ108" s="14">
        <f t="shared" si="72"/>
        <v>5.54</v>
      </c>
      <c r="DA108" s="14" t="str">
        <f t="shared" si="73"/>
        <v>HPExt</v>
      </c>
      <c r="DB108" s="14">
        <f t="shared" si="74"/>
        <v>198</v>
      </c>
      <c r="DC108" s="14">
        <f t="shared" si="75"/>
        <v>22.02</v>
      </c>
      <c r="DD108" s="14">
        <f t="shared" si="76"/>
        <v>6</v>
      </c>
      <c r="DE108" s="14">
        <f t="shared" si="77"/>
        <v>0</v>
      </c>
      <c r="DF108" s="14">
        <f t="shared" si="78"/>
        <v>12</v>
      </c>
      <c r="DG108" s="14">
        <f t="shared" si="79"/>
        <v>30</v>
      </c>
    </row>
    <row r="109" spans="57:111" ht="16.5" x14ac:dyDescent="0.2">
      <c r="BE109" s="16"/>
      <c r="BF109" s="16"/>
      <c r="BG109" s="16"/>
      <c r="BH109" s="16"/>
      <c r="BI109" s="16"/>
      <c r="BJ109" s="16"/>
      <c r="BK109" s="16"/>
      <c r="BL109" s="16"/>
      <c r="BY109" s="13">
        <v>105</v>
      </c>
      <c r="BZ109" s="14">
        <f t="shared" si="62"/>
        <v>14</v>
      </c>
      <c r="CA109" s="14">
        <f t="shared" si="63"/>
        <v>2</v>
      </c>
      <c r="CB109" s="14">
        <f t="shared" si="48"/>
        <v>2</v>
      </c>
      <c r="CC109" s="14">
        <f t="shared" si="49"/>
        <v>2022021</v>
      </c>
      <c r="CD109" s="13" t="str">
        <f t="shared" si="50"/>
        <v>40级守护灵蓝色-武器</v>
      </c>
      <c r="CE109" s="14">
        <f t="shared" si="51"/>
        <v>2</v>
      </c>
      <c r="CF109" s="14">
        <f t="shared" si="52"/>
        <v>2</v>
      </c>
      <c r="CG109" s="14">
        <f t="shared" si="64"/>
        <v>40</v>
      </c>
      <c r="CH109" s="14">
        <f t="shared" si="65"/>
        <v>40</v>
      </c>
      <c r="CI109" s="14">
        <f t="shared" si="53"/>
        <v>1</v>
      </c>
      <c r="CJ109" s="14" t="str">
        <f t="shared" si="66"/>
        <v/>
      </c>
      <c r="CK109" s="14">
        <f t="shared" si="54"/>
        <v>180</v>
      </c>
      <c r="CL109" s="14">
        <f t="shared" si="55"/>
        <v>0</v>
      </c>
      <c r="CM109" s="14">
        <f t="shared" si="56"/>
        <v>0</v>
      </c>
      <c r="CN109" s="14">
        <f t="shared" si="57"/>
        <v>19.989999999999998</v>
      </c>
      <c r="CO109" s="14">
        <f t="shared" si="58"/>
        <v>0</v>
      </c>
      <c r="CP109" s="14">
        <f t="shared" si="59"/>
        <v>0</v>
      </c>
      <c r="CQ109" s="14">
        <f t="shared" si="67"/>
        <v>6</v>
      </c>
      <c r="CR109" s="14">
        <f t="shared" si="68"/>
        <v>0</v>
      </c>
      <c r="CS109" s="14">
        <f t="shared" si="69"/>
        <v>22</v>
      </c>
      <c r="CV109" s="14">
        <f t="shared" si="60"/>
        <v>1</v>
      </c>
      <c r="CW109" s="14">
        <f t="shared" si="61"/>
        <v>0</v>
      </c>
      <c r="CX109" s="14" t="str">
        <f t="shared" si="70"/>
        <v>AtkExt</v>
      </c>
      <c r="CY109" s="14">
        <f t="shared" si="71"/>
        <v>180</v>
      </c>
      <c r="CZ109" s="14">
        <f t="shared" si="72"/>
        <v>19.989999999999998</v>
      </c>
      <c r="DA109" s="14" t="str">
        <f t="shared" si="73"/>
        <v/>
      </c>
      <c r="DB109" s="14" t="str">
        <f t="shared" si="74"/>
        <v/>
      </c>
      <c r="DC109" s="14" t="str">
        <f t="shared" si="75"/>
        <v/>
      </c>
      <c r="DD109" s="14">
        <f t="shared" si="76"/>
        <v>6</v>
      </c>
      <c r="DE109" s="14">
        <f t="shared" si="77"/>
        <v>0</v>
      </c>
      <c r="DF109" s="14">
        <f t="shared" si="78"/>
        <v>22</v>
      </c>
      <c r="DG109" s="14">
        <f t="shared" si="79"/>
        <v>30</v>
      </c>
    </row>
    <row r="110" spans="57:111" ht="16.5" x14ac:dyDescent="0.2">
      <c r="BE110" s="16"/>
      <c r="BF110" s="16"/>
      <c r="BG110" s="16"/>
      <c r="BH110" s="16"/>
      <c r="BI110" s="16"/>
      <c r="BJ110" s="16"/>
      <c r="BK110" s="16"/>
      <c r="BL110" s="16"/>
      <c r="BY110" s="13">
        <v>106</v>
      </c>
      <c r="BZ110" s="14">
        <f t="shared" si="62"/>
        <v>14</v>
      </c>
      <c r="CA110" s="14">
        <f t="shared" si="63"/>
        <v>2</v>
      </c>
      <c r="CB110" s="14">
        <f t="shared" si="48"/>
        <v>2</v>
      </c>
      <c r="CC110" s="14">
        <f t="shared" si="49"/>
        <v>2022022</v>
      </c>
      <c r="CD110" s="13" t="str">
        <f t="shared" si="50"/>
        <v>40级守护灵蓝色-头盔</v>
      </c>
      <c r="CE110" s="14">
        <f t="shared" si="51"/>
        <v>2</v>
      </c>
      <c r="CF110" s="14">
        <f t="shared" si="52"/>
        <v>2</v>
      </c>
      <c r="CG110" s="14">
        <f t="shared" si="64"/>
        <v>40</v>
      </c>
      <c r="CH110" s="14">
        <f t="shared" si="65"/>
        <v>40</v>
      </c>
      <c r="CI110" s="14">
        <f t="shared" si="53"/>
        <v>2</v>
      </c>
      <c r="CJ110" s="14" t="str">
        <f t="shared" si="66"/>
        <v/>
      </c>
      <c r="CK110" s="14">
        <f t="shared" si="54"/>
        <v>0</v>
      </c>
      <c r="CL110" s="14">
        <f t="shared" si="55"/>
        <v>41</v>
      </c>
      <c r="CM110" s="14">
        <f t="shared" si="56"/>
        <v>0</v>
      </c>
      <c r="CN110" s="14">
        <f t="shared" si="57"/>
        <v>0</v>
      </c>
      <c r="CO110" s="14">
        <f t="shared" si="58"/>
        <v>4.57</v>
      </c>
      <c r="CP110" s="14">
        <f t="shared" si="59"/>
        <v>0</v>
      </c>
      <c r="CQ110" s="14">
        <f t="shared" si="67"/>
        <v>6</v>
      </c>
      <c r="CR110" s="14">
        <f t="shared" si="68"/>
        <v>0</v>
      </c>
      <c r="CS110" s="14">
        <f t="shared" si="69"/>
        <v>22</v>
      </c>
      <c r="CV110" s="14">
        <f t="shared" si="60"/>
        <v>2</v>
      </c>
      <c r="CW110" s="14">
        <f t="shared" si="61"/>
        <v>0</v>
      </c>
      <c r="CX110" s="14" t="str">
        <f t="shared" si="70"/>
        <v>DefExt</v>
      </c>
      <c r="CY110" s="14">
        <f t="shared" si="71"/>
        <v>41</v>
      </c>
      <c r="CZ110" s="14">
        <f t="shared" si="72"/>
        <v>4.57</v>
      </c>
      <c r="DA110" s="14" t="str">
        <f t="shared" si="73"/>
        <v/>
      </c>
      <c r="DB110" s="14" t="str">
        <f t="shared" si="74"/>
        <v/>
      </c>
      <c r="DC110" s="14" t="str">
        <f t="shared" si="75"/>
        <v/>
      </c>
      <c r="DD110" s="14">
        <f t="shared" si="76"/>
        <v>6</v>
      </c>
      <c r="DE110" s="14">
        <f t="shared" si="77"/>
        <v>0</v>
      </c>
      <c r="DF110" s="14">
        <f t="shared" si="78"/>
        <v>22</v>
      </c>
      <c r="DG110" s="14">
        <f t="shared" si="79"/>
        <v>30</v>
      </c>
    </row>
    <row r="111" spans="57:111" ht="16.5" x14ac:dyDescent="0.2">
      <c r="BE111" s="16"/>
      <c r="BF111" s="16"/>
      <c r="BG111" s="16"/>
      <c r="BH111" s="16"/>
      <c r="BI111" s="16"/>
      <c r="BJ111" s="16"/>
      <c r="BK111" s="16"/>
      <c r="BL111" s="16"/>
      <c r="BY111" s="13">
        <v>107</v>
      </c>
      <c r="BZ111" s="14">
        <f t="shared" si="62"/>
        <v>14</v>
      </c>
      <c r="CA111" s="14">
        <f t="shared" si="63"/>
        <v>2</v>
      </c>
      <c r="CB111" s="14">
        <f t="shared" si="48"/>
        <v>2</v>
      </c>
      <c r="CC111" s="14">
        <f t="shared" si="49"/>
        <v>2022023</v>
      </c>
      <c r="CD111" s="13" t="str">
        <f t="shared" si="50"/>
        <v>40级守护灵蓝色-肩甲</v>
      </c>
      <c r="CE111" s="14">
        <f t="shared" si="51"/>
        <v>2</v>
      </c>
      <c r="CF111" s="14">
        <f t="shared" si="52"/>
        <v>2</v>
      </c>
      <c r="CG111" s="14">
        <f t="shared" si="64"/>
        <v>40</v>
      </c>
      <c r="CH111" s="14">
        <f t="shared" si="65"/>
        <v>40</v>
      </c>
      <c r="CI111" s="14">
        <f t="shared" si="53"/>
        <v>3</v>
      </c>
      <c r="CJ111" s="14" t="str">
        <f t="shared" si="66"/>
        <v/>
      </c>
      <c r="CK111" s="14">
        <f t="shared" si="54"/>
        <v>0</v>
      </c>
      <c r="CL111" s="14">
        <f t="shared" si="55"/>
        <v>21</v>
      </c>
      <c r="CM111" s="14">
        <f t="shared" si="56"/>
        <v>210</v>
      </c>
      <c r="CN111" s="14">
        <f t="shared" si="57"/>
        <v>0</v>
      </c>
      <c r="CO111" s="14">
        <f t="shared" si="58"/>
        <v>2.2799999999999998</v>
      </c>
      <c r="CP111" s="14">
        <f t="shared" si="59"/>
        <v>23.31</v>
      </c>
      <c r="CQ111" s="14">
        <f t="shared" si="67"/>
        <v>6</v>
      </c>
      <c r="CR111" s="14">
        <f t="shared" si="68"/>
        <v>0</v>
      </c>
      <c r="CS111" s="14">
        <f t="shared" si="69"/>
        <v>22</v>
      </c>
      <c r="CV111" s="14">
        <f t="shared" si="60"/>
        <v>2</v>
      </c>
      <c r="CW111" s="14">
        <f t="shared" si="61"/>
        <v>3</v>
      </c>
      <c r="CX111" s="14" t="str">
        <f t="shared" si="70"/>
        <v>DefExt</v>
      </c>
      <c r="CY111" s="14">
        <f t="shared" si="71"/>
        <v>21</v>
      </c>
      <c r="CZ111" s="14">
        <f t="shared" si="72"/>
        <v>2.2799999999999998</v>
      </c>
      <c r="DA111" s="14" t="str">
        <f t="shared" si="73"/>
        <v>HPExt</v>
      </c>
      <c r="DB111" s="14">
        <f t="shared" si="74"/>
        <v>210</v>
      </c>
      <c r="DC111" s="14">
        <f t="shared" si="75"/>
        <v>23.31</v>
      </c>
      <c r="DD111" s="14">
        <f t="shared" si="76"/>
        <v>6</v>
      </c>
      <c r="DE111" s="14">
        <f t="shared" si="77"/>
        <v>0</v>
      </c>
      <c r="DF111" s="14">
        <f t="shared" si="78"/>
        <v>22</v>
      </c>
      <c r="DG111" s="14">
        <f t="shared" si="79"/>
        <v>30</v>
      </c>
    </row>
    <row r="112" spans="57:111" ht="16.5" x14ac:dyDescent="0.2">
      <c r="BE112" s="16"/>
      <c r="BF112" s="16"/>
      <c r="BG112" s="16"/>
      <c r="BH112" s="16"/>
      <c r="BI112" s="16"/>
      <c r="BJ112" s="16"/>
      <c r="BK112" s="16"/>
      <c r="BL112" s="16"/>
      <c r="BY112" s="13">
        <v>108</v>
      </c>
      <c r="BZ112" s="14">
        <f t="shared" si="62"/>
        <v>14</v>
      </c>
      <c r="CA112" s="14">
        <f t="shared" si="63"/>
        <v>2</v>
      </c>
      <c r="CB112" s="14">
        <f t="shared" si="48"/>
        <v>2</v>
      </c>
      <c r="CC112" s="14">
        <f t="shared" si="49"/>
        <v>2022024</v>
      </c>
      <c r="CD112" s="13" t="str">
        <f t="shared" si="50"/>
        <v>40级守护灵蓝色-衣服</v>
      </c>
      <c r="CE112" s="14">
        <f t="shared" si="51"/>
        <v>2</v>
      </c>
      <c r="CF112" s="14">
        <f t="shared" si="52"/>
        <v>2</v>
      </c>
      <c r="CG112" s="14">
        <f t="shared" si="64"/>
        <v>40</v>
      </c>
      <c r="CH112" s="14">
        <f t="shared" si="65"/>
        <v>40</v>
      </c>
      <c r="CI112" s="14">
        <f t="shared" si="53"/>
        <v>4</v>
      </c>
      <c r="CJ112" s="14" t="str">
        <f t="shared" si="66"/>
        <v/>
      </c>
      <c r="CK112" s="14">
        <f t="shared" si="54"/>
        <v>0</v>
      </c>
      <c r="CL112" s="14">
        <f t="shared" si="55"/>
        <v>41</v>
      </c>
      <c r="CM112" s="14">
        <f t="shared" si="56"/>
        <v>0</v>
      </c>
      <c r="CN112" s="14">
        <f t="shared" si="57"/>
        <v>0</v>
      </c>
      <c r="CO112" s="14">
        <f t="shared" si="58"/>
        <v>4.57</v>
      </c>
      <c r="CP112" s="14">
        <f t="shared" si="59"/>
        <v>0</v>
      </c>
      <c r="CQ112" s="14">
        <f t="shared" si="67"/>
        <v>6</v>
      </c>
      <c r="CR112" s="14">
        <f t="shared" si="68"/>
        <v>0</v>
      </c>
      <c r="CS112" s="14">
        <f t="shared" si="69"/>
        <v>22</v>
      </c>
      <c r="CV112" s="14">
        <f t="shared" si="60"/>
        <v>2</v>
      </c>
      <c r="CW112" s="14">
        <f t="shared" si="61"/>
        <v>0</v>
      </c>
      <c r="CX112" s="14" t="str">
        <f t="shared" si="70"/>
        <v>DefExt</v>
      </c>
      <c r="CY112" s="14">
        <f t="shared" si="71"/>
        <v>41</v>
      </c>
      <c r="CZ112" s="14">
        <f t="shared" si="72"/>
        <v>4.57</v>
      </c>
      <c r="DA112" s="14" t="str">
        <f t="shared" si="73"/>
        <v/>
      </c>
      <c r="DB112" s="14" t="str">
        <f t="shared" si="74"/>
        <v/>
      </c>
      <c r="DC112" s="14" t="str">
        <f t="shared" si="75"/>
        <v/>
      </c>
      <c r="DD112" s="14">
        <f t="shared" si="76"/>
        <v>6</v>
      </c>
      <c r="DE112" s="14">
        <f t="shared" si="77"/>
        <v>0</v>
      </c>
      <c r="DF112" s="14">
        <f t="shared" si="78"/>
        <v>22</v>
      </c>
      <c r="DG112" s="14">
        <f t="shared" si="79"/>
        <v>30</v>
      </c>
    </row>
    <row r="113" spans="57:111" ht="16.5" x14ac:dyDescent="0.2">
      <c r="BE113" s="16"/>
      <c r="BF113" s="16"/>
      <c r="BG113" s="16"/>
      <c r="BH113" s="16"/>
      <c r="BI113" s="16"/>
      <c r="BJ113" s="16"/>
      <c r="BK113" s="16"/>
      <c r="BL113" s="16"/>
      <c r="BY113" s="13">
        <v>109</v>
      </c>
      <c r="BZ113" s="14">
        <f t="shared" si="62"/>
        <v>14</v>
      </c>
      <c r="CA113" s="14">
        <f t="shared" si="63"/>
        <v>2</v>
      </c>
      <c r="CB113" s="14">
        <f t="shared" si="48"/>
        <v>2</v>
      </c>
      <c r="CC113" s="14">
        <f t="shared" si="49"/>
        <v>2022025</v>
      </c>
      <c r="CD113" s="13" t="str">
        <f t="shared" si="50"/>
        <v>40级守护灵蓝色-鞋子</v>
      </c>
      <c r="CE113" s="14">
        <f t="shared" si="51"/>
        <v>2</v>
      </c>
      <c r="CF113" s="14">
        <f t="shared" si="52"/>
        <v>2</v>
      </c>
      <c r="CG113" s="14">
        <f t="shared" si="64"/>
        <v>40</v>
      </c>
      <c r="CH113" s="14">
        <f t="shared" si="65"/>
        <v>40</v>
      </c>
      <c r="CI113" s="14">
        <f t="shared" si="53"/>
        <v>5</v>
      </c>
      <c r="CJ113" s="14" t="str">
        <f t="shared" si="66"/>
        <v/>
      </c>
      <c r="CK113" s="14">
        <f t="shared" si="54"/>
        <v>0</v>
      </c>
      <c r="CL113" s="14">
        <f t="shared" si="55"/>
        <v>0</v>
      </c>
      <c r="CM113" s="14">
        <f t="shared" si="56"/>
        <v>420</v>
      </c>
      <c r="CN113" s="14">
        <f t="shared" si="57"/>
        <v>0</v>
      </c>
      <c r="CO113" s="14">
        <f t="shared" si="58"/>
        <v>0</v>
      </c>
      <c r="CP113" s="14">
        <f t="shared" si="59"/>
        <v>46.62</v>
      </c>
      <c r="CQ113" s="14">
        <f t="shared" si="67"/>
        <v>6</v>
      </c>
      <c r="CR113" s="14">
        <f t="shared" si="68"/>
        <v>0</v>
      </c>
      <c r="CS113" s="14">
        <f t="shared" si="69"/>
        <v>22</v>
      </c>
      <c r="CV113" s="14">
        <f t="shared" si="60"/>
        <v>3</v>
      </c>
      <c r="CW113" s="14">
        <f t="shared" si="61"/>
        <v>0</v>
      </c>
      <c r="CX113" s="14" t="str">
        <f t="shared" si="70"/>
        <v>HPExt</v>
      </c>
      <c r="CY113" s="14">
        <f t="shared" si="71"/>
        <v>420</v>
      </c>
      <c r="CZ113" s="14">
        <f t="shared" si="72"/>
        <v>46.62</v>
      </c>
      <c r="DA113" s="14" t="str">
        <f t="shared" si="73"/>
        <v/>
      </c>
      <c r="DB113" s="14" t="str">
        <f t="shared" si="74"/>
        <v/>
      </c>
      <c r="DC113" s="14" t="str">
        <f t="shared" si="75"/>
        <v/>
      </c>
      <c r="DD113" s="14">
        <f t="shared" si="76"/>
        <v>6</v>
      </c>
      <c r="DE113" s="14">
        <f t="shared" si="77"/>
        <v>0</v>
      </c>
      <c r="DF113" s="14">
        <f t="shared" si="78"/>
        <v>22</v>
      </c>
      <c r="DG113" s="14">
        <f t="shared" si="79"/>
        <v>30</v>
      </c>
    </row>
    <row r="114" spans="57:111" ht="16.5" x14ac:dyDescent="0.2">
      <c r="BE114" s="16"/>
      <c r="BF114" s="16"/>
      <c r="BG114" s="16"/>
      <c r="BH114" s="16"/>
      <c r="BI114" s="16"/>
      <c r="BJ114" s="16"/>
      <c r="BK114" s="16"/>
      <c r="BL114" s="16"/>
      <c r="BY114" s="13">
        <v>110</v>
      </c>
      <c r="BZ114" s="14">
        <f t="shared" si="62"/>
        <v>14</v>
      </c>
      <c r="CA114" s="14">
        <f t="shared" si="63"/>
        <v>2</v>
      </c>
      <c r="CB114" s="14">
        <f t="shared" si="48"/>
        <v>2</v>
      </c>
      <c r="CC114" s="14">
        <f t="shared" si="49"/>
        <v>2022026</v>
      </c>
      <c r="CD114" s="13" t="str">
        <f t="shared" si="50"/>
        <v>40级守护灵蓝色-护手</v>
      </c>
      <c r="CE114" s="14">
        <f t="shared" si="51"/>
        <v>2</v>
      </c>
      <c r="CF114" s="14">
        <f t="shared" si="52"/>
        <v>2</v>
      </c>
      <c r="CG114" s="14">
        <f t="shared" si="64"/>
        <v>40</v>
      </c>
      <c r="CH114" s="14">
        <f t="shared" si="65"/>
        <v>40</v>
      </c>
      <c r="CI114" s="14">
        <f t="shared" si="53"/>
        <v>6</v>
      </c>
      <c r="CJ114" s="14" t="str">
        <f t="shared" si="66"/>
        <v/>
      </c>
      <c r="CK114" s="14">
        <f t="shared" si="54"/>
        <v>0</v>
      </c>
      <c r="CL114" s="14">
        <f t="shared" si="55"/>
        <v>0</v>
      </c>
      <c r="CM114" s="14">
        <f t="shared" si="56"/>
        <v>420</v>
      </c>
      <c r="CN114" s="14">
        <f t="shared" si="57"/>
        <v>0</v>
      </c>
      <c r="CO114" s="14">
        <f t="shared" si="58"/>
        <v>0</v>
      </c>
      <c r="CP114" s="14">
        <f t="shared" si="59"/>
        <v>46.62</v>
      </c>
      <c r="CQ114" s="14">
        <f t="shared" si="67"/>
        <v>6</v>
      </c>
      <c r="CR114" s="14">
        <f t="shared" si="68"/>
        <v>0</v>
      </c>
      <c r="CS114" s="14">
        <f t="shared" si="69"/>
        <v>22</v>
      </c>
      <c r="CV114" s="14">
        <f t="shared" si="60"/>
        <v>3</v>
      </c>
      <c r="CW114" s="14">
        <f t="shared" si="61"/>
        <v>0</v>
      </c>
      <c r="CX114" s="14" t="str">
        <f t="shared" si="70"/>
        <v>HPExt</v>
      </c>
      <c r="CY114" s="14">
        <f t="shared" si="71"/>
        <v>420</v>
      </c>
      <c r="CZ114" s="14">
        <f t="shared" si="72"/>
        <v>46.62</v>
      </c>
      <c r="DA114" s="14" t="str">
        <f t="shared" si="73"/>
        <v/>
      </c>
      <c r="DB114" s="14" t="str">
        <f t="shared" si="74"/>
        <v/>
      </c>
      <c r="DC114" s="14" t="str">
        <f t="shared" si="75"/>
        <v/>
      </c>
      <c r="DD114" s="14">
        <f t="shared" si="76"/>
        <v>6</v>
      </c>
      <c r="DE114" s="14">
        <f t="shared" si="77"/>
        <v>0</v>
      </c>
      <c r="DF114" s="14">
        <f t="shared" si="78"/>
        <v>22</v>
      </c>
      <c r="DG114" s="14">
        <f t="shared" si="79"/>
        <v>30</v>
      </c>
    </row>
    <row r="115" spans="57:111" ht="16.5" x14ac:dyDescent="0.2">
      <c r="BE115" s="16"/>
      <c r="BF115" s="16"/>
      <c r="BG115" s="16"/>
      <c r="BH115" s="16"/>
      <c r="BI115" s="16"/>
      <c r="BJ115" s="16"/>
      <c r="BK115" s="16"/>
      <c r="BL115" s="16"/>
      <c r="BY115" s="13">
        <v>111</v>
      </c>
      <c r="BZ115" s="14">
        <f t="shared" si="62"/>
        <v>14</v>
      </c>
      <c r="CA115" s="14">
        <f t="shared" si="63"/>
        <v>2</v>
      </c>
      <c r="CB115" s="14">
        <f t="shared" si="48"/>
        <v>2</v>
      </c>
      <c r="CC115" s="14">
        <f t="shared" si="49"/>
        <v>2022027</v>
      </c>
      <c r="CD115" s="13" t="str">
        <f t="shared" si="50"/>
        <v>40级守护灵蓝色-项链</v>
      </c>
      <c r="CE115" s="14">
        <f t="shared" si="51"/>
        <v>2</v>
      </c>
      <c r="CF115" s="14">
        <f t="shared" si="52"/>
        <v>2</v>
      </c>
      <c r="CG115" s="14">
        <f t="shared" si="64"/>
        <v>40</v>
      </c>
      <c r="CH115" s="14">
        <f t="shared" si="65"/>
        <v>40</v>
      </c>
      <c r="CI115" s="14">
        <f t="shared" si="53"/>
        <v>7</v>
      </c>
      <c r="CJ115" s="14" t="str">
        <f t="shared" si="66"/>
        <v/>
      </c>
      <c r="CK115" s="14">
        <f t="shared" si="54"/>
        <v>60</v>
      </c>
      <c r="CL115" s="14">
        <f t="shared" si="55"/>
        <v>34</v>
      </c>
      <c r="CM115" s="14">
        <f t="shared" si="56"/>
        <v>0</v>
      </c>
      <c r="CN115" s="14">
        <f t="shared" si="57"/>
        <v>6.66</v>
      </c>
      <c r="CO115" s="14">
        <f t="shared" si="58"/>
        <v>3.81</v>
      </c>
      <c r="CP115" s="14">
        <f t="shared" si="59"/>
        <v>0</v>
      </c>
      <c r="CQ115" s="14">
        <f t="shared" si="67"/>
        <v>6</v>
      </c>
      <c r="CR115" s="14">
        <f t="shared" si="68"/>
        <v>0</v>
      </c>
      <c r="CS115" s="14">
        <f t="shared" si="69"/>
        <v>22</v>
      </c>
      <c r="CV115" s="14">
        <f t="shared" si="60"/>
        <v>1</v>
      </c>
      <c r="CW115" s="14">
        <f t="shared" si="61"/>
        <v>2</v>
      </c>
      <c r="CX115" s="14" t="str">
        <f t="shared" si="70"/>
        <v>AtkExt</v>
      </c>
      <c r="CY115" s="14">
        <f t="shared" si="71"/>
        <v>60</v>
      </c>
      <c r="CZ115" s="14">
        <f t="shared" si="72"/>
        <v>6.66</v>
      </c>
      <c r="DA115" s="14" t="str">
        <f t="shared" si="73"/>
        <v>DefExt</v>
      </c>
      <c r="DB115" s="14">
        <f t="shared" si="74"/>
        <v>34</v>
      </c>
      <c r="DC115" s="14">
        <f t="shared" si="75"/>
        <v>3.81</v>
      </c>
      <c r="DD115" s="14">
        <f t="shared" si="76"/>
        <v>6</v>
      </c>
      <c r="DE115" s="14">
        <f t="shared" si="77"/>
        <v>0</v>
      </c>
      <c r="DF115" s="14">
        <f t="shared" si="78"/>
        <v>22</v>
      </c>
      <c r="DG115" s="14">
        <f t="shared" si="79"/>
        <v>30</v>
      </c>
    </row>
    <row r="116" spans="57:111" ht="16.5" x14ac:dyDescent="0.2">
      <c r="BE116" s="16"/>
      <c r="BF116" s="16"/>
      <c r="BG116" s="16"/>
      <c r="BH116" s="16"/>
      <c r="BI116" s="16"/>
      <c r="BJ116" s="16"/>
      <c r="BK116" s="16"/>
      <c r="BL116" s="16"/>
      <c r="BY116" s="13">
        <v>112</v>
      </c>
      <c r="BZ116" s="14">
        <f t="shared" si="62"/>
        <v>14</v>
      </c>
      <c r="CA116" s="14">
        <f t="shared" si="63"/>
        <v>2</v>
      </c>
      <c r="CB116" s="14">
        <f t="shared" si="48"/>
        <v>2</v>
      </c>
      <c r="CC116" s="14">
        <f t="shared" si="49"/>
        <v>2022028</v>
      </c>
      <c r="CD116" s="13" t="str">
        <f t="shared" si="50"/>
        <v>40级守护灵蓝色-戒指</v>
      </c>
      <c r="CE116" s="14">
        <f t="shared" si="51"/>
        <v>2</v>
      </c>
      <c r="CF116" s="14">
        <f t="shared" si="52"/>
        <v>2</v>
      </c>
      <c r="CG116" s="14">
        <f t="shared" si="64"/>
        <v>40</v>
      </c>
      <c r="CH116" s="14">
        <f t="shared" si="65"/>
        <v>40</v>
      </c>
      <c r="CI116" s="14">
        <f t="shared" si="53"/>
        <v>8</v>
      </c>
      <c r="CJ116" s="14" t="str">
        <f t="shared" si="66"/>
        <v/>
      </c>
      <c r="CK116" s="14">
        <f t="shared" si="54"/>
        <v>60</v>
      </c>
      <c r="CL116" s="14">
        <f t="shared" si="55"/>
        <v>0</v>
      </c>
      <c r="CM116" s="14">
        <f t="shared" si="56"/>
        <v>350</v>
      </c>
      <c r="CN116" s="14">
        <f t="shared" si="57"/>
        <v>6.66</v>
      </c>
      <c r="CO116" s="14">
        <f t="shared" si="58"/>
        <v>0</v>
      </c>
      <c r="CP116" s="14">
        <f t="shared" si="59"/>
        <v>38.85</v>
      </c>
      <c r="CQ116" s="14">
        <f t="shared" si="67"/>
        <v>6</v>
      </c>
      <c r="CR116" s="14">
        <f t="shared" si="68"/>
        <v>0</v>
      </c>
      <c r="CS116" s="14">
        <f t="shared" si="69"/>
        <v>22</v>
      </c>
      <c r="CV116" s="14">
        <f t="shared" si="60"/>
        <v>1</v>
      </c>
      <c r="CW116" s="14">
        <f t="shared" si="61"/>
        <v>3</v>
      </c>
      <c r="CX116" s="14" t="str">
        <f t="shared" si="70"/>
        <v>AtkExt</v>
      </c>
      <c r="CY116" s="14">
        <f t="shared" si="71"/>
        <v>60</v>
      </c>
      <c r="CZ116" s="14">
        <f t="shared" si="72"/>
        <v>6.66</v>
      </c>
      <c r="DA116" s="14" t="str">
        <f t="shared" si="73"/>
        <v>HPExt</v>
      </c>
      <c r="DB116" s="14">
        <f t="shared" si="74"/>
        <v>350</v>
      </c>
      <c r="DC116" s="14">
        <f t="shared" si="75"/>
        <v>38.85</v>
      </c>
      <c r="DD116" s="14">
        <f t="shared" si="76"/>
        <v>6</v>
      </c>
      <c r="DE116" s="14">
        <f t="shared" si="77"/>
        <v>0</v>
      </c>
      <c r="DF116" s="14">
        <f t="shared" si="78"/>
        <v>22</v>
      </c>
      <c r="DG116" s="14">
        <f t="shared" si="79"/>
        <v>30</v>
      </c>
    </row>
    <row r="117" spans="57:111" ht="16.5" x14ac:dyDescent="0.2">
      <c r="BE117" s="16"/>
      <c r="BF117" s="16"/>
      <c r="BG117" s="16"/>
      <c r="BH117" s="16"/>
      <c r="BI117" s="16"/>
      <c r="BJ117" s="16"/>
      <c r="BK117" s="16"/>
      <c r="BL117" s="16"/>
      <c r="BY117" s="13">
        <v>113</v>
      </c>
      <c r="BZ117" s="14">
        <f t="shared" si="62"/>
        <v>15</v>
      </c>
      <c r="CA117" s="14">
        <f t="shared" si="63"/>
        <v>1</v>
      </c>
      <c r="CB117" s="14">
        <f t="shared" si="48"/>
        <v>2</v>
      </c>
      <c r="CC117" s="14">
        <f t="shared" si="49"/>
        <v>2023011</v>
      </c>
      <c r="CD117" s="13" t="str">
        <f t="shared" si="50"/>
        <v>40级寄灵人紫色-武器</v>
      </c>
      <c r="CE117" s="14">
        <f t="shared" si="51"/>
        <v>1</v>
      </c>
      <c r="CF117" s="14">
        <f t="shared" si="52"/>
        <v>3</v>
      </c>
      <c r="CG117" s="14">
        <f t="shared" si="64"/>
        <v>40</v>
      </c>
      <c r="CH117" s="14">
        <f t="shared" si="65"/>
        <v>40</v>
      </c>
      <c r="CI117" s="14">
        <f t="shared" si="53"/>
        <v>1</v>
      </c>
      <c r="CJ117" s="14" t="str">
        <f t="shared" si="66"/>
        <v/>
      </c>
      <c r="CK117" s="14">
        <f t="shared" si="54"/>
        <v>160</v>
      </c>
      <c r="CL117" s="14">
        <f t="shared" si="55"/>
        <v>0</v>
      </c>
      <c r="CM117" s="14">
        <f t="shared" si="56"/>
        <v>0</v>
      </c>
      <c r="CN117" s="14">
        <f t="shared" si="57"/>
        <v>16.62</v>
      </c>
      <c r="CO117" s="14">
        <f t="shared" si="58"/>
        <v>0</v>
      </c>
      <c r="CP117" s="14">
        <f t="shared" si="59"/>
        <v>0</v>
      </c>
      <c r="CQ117" s="14">
        <f t="shared" si="67"/>
        <v>7</v>
      </c>
      <c r="CR117" s="14">
        <f t="shared" si="68"/>
        <v>2</v>
      </c>
      <c r="CS117" s="14">
        <f t="shared" si="69"/>
        <v>12</v>
      </c>
      <c r="CV117" s="14">
        <f t="shared" si="60"/>
        <v>1</v>
      </c>
      <c r="CW117" s="14">
        <f t="shared" si="61"/>
        <v>0</v>
      </c>
      <c r="CX117" s="14" t="str">
        <f t="shared" si="70"/>
        <v>AtkExt</v>
      </c>
      <c r="CY117" s="14">
        <f t="shared" si="71"/>
        <v>160</v>
      </c>
      <c r="CZ117" s="14">
        <f t="shared" si="72"/>
        <v>16.62</v>
      </c>
      <c r="DA117" s="14" t="str">
        <f t="shared" si="73"/>
        <v/>
      </c>
      <c r="DB117" s="14" t="str">
        <f t="shared" si="74"/>
        <v/>
      </c>
      <c r="DC117" s="14" t="str">
        <f t="shared" si="75"/>
        <v/>
      </c>
      <c r="DD117" s="14">
        <f t="shared" si="76"/>
        <v>7</v>
      </c>
      <c r="DE117" s="14">
        <f t="shared" si="77"/>
        <v>2</v>
      </c>
      <c r="DF117" s="14">
        <f t="shared" si="78"/>
        <v>12</v>
      </c>
      <c r="DG117" s="14">
        <f t="shared" si="79"/>
        <v>50</v>
      </c>
    </row>
    <row r="118" spans="57:111" ht="16.5" x14ac:dyDescent="0.2">
      <c r="BE118" s="16"/>
      <c r="BF118" s="16"/>
      <c r="BG118" s="16"/>
      <c r="BH118" s="16"/>
      <c r="BI118" s="16"/>
      <c r="BJ118" s="16"/>
      <c r="BK118" s="16"/>
      <c r="BL118" s="16"/>
      <c r="BY118" s="13">
        <v>114</v>
      </c>
      <c r="BZ118" s="14">
        <f t="shared" si="62"/>
        <v>15</v>
      </c>
      <c r="CA118" s="14">
        <f t="shared" si="63"/>
        <v>1</v>
      </c>
      <c r="CB118" s="14">
        <f t="shared" si="48"/>
        <v>2</v>
      </c>
      <c r="CC118" s="14">
        <f t="shared" si="49"/>
        <v>2023012</v>
      </c>
      <c r="CD118" s="13" t="str">
        <f t="shared" si="50"/>
        <v>40级寄灵人紫色-头盔</v>
      </c>
      <c r="CE118" s="14">
        <f t="shared" si="51"/>
        <v>1</v>
      </c>
      <c r="CF118" s="14">
        <f t="shared" si="52"/>
        <v>3</v>
      </c>
      <c r="CG118" s="14">
        <f t="shared" si="64"/>
        <v>40</v>
      </c>
      <c r="CH118" s="14">
        <f t="shared" si="65"/>
        <v>40</v>
      </c>
      <c r="CI118" s="14">
        <f t="shared" si="53"/>
        <v>2</v>
      </c>
      <c r="CJ118" s="14" t="str">
        <f t="shared" si="66"/>
        <v/>
      </c>
      <c r="CK118" s="14">
        <f t="shared" si="54"/>
        <v>0</v>
      </c>
      <c r="CL118" s="14">
        <f t="shared" si="55"/>
        <v>37</v>
      </c>
      <c r="CM118" s="14">
        <f t="shared" si="56"/>
        <v>0</v>
      </c>
      <c r="CN118" s="14">
        <f t="shared" si="57"/>
        <v>0</v>
      </c>
      <c r="CO118" s="14">
        <f t="shared" si="58"/>
        <v>3.87</v>
      </c>
      <c r="CP118" s="14">
        <f t="shared" si="59"/>
        <v>0</v>
      </c>
      <c r="CQ118" s="14">
        <f t="shared" si="67"/>
        <v>7</v>
      </c>
      <c r="CR118" s="14">
        <f t="shared" si="68"/>
        <v>2</v>
      </c>
      <c r="CS118" s="14">
        <f t="shared" si="69"/>
        <v>12</v>
      </c>
      <c r="CV118" s="14">
        <f t="shared" si="60"/>
        <v>2</v>
      </c>
      <c r="CW118" s="14">
        <f t="shared" si="61"/>
        <v>0</v>
      </c>
      <c r="CX118" s="14" t="str">
        <f t="shared" si="70"/>
        <v>DefExt</v>
      </c>
      <c r="CY118" s="14">
        <f t="shared" si="71"/>
        <v>37</v>
      </c>
      <c r="CZ118" s="14">
        <f t="shared" si="72"/>
        <v>3.87</v>
      </c>
      <c r="DA118" s="14" t="str">
        <f t="shared" si="73"/>
        <v/>
      </c>
      <c r="DB118" s="14" t="str">
        <f t="shared" si="74"/>
        <v/>
      </c>
      <c r="DC118" s="14" t="str">
        <f t="shared" si="75"/>
        <v/>
      </c>
      <c r="DD118" s="14">
        <f t="shared" si="76"/>
        <v>7</v>
      </c>
      <c r="DE118" s="14">
        <f t="shared" si="77"/>
        <v>2</v>
      </c>
      <c r="DF118" s="14">
        <f t="shared" si="78"/>
        <v>12</v>
      </c>
      <c r="DG118" s="14">
        <f t="shared" si="79"/>
        <v>50</v>
      </c>
    </row>
    <row r="119" spans="57:111" ht="16.5" x14ac:dyDescent="0.2">
      <c r="BY119" s="13">
        <v>115</v>
      </c>
      <c r="BZ119" s="14">
        <f t="shared" si="62"/>
        <v>15</v>
      </c>
      <c r="CA119" s="14">
        <f t="shared" si="63"/>
        <v>1</v>
      </c>
      <c r="CB119" s="14">
        <f t="shared" si="48"/>
        <v>2</v>
      </c>
      <c r="CC119" s="14">
        <f t="shared" si="49"/>
        <v>2023013</v>
      </c>
      <c r="CD119" s="13" t="str">
        <f t="shared" si="50"/>
        <v>40级寄灵人紫色-肩甲</v>
      </c>
      <c r="CE119" s="14">
        <f t="shared" si="51"/>
        <v>1</v>
      </c>
      <c r="CF119" s="14">
        <f t="shared" si="52"/>
        <v>3</v>
      </c>
      <c r="CG119" s="14">
        <f t="shared" si="64"/>
        <v>40</v>
      </c>
      <c r="CH119" s="14">
        <f t="shared" si="65"/>
        <v>40</v>
      </c>
      <c r="CI119" s="14">
        <f t="shared" si="53"/>
        <v>3</v>
      </c>
      <c r="CJ119" s="14" t="str">
        <f t="shared" si="66"/>
        <v/>
      </c>
      <c r="CK119" s="14">
        <f t="shared" si="54"/>
        <v>0</v>
      </c>
      <c r="CL119" s="14">
        <f t="shared" si="55"/>
        <v>19</v>
      </c>
      <c r="CM119" s="14">
        <f t="shared" si="56"/>
        <v>127</v>
      </c>
      <c r="CN119" s="14">
        <f t="shared" si="57"/>
        <v>0</v>
      </c>
      <c r="CO119" s="14">
        <f t="shared" si="58"/>
        <v>1.93</v>
      </c>
      <c r="CP119" s="14">
        <f t="shared" si="59"/>
        <v>13.21</v>
      </c>
      <c r="CQ119" s="14">
        <f t="shared" si="67"/>
        <v>7</v>
      </c>
      <c r="CR119" s="14">
        <f t="shared" si="68"/>
        <v>2</v>
      </c>
      <c r="CS119" s="14">
        <f t="shared" si="69"/>
        <v>12</v>
      </c>
      <c r="CV119" s="14">
        <f t="shared" si="60"/>
        <v>2</v>
      </c>
      <c r="CW119" s="14">
        <f t="shared" si="61"/>
        <v>3</v>
      </c>
      <c r="CX119" s="14" t="str">
        <f t="shared" si="70"/>
        <v>DefExt</v>
      </c>
      <c r="CY119" s="14">
        <f t="shared" si="71"/>
        <v>19</v>
      </c>
      <c r="CZ119" s="14">
        <f t="shared" si="72"/>
        <v>1.93</v>
      </c>
      <c r="DA119" s="14" t="str">
        <f t="shared" si="73"/>
        <v>HPExt</v>
      </c>
      <c r="DB119" s="14">
        <f t="shared" si="74"/>
        <v>127</v>
      </c>
      <c r="DC119" s="14">
        <f t="shared" si="75"/>
        <v>13.21</v>
      </c>
      <c r="DD119" s="14">
        <f t="shared" si="76"/>
        <v>7</v>
      </c>
      <c r="DE119" s="14">
        <f t="shared" si="77"/>
        <v>2</v>
      </c>
      <c r="DF119" s="14">
        <f t="shared" si="78"/>
        <v>12</v>
      </c>
      <c r="DG119" s="14">
        <f t="shared" si="79"/>
        <v>50</v>
      </c>
    </row>
    <row r="120" spans="57:111" ht="16.5" x14ac:dyDescent="0.2">
      <c r="BY120" s="13">
        <v>116</v>
      </c>
      <c r="BZ120" s="14">
        <f t="shared" si="62"/>
        <v>15</v>
      </c>
      <c r="CA120" s="14">
        <f t="shared" si="63"/>
        <v>1</v>
      </c>
      <c r="CB120" s="14">
        <f t="shared" si="48"/>
        <v>2</v>
      </c>
      <c r="CC120" s="14">
        <f t="shared" si="49"/>
        <v>2023014</v>
      </c>
      <c r="CD120" s="13" t="str">
        <f t="shared" si="50"/>
        <v>40级寄灵人紫色-衣服</v>
      </c>
      <c r="CE120" s="14">
        <f t="shared" si="51"/>
        <v>1</v>
      </c>
      <c r="CF120" s="14">
        <f t="shared" si="52"/>
        <v>3</v>
      </c>
      <c r="CG120" s="14">
        <f t="shared" si="64"/>
        <v>40</v>
      </c>
      <c r="CH120" s="14">
        <f t="shared" si="65"/>
        <v>40</v>
      </c>
      <c r="CI120" s="14">
        <f t="shared" si="53"/>
        <v>4</v>
      </c>
      <c r="CJ120" s="14" t="str">
        <f t="shared" si="66"/>
        <v/>
      </c>
      <c r="CK120" s="14">
        <f t="shared" si="54"/>
        <v>0</v>
      </c>
      <c r="CL120" s="14">
        <f t="shared" si="55"/>
        <v>37</v>
      </c>
      <c r="CM120" s="14">
        <f t="shared" si="56"/>
        <v>0</v>
      </c>
      <c r="CN120" s="14">
        <f t="shared" si="57"/>
        <v>0</v>
      </c>
      <c r="CO120" s="14">
        <f t="shared" si="58"/>
        <v>3.87</v>
      </c>
      <c r="CP120" s="14">
        <f t="shared" si="59"/>
        <v>0</v>
      </c>
      <c r="CQ120" s="14">
        <f t="shared" si="67"/>
        <v>7</v>
      </c>
      <c r="CR120" s="14">
        <f t="shared" si="68"/>
        <v>2</v>
      </c>
      <c r="CS120" s="14">
        <f t="shared" si="69"/>
        <v>12</v>
      </c>
      <c r="CV120" s="14">
        <f t="shared" si="60"/>
        <v>2</v>
      </c>
      <c r="CW120" s="14">
        <f t="shared" si="61"/>
        <v>0</v>
      </c>
      <c r="CX120" s="14" t="str">
        <f t="shared" si="70"/>
        <v>DefExt</v>
      </c>
      <c r="CY120" s="14">
        <f t="shared" si="71"/>
        <v>37</v>
      </c>
      <c r="CZ120" s="14">
        <f t="shared" si="72"/>
        <v>3.87</v>
      </c>
      <c r="DA120" s="14" t="str">
        <f t="shared" si="73"/>
        <v/>
      </c>
      <c r="DB120" s="14" t="str">
        <f t="shared" si="74"/>
        <v/>
      </c>
      <c r="DC120" s="14" t="str">
        <f t="shared" si="75"/>
        <v/>
      </c>
      <c r="DD120" s="14">
        <f t="shared" si="76"/>
        <v>7</v>
      </c>
      <c r="DE120" s="14">
        <f t="shared" si="77"/>
        <v>2</v>
      </c>
      <c r="DF120" s="14">
        <f t="shared" si="78"/>
        <v>12</v>
      </c>
      <c r="DG120" s="14">
        <f t="shared" si="79"/>
        <v>50</v>
      </c>
    </row>
    <row r="121" spans="57:111" ht="16.5" x14ac:dyDescent="0.2">
      <c r="BY121" s="13">
        <v>117</v>
      </c>
      <c r="BZ121" s="14">
        <f t="shared" si="62"/>
        <v>15</v>
      </c>
      <c r="CA121" s="14">
        <f t="shared" si="63"/>
        <v>1</v>
      </c>
      <c r="CB121" s="14">
        <f t="shared" si="48"/>
        <v>2</v>
      </c>
      <c r="CC121" s="14">
        <f t="shared" si="49"/>
        <v>2023015</v>
      </c>
      <c r="CD121" s="13" t="str">
        <f t="shared" si="50"/>
        <v>40级寄灵人紫色-鞋子</v>
      </c>
      <c r="CE121" s="14">
        <f t="shared" si="51"/>
        <v>1</v>
      </c>
      <c r="CF121" s="14">
        <f t="shared" si="52"/>
        <v>3</v>
      </c>
      <c r="CG121" s="14">
        <f t="shared" si="64"/>
        <v>40</v>
      </c>
      <c r="CH121" s="14">
        <f t="shared" si="65"/>
        <v>40</v>
      </c>
      <c r="CI121" s="14">
        <f t="shared" si="53"/>
        <v>5</v>
      </c>
      <c r="CJ121" s="14" t="str">
        <f t="shared" si="66"/>
        <v/>
      </c>
      <c r="CK121" s="14">
        <f t="shared" si="54"/>
        <v>0</v>
      </c>
      <c r="CL121" s="14">
        <f t="shared" si="55"/>
        <v>0</v>
      </c>
      <c r="CM121" s="14">
        <f t="shared" si="56"/>
        <v>254</v>
      </c>
      <c r="CN121" s="14">
        <f t="shared" si="57"/>
        <v>0</v>
      </c>
      <c r="CO121" s="14">
        <f t="shared" si="58"/>
        <v>0</v>
      </c>
      <c r="CP121" s="14">
        <f t="shared" si="59"/>
        <v>26.42</v>
      </c>
      <c r="CQ121" s="14">
        <f t="shared" si="67"/>
        <v>7</v>
      </c>
      <c r="CR121" s="14">
        <f t="shared" si="68"/>
        <v>2</v>
      </c>
      <c r="CS121" s="14">
        <f t="shared" si="69"/>
        <v>12</v>
      </c>
      <c r="CV121" s="14">
        <f t="shared" si="60"/>
        <v>3</v>
      </c>
      <c r="CW121" s="14">
        <f t="shared" si="61"/>
        <v>0</v>
      </c>
      <c r="CX121" s="14" t="str">
        <f t="shared" si="70"/>
        <v>HPExt</v>
      </c>
      <c r="CY121" s="14">
        <f t="shared" si="71"/>
        <v>254</v>
      </c>
      <c r="CZ121" s="14">
        <f t="shared" si="72"/>
        <v>26.42</v>
      </c>
      <c r="DA121" s="14" t="str">
        <f t="shared" si="73"/>
        <v/>
      </c>
      <c r="DB121" s="14" t="str">
        <f t="shared" si="74"/>
        <v/>
      </c>
      <c r="DC121" s="14" t="str">
        <f t="shared" si="75"/>
        <v/>
      </c>
      <c r="DD121" s="14">
        <f t="shared" si="76"/>
        <v>7</v>
      </c>
      <c r="DE121" s="14">
        <f t="shared" si="77"/>
        <v>2</v>
      </c>
      <c r="DF121" s="14">
        <f t="shared" si="78"/>
        <v>12</v>
      </c>
      <c r="DG121" s="14">
        <f t="shared" si="79"/>
        <v>50</v>
      </c>
    </row>
    <row r="122" spans="57:111" ht="16.5" x14ac:dyDescent="0.2">
      <c r="BY122" s="13">
        <v>118</v>
      </c>
      <c r="BZ122" s="14">
        <f t="shared" si="62"/>
        <v>15</v>
      </c>
      <c r="CA122" s="14">
        <f t="shared" si="63"/>
        <v>1</v>
      </c>
      <c r="CB122" s="14">
        <f t="shared" si="48"/>
        <v>2</v>
      </c>
      <c r="CC122" s="14">
        <f t="shared" si="49"/>
        <v>2023016</v>
      </c>
      <c r="CD122" s="13" t="str">
        <f t="shared" si="50"/>
        <v>40级寄灵人紫色-护手</v>
      </c>
      <c r="CE122" s="14">
        <f t="shared" si="51"/>
        <v>1</v>
      </c>
      <c r="CF122" s="14">
        <f t="shared" si="52"/>
        <v>3</v>
      </c>
      <c r="CG122" s="14">
        <f t="shared" si="64"/>
        <v>40</v>
      </c>
      <c r="CH122" s="14">
        <f t="shared" si="65"/>
        <v>40</v>
      </c>
      <c r="CI122" s="14">
        <f t="shared" si="53"/>
        <v>6</v>
      </c>
      <c r="CJ122" s="14" t="str">
        <f t="shared" si="66"/>
        <v/>
      </c>
      <c r="CK122" s="14">
        <f t="shared" si="54"/>
        <v>0</v>
      </c>
      <c r="CL122" s="14">
        <f t="shared" si="55"/>
        <v>0</v>
      </c>
      <c r="CM122" s="14">
        <f t="shared" si="56"/>
        <v>254</v>
      </c>
      <c r="CN122" s="14">
        <f t="shared" si="57"/>
        <v>0</v>
      </c>
      <c r="CO122" s="14">
        <f t="shared" si="58"/>
        <v>0</v>
      </c>
      <c r="CP122" s="14">
        <f t="shared" si="59"/>
        <v>26.42</v>
      </c>
      <c r="CQ122" s="14">
        <f t="shared" si="67"/>
        <v>7</v>
      </c>
      <c r="CR122" s="14">
        <f t="shared" si="68"/>
        <v>2</v>
      </c>
      <c r="CS122" s="14">
        <f t="shared" si="69"/>
        <v>12</v>
      </c>
      <c r="CV122" s="14">
        <f t="shared" si="60"/>
        <v>3</v>
      </c>
      <c r="CW122" s="14">
        <f t="shared" si="61"/>
        <v>0</v>
      </c>
      <c r="CX122" s="14" t="str">
        <f t="shared" si="70"/>
        <v>HPExt</v>
      </c>
      <c r="CY122" s="14">
        <f t="shared" si="71"/>
        <v>254</v>
      </c>
      <c r="CZ122" s="14">
        <f t="shared" si="72"/>
        <v>26.42</v>
      </c>
      <c r="DA122" s="14" t="str">
        <f t="shared" si="73"/>
        <v/>
      </c>
      <c r="DB122" s="14" t="str">
        <f t="shared" si="74"/>
        <v/>
      </c>
      <c r="DC122" s="14" t="str">
        <f t="shared" si="75"/>
        <v/>
      </c>
      <c r="DD122" s="14">
        <f t="shared" si="76"/>
        <v>7</v>
      </c>
      <c r="DE122" s="14">
        <f t="shared" si="77"/>
        <v>2</v>
      </c>
      <c r="DF122" s="14">
        <f t="shared" si="78"/>
        <v>12</v>
      </c>
      <c r="DG122" s="14">
        <f t="shared" si="79"/>
        <v>50</v>
      </c>
    </row>
    <row r="123" spans="57:111" ht="16.5" x14ac:dyDescent="0.2">
      <c r="BY123" s="13">
        <v>119</v>
      </c>
      <c r="BZ123" s="14">
        <f t="shared" si="62"/>
        <v>15</v>
      </c>
      <c r="CA123" s="14">
        <f t="shared" si="63"/>
        <v>1</v>
      </c>
      <c r="CB123" s="14">
        <f t="shared" si="48"/>
        <v>2</v>
      </c>
      <c r="CC123" s="14">
        <f t="shared" si="49"/>
        <v>2023017</v>
      </c>
      <c r="CD123" s="13" t="str">
        <f t="shared" si="50"/>
        <v>40级寄灵人紫色-项链</v>
      </c>
      <c r="CE123" s="14">
        <f t="shared" si="51"/>
        <v>1</v>
      </c>
      <c r="CF123" s="14">
        <f t="shared" si="52"/>
        <v>3</v>
      </c>
      <c r="CG123" s="14">
        <f t="shared" si="64"/>
        <v>40</v>
      </c>
      <c r="CH123" s="14">
        <f t="shared" si="65"/>
        <v>40</v>
      </c>
      <c r="CI123" s="14">
        <f t="shared" si="53"/>
        <v>7</v>
      </c>
      <c r="CJ123" s="14" t="str">
        <f t="shared" si="66"/>
        <v/>
      </c>
      <c r="CK123" s="14">
        <f t="shared" si="54"/>
        <v>53</v>
      </c>
      <c r="CL123" s="14">
        <f t="shared" si="55"/>
        <v>31</v>
      </c>
      <c r="CM123" s="14">
        <f t="shared" si="56"/>
        <v>0</v>
      </c>
      <c r="CN123" s="14">
        <f t="shared" si="57"/>
        <v>5.54</v>
      </c>
      <c r="CO123" s="14">
        <f t="shared" si="58"/>
        <v>3.22</v>
      </c>
      <c r="CP123" s="14">
        <f t="shared" si="59"/>
        <v>0</v>
      </c>
      <c r="CQ123" s="14">
        <f t="shared" si="67"/>
        <v>7</v>
      </c>
      <c r="CR123" s="14">
        <f t="shared" si="68"/>
        <v>2</v>
      </c>
      <c r="CS123" s="14">
        <f t="shared" si="69"/>
        <v>12</v>
      </c>
      <c r="CV123" s="14">
        <f t="shared" si="60"/>
        <v>1</v>
      </c>
      <c r="CW123" s="14">
        <f t="shared" si="61"/>
        <v>2</v>
      </c>
      <c r="CX123" s="14" t="str">
        <f t="shared" si="70"/>
        <v>AtkExt</v>
      </c>
      <c r="CY123" s="14">
        <f t="shared" si="71"/>
        <v>53</v>
      </c>
      <c r="CZ123" s="14">
        <f t="shared" si="72"/>
        <v>5.54</v>
      </c>
      <c r="DA123" s="14" t="str">
        <f t="shared" si="73"/>
        <v>DefExt</v>
      </c>
      <c r="DB123" s="14">
        <f t="shared" si="74"/>
        <v>31</v>
      </c>
      <c r="DC123" s="14">
        <f t="shared" si="75"/>
        <v>3.22</v>
      </c>
      <c r="DD123" s="14">
        <f t="shared" si="76"/>
        <v>7</v>
      </c>
      <c r="DE123" s="14">
        <f t="shared" si="77"/>
        <v>2</v>
      </c>
      <c r="DF123" s="14">
        <f t="shared" si="78"/>
        <v>12</v>
      </c>
      <c r="DG123" s="14">
        <f t="shared" si="79"/>
        <v>50</v>
      </c>
    </row>
    <row r="124" spans="57:111" ht="16.5" x14ac:dyDescent="0.2">
      <c r="BY124" s="13">
        <v>120</v>
      </c>
      <c r="BZ124" s="14">
        <f t="shared" si="62"/>
        <v>15</v>
      </c>
      <c r="CA124" s="14">
        <f t="shared" si="63"/>
        <v>1</v>
      </c>
      <c r="CB124" s="14">
        <f t="shared" si="48"/>
        <v>2</v>
      </c>
      <c r="CC124" s="14">
        <f t="shared" si="49"/>
        <v>2023018</v>
      </c>
      <c r="CD124" s="13" t="str">
        <f t="shared" si="50"/>
        <v>40级寄灵人紫色-戒指</v>
      </c>
      <c r="CE124" s="14">
        <f t="shared" si="51"/>
        <v>1</v>
      </c>
      <c r="CF124" s="14">
        <f t="shared" si="52"/>
        <v>3</v>
      </c>
      <c r="CG124" s="14">
        <f t="shared" si="64"/>
        <v>40</v>
      </c>
      <c r="CH124" s="14">
        <f t="shared" si="65"/>
        <v>40</v>
      </c>
      <c r="CI124" s="14">
        <f t="shared" si="53"/>
        <v>8</v>
      </c>
      <c r="CJ124" s="14" t="str">
        <f t="shared" si="66"/>
        <v/>
      </c>
      <c r="CK124" s="14">
        <f t="shared" si="54"/>
        <v>53</v>
      </c>
      <c r="CL124" s="14">
        <f t="shared" si="55"/>
        <v>0</v>
      </c>
      <c r="CM124" s="14">
        <f t="shared" si="56"/>
        <v>211</v>
      </c>
      <c r="CN124" s="14">
        <f t="shared" si="57"/>
        <v>5.54</v>
      </c>
      <c r="CO124" s="14">
        <f t="shared" si="58"/>
        <v>0</v>
      </c>
      <c r="CP124" s="14">
        <f t="shared" si="59"/>
        <v>22.02</v>
      </c>
      <c r="CQ124" s="14">
        <f t="shared" si="67"/>
        <v>7</v>
      </c>
      <c r="CR124" s="14">
        <f t="shared" si="68"/>
        <v>2</v>
      </c>
      <c r="CS124" s="14">
        <f t="shared" si="69"/>
        <v>12</v>
      </c>
      <c r="CV124" s="14">
        <f t="shared" si="60"/>
        <v>1</v>
      </c>
      <c r="CW124" s="14">
        <f t="shared" si="61"/>
        <v>3</v>
      </c>
      <c r="CX124" s="14" t="str">
        <f t="shared" si="70"/>
        <v>AtkExt</v>
      </c>
      <c r="CY124" s="14">
        <f t="shared" si="71"/>
        <v>53</v>
      </c>
      <c r="CZ124" s="14">
        <f t="shared" si="72"/>
        <v>5.54</v>
      </c>
      <c r="DA124" s="14" t="str">
        <f t="shared" si="73"/>
        <v>HPExt</v>
      </c>
      <c r="DB124" s="14">
        <f t="shared" si="74"/>
        <v>211</v>
      </c>
      <c r="DC124" s="14">
        <f t="shared" si="75"/>
        <v>22.02</v>
      </c>
      <c r="DD124" s="14">
        <f t="shared" si="76"/>
        <v>7</v>
      </c>
      <c r="DE124" s="14">
        <f t="shared" si="77"/>
        <v>2</v>
      </c>
      <c r="DF124" s="14">
        <f t="shared" si="78"/>
        <v>12</v>
      </c>
      <c r="DG124" s="14">
        <f t="shared" si="79"/>
        <v>50</v>
      </c>
    </row>
    <row r="125" spans="57:111" ht="16.5" x14ac:dyDescent="0.2">
      <c r="BY125" s="13">
        <v>121</v>
      </c>
      <c r="BZ125" s="14">
        <f t="shared" si="62"/>
        <v>16</v>
      </c>
      <c r="CA125" s="14">
        <f t="shared" si="63"/>
        <v>2</v>
      </c>
      <c r="CB125" s="14">
        <f t="shared" si="48"/>
        <v>2</v>
      </c>
      <c r="CC125" s="14">
        <f t="shared" si="49"/>
        <v>2023021</v>
      </c>
      <c r="CD125" s="13" t="str">
        <f t="shared" si="50"/>
        <v>40级守护灵紫色-武器</v>
      </c>
      <c r="CE125" s="14">
        <f t="shared" si="51"/>
        <v>2</v>
      </c>
      <c r="CF125" s="14">
        <f t="shared" si="52"/>
        <v>3</v>
      </c>
      <c r="CG125" s="14">
        <f t="shared" si="64"/>
        <v>40</v>
      </c>
      <c r="CH125" s="14">
        <f t="shared" si="65"/>
        <v>40</v>
      </c>
      <c r="CI125" s="14">
        <f t="shared" si="53"/>
        <v>1</v>
      </c>
      <c r="CJ125" s="14" t="str">
        <f t="shared" si="66"/>
        <v/>
      </c>
      <c r="CK125" s="14">
        <f t="shared" si="54"/>
        <v>192</v>
      </c>
      <c r="CL125" s="14">
        <f t="shared" si="55"/>
        <v>0</v>
      </c>
      <c r="CM125" s="14">
        <f t="shared" si="56"/>
        <v>0</v>
      </c>
      <c r="CN125" s="14">
        <f t="shared" si="57"/>
        <v>19.989999999999998</v>
      </c>
      <c r="CO125" s="14">
        <f t="shared" si="58"/>
        <v>0</v>
      </c>
      <c r="CP125" s="14">
        <f t="shared" si="59"/>
        <v>0</v>
      </c>
      <c r="CQ125" s="14">
        <f t="shared" si="67"/>
        <v>7</v>
      </c>
      <c r="CR125" s="14">
        <f t="shared" si="68"/>
        <v>2</v>
      </c>
      <c r="CS125" s="14">
        <f t="shared" si="69"/>
        <v>22</v>
      </c>
      <c r="CV125" s="14">
        <f t="shared" si="60"/>
        <v>1</v>
      </c>
      <c r="CW125" s="14">
        <f t="shared" si="61"/>
        <v>0</v>
      </c>
      <c r="CX125" s="14" t="str">
        <f t="shared" si="70"/>
        <v>AtkExt</v>
      </c>
      <c r="CY125" s="14">
        <f t="shared" si="71"/>
        <v>192</v>
      </c>
      <c r="CZ125" s="14">
        <f t="shared" si="72"/>
        <v>19.989999999999998</v>
      </c>
      <c r="DA125" s="14" t="str">
        <f t="shared" si="73"/>
        <v/>
      </c>
      <c r="DB125" s="14" t="str">
        <f t="shared" si="74"/>
        <v/>
      </c>
      <c r="DC125" s="14" t="str">
        <f t="shared" si="75"/>
        <v/>
      </c>
      <c r="DD125" s="14">
        <f t="shared" si="76"/>
        <v>7</v>
      </c>
      <c r="DE125" s="14">
        <f t="shared" si="77"/>
        <v>2</v>
      </c>
      <c r="DF125" s="14">
        <f t="shared" si="78"/>
        <v>22</v>
      </c>
      <c r="DG125" s="14">
        <f t="shared" si="79"/>
        <v>50</v>
      </c>
    </row>
    <row r="126" spans="57:111" ht="16.5" x14ac:dyDescent="0.2">
      <c r="BY126" s="13">
        <v>122</v>
      </c>
      <c r="BZ126" s="14">
        <f t="shared" si="62"/>
        <v>16</v>
      </c>
      <c r="CA126" s="14">
        <f t="shared" si="63"/>
        <v>2</v>
      </c>
      <c r="CB126" s="14">
        <f t="shared" si="48"/>
        <v>2</v>
      </c>
      <c r="CC126" s="14">
        <f t="shared" si="49"/>
        <v>2023022</v>
      </c>
      <c r="CD126" s="13" t="str">
        <f t="shared" si="50"/>
        <v>40级守护灵紫色-头盔</v>
      </c>
      <c r="CE126" s="14">
        <f t="shared" si="51"/>
        <v>2</v>
      </c>
      <c r="CF126" s="14">
        <f t="shared" si="52"/>
        <v>3</v>
      </c>
      <c r="CG126" s="14">
        <f t="shared" si="64"/>
        <v>40</v>
      </c>
      <c r="CH126" s="14">
        <f t="shared" si="65"/>
        <v>40</v>
      </c>
      <c r="CI126" s="14">
        <f t="shared" si="53"/>
        <v>2</v>
      </c>
      <c r="CJ126" s="14" t="str">
        <f t="shared" si="66"/>
        <v/>
      </c>
      <c r="CK126" s="14">
        <f t="shared" si="54"/>
        <v>0</v>
      </c>
      <c r="CL126" s="14">
        <f t="shared" si="55"/>
        <v>44</v>
      </c>
      <c r="CM126" s="14">
        <f t="shared" si="56"/>
        <v>0</v>
      </c>
      <c r="CN126" s="14">
        <f t="shared" si="57"/>
        <v>0</v>
      </c>
      <c r="CO126" s="14">
        <f t="shared" si="58"/>
        <v>4.57</v>
      </c>
      <c r="CP126" s="14">
        <f t="shared" si="59"/>
        <v>0</v>
      </c>
      <c r="CQ126" s="14">
        <f t="shared" si="67"/>
        <v>7</v>
      </c>
      <c r="CR126" s="14">
        <f t="shared" si="68"/>
        <v>2</v>
      </c>
      <c r="CS126" s="14">
        <f t="shared" si="69"/>
        <v>22</v>
      </c>
      <c r="CV126" s="14">
        <f t="shared" si="60"/>
        <v>2</v>
      </c>
      <c r="CW126" s="14">
        <f t="shared" si="61"/>
        <v>0</v>
      </c>
      <c r="CX126" s="14" t="str">
        <f t="shared" si="70"/>
        <v>DefExt</v>
      </c>
      <c r="CY126" s="14">
        <f t="shared" si="71"/>
        <v>44</v>
      </c>
      <c r="CZ126" s="14">
        <f t="shared" si="72"/>
        <v>4.57</v>
      </c>
      <c r="DA126" s="14" t="str">
        <f t="shared" si="73"/>
        <v/>
      </c>
      <c r="DB126" s="14" t="str">
        <f t="shared" si="74"/>
        <v/>
      </c>
      <c r="DC126" s="14" t="str">
        <f t="shared" si="75"/>
        <v/>
      </c>
      <c r="DD126" s="14">
        <f t="shared" si="76"/>
        <v>7</v>
      </c>
      <c r="DE126" s="14">
        <f t="shared" si="77"/>
        <v>2</v>
      </c>
      <c r="DF126" s="14">
        <f t="shared" si="78"/>
        <v>22</v>
      </c>
      <c r="DG126" s="14">
        <f t="shared" si="79"/>
        <v>50</v>
      </c>
    </row>
    <row r="127" spans="57:111" ht="16.5" x14ac:dyDescent="0.2">
      <c r="BY127" s="13">
        <v>123</v>
      </c>
      <c r="BZ127" s="14">
        <f t="shared" si="62"/>
        <v>16</v>
      </c>
      <c r="CA127" s="14">
        <f t="shared" si="63"/>
        <v>2</v>
      </c>
      <c r="CB127" s="14">
        <f t="shared" si="48"/>
        <v>2</v>
      </c>
      <c r="CC127" s="14">
        <f t="shared" si="49"/>
        <v>2023023</v>
      </c>
      <c r="CD127" s="13" t="str">
        <f t="shared" si="50"/>
        <v>40级守护灵紫色-肩甲</v>
      </c>
      <c r="CE127" s="14">
        <f t="shared" si="51"/>
        <v>2</v>
      </c>
      <c r="CF127" s="14">
        <f t="shared" si="52"/>
        <v>3</v>
      </c>
      <c r="CG127" s="14">
        <f t="shared" si="64"/>
        <v>40</v>
      </c>
      <c r="CH127" s="14">
        <f t="shared" si="65"/>
        <v>40</v>
      </c>
      <c r="CI127" s="14">
        <f t="shared" si="53"/>
        <v>3</v>
      </c>
      <c r="CJ127" s="14" t="str">
        <f t="shared" si="66"/>
        <v/>
      </c>
      <c r="CK127" s="14">
        <f t="shared" si="54"/>
        <v>0</v>
      </c>
      <c r="CL127" s="14">
        <f t="shared" si="55"/>
        <v>22</v>
      </c>
      <c r="CM127" s="14">
        <f t="shared" si="56"/>
        <v>224</v>
      </c>
      <c r="CN127" s="14">
        <f t="shared" si="57"/>
        <v>0</v>
      </c>
      <c r="CO127" s="14">
        <f t="shared" si="58"/>
        <v>2.2799999999999998</v>
      </c>
      <c r="CP127" s="14">
        <f t="shared" si="59"/>
        <v>23.31</v>
      </c>
      <c r="CQ127" s="14">
        <f t="shared" si="67"/>
        <v>7</v>
      </c>
      <c r="CR127" s="14">
        <f t="shared" si="68"/>
        <v>2</v>
      </c>
      <c r="CS127" s="14">
        <f t="shared" si="69"/>
        <v>22</v>
      </c>
      <c r="CV127" s="14">
        <f t="shared" si="60"/>
        <v>2</v>
      </c>
      <c r="CW127" s="14">
        <f t="shared" si="61"/>
        <v>3</v>
      </c>
      <c r="CX127" s="14" t="str">
        <f t="shared" si="70"/>
        <v>DefExt</v>
      </c>
      <c r="CY127" s="14">
        <f t="shared" si="71"/>
        <v>22</v>
      </c>
      <c r="CZ127" s="14">
        <f t="shared" si="72"/>
        <v>2.2799999999999998</v>
      </c>
      <c r="DA127" s="14" t="str">
        <f t="shared" si="73"/>
        <v>HPExt</v>
      </c>
      <c r="DB127" s="14">
        <f t="shared" si="74"/>
        <v>224</v>
      </c>
      <c r="DC127" s="14">
        <f t="shared" si="75"/>
        <v>23.31</v>
      </c>
      <c r="DD127" s="14">
        <f t="shared" si="76"/>
        <v>7</v>
      </c>
      <c r="DE127" s="14">
        <f t="shared" si="77"/>
        <v>2</v>
      </c>
      <c r="DF127" s="14">
        <f t="shared" si="78"/>
        <v>22</v>
      </c>
      <c r="DG127" s="14">
        <f t="shared" si="79"/>
        <v>50</v>
      </c>
    </row>
    <row r="128" spans="57:111" ht="16.5" x14ac:dyDescent="0.2">
      <c r="BY128" s="13">
        <v>124</v>
      </c>
      <c r="BZ128" s="14">
        <f t="shared" si="62"/>
        <v>16</v>
      </c>
      <c r="CA128" s="14">
        <f t="shared" si="63"/>
        <v>2</v>
      </c>
      <c r="CB128" s="14">
        <f t="shared" si="48"/>
        <v>2</v>
      </c>
      <c r="CC128" s="14">
        <f t="shared" si="49"/>
        <v>2023024</v>
      </c>
      <c r="CD128" s="13" t="str">
        <f t="shared" si="50"/>
        <v>40级守护灵紫色-衣服</v>
      </c>
      <c r="CE128" s="14">
        <f t="shared" si="51"/>
        <v>2</v>
      </c>
      <c r="CF128" s="14">
        <f t="shared" si="52"/>
        <v>3</v>
      </c>
      <c r="CG128" s="14">
        <f t="shared" si="64"/>
        <v>40</v>
      </c>
      <c r="CH128" s="14">
        <f t="shared" si="65"/>
        <v>40</v>
      </c>
      <c r="CI128" s="14">
        <f t="shared" si="53"/>
        <v>4</v>
      </c>
      <c r="CJ128" s="14" t="str">
        <f t="shared" si="66"/>
        <v/>
      </c>
      <c r="CK128" s="14">
        <f t="shared" si="54"/>
        <v>0</v>
      </c>
      <c r="CL128" s="14">
        <f t="shared" si="55"/>
        <v>44</v>
      </c>
      <c r="CM128" s="14">
        <f t="shared" si="56"/>
        <v>0</v>
      </c>
      <c r="CN128" s="14">
        <f t="shared" si="57"/>
        <v>0</v>
      </c>
      <c r="CO128" s="14">
        <f t="shared" si="58"/>
        <v>4.57</v>
      </c>
      <c r="CP128" s="14">
        <f t="shared" si="59"/>
        <v>0</v>
      </c>
      <c r="CQ128" s="14">
        <f t="shared" si="67"/>
        <v>7</v>
      </c>
      <c r="CR128" s="14">
        <f t="shared" si="68"/>
        <v>2</v>
      </c>
      <c r="CS128" s="14">
        <f t="shared" si="69"/>
        <v>22</v>
      </c>
      <c r="CV128" s="14">
        <f t="shared" si="60"/>
        <v>2</v>
      </c>
      <c r="CW128" s="14">
        <f t="shared" si="61"/>
        <v>0</v>
      </c>
      <c r="CX128" s="14" t="str">
        <f t="shared" si="70"/>
        <v>DefExt</v>
      </c>
      <c r="CY128" s="14">
        <f t="shared" si="71"/>
        <v>44</v>
      </c>
      <c r="CZ128" s="14">
        <f t="shared" si="72"/>
        <v>4.57</v>
      </c>
      <c r="DA128" s="14" t="str">
        <f t="shared" si="73"/>
        <v/>
      </c>
      <c r="DB128" s="14" t="str">
        <f t="shared" si="74"/>
        <v/>
      </c>
      <c r="DC128" s="14" t="str">
        <f t="shared" si="75"/>
        <v/>
      </c>
      <c r="DD128" s="14">
        <f t="shared" si="76"/>
        <v>7</v>
      </c>
      <c r="DE128" s="14">
        <f t="shared" si="77"/>
        <v>2</v>
      </c>
      <c r="DF128" s="14">
        <f t="shared" si="78"/>
        <v>22</v>
      </c>
      <c r="DG128" s="14">
        <f t="shared" si="79"/>
        <v>50</v>
      </c>
    </row>
    <row r="129" spans="77:111" ht="16.5" x14ac:dyDescent="0.2">
      <c r="BY129" s="13">
        <v>125</v>
      </c>
      <c r="BZ129" s="14">
        <f t="shared" si="62"/>
        <v>16</v>
      </c>
      <c r="CA129" s="14">
        <f t="shared" si="63"/>
        <v>2</v>
      </c>
      <c r="CB129" s="14">
        <f t="shared" si="48"/>
        <v>2</v>
      </c>
      <c r="CC129" s="14">
        <f t="shared" si="49"/>
        <v>2023025</v>
      </c>
      <c r="CD129" s="13" t="str">
        <f t="shared" si="50"/>
        <v>40级守护灵紫色-鞋子</v>
      </c>
      <c r="CE129" s="14">
        <f t="shared" si="51"/>
        <v>2</v>
      </c>
      <c r="CF129" s="14">
        <f t="shared" si="52"/>
        <v>3</v>
      </c>
      <c r="CG129" s="14">
        <f t="shared" si="64"/>
        <v>40</v>
      </c>
      <c r="CH129" s="14">
        <f t="shared" si="65"/>
        <v>40</v>
      </c>
      <c r="CI129" s="14">
        <f t="shared" si="53"/>
        <v>5</v>
      </c>
      <c r="CJ129" s="14" t="str">
        <f t="shared" si="66"/>
        <v/>
      </c>
      <c r="CK129" s="14">
        <f t="shared" si="54"/>
        <v>0</v>
      </c>
      <c r="CL129" s="14">
        <f t="shared" si="55"/>
        <v>0</v>
      </c>
      <c r="CM129" s="14">
        <f t="shared" si="56"/>
        <v>448</v>
      </c>
      <c r="CN129" s="14">
        <f t="shared" si="57"/>
        <v>0</v>
      </c>
      <c r="CO129" s="14">
        <f t="shared" si="58"/>
        <v>0</v>
      </c>
      <c r="CP129" s="14">
        <f t="shared" si="59"/>
        <v>46.62</v>
      </c>
      <c r="CQ129" s="14">
        <f t="shared" si="67"/>
        <v>7</v>
      </c>
      <c r="CR129" s="14">
        <f t="shared" si="68"/>
        <v>2</v>
      </c>
      <c r="CS129" s="14">
        <f t="shared" si="69"/>
        <v>22</v>
      </c>
      <c r="CV129" s="14">
        <f t="shared" si="60"/>
        <v>3</v>
      </c>
      <c r="CW129" s="14">
        <f t="shared" si="61"/>
        <v>0</v>
      </c>
      <c r="CX129" s="14" t="str">
        <f t="shared" si="70"/>
        <v>HPExt</v>
      </c>
      <c r="CY129" s="14">
        <f t="shared" si="71"/>
        <v>448</v>
      </c>
      <c r="CZ129" s="14">
        <f t="shared" si="72"/>
        <v>46.62</v>
      </c>
      <c r="DA129" s="14" t="str">
        <f t="shared" si="73"/>
        <v/>
      </c>
      <c r="DB129" s="14" t="str">
        <f t="shared" si="74"/>
        <v/>
      </c>
      <c r="DC129" s="14" t="str">
        <f t="shared" si="75"/>
        <v/>
      </c>
      <c r="DD129" s="14">
        <f t="shared" si="76"/>
        <v>7</v>
      </c>
      <c r="DE129" s="14">
        <f t="shared" si="77"/>
        <v>2</v>
      </c>
      <c r="DF129" s="14">
        <f t="shared" si="78"/>
        <v>22</v>
      </c>
      <c r="DG129" s="14">
        <f t="shared" si="79"/>
        <v>50</v>
      </c>
    </row>
    <row r="130" spans="77:111" ht="16.5" x14ac:dyDescent="0.2">
      <c r="BY130" s="13">
        <v>126</v>
      </c>
      <c r="BZ130" s="14">
        <f t="shared" si="62"/>
        <v>16</v>
      </c>
      <c r="CA130" s="14">
        <f t="shared" si="63"/>
        <v>2</v>
      </c>
      <c r="CB130" s="14">
        <f t="shared" si="48"/>
        <v>2</v>
      </c>
      <c r="CC130" s="14">
        <f t="shared" si="49"/>
        <v>2023026</v>
      </c>
      <c r="CD130" s="13" t="str">
        <f t="shared" si="50"/>
        <v>40级守护灵紫色-护手</v>
      </c>
      <c r="CE130" s="14">
        <f t="shared" si="51"/>
        <v>2</v>
      </c>
      <c r="CF130" s="14">
        <f t="shared" si="52"/>
        <v>3</v>
      </c>
      <c r="CG130" s="14">
        <f t="shared" si="64"/>
        <v>40</v>
      </c>
      <c r="CH130" s="14">
        <f t="shared" si="65"/>
        <v>40</v>
      </c>
      <c r="CI130" s="14">
        <f t="shared" si="53"/>
        <v>6</v>
      </c>
      <c r="CJ130" s="14" t="str">
        <f t="shared" si="66"/>
        <v/>
      </c>
      <c r="CK130" s="14">
        <f t="shared" si="54"/>
        <v>0</v>
      </c>
      <c r="CL130" s="14">
        <f t="shared" si="55"/>
        <v>0</v>
      </c>
      <c r="CM130" s="14">
        <f t="shared" si="56"/>
        <v>448</v>
      </c>
      <c r="CN130" s="14">
        <f t="shared" si="57"/>
        <v>0</v>
      </c>
      <c r="CO130" s="14">
        <f t="shared" si="58"/>
        <v>0</v>
      </c>
      <c r="CP130" s="14">
        <f t="shared" si="59"/>
        <v>46.62</v>
      </c>
      <c r="CQ130" s="14">
        <f t="shared" si="67"/>
        <v>7</v>
      </c>
      <c r="CR130" s="14">
        <f t="shared" si="68"/>
        <v>2</v>
      </c>
      <c r="CS130" s="14">
        <f t="shared" si="69"/>
        <v>22</v>
      </c>
      <c r="CV130" s="14">
        <f t="shared" si="60"/>
        <v>3</v>
      </c>
      <c r="CW130" s="14">
        <f t="shared" si="61"/>
        <v>0</v>
      </c>
      <c r="CX130" s="14" t="str">
        <f t="shared" si="70"/>
        <v>HPExt</v>
      </c>
      <c r="CY130" s="14">
        <f t="shared" si="71"/>
        <v>448</v>
      </c>
      <c r="CZ130" s="14">
        <f t="shared" si="72"/>
        <v>46.62</v>
      </c>
      <c r="DA130" s="14" t="str">
        <f t="shared" si="73"/>
        <v/>
      </c>
      <c r="DB130" s="14" t="str">
        <f t="shared" si="74"/>
        <v/>
      </c>
      <c r="DC130" s="14" t="str">
        <f t="shared" si="75"/>
        <v/>
      </c>
      <c r="DD130" s="14">
        <f t="shared" si="76"/>
        <v>7</v>
      </c>
      <c r="DE130" s="14">
        <f t="shared" si="77"/>
        <v>2</v>
      </c>
      <c r="DF130" s="14">
        <f t="shared" si="78"/>
        <v>22</v>
      </c>
      <c r="DG130" s="14">
        <f t="shared" si="79"/>
        <v>50</v>
      </c>
    </row>
    <row r="131" spans="77:111" ht="16.5" x14ac:dyDescent="0.2">
      <c r="BY131" s="13">
        <v>127</v>
      </c>
      <c r="BZ131" s="14">
        <f t="shared" si="62"/>
        <v>16</v>
      </c>
      <c r="CA131" s="14">
        <f t="shared" si="63"/>
        <v>2</v>
      </c>
      <c r="CB131" s="14">
        <f t="shared" si="48"/>
        <v>2</v>
      </c>
      <c r="CC131" s="14">
        <f t="shared" si="49"/>
        <v>2023027</v>
      </c>
      <c r="CD131" s="13" t="str">
        <f t="shared" si="50"/>
        <v>40级守护灵紫色-项链</v>
      </c>
      <c r="CE131" s="14">
        <f t="shared" si="51"/>
        <v>2</v>
      </c>
      <c r="CF131" s="14">
        <f t="shared" si="52"/>
        <v>3</v>
      </c>
      <c r="CG131" s="14">
        <f t="shared" si="64"/>
        <v>40</v>
      </c>
      <c r="CH131" s="14">
        <f t="shared" si="65"/>
        <v>40</v>
      </c>
      <c r="CI131" s="14">
        <f t="shared" si="53"/>
        <v>7</v>
      </c>
      <c r="CJ131" s="14" t="str">
        <f t="shared" si="66"/>
        <v/>
      </c>
      <c r="CK131" s="14">
        <f t="shared" si="54"/>
        <v>64</v>
      </c>
      <c r="CL131" s="14">
        <f t="shared" si="55"/>
        <v>37</v>
      </c>
      <c r="CM131" s="14">
        <f t="shared" si="56"/>
        <v>0</v>
      </c>
      <c r="CN131" s="14">
        <f t="shared" si="57"/>
        <v>6.66</v>
      </c>
      <c r="CO131" s="14">
        <f t="shared" si="58"/>
        <v>3.81</v>
      </c>
      <c r="CP131" s="14">
        <f t="shared" si="59"/>
        <v>0</v>
      </c>
      <c r="CQ131" s="14">
        <f t="shared" si="67"/>
        <v>7</v>
      </c>
      <c r="CR131" s="14">
        <f t="shared" si="68"/>
        <v>2</v>
      </c>
      <c r="CS131" s="14">
        <f t="shared" si="69"/>
        <v>22</v>
      </c>
      <c r="CV131" s="14">
        <f t="shared" si="60"/>
        <v>1</v>
      </c>
      <c r="CW131" s="14">
        <f t="shared" si="61"/>
        <v>2</v>
      </c>
      <c r="CX131" s="14" t="str">
        <f t="shared" si="70"/>
        <v>AtkExt</v>
      </c>
      <c r="CY131" s="14">
        <f t="shared" si="71"/>
        <v>64</v>
      </c>
      <c r="CZ131" s="14">
        <f t="shared" si="72"/>
        <v>6.66</v>
      </c>
      <c r="DA131" s="14" t="str">
        <f t="shared" si="73"/>
        <v>DefExt</v>
      </c>
      <c r="DB131" s="14">
        <f t="shared" si="74"/>
        <v>37</v>
      </c>
      <c r="DC131" s="14">
        <f t="shared" si="75"/>
        <v>3.81</v>
      </c>
      <c r="DD131" s="14">
        <f t="shared" si="76"/>
        <v>7</v>
      </c>
      <c r="DE131" s="14">
        <f t="shared" si="77"/>
        <v>2</v>
      </c>
      <c r="DF131" s="14">
        <f t="shared" si="78"/>
        <v>22</v>
      </c>
      <c r="DG131" s="14">
        <f t="shared" si="79"/>
        <v>50</v>
      </c>
    </row>
    <row r="132" spans="77:111" ht="16.5" x14ac:dyDescent="0.2">
      <c r="BY132" s="13">
        <v>128</v>
      </c>
      <c r="BZ132" s="14">
        <f t="shared" si="62"/>
        <v>16</v>
      </c>
      <c r="CA132" s="14">
        <f t="shared" si="63"/>
        <v>2</v>
      </c>
      <c r="CB132" s="14">
        <f t="shared" si="48"/>
        <v>2</v>
      </c>
      <c r="CC132" s="14">
        <f t="shared" si="49"/>
        <v>2023028</v>
      </c>
      <c r="CD132" s="13" t="str">
        <f t="shared" si="50"/>
        <v>40级守护灵紫色-戒指</v>
      </c>
      <c r="CE132" s="14">
        <f t="shared" si="51"/>
        <v>2</v>
      </c>
      <c r="CF132" s="14">
        <f t="shared" si="52"/>
        <v>3</v>
      </c>
      <c r="CG132" s="14">
        <f t="shared" si="64"/>
        <v>40</v>
      </c>
      <c r="CH132" s="14">
        <f t="shared" si="65"/>
        <v>40</v>
      </c>
      <c r="CI132" s="14">
        <f t="shared" si="53"/>
        <v>8</v>
      </c>
      <c r="CJ132" s="14" t="str">
        <f t="shared" si="66"/>
        <v/>
      </c>
      <c r="CK132" s="14">
        <f t="shared" si="54"/>
        <v>64</v>
      </c>
      <c r="CL132" s="14">
        <f t="shared" si="55"/>
        <v>0</v>
      </c>
      <c r="CM132" s="14">
        <f t="shared" si="56"/>
        <v>373</v>
      </c>
      <c r="CN132" s="14">
        <f t="shared" si="57"/>
        <v>6.66</v>
      </c>
      <c r="CO132" s="14">
        <f t="shared" si="58"/>
        <v>0</v>
      </c>
      <c r="CP132" s="14">
        <f t="shared" si="59"/>
        <v>38.85</v>
      </c>
      <c r="CQ132" s="14">
        <f t="shared" si="67"/>
        <v>7</v>
      </c>
      <c r="CR132" s="14">
        <f t="shared" si="68"/>
        <v>2</v>
      </c>
      <c r="CS132" s="14">
        <f t="shared" si="69"/>
        <v>22</v>
      </c>
      <c r="CV132" s="14">
        <f t="shared" si="60"/>
        <v>1</v>
      </c>
      <c r="CW132" s="14">
        <f t="shared" si="61"/>
        <v>3</v>
      </c>
      <c r="CX132" s="14" t="str">
        <f t="shared" si="70"/>
        <v>AtkExt</v>
      </c>
      <c r="CY132" s="14">
        <f t="shared" si="71"/>
        <v>64</v>
      </c>
      <c r="CZ132" s="14">
        <f t="shared" si="72"/>
        <v>6.66</v>
      </c>
      <c r="DA132" s="14" t="str">
        <f t="shared" si="73"/>
        <v>HPExt</v>
      </c>
      <c r="DB132" s="14">
        <f t="shared" si="74"/>
        <v>373</v>
      </c>
      <c r="DC132" s="14">
        <f t="shared" si="75"/>
        <v>38.85</v>
      </c>
      <c r="DD132" s="14">
        <f t="shared" si="76"/>
        <v>7</v>
      </c>
      <c r="DE132" s="14">
        <f t="shared" si="77"/>
        <v>2</v>
      </c>
      <c r="DF132" s="14">
        <f t="shared" si="78"/>
        <v>22</v>
      </c>
      <c r="DG132" s="14">
        <f t="shared" si="79"/>
        <v>50</v>
      </c>
    </row>
    <row r="133" spans="77:111" ht="16.5" x14ac:dyDescent="0.2">
      <c r="BY133" s="13">
        <v>129</v>
      </c>
      <c r="BZ133" s="14">
        <f t="shared" si="62"/>
        <v>17</v>
      </c>
      <c r="CA133" s="14">
        <f t="shared" si="63"/>
        <v>1</v>
      </c>
      <c r="CB133" s="14">
        <f t="shared" ref="CB133:CB196" si="88">INDEX($BE$6:$BE$81,BZ133)</f>
        <v>2</v>
      </c>
      <c r="CC133" s="14">
        <f t="shared" ref="CC133:CC196" si="89">INDEX($BJ$6:$BJ$81,BZ133)+CI133</f>
        <v>2024011</v>
      </c>
      <c r="CD133" s="13" t="str">
        <f t="shared" ref="CD133:CD196" si="90">INDEX($BK$6:$BK$81,BZ133)&amp;"-"&amp;INDEX($BO$3:$BV$3,CI133)</f>
        <v>40级寄灵人橙色-武器</v>
      </c>
      <c r="CE133" s="14">
        <f t="shared" ref="CE133:CE196" si="91">INDEX($BH$6:$BH$81,BZ133)</f>
        <v>1</v>
      </c>
      <c r="CF133" s="14">
        <f t="shared" ref="CF133:CF196" si="92">INDEX($BG$6:$BG$81,BZ133)</f>
        <v>4</v>
      </c>
      <c r="CG133" s="14">
        <f t="shared" si="64"/>
        <v>40</v>
      </c>
      <c r="CH133" s="14">
        <f t="shared" si="65"/>
        <v>40</v>
      </c>
      <c r="CI133" s="14">
        <f t="shared" ref="CI133:CI196" si="93">BY133-INDEX($BN$5:$BN$81,BZ133)</f>
        <v>1</v>
      </c>
      <c r="CJ133" s="14" t="str">
        <f t="shared" si="66"/>
        <v/>
      </c>
      <c r="CK133" s="14">
        <f t="shared" ref="CK133:CK196" si="94">ROUND(INDEX(I$5:I$16,($CE133-1)*6+$CB133)*INDEX(W$5:W$12,$CI133)*INDEX($AF$5:$AF$8,$CF133),0)</f>
        <v>199</v>
      </c>
      <c r="CL133" s="14">
        <f t="shared" ref="CL133:CL196" si="95">ROUND(INDEX(J$5:J$16,($CE133-1)*6+$CB133)*INDEX(X$5:X$12,$CI133)*INDEX($AF$5:$AF$8,$CF133),0)</f>
        <v>0</v>
      </c>
      <c r="CM133" s="14">
        <f t="shared" ref="CM133:CM196" si="96">ROUND(INDEX(K$5:K$16,($CE133-1)*6+$CB133)*INDEX(Y$5:Y$12,$CI133)*INDEX($AF$5:$AF$8,$CF133),0)</f>
        <v>0</v>
      </c>
      <c r="CN133" s="14">
        <f t="shared" ref="CN133:CN196" si="97">ROUND(INDEX(E$5:E$16,($CE133-1)*6+$CB133)*INDEX(W$5:W$12,$CI133),2)</f>
        <v>16.62</v>
      </c>
      <c r="CO133" s="14">
        <f t="shared" ref="CO133:CO196" si="98">ROUND(INDEX(F$5:F$16,($CE133-1)*6+$CB133)*INDEX(X$5:X$12,$CI133),2)</f>
        <v>0</v>
      </c>
      <c r="CP133" s="14">
        <f t="shared" ref="CP133:CP196" si="99">ROUND(INDEX(G$5:G$16,($CE133-1)*6+$CB133)*INDEX(Y$5:Y$12,$CI133),2)</f>
        <v>0</v>
      </c>
      <c r="CQ133" s="14">
        <f t="shared" si="67"/>
        <v>8</v>
      </c>
      <c r="CR133" s="14">
        <f t="shared" si="68"/>
        <v>3</v>
      </c>
      <c r="CS133" s="14">
        <f t="shared" si="69"/>
        <v>12</v>
      </c>
      <c r="CV133" s="14">
        <f t="shared" ref="CV133:CV196" si="100">INDEX(Z$5:Z$12,$CI133)</f>
        <v>1</v>
      </c>
      <c r="CW133" s="14">
        <f t="shared" ref="CW133:CW196" si="101">INDEX(AA$5:AA$12,$CI133)</f>
        <v>0</v>
      </c>
      <c r="CX133" s="14" t="str">
        <f t="shared" si="70"/>
        <v>AtkExt</v>
      </c>
      <c r="CY133" s="14">
        <f t="shared" si="71"/>
        <v>199</v>
      </c>
      <c r="CZ133" s="14">
        <f t="shared" si="72"/>
        <v>16.62</v>
      </c>
      <c r="DA133" s="14" t="str">
        <f t="shared" si="73"/>
        <v/>
      </c>
      <c r="DB133" s="14" t="str">
        <f t="shared" si="74"/>
        <v/>
      </c>
      <c r="DC133" s="14" t="str">
        <f t="shared" si="75"/>
        <v/>
      </c>
      <c r="DD133" s="14">
        <f t="shared" si="76"/>
        <v>8</v>
      </c>
      <c r="DE133" s="14">
        <f t="shared" si="77"/>
        <v>3</v>
      </c>
      <c r="DF133" s="14">
        <f t="shared" si="78"/>
        <v>12</v>
      </c>
      <c r="DG133" s="14">
        <f t="shared" si="79"/>
        <v>100</v>
      </c>
    </row>
    <row r="134" spans="77:111" ht="16.5" x14ac:dyDescent="0.2">
      <c r="BY134" s="13">
        <v>130</v>
      </c>
      <c r="BZ134" s="14">
        <f t="shared" ref="BZ134:BZ197" si="102">MATCH(BY134-1,$BN$5:$BN$81,1)</f>
        <v>17</v>
      </c>
      <c r="CA134" s="14">
        <f t="shared" ref="CA134:CA197" si="103">INDEX($BI$6:$BI$81,BZ134)</f>
        <v>1</v>
      </c>
      <c r="CB134" s="14">
        <f t="shared" si="88"/>
        <v>2</v>
      </c>
      <c r="CC134" s="14">
        <f t="shared" si="89"/>
        <v>2024012</v>
      </c>
      <c r="CD134" s="13" t="str">
        <f t="shared" si="90"/>
        <v>40级寄灵人橙色-头盔</v>
      </c>
      <c r="CE134" s="14">
        <f t="shared" si="91"/>
        <v>1</v>
      </c>
      <c r="CF134" s="14">
        <f t="shared" si="92"/>
        <v>4</v>
      </c>
      <c r="CG134" s="14">
        <f t="shared" ref="CG134:CG197" si="104">INDEX($D$5:$D$16,(CE134-1)*6+CB134)</f>
        <v>40</v>
      </c>
      <c r="CH134" s="14">
        <f t="shared" ref="CH134:CH197" si="105">INDEX($D$5:$D$16,(CE134-1)*6+CB134)</f>
        <v>40</v>
      </c>
      <c r="CI134" s="14">
        <f t="shared" si="93"/>
        <v>2</v>
      </c>
      <c r="CJ134" s="14" t="str">
        <f t="shared" ref="CJ134:CJ197" si="106">IF(INDEX($BL$6:$BL$81,BZ134)&gt;0,INDEX($BL$6:$BL$81,BZ134),"")</f>
        <v/>
      </c>
      <c r="CK134" s="14">
        <f t="shared" si="94"/>
        <v>0</v>
      </c>
      <c r="CL134" s="14">
        <f t="shared" si="95"/>
        <v>46</v>
      </c>
      <c r="CM134" s="14">
        <f t="shared" si="96"/>
        <v>0</v>
      </c>
      <c r="CN134" s="14">
        <f t="shared" si="97"/>
        <v>0</v>
      </c>
      <c r="CO134" s="14">
        <f t="shared" si="98"/>
        <v>3.87</v>
      </c>
      <c r="CP134" s="14">
        <f t="shared" si="99"/>
        <v>0</v>
      </c>
      <c r="CQ134" s="14">
        <f t="shared" ref="CQ134:CQ197" si="107">(CB134-1)*4+CF134</f>
        <v>8</v>
      </c>
      <c r="CR134" s="14">
        <f t="shared" ref="CR134:CR197" si="108">INDEX($AY$5:$BB$16,CB134,CF134)</f>
        <v>3</v>
      </c>
      <c r="CS134" s="14">
        <f t="shared" ref="CS134:CS197" si="109">CE134*10+CB134</f>
        <v>12</v>
      </c>
      <c r="CV134" s="14">
        <f t="shared" si="100"/>
        <v>2</v>
      </c>
      <c r="CW134" s="14">
        <f t="shared" si="101"/>
        <v>0</v>
      </c>
      <c r="CX134" s="14" t="str">
        <f t="shared" ref="CX134:CX197" si="110">INDEX($U$3:$W$3,CV134)</f>
        <v>DefExt</v>
      </c>
      <c r="CY134" s="14">
        <f t="shared" ref="CY134:CY197" si="111">INDEX(CK134:CM134,CV134)</f>
        <v>46</v>
      </c>
      <c r="CZ134" s="14">
        <f t="shared" ref="CZ134:CZ197" si="112">INDEX(CN134:CP134,CV134)</f>
        <v>3.87</v>
      </c>
      <c r="DA134" s="14" t="str">
        <f t="shared" ref="DA134:DA197" si="113">IF(CW134&gt;0,INDEX($U$3:$W$3,CW134),"")</f>
        <v/>
      </c>
      <c r="DB134" s="14" t="str">
        <f t="shared" ref="DB134:DB197" si="114">IF(CW134&gt;0,INDEX(CK134:CM134,CW134),"")</f>
        <v/>
      </c>
      <c r="DC134" s="14" t="str">
        <f t="shared" ref="DC134:DC197" si="115">IF(CW134&gt;0,INDEX(CN134:CP134,CW134),"")</f>
        <v/>
      </c>
      <c r="DD134" s="14">
        <f t="shared" ref="DD134:DD197" si="116">(CB134-1)*4+CF134</f>
        <v>8</v>
      </c>
      <c r="DE134" s="14">
        <f t="shared" ref="DE134:DE197" si="117">INDEX($AY$5:$BB$16,CB134,CF134)</f>
        <v>3</v>
      </c>
      <c r="DF134" s="14">
        <f t="shared" ref="DF134:DF197" si="118">CE134*10+CB134</f>
        <v>12</v>
      </c>
      <c r="DG134" s="14">
        <f t="shared" ref="DG134:DG197" si="119">INDEX($N$5:$S$8,CF134,CB134)</f>
        <v>100</v>
      </c>
    </row>
    <row r="135" spans="77:111" ht="16.5" x14ac:dyDescent="0.2">
      <c r="BY135" s="13">
        <v>131</v>
      </c>
      <c r="BZ135" s="14">
        <f t="shared" si="102"/>
        <v>17</v>
      </c>
      <c r="CA135" s="14">
        <f t="shared" si="103"/>
        <v>1</v>
      </c>
      <c r="CB135" s="14">
        <f t="shared" si="88"/>
        <v>2</v>
      </c>
      <c r="CC135" s="14">
        <f t="shared" si="89"/>
        <v>2024013</v>
      </c>
      <c r="CD135" s="13" t="str">
        <f t="shared" si="90"/>
        <v>40级寄灵人橙色-肩甲</v>
      </c>
      <c r="CE135" s="14">
        <f t="shared" si="91"/>
        <v>1</v>
      </c>
      <c r="CF135" s="14">
        <f t="shared" si="92"/>
        <v>4</v>
      </c>
      <c r="CG135" s="14">
        <f t="shared" si="104"/>
        <v>40</v>
      </c>
      <c r="CH135" s="14">
        <f t="shared" si="105"/>
        <v>40</v>
      </c>
      <c r="CI135" s="14">
        <f t="shared" si="93"/>
        <v>3</v>
      </c>
      <c r="CJ135" s="14" t="str">
        <f t="shared" si="106"/>
        <v/>
      </c>
      <c r="CK135" s="14">
        <f t="shared" si="94"/>
        <v>0</v>
      </c>
      <c r="CL135" s="14">
        <f t="shared" si="95"/>
        <v>23</v>
      </c>
      <c r="CM135" s="14">
        <f t="shared" si="96"/>
        <v>159</v>
      </c>
      <c r="CN135" s="14">
        <f t="shared" si="97"/>
        <v>0</v>
      </c>
      <c r="CO135" s="14">
        <f t="shared" si="98"/>
        <v>1.93</v>
      </c>
      <c r="CP135" s="14">
        <f t="shared" si="99"/>
        <v>13.21</v>
      </c>
      <c r="CQ135" s="14">
        <f t="shared" si="107"/>
        <v>8</v>
      </c>
      <c r="CR135" s="14">
        <f t="shared" si="108"/>
        <v>3</v>
      </c>
      <c r="CS135" s="14">
        <f t="shared" si="109"/>
        <v>12</v>
      </c>
      <c r="CV135" s="14">
        <f t="shared" si="100"/>
        <v>2</v>
      </c>
      <c r="CW135" s="14">
        <f t="shared" si="101"/>
        <v>3</v>
      </c>
      <c r="CX135" s="14" t="str">
        <f t="shared" si="110"/>
        <v>DefExt</v>
      </c>
      <c r="CY135" s="14">
        <f t="shared" si="111"/>
        <v>23</v>
      </c>
      <c r="CZ135" s="14">
        <f t="shared" si="112"/>
        <v>1.93</v>
      </c>
      <c r="DA135" s="14" t="str">
        <f t="shared" si="113"/>
        <v>HPExt</v>
      </c>
      <c r="DB135" s="14">
        <f t="shared" si="114"/>
        <v>159</v>
      </c>
      <c r="DC135" s="14">
        <f t="shared" si="115"/>
        <v>13.21</v>
      </c>
      <c r="DD135" s="14">
        <f t="shared" si="116"/>
        <v>8</v>
      </c>
      <c r="DE135" s="14">
        <f t="shared" si="117"/>
        <v>3</v>
      </c>
      <c r="DF135" s="14">
        <f t="shared" si="118"/>
        <v>12</v>
      </c>
      <c r="DG135" s="14">
        <f t="shared" si="119"/>
        <v>100</v>
      </c>
    </row>
    <row r="136" spans="77:111" ht="16.5" x14ac:dyDescent="0.2">
      <c r="BY136" s="13">
        <v>132</v>
      </c>
      <c r="BZ136" s="14">
        <f t="shared" si="102"/>
        <v>17</v>
      </c>
      <c r="CA136" s="14">
        <f t="shared" si="103"/>
        <v>1</v>
      </c>
      <c r="CB136" s="14">
        <f t="shared" si="88"/>
        <v>2</v>
      </c>
      <c r="CC136" s="14">
        <f t="shared" si="89"/>
        <v>2024014</v>
      </c>
      <c r="CD136" s="13" t="str">
        <f t="shared" si="90"/>
        <v>40级寄灵人橙色-衣服</v>
      </c>
      <c r="CE136" s="14">
        <f t="shared" si="91"/>
        <v>1</v>
      </c>
      <c r="CF136" s="14">
        <f t="shared" si="92"/>
        <v>4</v>
      </c>
      <c r="CG136" s="14">
        <f t="shared" si="104"/>
        <v>40</v>
      </c>
      <c r="CH136" s="14">
        <f t="shared" si="105"/>
        <v>40</v>
      </c>
      <c r="CI136" s="14">
        <f t="shared" si="93"/>
        <v>4</v>
      </c>
      <c r="CJ136" s="14" t="str">
        <f t="shared" si="106"/>
        <v/>
      </c>
      <c r="CK136" s="14">
        <f t="shared" si="94"/>
        <v>0</v>
      </c>
      <c r="CL136" s="14">
        <f t="shared" si="95"/>
        <v>46</v>
      </c>
      <c r="CM136" s="14">
        <f t="shared" si="96"/>
        <v>0</v>
      </c>
      <c r="CN136" s="14">
        <f t="shared" si="97"/>
        <v>0</v>
      </c>
      <c r="CO136" s="14">
        <f t="shared" si="98"/>
        <v>3.87</v>
      </c>
      <c r="CP136" s="14">
        <f t="shared" si="99"/>
        <v>0</v>
      </c>
      <c r="CQ136" s="14">
        <f t="shared" si="107"/>
        <v>8</v>
      </c>
      <c r="CR136" s="14">
        <f t="shared" si="108"/>
        <v>3</v>
      </c>
      <c r="CS136" s="14">
        <f t="shared" si="109"/>
        <v>12</v>
      </c>
      <c r="CV136" s="14">
        <f t="shared" si="100"/>
        <v>2</v>
      </c>
      <c r="CW136" s="14">
        <f t="shared" si="101"/>
        <v>0</v>
      </c>
      <c r="CX136" s="14" t="str">
        <f t="shared" si="110"/>
        <v>DefExt</v>
      </c>
      <c r="CY136" s="14">
        <f t="shared" si="111"/>
        <v>46</v>
      </c>
      <c r="CZ136" s="14">
        <f t="shared" si="112"/>
        <v>3.87</v>
      </c>
      <c r="DA136" s="14" t="str">
        <f t="shared" si="113"/>
        <v/>
      </c>
      <c r="DB136" s="14" t="str">
        <f t="shared" si="114"/>
        <v/>
      </c>
      <c r="DC136" s="14" t="str">
        <f t="shared" si="115"/>
        <v/>
      </c>
      <c r="DD136" s="14">
        <f t="shared" si="116"/>
        <v>8</v>
      </c>
      <c r="DE136" s="14">
        <f t="shared" si="117"/>
        <v>3</v>
      </c>
      <c r="DF136" s="14">
        <f t="shared" si="118"/>
        <v>12</v>
      </c>
      <c r="DG136" s="14">
        <f t="shared" si="119"/>
        <v>100</v>
      </c>
    </row>
    <row r="137" spans="77:111" ht="16.5" x14ac:dyDescent="0.2">
      <c r="BY137" s="13">
        <v>133</v>
      </c>
      <c r="BZ137" s="14">
        <f t="shared" si="102"/>
        <v>17</v>
      </c>
      <c r="CA137" s="14">
        <f t="shared" si="103"/>
        <v>1</v>
      </c>
      <c r="CB137" s="14">
        <f t="shared" si="88"/>
        <v>2</v>
      </c>
      <c r="CC137" s="14">
        <f t="shared" si="89"/>
        <v>2024015</v>
      </c>
      <c r="CD137" s="13" t="str">
        <f t="shared" si="90"/>
        <v>40级寄灵人橙色-鞋子</v>
      </c>
      <c r="CE137" s="14">
        <f t="shared" si="91"/>
        <v>1</v>
      </c>
      <c r="CF137" s="14">
        <f t="shared" si="92"/>
        <v>4</v>
      </c>
      <c r="CG137" s="14">
        <f t="shared" si="104"/>
        <v>40</v>
      </c>
      <c r="CH137" s="14">
        <f t="shared" si="105"/>
        <v>40</v>
      </c>
      <c r="CI137" s="14">
        <f t="shared" si="93"/>
        <v>5</v>
      </c>
      <c r="CJ137" s="14" t="str">
        <f t="shared" si="106"/>
        <v/>
      </c>
      <c r="CK137" s="14">
        <f t="shared" si="94"/>
        <v>0</v>
      </c>
      <c r="CL137" s="14">
        <f t="shared" si="95"/>
        <v>0</v>
      </c>
      <c r="CM137" s="14">
        <f t="shared" si="96"/>
        <v>317</v>
      </c>
      <c r="CN137" s="14">
        <f t="shared" si="97"/>
        <v>0</v>
      </c>
      <c r="CO137" s="14">
        <f t="shared" si="98"/>
        <v>0</v>
      </c>
      <c r="CP137" s="14">
        <f t="shared" si="99"/>
        <v>26.42</v>
      </c>
      <c r="CQ137" s="14">
        <f t="shared" si="107"/>
        <v>8</v>
      </c>
      <c r="CR137" s="14">
        <f t="shared" si="108"/>
        <v>3</v>
      </c>
      <c r="CS137" s="14">
        <f t="shared" si="109"/>
        <v>12</v>
      </c>
      <c r="CV137" s="14">
        <f t="shared" si="100"/>
        <v>3</v>
      </c>
      <c r="CW137" s="14">
        <f t="shared" si="101"/>
        <v>0</v>
      </c>
      <c r="CX137" s="14" t="str">
        <f t="shared" si="110"/>
        <v>HPExt</v>
      </c>
      <c r="CY137" s="14">
        <f t="shared" si="111"/>
        <v>317</v>
      </c>
      <c r="CZ137" s="14">
        <f t="shared" si="112"/>
        <v>26.42</v>
      </c>
      <c r="DA137" s="14" t="str">
        <f t="shared" si="113"/>
        <v/>
      </c>
      <c r="DB137" s="14" t="str">
        <f t="shared" si="114"/>
        <v/>
      </c>
      <c r="DC137" s="14" t="str">
        <f t="shared" si="115"/>
        <v/>
      </c>
      <c r="DD137" s="14">
        <f t="shared" si="116"/>
        <v>8</v>
      </c>
      <c r="DE137" s="14">
        <f t="shared" si="117"/>
        <v>3</v>
      </c>
      <c r="DF137" s="14">
        <f t="shared" si="118"/>
        <v>12</v>
      </c>
      <c r="DG137" s="14">
        <f t="shared" si="119"/>
        <v>100</v>
      </c>
    </row>
    <row r="138" spans="77:111" ht="16.5" x14ac:dyDescent="0.2">
      <c r="BY138" s="13">
        <v>134</v>
      </c>
      <c r="BZ138" s="14">
        <f t="shared" si="102"/>
        <v>17</v>
      </c>
      <c r="CA138" s="14">
        <f t="shared" si="103"/>
        <v>1</v>
      </c>
      <c r="CB138" s="14">
        <f t="shared" si="88"/>
        <v>2</v>
      </c>
      <c r="CC138" s="14">
        <f t="shared" si="89"/>
        <v>2024016</v>
      </c>
      <c r="CD138" s="13" t="str">
        <f t="shared" si="90"/>
        <v>40级寄灵人橙色-护手</v>
      </c>
      <c r="CE138" s="14">
        <f t="shared" si="91"/>
        <v>1</v>
      </c>
      <c r="CF138" s="14">
        <f t="shared" si="92"/>
        <v>4</v>
      </c>
      <c r="CG138" s="14">
        <f t="shared" si="104"/>
        <v>40</v>
      </c>
      <c r="CH138" s="14">
        <f t="shared" si="105"/>
        <v>40</v>
      </c>
      <c r="CI138" s="14">
        <f t="shared" si="93"/>
        <v>6</v>
      </c>
      <c r="CJ138" s="14" t="str">
        <f t="shared" si="106"/>
        <v/>
      </c>
      <c r="CK138" s="14">
        <f t="shared" si="94"/>
        <v>0</v>
      </c>
      <c r="CL138" s="14">
        <f t="shared" si="95"/>
        <v>0</v>
      </c>
      <c r="CM138" s="14">
        <f t="shared" si="96"/>
        <v>317</v>
      </c>
      <c r="CN138" s="14">
        <f t="shared" si="97"/>
        <v>0</v>
      </c>
      <c r="CO138" s="14">
        <f t="shared" si="98"/>
        <v>0</v>
      </c>
      <c r="CP138" s="14">
        <f t="shared" si="99"/>
        <v>26.42</v>
      </c>
      <c r="CQ138" s="14">
        <f t="shared" si="107"/>
        <v>8</v>
      </c>
      <c r="CR138" s="14">
        <f t="shared" si="108"/>
        <v>3</v>
      </c>
      <c r="CS138" s="14">
        <f t="shared" si="109"/>
        <v>12</v>
      </c>
      <c r="CV138" s="14">
        <f t="shared" si="100"/>
        <v>3</v>
      </c>
      <c r="CW138" s="14">
        <f t="shared" si="101"/>
        <v>0</v>
      </c>
      <c r="CX138" s="14" t="str">
        <f t="shared" si="110"/>
        <v>HPExt</v>
      </c>
      <c r="CY138" s="14">
        <f t="shared" si="111"/>
        <v>317</v>
      </c>
      <c r="CZ138" s="14">
        <f t="shared" si="112"/>
        <v>26.42</v>
      </c>
      <c r="DA138" s="14" t="str">
        <f t="shared" si="113"/>
        <v/>
      </c>
      <c r="DB138" s="14" t="str">
        <f t="shared" si="114"/>
        <v/>
      </c>
      <c r="DC138" s="14" t="str">
        <f t="shared" si="115"/>
        <v/>
      </c>
      <c r="DD138" s="14">
        <f t="shared" si="116"/>
        <v>8</v>
      </c>
      <c r="DE138" s="14">
        <f t="shared" si="117"/>
        <v>3</v>
      </c>
      <c r="DF138" s="14">
        <f t="shared" si="118"/>
        <v>12</v>
      </c>
      <c r="DG138" s="14">
        <f t="shared" si="119"/>
        <v>100</v>
      </c>
    </row>
    <row r="139" spans="77:111" ht="16.5" x14ac:dyDescent="0.2">
      <c r="BY139" s="13">
        <v>135</v>
      </c>
      <c r="BZ139" s="14">
        <f t="shared" si="102"/>
        <v>17</v>
      </c>
      <c r="CA139" s="14">
        <f t="shared" si="103"/>
        <v>1</v>
      </c>
      <c r="CB139" s="14">
        <f t="shared" si="88"/>
        <v>2</v>
      </c>
      <c r="CC139" s="14">
        <f t="shared" si="89"/>
        <v>2024017</v>
      </c>
      <c r="CD139" s="13" t="str">
        <f t="shared" si="90"/>
        <v>40级寄灵人橙色-项链</v>
      </c>
      <c r="CE139" s="14">
        <f t="shared" si="91"/>
        <v>1</v>
      </c>
      <c r="CF139" s="14">
        <f t="shared" si="92"/>
        <v>4</v>
      </c>
      <c r="CG139" s="14">
        <f t="shared" si="104"/>
        <v>40</v>
      </c>
      <c r="CH139" s="14">
        <f t="shared" si="105"/>
        <v>40</v>
      </c>
      <c r="CI139" s="14">
        <f t="shared" si="93"/>
        <v>7</v>
      </c>
      <c r="CJ139" s="14" t="str">
        <f t="shared" si="106"/>
        <v/>
      </c>
      <c r="CK139" s="14">
        <f t="shared" si="94"/>
        <v>66</v>
      </c>
      <c r="CL139" s="14">
        <f t="shared" si="95"/>
        <v>39</v>
      </c>
      <c r="CM139" s="14">
        <f t="shared" si="96"/>
        <v>0</v>
      </c>
      <c r="CN139" s="14">
        <f t="shared" si="97"/>
        <v>5.54</v>
      </c>
      <c r="CO139" s="14">
        <f t="shared" si="98"/>
        <v>3.22</v>
      </c>
      <c r="CP139" s="14">
        <f t="shared" si="99"/>
        <v>0</v>
      </c>
      <c r="CQ139" s="14">
        <f t="shared" si="107"/>
        <v>8</v>
      </c>
      <c r="CR139" s="14">
        <f t="shared" si="108"/>
        <v>3</v>
      </c>
      <c r="CS139" s="14">
        <f t="shared" si="109"/>
        <v>12</v>
      </c>
      <c r="CV139" s="14">
        <f t="shared" si="100"/>
        <v>1</v>
      </c>
      <c r="CW139" s="14">
        <f t="shared" si="101"/>
        <v>2</v>
      </c>
      <c r="CX139" s="14" t="str">
        <f t="shared" si="110"/>
        <v>AtkExt</v>
      </c>
      <c r="CY139" s="14">
        <f t="shared" si="111"/>
        <v>66</v>
      </c>
      <c r="CZ139" s="14">
        <f t="shared" si="112"/>
        <v>5.54</v>
      </c>
      <c r="DA139" s="14" t="str">
        <f t="shared" si="113"/>
        <v>DefExt</v>
      </c>
      <c r="DB139" s="14">
        <f t="shared" si="114"/>
        <v>39</v>
      </c>
      <c r="DC139" s="14">
        <f t="shared" si="115"/>
        <v>3.22</v>
      </c>
      <c r="DD139" s="14">
        <f t="shared" si="116"/>
        <v>8</v>
      </c>
      <c r="DE139" s="14">
        <f t="shared" si="117"/>
        <v>3</v>
      </c>
      <c r="DF139" s="14">
        <f t="shared" si="118"/>
        <v>12</v>
      </c>
      <c r="DG139" s="14">
        <f t="shared" si="119"/>
        <v>100</v>
      </c>
    </row>
    <row r="140" spans="77:111" ht="16.5" x14ac:dyDescent="0.2">
      <c r="BY140" s="13">
        <v>136</v>
      </c>
      <c r="BZ140" s="14">
        <f t="shared" si="102"/>
        <v>17</v>
      </c>
      <c r="CA140" s="14">
        <f t="shared" si="103"/>
        <v>1</v>
      </c>
      <c r="CB140" s="14">
        <f t="shared" si="88"/>
        <v>2</v>
      </c>
      <c r="CC140" s="14">
        <f t="shared" si="89"/>
        <v>2024018</v>
      </c>
      <c r="CD140" s="13" t="str">
        <f t="shared" si="90"/>
        <v>40级寄灵人橙色-戒指</v>
      </c>
      <c r="CE140" s="14">
        <f t="shared" si="91"/>
        <v>1</v>
      </c>
      <c r="CF140" s="14">
        <f t="shared" si="92"/>
        <v>4</v>
      </c>
      <c r="CG140" s="14">
        <f t="shared" si="104"/>
        <v>40</v>
      </c>
      <c r="CH140" s="14">
        <f t="shared" si="105"/>
        <v>40</v>
      </c>
      <c r="CI140" s="14">
        <f t="shared" si="93"/>
        <v>8</v>
      </c>
      <c r="CJ140" s="14" t="str">
        <f t="shared" si="106"/>
        <v/>
      </c>
      <c r="CK140" s="14">
        <f t="shared" si="94"/>
        <v>66</v>
      </c>
      <c r="CL140" s="14">
        <f t="shared" si="95"/>
        <v>0</v>
      </c>
      <c r="CM140" s="14">
        <f t="shared" si="96"/>
        <v>264</v>
      </c>
      <c r="CN140" s="14">
        <f t="shared" si="97"/>
        <v>5.54</v>
      </c>
      <c r="CO140" s="14">
        <f t="shared" si="98"/>
        <v>0</v>
      </c>
      <c r="CP140" s="14">
        <f t="shared" si="99"/>
        <v>22.02</v>
      </c>
      <c r="CQ140" s="14">
        <f t="shared" si="107"/>
        <v>8</v>
      </c>
      <c r="CR140" s="14">
        <f t="shared" si="108"/>
        <v>3</v>
      </c>
      <c r="CS140" s="14">
        <f t="shared" si="109"/>
        <v>12</v>
      </c>
      <c r="CV140" s="14">
        <f t="shared" si="100"/>
        <v>1</v>
      </c>
      <c r="CW140" s="14">
        <f t="shared" si="101"/>
        <v>3</v>
      </c>
      <c r="CX140" s="14" t="str">
        <f t="shared" si="110"/>
        <v>AtkExt</v>
      </c>
      <c r="CY140" s="14">
        <f t="shared" si="111"/>
        <v>66</v>
      </c>
      <c r="CZ140" s="14">
        <f t="shared" si="112"/>
        <v>5.54</v>
      </c>
      <c r="DA140" s="14" t="str">
        <f t="shared" si="113"/>
        <v>HPExt</v>
      </c>
      <c r="DB140" s="14">
        <f t="shared" si="114"/>
        <v>264</v>
      </c>
      <c r="DC140" s="14">
        <f t="shared" si="115"/>
        <v>22.02</v>
      </c>
      <c r="DD140" s="14">
        <f t="shared" si="116"/>
        <v>8</v>
      </c>
      <c r="DE140" s="14">
        <f t="shared" si="117"/>
        <v>3</v>
      </c>
      <c r="DF140" s="14">
        <f t="shared" si="118"/>
        <v>12</v>
      </c>
      <c r="DG140" s="14">
        <f t="shared" si="119"/>
        <v>100</v>
      </c>
    </row>
    <row r="141" spans="77:111" ht="16.5" x14ac:dyDescent="0.2">
      <c r="BY141" s="13">
        <v>137</v>
      </c>
      <c r="BZ141" s="14">
        <f t="shared" si="102"/>
        <v>18</v>
      </c>
      <c r="CA141" s="14">
        <f t="shared" si="103"/>
        <v>2</v>
      </c>
      <c r="CB141" s="14">
        <f t="shared" si="88"/>
        <v>2</v>
      </c>
      <c r="CC141" s="14">
        <f t="shared" si="89"/>
        <v>2024021</v>
      </c>
      <c r="CD141" s="13" t="str">
        <f t="shared" si="90"/>
        <v>40级守护灵橙色-武器</v>
      </c>
      <c r="CE141" s="14">
        <f t="shared" si="91"/>
        <v>2</v>
      </c>
      <c r="CF141" s="14">
        <f t="shared" si="92"/>
        <v>4</v>
      </c>
      <c r="CG141" s="14">
        <f t="shared" si="104"/>
        <v>40</v>
      </c>
      <c r="CH141" s="14">
        <f t="shared" si="105"/>
        <v>40</v>
      </c>
      <c r="CI141" s="14">
        <f t="shared" si="93"/>
        <v>1</v>
      </c>
      <c r="CJ141" s="14" t="str">
        <f t="shared" si="106"/>
        <v/>
      </c>
      <c r="CK141" s="14">
        <f t="shared" si="94"/>
        <v>240</v>
      </c>
      <c r="CL141" s="14">
        <f t="shared" si="95"/>
        <v>0</v>
      </c>
      <c r="CM141" s="14">
        <f t="shared" si="96"/>
        <v>0</v>
      </c>
      <c r="CN141" s="14">
        <f t="shared" si="97"/>
        <v>19.989999999999998</v>
      </c>
      <c r="CO141" s="14">
        <f t="shared" si="98"/>
        <v>0</v>
      </c>
      <c r="CP141" s="14">
        <f t="shared" si="99"/>
        <v>0</v>
      </c>
      <c r="CQ141" s="14">
        <f t="shared" si="107"/>
        <v>8</v>
      </c>
      <c r="CR141" s="14">
        <f t="shared" si="108"/>
        <v>3</v>
      </c>
      <c r="CS141" s="14">
        <f t="shared" si="109"/>
        <v>22</v>
      </c>
      <c r="CV141" s="14">
        <f t="shared" si="100"/>
        <v>1</v>
      </c>
      <c r="CW141" s="14">
        <f t="shared" si="101"/>
        <v>0</v>
      </c>
      <c r="CX141" s="14" t="str">
        <f t="shared" si="110"/>
        <v>AtkExt</v>
      </c>
      <c r="CY141" s="14">
        <f t="shared" si="111"/>
        <v>240</v>
      </c>
      <c r="CZ141" s="14">
        <f t="shared" si="112"/>
        <v>19.989999999999998</v>
      </c>
      <c r="DA141" s="14" t="str">
        <f t="shared" si="113"/>
        <v/>
      </c>
      <c r="DB141" s="14" t="str">
        <f t="shared" si="114"/>
        <v/>
      </c>
      <c r="DC141" s="14" t="str">
        <f t="shared" si="115"/>
        <v/>
      </c>
      <c r="DD141" s="14">
        <f t="shared" si="116"/>
        <v>8</v>
      </c>
      <c r="DE141" s="14">
        <f t="shared" si="117"/>
        <v>3</v>
      </c>
      <c r="DF141" s="14">
        <f t="shared" si="118"/>
        <v>22</v>
      </c>
      <c r="DG141" s="14">
        <f t="shared" si="119"/>
        <v>100</v>
      </c>
    </row>
    <row r="142" spans="77:111" ht="16.5" x14ac:dyDescent="0.2">
      <c r="BY142" s="13">
        <v>138</v>
      </c>
      <c r="BZ142" s="14">
        <f t="shared" si="102"/>
        <v>18</v>
      </c>
      <c r="CA142" s="14">
        <f t="shared" si="103"/>
        <v>2</v>
      </c>
      <c r="CB142" s="14">
        <f t="shared" si="88"/>
        <v>2</v>
      </c>
      <c r="CC142" s="14">
        <f t="shared" si="89"/>
        <v>2024022</v>
      </c>
      <c r="CD142" s="13" t="str">
        <f t="shared" si="90"/>
        <v>40级守护灵橙色-头盔</v>
      </c>
      <c r="CE142" s="14">
        <f t="shared" si="91"/>
        <v>2</v>
      </c>
      <c r="CF142" s="14">
        <f t="shared" si="92"/>
        <v>4</v>
      </c>
      <c r="CG142" s="14">
        <f t="shared" si="104"/>
        <v>40</v>
      </c>
      <c r="CH142" s="14">
        <f t="shared" si="105"/>
        <v>40</v>
      </c>
      <c r="CI142" s="14">
        <f t="shared" si="93"/>
        <v>2</v>
      </c>
      <c r="CJ142" s="14" t="str">
        <f t="shared" si="106"/>
        <v/>
      </c>
      <c r="CK142" s="14">
        <f t="shared" si="94"/>
        <v>0</v>
      </c>
      <c r="CL142" s="14">
        <f t="shared" si="95"/>
        <v>55</v>
      </c>
      <c r="CM142" s="14">
        <f t="shared" si="96"/>
        <v>0</v>
      </c>
      <c r="CN142" s="14">
        <f t="shared" si="97"/>
        <v>0</v>
      </c>
      <c r="CO142" s="14">
        <f t="shared" si="98"/>
        <v>4.57</v>
      </c>
      <c r="CP142" s="14">
        <f t="shared" si="99"/>
        <v>0</v>
      </c>
      <c r="CQ142" s="14">
        <f t="shared" si="107"/>
        <v>8</v>
      </c>
      <c r="CR142" s="14">
        <f t="shared" si="108"/>
        <v>3</v>
      </c>
      <c r="CS142" s="14">
        <f t="shared" si="109"/>
        <v>22</v>
      </c>
      <c r="CV142" s="14">
        <f t="shared" si="100"/>
        <v>2</v>
      </c>
      <c r="CW142" s="14">
        <f t="shared" si="101"/>
        <v>0</v>
      </c>
      <c r="CX142" s="14" t="str">
        <f t="shared" si="110"/>
        <v>DefExt</v>
      </c>
      <c r="CY142" s="14">
        <f t="shared" si="111"/>
        <v>55</v>
      </c>
      <c r="CZ142" s="14">
        <f t="shared" si="112"/>
        <v>4.57</v>
      </c>
      <c r="DA142" s="14" t="str">
        <f t="shared" si="113"/>
        <v/>
      </c>
      <c r="DB142" s="14" t="str">
        <f t="shared" si="114"/>
        <v/>
      </c>
      <c r="DC142" s="14" t="str">
        <f t="shared" si="115"/>
        <v/>
      </c>
      <c r="DD142" s="14">
        <f t="shared" si="116"/>
        <v>8</v>
      </c>
      <c r="DE142" s="14">
        <f t="shared" si="117"/>
        <v>3</v>
      </c>
      <c r="DF142" s="14">
        <f t="shared" si="118"/>
        <v>22</v>
      </c>
      <c r="DG142" s="14">
        <f t="shared" si="119"/>
        <v>100</v>
      </c>
    </row>
    <row r="143" spans="77:111" ht="16.5" x14ac:dyDescent="0.2">
      <c r="BY143" s="13">
        <v>139</v>
      </c>
      <c r="BZ143" s="14">
        <f t="shared" si="102"/>
        <v>18</v>
      </c>
      <c r="CA143" s="14">
        <f t="shared" si="103"/>
        <v>2</v>
      </c>
      <c r="CB143" s="14">
        <f t="shared" si="88"/>
        <v>2</v>
      </c>
      <c r="CC143" s="14">
        <f t="shared" si="89"/>
        <v>2024023</v>
      </c>
      <c r="CD143" s="13" t="str">
        <f t="shared" si="90"/>
        <v>40级守护灵橙色-肩甲</v>
      </c>
      <c r="CE143" s="14">
        <f t="shared" si="91"/>
        <v>2</v>
      </c>
      <c r="CF143" s="14">
        <f t="shared" si="92"/>
        <v>4</v>
      </c>
      <c r="CG143" s="14">
        <f t="shared" si="104"/>
        <v>40</v>
      </c>
      <c r="CH143" s="14">
        <f t="shared" si="105"/>
        <v>40</v>
      </c>
      <c r="CI143" s="14">
        <f t="shared" si="93"/>
        <v>3</v>
      </c>
      <c r="CJ143" s="14" t="str">
        <f t="shared" si="106"/>
        <v/>
      </c>
      <c r="CK143" s="14">
        <f t="shared" si="94"/>
        <v>0</v>
      </c>
      <c r="CL143" s="14">
        <f t="shared" si="95"/>
        <v>27</v>
      </c>
      <c r="CM143" s="14">
        <f t="shared" si="96"/>
        <v>280</v>
      </c>
      <c r="CN143" s="14">
        <f t="shared" si="97"/>
        <v>0</v>
      </c>
      <c r="CO143" s="14">
        <f t="shared" si="98"/>
        <v>2.2799999999999998</v>
      </c>
      <c r="CP143" s="14">
        <f t="shared" si="99"/>
        <v>23.31</v>
      </c>
      <c r="CQ143" s="14">
        <f t="shared" si="107"/>
        <v>8</v>
      </c>
      <c r="CR143" s="14">
        <f t="shared" si="108"/>
        <v>3</v>
      </c>
      <c r="CS143" s="14">
        <f t="shared" si="109"/>
        <v>22</v>
      </c>
      <c r="CV143" s="14">
        <f t="shared" si="100"/>
        <v>2</v>
      </c>
      <c r="CW143" s="14">
        <f t="shared" si="101"/>
        <v>3</v>
      </c>
      <c r="CX143" s="14" t="str">
        <f t="shared" si="110"/>
        <v>DefExt</v>
      </c>
      <c r="CY143" s="14">
        <f t="shared" si="111"/>
        <v>27</v>
      </c>
      <c r="CZ143" s="14">
        <f t="shared" si="112"/>
        <v>2.2799999999999998</v>
      </c>
      <c r="DA143" s="14" t="str">
        <f t="shared" si="113"/>
        <v>HPExt</v>
      </c>
      <c r="DB143" s="14">
        <f t="shared" si="114"/>
        <v>280</v>
      </c>
      <c r="DC143" s="14">
        <f t="shared" si="115"/>
        <v>23.31</v>
      </c>
      <c r="DD143" s="14">
        <f t="shared" si="116"/>
        <v>8</v>
      </c>
      <c r="DE143" s="14">
        <f t="shared" si="117"/>
        <v>3</v>
      </c>
      <c r="DF143" s="14">
        <f t="shared" si="118"/>
        <v>22</v>
      </c>
      <c r="DG143" s="14">
        <f t="shared" si="119"/>
        <v>100</v>
      </c>
    </row>
    <row r="144" spans="77:111" ht="16.5" x14ac:dyDescent="0.2">
      <c r="BY144" s="13">
        <v>140</v>
      </c>
      <c r="BZ144" s="14">
        <f t="shared" si="102"/>
        <v>18</v>
      </c>
      <c r="CA144" s="14">
        <f t="shared" si="103"/>
        <v>2</v>
      </c>
      <c r="CB144" s="14">
        <f t="shared" si="88"/>
        <v>2</v>
      </c>
      <c r="CC144" s="14">
        <f t="shared" si="89"/>
        <v>2024024</v>
      </c>
      <c r="CD144" s="13" t="str">
        <f t="shared" si="90"/>
        <v>40级守护灵橙色-衣服</v>
      </c>
      <c r="CE144" s="14">
        <f t="shared" si="91"/>
        <v>2</v>
      </c>
      <c r="CF144" s="14">
        <f t="shared" si="92"/>
        <v>4</v>
      </c>
      <c r="CG144" s="14">
        <f t="shared" si="104"/>
        <v>40</v>
      </c>
      <c r="CH144" s="14">
        <f t="shared" si="105"/>
        <v>40</v>
      </c>
      <c r="CI144" s="14">
        <f t="shared" si="93"/>
        <v>4</v>
      </c>
      <c r="CJ144" s="14" t="str">
        <f t="shared" si="106"/>
        <v/>
      </c>
      <c r="CK144" s="14">
        <f t="shared" si="94"/>
        <v>0</v>
      </c>
      <c r="CL144" s="14">
        <f t="shared" si="95"/>
        <v>55</v>
      </c>
      <c r="CM144" s="14">
        <f t="shared" si="96"/>
        <v>0</v>
      </c>
      <c r="CN144" s="14">
        <f t="shared" si="97"/>
        <v>0</v>
      </c>
      <c r="CO144" s="14">
        <f t="shared" si="98"/>
        <v>4.57</v>
      </c>
      <c r="CP144" s="14">
        <f t="shared" si="99"/>
        <v>0</v>
      </c>
      <c r="CQ144" s="14">
        <f t="shared" si="107"/>
        <v>8</v>
      </c>
      <c r="CR144" s="14">
        <f t="shared" si="108"/>
        <v>3</v>
      </c>
      <c r="CS144" s="14">
        <f t="shared" si="109"/>
        <v>22</v>
      </c>
      <c r="CV144" s="14">
        <f t="shared" si="100"/>
        <v>2</v>
      </c>
      <c r="CW144" s="14">
        <f t="shared" si="101"/>
        <v>0</v>
      </c>
      <c r="CX144" s="14" t="str">
        <f t="shared" si="110"/>
        <v>DefExt</v>
      </c>
      <c r="CY144" s="14">
        <f t="shared" si="111"/>
        <v>55</v>
      </c>
      <c r="CZ144" s="14">
        <f t="shared" si="112"/>
        <v>4.57</v>
      </c>
      <c r="DA144" s="14" t="str">
        <f t="shared" si="113"/>
        <v/>
      </c>
      <c r="DB144" s="14" t="str">
        <f t="shared" si="114"/>
        <v/>
      </c>
      <c r="DC144" s="14" t="str">
        <f t="shared" si="115"/>
        <v/>
      </c>
      <c r="DD144" s="14">
        <f t="shared" si="116"/>
        <v>8</v>
      </c>
      <c r="DE144" s="14">
        <f t="shared" si="117"/>
        <v>3</v>
      </c>
      <c r="DF144" s="14">
        <f t="shared" si="118"/>
        <v>22</v>
      </c>
      <c r="DG144" s="14">
        <f t="shared" si="119"/>
        <v>100</v>
      </c>
    </row>
    <row r="145" spans="77:111" ht="16.5" x14ac:dyDescent="0.2">
      <c r="BY145" s="13">
        <v>141</v>
      </c>
      <c r="BZ145" s="14">
        <f t="shared" si="102"/>
        <v>18</v>
      </c>
      <c r="CA145" s="14">
        <f t="shared" si="103"/>
        <v>2</v>
      </c>
      <c r="CB145" s="14">
        <f t="shared" si="88"/>
        <v>2</v>
      </c>
      <c r="CC145" s="14">
        <f t="shared" si="89"/>
        <v>2024025</v>
      </c>
      <c r="CD145" s="13" t="str">
        <f t="shared" si="90"/>
        <v>40级守护灵橙色-鞋子</v>
      </c>
      <c r="CE145" s="14">
        <f t="shared" si="91"/>
        <v>2</v>
      </c>
      <c r="CF145" s="14">
        <f t="shared" si="92"/>
        <v>4</v>
      </c>
      <c r="CG145" s="14">
        <f t="shared" si="104"/>
        <v>40</v>
      </c>
      <c r="CH145" s="14">
        <f t="shared" si="105"/>
        <v>40</v>
      </c>
      <c r="CI145" s="14">
        <f t="shared" si="93"/>
        <v>5</v>
      </c>
      <c r="CJ145" s="14" t="str">
        <f t="shared" si="106"/>
        <v/>
      </c>
      <c r="CK145" s="14">
        <f t="shared" si="94"/>
        <v>0</v>
      </c>
      <c r="CL145" s="14">
        <f t="shared" si="95"/>
        <v>0</v>
      </c>
      <c r="CM145" s="14">
        <f t="shared" si="96"/>
        <v>559</v>
      </c>
      <c r="CN145" s="14">
        <f t="shared" si="97"/>
        <v>0</v>
      </c>
      <c r="CO145" s="14">
        <f t="shared" si="98"/>
        <v>0</v>
      </c>
      <c r="CP145" s="14">
        <f t="shared" si="99"/>
        <v>46.62</v>
      </c>
      <c r="CQ145" s="14">
        <f t="shared" si="107"/>
        <v>8</v>
      </c>
      <c r="CR145" s="14">
        <f t="shared" si="108"/>
        <v>3</v>
      </c>
      <c r="CS145" s="14">
        <f t="shared" si="109"/>
        <v>22</v>
      </c>
      <c r="CV145" s="14">
        <f t="shared" si="100"/>
        <v>3</v>
      </c>
      <c r="CW145" s="14">
        <f t="shared" si="101"/>
        <v>0</v>
      </c>
      <c r="CX145" s="14" t="str">
        <f t="shared" si="110"/>
        <v>HPExt</v>
      </c>
      <c r="CY145" s="14">
        <f t="shared" si="111"/>
        <v>559</v>
      </c>
      <c r="CZ145" s="14">
        <f t="shared" si="112"/>
        <v>46.62</v>
      </c>
      <c r="DA145" s="14" t="str">
        <f t="shared" si="113"/>
        <v/>
      </c>
      <c r="DB145" s="14" t="str">
        <f t="shared" si="114"/>
        <v/>
      </c>
      <c r="DC145" s="14" t="str">
        <f t="shared" si="115"/>
        <v/>
      </c>
      <c r="DD145" s="14">
        <f t="shared" si="116"/>
        <v>8</v>
      </c>
      <c r="DE145" s="14">
        <f t="shared" si="117"/>
        <v>3</v>
      </c>
      <c r="DF145" s="14">
        <f t="shared" si="118"/>
        <v>22</v>
      </c>
      <c r="DG145" s="14">
        <f t="shared" si="119"/>
        <v>100</v>
      </c>
    </row>
    <row r="146" spans="77:111" ht="16.5" x14ac:dyDescent="0.2">
      <c r="BY146" s="13">
        <v>142</v>
      </c>
      <c r="BZ146" s="14">
        <f t="shared" si="102"/>
        <v>18</v>
      </c>
      <c r="CA146" s="14">
        <f t="shared" si="103"/>
        <v>2</v>
      </c>
      <c r="CB146" s="14">
        <f t="shared" si="88"/>
        <v>2</v>
      </c>
      <c r="CC146" s="14">
        <f t="shared" si="89"/>
        <v>2024026</v>
      </c>
      <c r="CD146" s="13" t="str">
        <f t="shared" si="90"/>
        <v>40级守护灵橙色-护手</v>
      </c>
      <c r="CE146" s="14">
        <f t="shared" si="91"/>
        <v>2</v>
      </c>
      <c r="CF146" s="14">
        <f t="shared" si="92"/>
        <v>4</v>
      </c>
      <c r="CG146" s="14">
        <f t="shared" si="104"/>
        <v>40</v>
      </c>
      <c r="CH146" s="14">
        <f t="shared" si="105"/>
        <v>40</v>
      </c>
      <c r="CI146" s="14">
        <f t="shared" si="93"/>
        <v>6</v>
      </c>
      <c r="CJ146" s="14" t="str">
        <f t="shared" si="106"/>
        <v/>
      </c>
      <c r="CK146" s="14">
        <f t="shared" si="94"/>
        <v>0</v>
      </c>
      <c r="CL146" s="14">
        <f t="shared" si="95"/>
        <v>0</v>
      </c>
      <c r="CM146" s="14">
        <f t="shared" si="96"/>
        <v>559</v>
      </c>
      <c r="CN146" s="14">
        <f t="shared" si="97"/>
        <v>0</v>
      </c>
      <c r="CO146" s="14">
        <f t="shared" si="98"/>
        <v>0</v>
      </c>
      <c r="CP146" s="14">
        <f t="shared" si="99"/>
        <v>46.62</v>
      </c>
      <c r="CQ146" s="14">
        <f t="shared" si="107"/>
        <v>8</v>
      </c>
      <c r="CR146" s="14">
        <f t="shared" si="108"/>
        <v>3</v>
      </c>
      <c r="CS146" s="14">
        <f t="shared" si="109"/>
        <v>22</v>
      </c>
      <c r="CV146" s="14">
        <f t="shared" si="100"/>
        <v>3</v>
      </c>
      <c r="CW146" s="14">
        <f t="shared" si="101"/>
        <v>0</v>
      </c>
      <c r="CX146" s="14" t="str">
        <f t="shared" si="110"/>
        <v>HPExt</v>
      </c>
      <c r="CY146" s="14">
        <f t="shared" si="111"/>
        <v>559</v>
      </c>
      <c r="CZ146" s="14">
        <f t="shared" si="112"/>
        <v>46.62</v>
      </c>
      <c r="DA146" s="14" t="str">
        <f t="shared" si="113"/>
        <v/>
      </c>
      <c r="DB146" s="14" t="str">
        <f t="shared" si="114"/>
        <v/>
      </c>
      <c r="DC146" s="14" t="str">
        <f t="shared" si="115"/>
        <v/>
      </c>
      <c r="DD146" s="14">
        <f t="shared" si="116"/>
        <v>8</v>
      </c>
      <c r="DE146" s="14">
        <f t="shared" si="117"/>
        <v>3</v>
      </c>
      <c r="DF146" s="14">
        <f t="shared" si="118"/>
        <v>22</v>
      </c>
      <c r="DG146" s="14">
        <f t="shared" si="119"/>
        <v>100</v>
      </c>
    </row>
    <row r="147" spans="77:111" ht="16.5" x14ac:dyDescent="0.2">
      <c r="BY147" s="13">
        <v>143</v>
      </c>
      <c r="BZ147" s="14">
        <f t="shared" si="102"/>
        <v>18</v>
      </c>
      <c r="CA147" s="14">
        <f t="shared" si="103"/>
        <v>2</v>
      </c>
      <c r="CB147" s="14">
        <f t="shared" si="88"/>
        <v>2</v>
      </c>
      <c r="CC147" s="14">
        <f t="shared" si="89"/>
        <v>2024027</v>
      </c>
      <c r="CD147" s="13" t="str">
        <f t="shared" si="90"/>
        <v>40级守护灵橙色-项链</v>
      </c>
      <c r="CE147" s="14">
        <f t="shared" si="91"/>
        <v>2</v>
      </c>
      <c r="CF147" s="14">
        <f t="shared" si="92"/>
        <v>4</v>
      </c>
      <c r="CG147" s="14">
        <f t="shared" si="104"/>
        <v>40</v>
      </c>
      <c r="CH147" s="14">
        <f t="shared" si="105"/>
        <v>40</v>
      </c>
      <c r="CI147" s="14">
        <f t="shared" si="93"/>
        <v>7</v>
      </c>
      <c r="CJ147" s="14" t="str">
        <f t="shared" si="106"/>
        <v/>
      </c>
      <c r="CK147" s="14">
        <f t="shared" si="94"/>
        <v>80</v>
      </c>
      <c r="CL147" s="14">
        <f t="shared" si="95"/>
        <v>46</v>
      </c>
      <c r="CM147" s="14">
        <f t="shared" si="96"/>
        <v>0</v>
      </c>
      <c r="CN147" s="14">
        <f t="shared" si="97"/>
        <v>6.66</v>
      </c>
      <c r="CO147" s="14">
        <f t="shared" si="98"/>
        <v>3.81</v>
      </c>
      <c r="CP147" s="14">
        <f t="shared" si="99"/>
        <v>0</v>
      </c>
      <c r="CQ147" s="14">
        <f t="shared" si="107"/>
        <v>8</v>
      </c>
      <c r="CR147" s="14">
        <f t="shared" si="108"/>
        <v>3</v>
      </c>
      <c r="CS147" s="14">
        <f t="shared" si="109"/>
        <v>22</v>
      </c>
      <c r="CV147" s="14">
        <f t="shared" si="100"/>
        <v>1</v>
      </c>
      <c r="CW147" s="14">
        <f t="shared" si="101"/>
        <v>2</v>
      </c>
      <c r="CX147" s="14" t="str">
        <f t="shared" si="110"/>
        <v>AtkExt</v>
      </c>
      <c r="CY147" s="14">
        <f t="shared" si="111"/>
        <v>80</v>
      </c>
      <c r="CZ147" s="14">
        <f t="shared" si="112"/>
        <v>6.66</v>
      </c>
      <c r="DA147" s="14" t="str">
        <f t="shared" si="113"/>
        <v>DefExt</v>
      </c>
      <c r="DB147" s="14">
        <f t="shared" si="114"/>
        <v>46</v>
      </c>
      <c r="DC147" s="14">
        <f t="shared" si="115"/>
        <v>3.81</v>
      </c>
      <c r="DD147" s="14">
        <f t="shared" si="116"/>
        <v>8</v>
      </c>
      <c r="DE147" s="14">
        <f t="shared" si="117"/>
        <v>3</v>
      </c>
      <c r="DF147" s="14">
        <f t="shared" si="118"/>
        <v>22</v>
      </c>
      <c r="DG147" s="14">
        <f t="shared" si="119"/>
        <v>100</v>
      </c>
    </row>
    <row r="148" spans="77:111" ht="16.5" x14ac:dyDescent="0.2">
      <c r="BY148" s="13">
        <v>144</v>
      </c>
      <c r="BZ148" s="14">
        <f t="shared" si="102"/>
        <v>18</v>
      </c>
      <c r="CA148" s="14">
        <f t="shared" si="103"/>
        <v>2</v>
      </c>
      <c r="CB148" s="14">
        <f t="shared" si="88"/>
        <v>2</v>
      </c>
      <c r="CC148" s="14">
        <f t="shared" si="89"/>
        <v>2024028</v>
      </c>
      <c r="CD148" s="13" t="str">
        <f t="shared" si="90"/>
        <v>40级守护灵橙色-戒指</v>
      </c>
      <c r="CE148" s="14">
        <f t="shared" si="91"/>
        <v>2</v>
      </c>
      <c r="CF148" s="14">
        <f t="shared" si="92"/>
        <v>4</v>
      </c>
      <c r="CG148" s="14">
        <f t="shared" si="104"/>
        <v>40</v>
      </c>
      <c r="CH148" s="14">
        <f t="shared" si="105"/>
        <v>40</v>
      </c>
      <c r="CI148" s="14">
        <f t="shared" si="93"/>
        <v>8</v>
      </c>
      <c r="CJ148" s="14" t="str">
        <f t="shared" si="106"/>
        <v/>
      </c>
      <c r="CK148" s="14">
        <f t="shared" si="94"/>
        <v>80</v>
      </c>
      <c r="CL148" s="14">
        <f t="shared" si="95"/>
        <v>0</v>
      </c>
      <c r="CM148" s="14">
        <f t="shared" si="96"/>
        <v>466</v>
      </c>
      <c r="CN148" s="14">
        <f t="shared" si="97"/>
        <v>6.66</v>
      </c>
      <c r="CO148" s="14">
        <f t="shared" si="98"/>
        <v>0</v>
      </c>
      <c r="CP148" s="14">
        <f t="shared" si="99"/>
        <v>38.85</v>
      </c>
      <c r="CQ148" s="14">
        <f t="shared" si="107"/>
        <v>8</v>
      </c>
      <c r="CR148" s="14">
        <f t="shared" si="108"/>
        <v>3</v>
      </c>
      <c r="CS148" s="14">
        <f t="shared" si="109"/>
        <v>22</v>
      </c>
      <c r="CV148" s="14">
        <f t="shared" si="100"/>
        <v>1</v>
      </c>
      <c r="CW148" s="14">
        <f t="shared" si="101"/>
        <v>3</v>
      </c>
      <c r="CX148" s="14" t="str">
        <f t="shared" si="110"/>
        <v>AtkExt</v>
      </c>
      <c r="CY148" s="14">
        <f t="shared" si="111"/>
        <v>80</v>
      </c>
      <c r="CZ148" s="14">
        <f t="shared" si="112"/>
        <v>6.66</v>
      </c>
      <c r="DA148" s="14" t="str">
        <f t="shared" si="113"/>
        <v>HPExt</v>
      </c>
      <c r="DB148" s="14">
        <f t="shared" si="114"/>
        <v>466</v>
      </c>
      <c r="DC148" s="14">
        <f t="shared" si="115"/>
        <v>38.85</v>
      </c>
      <c r="DD148" s="14">
        <f t="shared" si="116"/>
        <v>8</v>
      </c>
      <c r="DE148" s="14">
        <f t="shared" si="117"/>
        <v>3</v>
      </c>
      <c r="DF148" s="14">
        <f t="shared" si="118"/>
        <v>22</v>
      </c>
      <c r="DG148" s="14">
        <f t="shared" si="119"/>
        <v>100</v>
      </c>
    </row>
    <row r="149" spans="77:111" ht="16.5" x14ac:dyDescent="0.2">
      <c r="BY149" s="13">
        <v>145</v>
      </c>
      <c r="BZ149" s="14">
        <f t="shared" si="102"/>
        <v>19</v>
      </c>
      <c r="CA149" s="14">
        <f t="shared" si="103"/>
        <v>3</v>
      </c>
      <c r="CB149" s="14">
        <f t="shared" si="88"/>
        <v>2</v>
      </c>
      <c r="CC149" s="14">
        <f t="shared" si="89"/>
        <v>2024031</v>
      </c>
      <c r="CD149" s="13" t="str">
        <f t="shared" si="90"/>
        <v>40级寄灵人橙色套1-武器</v>
      </c>
      <c r="CE149" s="14">
        <f t="shared" si="91"/>
        <v>1</v>
      </c>
      <c r="CF149" s="14">
        <f t="shared" si="92"/>
        <v>4</v>
      </c>
      <c r="CG149" s="14">
        <f t="shared" si="104"/>
        <v>40</v>
      </c>
      <c r="CH149" s="14">
        <f t="shared" si="105"/>
        <v>40</v>
      </c>
      <c r="CI149" s="14">
        <f t="shared" si="93"/>
        <v>1</v>
      </c>
      <c r="CJ149" s="14">
        <f t="shared" si="106"/>
        <v>1021</v>
      </c>
      <c r="CK149" s="14">
        <f t="shared" si="94"/>
        <v>199</v>
      </c>
      <c r="CL149" s="14">
        <f t="shared" si="95"/>
        <v>0</v>
      </c>
      <c r="CM149" s="14">
        <f t="shared" si="96"/>
        <v>0</v>
      </c>
      <c r="CN149" s="14">
        <f t="shared" si="97"/>
        <v>16.62</v>
      </c>
      <c r="CO149" s="14">
        <f t="shared" si="98"/>
        <v>0</v>
      </c>
      <c r="CP149" s="14">
        <f t="shared" si="99"/>
        <v>0</v>
      </c>
      <c r="CQ149" s="14">
        <f t="shared" si="107"/>
        <v>8</v>
      </c>
      <c r="CR149" s="14">
        <f t="shared" si="108"/>
        <v>3</v>
      </c>
      <c r="CS149" s="14">
        <f t="shared" si="109"/>
        <v>12</v>
      </c>
      <c r="CV149" s="14">
        <f t="shared" si="100"/>
        <v>1</v>
      </c>
      <c r="CW149" s="14">
        <f t="shared" si="101"/>
        <v>0</v>
      </c>
      <c r="CX149" s="14" t="str">
        <f t="shared" si="110"/>
        <v>AtkExt</v>
      </c>
      <c r="CY149" s="14">
        <f t="shared" si="111"/>
        <v>199</v>
      </c>
      <c r="CZ149" s="14">
        <f t="shared" si="112"/>
        <v>16.62</v>
      </c>
      <c r="DA149" s="14" t="str">
        <f t="shared" si="113"/>
        <v/>
      </c>
      <c r="DB149" s="14" t="str">
        <f t="shared" si="114"/>
        <v/>
      </c>
      <c r="DC149" s="14" t="str">
        <f t="shared" si="115"/>
        <v/>
      </c>
      <c r="DD149" s="14">
        <f t="shared" si="116"/>
        <v>8</v>
      </c>
      <c r="DE149" s="14">
        <f t="shared" si="117"/>
        <v>3</v>
      </c>
      <c r="DF149" s="14">
        <f t="shared" si="118"/>
        <v>12</v>
      </c>
      <c r="DG149" s="14">
        <f t="shared" si="119"/>
        <v>100</v>
      </c>
    </row>
    <row r="150" spans="77:111" ht="16.5" x14ac:dyDescent="0.2">
      <c r="BY150" s="13">
        <v>146</v>
      </c>
      <c r="BZ150" s="14">
        <f t="shared" si="102"/>
        <v>19</v>
      </c>
      <c r="CA150" s="14">
        <f t="shared" si="103"/>
        <v>3</v>
      </c>
      <c r="CB150" s="14">
        <f t="shared" si="88"/>
        <v>2</v>
      </c>
      <c r="CC150" s="14">
        <f t="shared" si="89"/>
        <v>2024032</v>
      </c>
      <c r="CD150" s="13" t="str">
        <f t="shared" si="90"/>
        <v>40级寄灵人橙色套1-头盔</v>
      </c>
      <c r="CE150" s="14">
        <f t="shared" si="91"/>
        <v>1</v>
      </c>
      <c r="CF150" s="14">
        <f t="shared" si="92"/>
        <v>4</v>
      </c>
      <c r="CG150" s="14">
        <f t="shared" si="104"/>
        <v>40</v>
      </c>
      <c r="CH150" s="14">
        <f t="shared" si="105"/>
        <v>40</v>
      </c>
      <c r="CI150" s="14">
        <f t="shared" si="93"/>
        <v>2</v>
      </c>
      <c r="CJ150" s="14">
        <f t="shared" si="106"/>
        <v>1021</v>
      </c>
      <c r="CK150" s="14">
        <f t="shared" si="94"/>
        <v>0</v>
      </c>
      <c r="CL150" s="14">
        <f t="shared" si="95"/>
        <v>46</v>
      </c>
      <c r="CM150" s="14">
        <f t="shared" si="96"/>
        <v>0</v>
      </c>
      <c r="CN150" s="14">
        <f t="shared" si="97"/>
        <v>0</v>
      </c>
      <c r="CO150" s="14">
        <f t="shared" si="98"/>
        <v>3.87</v>
      </c>
      <c r="CP150" s="14">
        <f t="shared" si="99"/>
        <v>0</v>
      </c>
      <c r="CQ150" s="14">
        <f t="shared" si="107"/>
        <v>8</v>
      </c>
      <c r="CR150" s="14">
        <f t="shared" si="108"/>
        <v>3</v>
      </c>
      <c r="CS150" s="14">
        <f t="shared" si="109"/>
        <v>12</v>
      </c>
      <c r="CV150" s="14">
        <f t="shared" si="100"/>
        <v>2</v>
      </c>
      <c r="CW150" s="14">
        <f t="shared" si="101"/>
        <v>0</v>
      </c>
      <c r="CX150" s="14" t="str">
        <f t="shared" si="110"/>
        <v>DefExt</v>
      </c>
      <c r="CY150" s="14">
        <f t="shared" si="111"/>
        <v>46</v>
      </c>
      <c r="CZ150" s="14">
        <f t="shared" si="112"/>
        <v>3.87</v>
      </c>
      <c r="DA150" s="14" t="str">
        <f t="shared" si="113"/>
        <v/>
      </c>
      <c r="DB150" s="14" t="str">
        <f t="shared" si="114"/>
        <v/>
      </c>
      <c r="DC150" s="14" t="str">
        <f t="shared" si="115"/>
        <v/>
      </c>
      <c r="DD150" s="14">
        <f t="shared" si="116"/>
        <v>8</v>
      </c>
      <c r="DE150" s="14">
        <f t="shared" si="117"/>
        <v>3</v>
      </c>
      <c r="DF150" s="14">
        <f t="shared" si="118"/>
        <v>12</v>
      </c>
      <c r="DG150" s="14">
        <f t="shared" si="119"/>
        <v>100</v>
      </c>
    </row>
    <row r="151" spans="77:111" ht="16.5" x14ac:dyDescent="0.2">
      <c r="BY151" s="13">
        <v>147</v>
      </c>
      <c r="BZ151" s="14">
        <f t="shared" si="102"/>
        <v>19</v>
      </c>
      <c r="CA151" s="14">
        <f t="shared" si="103"/>
        <v>3</v>
      </c>
      <c r="CB151" s="14">
        <f t="shared" si="88"/>
        <v>2</v>
      </c>
      <c r="CC151" s="14">
        <f t="shared" si="89"/>
        <v>2024033</v>
      </c>
      <c r="CD151" s="13" t="str">
        <f t="shared" si="90"/>
        <v>40级寄灵人橙色套1-肩甲</v>
      </c>
      <c r="CE151" s="14">
        <f t="shared" si="91"/>
        <v>1</v>
      </c>
      <c r="CF151" s="14">
        <f t="shared" si="92"/>
        <v>4</v>
      </c>
      <c r="CG151" s="14">
        <f t="shared" si="104"/>
        <v>40</v>
      </c>
      <c r="CH151" s="14">
        <f t="shared" si="105"/>
        <v>40</v>
      </c>
      <c r="CI151" s="14">
        <f t="shared" si="93"/>
        <v>3</v>
      </c>
      <c r="CJ151" s="14">
        <f t="shared" si="106"/>
        <v>1021</v>
      </c>
      <c r="CK151" s="14">
        <f t="shared" si="94"/>
        <v>0</v>
      </c>
      <c r="CL151" s="14">
        <f t="shared" si="95"/>
        <v>23</v>
      </c>
      <c r="CM151" s="14">
        <f t="shared" si="96"/>
        <v>159</v>
      </c>
      <c r="CN151" s="14">
        <f t="shared" si="97"/>
        <v>0</v>
      </c>
      <c r="CO151" s="14">
        <f t="shared" si="98"/>
        <v>1.93</v>
      </c>
      <c r="CP151" s="14">
        <f t="shared" si="99"/>
        <v>13.21</v>
      </c>
      <c r="CQ151" s="14">
        <f t="shared" si="107"/>
        <v>8</v>
      </c>
      <c r="CR151" s="14">
        <f t="shared" si="108"/>
        <v>3</v>
      </c>
      <c r="CS151" s="14">
        <f t="shared" si="109"/>
        <v>12</v>
      </c>
      <c r="CV151" s="14">
        <f t="shared" si="100"/>
        <v>2</v>
      </c>
      <c r="CW151" s="14">
        <f t="shared" si="101"/>
        <v>3</v>
      </c>
      <c r="CX151" s="14" t="str">
        <f t="shared" si="110"/>
        <v>DefExt</v>
      </c>
      <c r="CY151" s="14">
        <f t="shared" si="111"/>
        <v>23</v>
      </c>
      <c r="CZ151" s="14">
        <f t="shared" si="112"/>
        <v>1.93</v>
      </c>
      <c r="DA151" s="14" t="str">
        <f t="shared" si="113"/>
        <v>HPExt</v>
      </c>
      <c r="DB151" s="14">
        <f t="shared" si="114"/>
        <v>159</v>
      </c>
      <c r="DC151" s="14">
        <f t="shared" si="115"/>
        <v>13.21</v>
      </c>
      <c r="DD151" s="14">
        <f t="shared" si="116"/>
        <v>8</v>
      </c>
      <c r="DE151" s="14">
        <f t="shared" si="117"/>
        <v>3</v>
      </c>
      <c r="DF151" s="14">
        <f t="shared" si="118"/>
        <v>12</v>
      </c>
      <c r="DG151" s="14">
        <f t="shared" si="119"/>
        <v>100</v>
      </c>
    </row>
    <row r="152" spans="77:111" ht="16.5" x14ac:dyDescent="0.2">
      <c r="BY152" s="13">
        <v>148</v>
      </c>
      <c r="BZ152" s="14">
        <f t="shared" si="102"/>
        <v>19</v>
      </c>
      <c r="CA152" s="14">
        <f t="shared" si="103"/>
        <v>3</v>
      </c>
      <c r="CB152" s="14">
        <f t="shared" si="88"/>
        <v>2</v>
      </c>
      <c r="CC152" s="14">
        <f t="shared" si="89"/>
        <v>2024034</v>
      </c>
      <c r="CD152" s="13" t="str">
        <f t="shared" si="90"/>
        <v>40级寄灵人橙色套1-衣服</v>
      </c>
      <c r="CE152" s="14">
        <f t="shared" si="91"/>
        <v>1</v>
      </c>
      <c r="CF152" s="14">
        <f t="shared" si="92"/>
        <v>4</v>
      </c>
      <c r="CG152" s="14">
        <f t="shared" si="104"/>
        <v>40</v>
      </c>
      <c r="CH152" s="14">
        <f t="shared" si="105"/>
        <v>40</v>
      </c>
      <c r="CI152" s="14">
        <f t="shared" si="93"/>
        <v>4</v>
      </c>
      <c r="CJ152" s="14">
        <f t="shared" si="106"/>
        <v>1021</v>
      </c>
      <c r="CK152" s="14">
        <f t="shared" si="94"/>
        <v>0</v>
      </c>
      <c r="CL152" s="14">
        <f t="shared" si="95"/>
        <v>46</v>
      </c>
      <c r="CM152" s="14">
        <f t="shared" si="96"/>
        <v>0</v>
      </c>
      <c r="CN152" s="14">
        <f t="shared" si="97"/>
        <v>0</v>
      </c>
      <c r="CO152" s="14">
        <f t="shared" si="98"/>
        <v>3.87</v>
      </c>
      <c r="CP152" s="14">
        <f t="shared" si="99"/>
        <v>0</v>
      </c>
      <c r="CQ152" s="14">
        <f t="shared" si="107"/>
        <v>8</v>
      </c>
      <c r="CR152" s="14">
        <f t="shared" si="108"/>
        <v>3</v>
      </c>
      <c r="CS152" s="14">
        <f t="shared" si="109"/>
        <v>12</v>
      </c>
      <c r="CV152" s="14">
        <f t="shared" si="100"/>
        <v>2</v>
      </c>
      <c r="CW152" s="14">
        <f t="shared" si="101"/>
        <v>0</v>
      </c>
      <c r="CX152" s="14" t="str">
        <f t="shared" si="110"/>
        <v>DefExt</v>
      </c>
      <c r="CY152" s="14">
        <f t="shared" si="111"/>
        <v>46</v>
      </c>
      <c r="CZ152" s="14">
        <f t="shared" si="112"/>
        <v>3.87</v>
      </c>
      <c r="DA152" s="14" t="str">
        <f t="shared" si="113"/>
        <v/>
      </c>
      <c r="DB152" s="14" t="str">
        <f t="shared" si="114"/>
        <v/>
      </c>
      <c r="DC152" s="14" t="str">
        <f t="shared" si="115"/>
        <v/>
      </c>
      <c r="DD152" s="14">
        <f t="shared" si="116"/>
        <v>8</v>
      </c>
      <c r="DE152" s="14">
        <f t="shared" si="117"/>
        <v>3</v>
      </c>
      <c r="DF152" s="14">
        <f t="shared" si="118"/>
        <v>12</v>
      </c>
      <c r="DG152" s="14">
        <f t="shared" si="119"/>
        <v>100</v>
      </c>
    </row>
    <row r="153" spans="77:111" ht="16.5" x14ac:dyDescent="0.2">
      <c r="BY153" s="13">
        <v>149</v>
      </c>
      <c r="BZ153" s="14">
        <f t="shared" si="102"/>
        <v>20</v>
      </c>
      <c r="CA153" s="14">
        <f t="shared" si="103"/>
        <v>4</v>
      </c>
      <c r="CB153" s="14">
        <f t="shared" si="88"/>
        <v>2</v>
      </c>
      <c r="CC153" s="14">
        <f t="shared" si="89"/>
        <v>2024041</v>
      </c>
      <c r="CD153" s="13" t="str">
        <f t="shared" si="90"/>
        <v>40级守护灵橙色套1-武器</v>
      </c>
      <c r="CE153" s="14">
        <f t="shared" si="91"/>
        <v>2</v>
      </c>
      <c r="CF153" s="14">
        <f t="shared" si="92"/>
        <v>4</v>
      </c>
      <c r="CG153" s="14">
        <f t="shared" si="104"/>
        <v>40</v>
      </c>
      <c r="CH153" s="14">
        <f t="shared" si="105"/>
        <v>40</v>
      </c>
      <c r="CI153" s="14">
        <f t="shared" si="93"/>
        <v>1</v>
      </c>
      <c r="CJ153" s="14">
        <f t="shared" si="106"/>
        <v>2021</v>
      </c>
      <c r="CK153" s="14">
        <f t="shared" si="94"/>
        <v>240</v>
      </c>
      <c r="CL153" s="14">
        <f t="shared" si="95"/>
        <v>0</v>
      </c>
      <c r="CM153" s="14">
        <f t="shared" si="96"/>
        <v>0</v>
      </c>
      <c r="CN153" s="14">
        <f t="shared" si="97"/>
        <v>19.989999999999998</v>
      </c>
      <c r="CO153" s="14">
        <f t="shared" si="98"/>
        <v>0</v>
      </c>
      <c r="CP153" s="14">
        <f t="shared" si="99"/>
        <v>0</v>
      </c>
      <c r="CQ153" s="14">
        <f t="shared" si="107"/>
        <v>8</v>
      </c>
      <c r="CR153" s="14">
        <f t="shared" si="108"/>
        <v>3</v>
      </c>
      <c r="CS153" s="14">
        <f t="shared" si="109"/>
        <v>22</v>
      </c>
      <c r="CV153" s="14">
        <f t="shared" si="100"/>
        <v>1</v>
      </c>
      <c r="CW153" s="14">
        <f t="shared" si="101"/>
        <v>0</v>
      </c>
      <c r="CX153" s="14" t="str">
        <f t="shared" si="110"/>
        <v>AtkExt</v>
      </c>
      <c r="CY153" s="14">
        <f t="shared" si="111"/>
        <v>240</v>
      </c>
      <c r="CZ153" s="14">
        <f t="shared" si="112"/>
        <v>19.989999999999998</v>
      </c>
      <c r="DA153" s="14" t="str">
        <f t="shared" si="113"/>
        <v/>
      </c>
      <c r="DB153" s="14" t="str">
        <f t="shared" si="114"/>
        <v/>
      </c>
      <c r="DC153" s="14" t="str">
        <f t="shared" si="115"/>
        <v/>
      </c>
      <c r="DD153" s="14">
        <f t="shared" si="116"/>
        <v>8</v>
      </c>
      <c r="DE153" s="14">
        <f t="shared" si="117"/>
        <v>3</v>
      </c>
      <c r="DF153" s="14">
        <f t="shared" si="118"/>
        <v>22</v>
      </c>
      <c r="DG153" s="14">
        <f t="shared" si="119"/>
        <v>100</v>
      </c>
    </row>
    <row r="154" spans="77:111" ht="16.5" x14ac:dyDescent="0.2">
      <c r="BY154" s="13">
        <v>150</v>
      </c>
      <c r="BZ154" s="14">
        <f t="shared" si="102"/>
        <v>20</v>
      </c>
      <c r="CA154" s="14">
        <f t="shared" si="103"/>
        <v>4</v>
      </c>
      <c r="CB154" s="14">
        <f t="shared" si="88"/>
        <v>2</v>
      </c>
      <c r="CC154" s="14">
        <f t="shared" si="89"/>
        <v>2024042</v>
      </c>
      <c r="CD154" s="13" t="str">
        <f t="shared" si="90"/>
        <v>40级守护灵橙色套1-头盔</v>
      </c>
      <c r="CE154" s="14">
        <f t="shared" si="91"/>
        <v>2</v>
      </c>
      <c r="CF154" s="14">
        <f t="shared" si="92"/>
        <v>4</v>
      </c>
      <c r="CG154" s="14">
        <f t="shared" si="104"/>
        <v>40</v>
      </c>
      <c r="CH154" s="14">
        <f t="shared" si="105"/>
        <v>40</v>
      </c>
      <c r="CI154" s="14">
        <f t="shared" si="93"/>
        <v>2</v>
      </c>
      <c r="CJ154" s="14">
        <f t="shared" si="106"/>
        <v>2021</v>
      </c>
      <c r="CK154" s="14">
        <f t="shared" si="94"/>
        <v>0</v>
      </c>
      <c r="CL154" s="14">
        <f t="shared" si="95"/>
        <v>55</v>
      </c>
      <c r="CM154" s="14">
        <f t="shared" si="96"/>
        <v>0</v>
      </c>
      <c r="CN154" s="14">
        <f t="shared" si="97"/>
        <v>0</v>
      </c>
      <c r="CO154" s="14">
        <f t="shared" si="98"/>
        <v>4.57</v>
      </c>
      <c r="CP154" s="14">
        <f t="shared" si="99"/>
        <v>0</v>
      </c>
      <c r="CQ154" s="14">
        <f t="shared" si="107"/>
        <v>8</v>
      </c>
      <c r="CR154" s="14">
        <f t="shared" si="108"/>
        <v>3</v>
      </c>
      <c r="CS154" s="14">
        <f t="shared" si="109"/>
        <v>22</v>
      </c>
      <c r="CV154" s="14">
        <f t="shared" si="100"/>
        <v>2</v>
      </c>
      <c r="CW154" s="14">
        <f t="shared" si="101"/>
        <v>0</v>
      </c>
      <c r="CX154" s="14" t="str">
        <f t="shared" si="110"/>
        <v>DefExt</v>
      </c>
      <c r="CY154" s="14">
        <f t="shared" si="111"/>
        <v>55</v>
      </c>
      <c r="CZ154" s="14">
        <f t="shared" si="112"/>
        <v>4.57</v>
      </c>
      <c r="DA154" s="14" t="str">
        <f t="shared" si="113"/>
        <v/>
      </c>
      <c r="DB154" s="14" t="str">
        <f t="shared" si="114"/>
        <v/>
      </c>
      <c r="DC154" s="14" t="str">
        <f t="shared" si="115"/>
        <v/>
      </c>
      <c r="DD154" s="14">
        <f t="shared" si="116"/>
        <v>8</v>
      </c>
      <c r="DE154" s="14">
        <f t="shared" si="117"/>
        <v>3</v>
      </c>
      <c r="DF154" s="14">
        <f t="shared" si="118"/>
        <v>22</v>
      </c>
      <c r="DG154" s="14">
        <f t="shared" si="119"/>
        <v>100</v>
      </c>
    </row>
    <row r="155" spans="77:111" ht="16.5" x14ac:dyDescent="0.2">
      <c r="BY155" s="13">
        <v>151</v>
      </c>
      <c r="BZ155" s="14">
        <f t="shared" si="102"/>
        <v>20</v>
      </c>
      <c r="CA155" s="14">
        <f t="shared" si="103"/>
        <v>4</v>
      </c>
      <c r="CB155" s="14">
        <f t="shared" si="88"/>
        <v>2</v>
      </c>
      <c r="CC155" s="14">
        <f t="shared" si="89"/>
        <v>2024043</v>
      </c>
      <c r="CD155" s="13" t="str">
        <f t="shared" si="90"/>
        <v>40级守护灵橙色套1-肩甲</v>
      </c>
      <c r="CE155" s="14">
        <f t="shared" si="91"/>
        <v>2</v>
      </c>
      <c r="CF155" s="14">
        <f t="shared" si="92"/>
        <v>4</v>
      </c>
      <c r="CG155" s="14">
        <f t="shared" si="104"/>
        <v>40</v>
      </c>
      <c r="CH155" s="14">
        <f t="shared" si="105"/>
        <v>40</v>
      </c>
      <c r="CI155" s="14">
        <f t="shared" si="93"/>
        <v>3</v>
      </c>
      <c r="CJ155" s="14">
        <f t="shared" si="106"/>
        <v>2021</v>
      </c>
      <c r="CK155" s="14">
        <f t="shared" si="94"/>
        <v>0</v>
      </c>
      <c r="CL155" s="14">
        <f t="shared" si="95"/>
        <v>27</v>
      </c>
      <c r="CM155" s="14">
        <f t="shared" si="96"/>
        <v>280</v>
      </c>
      <c r="CN155" s="14">
        <f t="shared" si="97"/>
        <v>0</v>
      </c>
      <c r="CO155" s="14">
        <f t="shared" si="98"/>
        <v>2.2799999999999998</v>
      </c>
      <c r="CP155" s="14">
        <f t="shared" si="99"/>
        <v>23.31</v>
      </c>
      <c r="CQ155" s="14">
        <f t="shared" si="107"/>
        <v>8</v>
      </c>
      <c r="CR155" s="14">
        <f t="shared" si="108"/>
        <v>3</v>
      </c>
      <c r="CS155" s="14">
        <f t="shared" si="109"/>
        <v>22</v>
      </c>
      <c r="CV155" s="14">
        <f t="shared" si="100"/>
        <v>2</v>
      </c>
      <c r="CW155" s="14">
        <f t="shared" si="101"/>
        <v>3</v>
      </c>
      <c r="CX155" s="14" t="str">
        <f t="shared" si="110"/>
        <v>DefExt</v>
      </c>
      <c r="CY155" s="14">
        <f t="shared" si="111"/>
        <v>27</v>
      </c>
      <c r="CZ155" s="14">
        <f t="shared" si="112"/>
        <v>2.2799999999999998</v>
      </c>
      <c r="DA155" s="14" t="str">
        <f t="shared" si="113"/>
        <v>HPExt</v>
      </c>
      <c r="DB155" s="14">
        <f t="shared" si="114"/>
        <v>280</v>
      </c>
      <c r="DC155" s="14">
        <f t="shared" si="115"/>
        <v>23.31</v>
      </c>
      <c r="DD155" s="14">
        <f t="shared" si="116"/>
        <v>8</v>
      </c>
      <c r="DE155" s="14">
        <f t="shared" si="117"/>
        <v>3</v>
      </c>
      <c r="DF155" s="14">
        <f t="shared" si="118"/>
        <v>22</v>
      </c>
      <c r="DG155" s="14">
        <f t="shared" si="119"/>
        <v>100</v>
      </c>
    </row>
    <row r="156" spans="77:111" ht="16.5" x14ac:dyDescent="0.2">
      <c r="BY156" s="13">
        <v>152</v>
      </c>
      <c r="BZ156" s="14">
        <f t="shared" si="102"/>
        <v>20</v>
      </c>
      <c r="CA156" s="14">
        <f t="shared" si="103"/>
        <v>4</v>
      </c>
      <c r="CB156" s="14">
        <f t="shared" si="88"/>
        <v>2</v>
      </c>
      <c r="CC156" s="14">
        <f t="shared" si="89"/>
        <v>2024044</v>
      </c>
      <c r="CD156" s="13" t="str">
        <f t="shared" si="90"/>
        <v>40级守护灵橙色套1-衣服</v>
      </c>
      <c r="CE156" s="14">
        <f t="shared" si="91"/>
        <v>2</v>
      </c>
      <c r="CF156" s="14">
        <f t="shared" si="92"/>
        <v>4</v>
      </c>
      <c r="CG156" s="14">
        <f t="shared" si="104"/>
        <v>40</v>
      </c>
      <c r="CH156" s="14">
        <f t="shared" si="105"/>
        <v>40</v>
      </c>
      <c r="CI156" s="14">
        <f t="shared" si="93"/>
        <v>4</v>
      </c>
      <c r="CJ156" s="14">
        <f t="shared" si="106"/>
        <v>2021</v>
      </c>
      <c r="CK156" s="14">
        <f t="shared" si="94"/>
        <v>0</v>
      </c>
      <c r="CL156" s="14">
        <f t="shared" si="95"/>
        <v>55</v>
      </c>
      <c r="CM156" s="14">
        <f t="shared" si="96"/>
        <v>0</v>
      </c>
      <c r="CN156" s="14">
        <f t="shared" si="97"/>
        <v>0</v>
      </c>
      <c r="CO156" s="14">
        <f t="shared" si="98"/>
        <v>4.57</v>
      </c>
      <c r="CP156" s="14">
        <f t="shared" si="99"/>
        <v>0</v>
      </c>
      <c r="CQ156" s="14">
        <f t="shared" si="107"/>
        <v>8</v>
      </c>
      <c r="CR156" s="14">
        <f t="shared" si="108"/>
        <v>3</v>
      </c>
      <c r="CS156" s="14">
        <f t="shared" si="109"/>
        <v>22</v>
      </c>
      <c r="CV156" s="14">
        <f t="shared" si="100"/>
        <v>2</v>
      </c>
      <c r="CW156" s="14">
        <f t="shared" si="101"/>
        <v>0</v>
      </c>
      <c r="CX156" s="14" t="str">
        <f t="shared" si="110"/>
        <v>DefExt</v>
      </c>
      <c r="CY156" s="14">
        <f t="shared" si="111"/>
        <v>55</v>
      </c>
      <c r="CZ156" s="14">
        <f t="shared" si="112"/>
        <v>4.57</v>
      </c>
      <c r="DA156" s="14" t="str">
        <f t="shared" si="113"/>
        <v/>
      </c>
      <c r="DB156" s="14" t="str">
        <f t="shared" si="114"/>
        <v/>
      </c>
      <c r="DC156" s="14" t="str">
        <f t="shared" si="115"/>
        <v/>
      </c>
      <c r="DD156" s="14">
        <f t="shared" si="116"/>
        <v>8</v>
      </c>
      <c r="DE156" s="14">
        <f t="shared" si="117"/>
        <v>3</v>
      </c>
      <c r="DF156" s="14">
        <f t="shared" si="118"/>
        <v>22</v>
      </c>
      <c r="DG156" s="14">
        <f t="shared" si="119"/>
        <v>100</v>
      </c>
    </row>
    <row r="157" spans="77:111" ht="16.5" x14ac:dyDescent="0.2">
      <c r="BY157" s="13">
        <v>153</v>
      </c>
      <c r="BZ157" s="14">
        <f t="shared" si="102"/>
        <v>21</v>
      </c>
      <c r="CA157" s="14">
        <f t="shared" si="103"/>
        <v>5</v>
      </c>
      <c r="CB157" s="14">
        <f t="shared" si="88"/>
        <v>2</v>
      </c>
      <c r="CC157" s="14">
        <f t="shared" si="89"/>
        <v>2024051</v>
      </c>
      <c r="CD157" s="13" t="str">
        <f t="shared" si="90"/>
        <v>40级寄灵人橙色套2-武器</v>
      </c>
      <c r="CE157" s="14">
        <f t="shared" si="91"/>
        <v>1</v>
      </c>
      <c r="CF157" s="14">
        <f t="shared" si="92"/>
        <v>4</v>
      </c>
      <c r="CG157" s="14">
        <f t="shared" si="104"/>
        <v>40</v>
      </c>
      <c r="CH157" s="14">
        <f t="shared" si="105"/>
        <v>40</v>
      </c>
      <c r="CI157" s="14">
        <f t="shared" si="93"/>
        <v>1</v>
      </c>
      <c r="CJ157" s="14">
        <f t="shared" si="106"/>
        <v>1022</v>
      </c>
      <c r="CK157" s="14">
        <f t="shared" si="94"/>
        <v>199</v>
      </c>
      <c r="CL157" s="14">
        <f t="shared" si="95"/>
        <v>0</v>
      </c>
      <c r="CM157" s="14">
        <f t="shared" si="96"/>
        <v>0</v>
      </c>
      <c r="CN157" s="14">
        <f t="shared" si="97"/>
        <v>16.62</v>
      </c>
      <c r="CO157" s="14">
        <f t="shared" si="98"/>
        <v>0</v>
      </c>
      <c r="CP157" s="14">
        <f t="shared" si="99"/>
        <v>0</v>
      </c>
      <c r="CQ157" s="14">
        <f t="shared" si="107"/>
        <v>8</v>
      </c>
      <c r="CR157" s="14">
        <f t="shared" si="108"/>
        <v>3</v>
      </c>
      <c r="CS157" s="14">
        <f t="shared" si="109"/>
        <v>12</v>
      </c>
      <c r="CV157" s="14">
        <f t="shared" si="100"/>
        <v>1</v>
      </c>
      <c r="CW157" s="14">
        <f t="shared" si="101"/>
        <v>0</v>
      </c>
      <c r="CX157" s="14" t="str">
        <f t="shared" si="110"/>
        <v>AtkExt</v>
      </c>
      <c r="CY157" s="14">
        <f t="shared" si="111"/>
        <v>199</v>
      </c>
      <c r="CZ157" s="14">
        <f t="shared" si="112"/>
        <v>16.62</v>
      </c>
      <c r="DA157" s="14" t="str">
        <f t="shared" si="113"/>
        <v/>
      </c>
      <c r="DB157" s="14" t="str">
        <f t="shared" si="114"/>
        <v/>
      </c>
      <c r="DC157" s="14" t="str">
        <f t="shared" si="115"/>
        <v/>
      </c>
      <c r="DD157" s="14">
        <f t="shared" si="116"/>
        <v>8</v>
      </c>
      <c r="DE157" s="14">
        <f t="shared" si="117"/>
        <v>3</v>
      </c>
      <c r="DF157" s="14">
        <f t="shared" si="118"/>
        <v>12</v>
      </c>
      <c r="DG157" s="14">
        <f t="shared" si="119"/>
        <v>100</v>
      </c>
    </row>
    <row r="158" spans="77:111" ht="16.5" x14ac:dyDescent="0.2">
      <c r="BY158" s="13">
        <v>154</v>
      </c>
      <c r="BZ158" s="14">
        <f t="shared" si="102"/>
        <v>21</v>
      </c>
      <c r="CA158" s="14">
        <f t="shared" si="103"/>
        <v>5</v>
      </c>
      <c r="CB158" s="14">
        <f t="shared" si="88"/>
        <v>2</v>
      </c>
      <c r="CC158" s="14">
        <f t="shared" si="89"/>
        <v>2024052</v>
      </c>
      <c r="CD158" s="13" t="str">
        <f t="shared" si="90"/>
        <v>40级寄灵人橙色套2-头盔</v>
      </c>
      <c r="CE158" s="14">
        <f t="shared" si="91"/>
        <v>1</v>
      </c>
      <c r="CF158" s="14">
        <f t="shared" si="92"/>
        <v>4</v>
      </c>
      <c r="CG158" s="14">
        <f t="shared" si="104"/>
        <v>40</v>
      </c>
      <c r="CH158" s="14">
        <f t="shared" si="105"/>
        <v>40</v>
      </c>
      <c r="CI158" s="14">
        <f t="shared" si="93"/>
        <v>2</v>
      </c>
      <c r="CJ158" s="14">
        <f t="shared" si="106"/>
        <v>1022</v>
      </c>
      <c r="CK158" s="14">
        <f t="shared" si="94"/>
        <v>0</v>
      </c>
      <c r="CL158" s="14">
        <f t="shared" si="95"/>
        <v>46</v>
      </c>
      <c r="CM158" s="14">
        <f t="shared" si="96"/>
        <v>0</v>
      </c>
      <c r="CN158" s="14">
        <f t="shared" si="97"/>
        <v>0</v>
      </c>
      <c r="CO158" s="14">
        <f t="shared" si="98"/>
        <v>3.87</v>
      </c>
      <c r="CP158" s="14">
        <f t="shared" si="99"/>
        <v>0</v>
      </c>
      <c r="CQ158" s="14">
        <f t="shared" si="107"/>
        <v>8</v>
      </c>
      <c r="CR158" s="14">
        <f t="shared" si="108"/>
        <v>3</v>
      </c>
      <c r="CS158" s="14">
        <f t="shared" si="109"/>
        <v>12</v>
      </c>
      <c r="CV158" s="14">
        <f t="shared" si="100"/>
        <v>2</v>
      </c>
      <c r="CW158" s="14">
        <f t="shared" si="101"/>
        <v>0</v>
      </c>
      <c r="CX158" s="14" t="str">
        <f t="shared" si="110"/>
        <v>DefExt</v>
      </c>
      <c r="CY158" s="14">
        <f t="shared" si="111"/>
        <v>46</v>
      </c>
      <c r="CZ158" s="14">
        <f t="shared" si="112"/>
        <v>3.87</v>
      </c>
      <c r="DA158" s="14" t="str">
        <f t="shared" si="113"/>
        <v/>
      </c>
      <c r="DB158" s="14" t="str">
        <f t="shared" si="114"/>
        <v/>
      </c>
      <c r="DC158" s="14" t="str">
        <f t="shared" si="115"/>
        <v/>
      </c>
      <c r="DD158" s="14">
        <f t="shared" si="116"/>
        <v>8</v>
      </c>
      <c r="DE158" s="14">
        <f t="shared" si="117"/>
        <v>3</v>
      </c>
      <c r="DF158" s="14">
        <f t="shared" si="118"/>
        <v>12</v>
      </c>
      <c r="DG158" s="14">
        <f t="shared" si="119"/>
        <v>100</v>
      </c>
    </row>
    <row r="159" spans="77:111" ht="16.5" x14ac:dyDescent="0.2">
      <c r="BY159" s="13">
        <v>155</v>
      </c>
      <c r="BZ159" s="14">
        <f t="shared" si="102"/>
        <v>21</v>
      </c>
      <c r="CA159" s="14">
        <f t="shared" si="103"/>
        <v>5</v>
      </c>
      <c r="CB159" s="14">
        <f t="shared" si="88"/>
        <v>2</v>
      </c>
      <c r="CC159" s="14">
        <f t="shared" si="89"/>
        <v>2024053</v>
      </c>
      <c r="CD159" s="13" t="str">
        <f t="shared" si="90"/>
        <v>40级寄灵人橙色套2-肩甲</v>
      </c>
      <c r="CE159" s="14">
        <f t="shared" si="91"/>
        <v>1</v>
      </c>
      <c r="CF159" s="14">
        <f t="shared" si="92"/>
        <v>4</v>
      </c>
      <c r="CG159" s="14">
        <f t="shared" si="104"/>
        <v>40</v>
      </c>
      <c r="CH159" s="14">
        <f t="shared" si="105"/>
        <v>40</v>
      </c>
      <c r="CI159" s="14">
        <f t="shared" si="93"/>
        <v>3</v>
      </c>
      <c r="CJ159" s="14">
        <f t="shared" si="106"/>
        <v>1022</v>
      </c>
      <c r="CK159" s="14">
        <f t="shared" si="94"/>
        <v>0</v>
      </c>
      <c r="CL159" s="14">
        <f t="shared" si="95"/>
        <v>23</v>
      </c>
      <c r="CM159" s="14">
        <f t="shared" si="96"/>
        <v>159</v>
      </c>
      <c r="CN159" s="14">
        <f t="shared" si="97"/>
        <v>0</v>
      </c>
      <c r="CO159" s="14">
        <f t="shared" si="98"/>
        <v>1.93</v>
      </c>
      <c r="CP159" s="14">
        <f t="shared" si="99"/>
        <v>13.21</v>
      </c>
      <c r="CQ159" s="14">
        <f t="shared" si="107"/>
        <v>8</v>
      </c>
      <c r="CR159" s="14">
        <f t="shared" si="108"/>
        <v>3</v>
      </c>
      <c r="CS159" s="14">
        <f t="shared" si="109"/>
        <v>12</v>
      </c>
      <c r="CV159" s="14">
        <f t="shared" si="100"/>
        <v>2</v>
      </c>
      <c r="CW159" s="14">
        <f t="shared" si="101"/>
        <v>3</v>
      </c>
      <c r="CX159" s="14" t="str">
        <f t="shared" si="110"/>
        <v>DefExt</v>
      </c>
      <c r="CY159" s="14">
        <f t="shared" si="111"/>
        <v>23</v>
      </c>
      <c r="CZ159" s="14">
        <f t="shared" si="112"/>
        <v>1.93</v>
      </c>
      <c r="DA159" s="14" t="str">
        <f t="shared" si="113"/>
        <v>HPExt</v>
      </c>
      <c r="DB159" s="14">
        <f t="shared" si="114"/>
        <v>159</v>
      </c>
      <c r="DC159" s="14">
        <f t="shared" si="115"/>
        <v>13.21</v>
      </c>
      <c r="DD159" s="14">
        <f t="shared" si="116"/>
        <v>8</v>
      </c>
      <c r="DE159" s="14">
        <f t="shared" si="117"/>
        <v>3</v>
      </c>
      <c r="DF159" s="14">
        <f t="shared" si="118"/>
        <v>12</v>
      </c>
      <c r="DG159" s="14">
        <f t="shared" si="119"/>
        <v>100</v>
      </c>
    </row>
    <row r="160" spans="77:111" ht="16.5" x14ac:dyDescent="0.2">
      <c r="BY160" s="13">
        <v>156</v>
      </c>
      <c r="BZ160" s="14">
        <f t="shared" si="102"/>
        <v>21</v>
      </c>
      <c r="CA160" s="14">
        <f t="shared" si="103"/>
        <v>5</v>
      </c>
      <c r="CB160" s="14">
        <f t="shared" si="88"/>
        <v>2</v>
      </c>
      <c r="CC160" s="14">
        <f t="shared" si="89"/>
        <v>2024054</v>
      </c>
      <c r="CD160" s="13" t="str">
        <f t="shared" si="90"/>
        <v>40级寄灵人橙色套2-衣服</v>
      </c>
      <c r="CE160" s="14">
        <f t="shared" si="91"/>
        <v>1</v>
      </c>
      <c r="CF160" s="14">
        <f t="shared" si="92"/>
        <v>4</v>
      </c>
      <c r="CG160" s="14">
        <f t="shared" si="104"/>
        <v>40</v>
      </c>
      <c r="CH160" s="14">
        <f t="shared" si="105"/>
        <v>40</v>
      </c>
      <c r="CI160" s="14">
        <f t="shared" si="93"/>
        <v>4</v>
      </c>
      <c r="CJ160" s="14">
        <f t="shared" si="106"/>
        <v>1022</v>
      </c>
      <c r="CK160" s="14">
        <f t="shared" si="94"/>
        <v>0</v>
      </c>
      <c r="CL160" s="14">
        <f t="shared" si="95"/>
        <v>46</v>
      </c>
      <c r="CM160" s="14">
        <f t="shared" si="96"/>
        <v>0</v>
      </c>
      <c r="CN160" s="14">
        <f t="shared" si="97"/>
        <v>0</v>
      </c>
      <c r="CO160" s="14">
        <f t="shared" si="98"/>
        <v>3.87</v>
      </c>
      <c r="CP160" s="14">
        <f t="shared" si="99"/>
        <v>0</v>
      </c>
      <c r="CQ160" s="14">
        <f t="shared" si="107"/>
        <v>8</v>
      </c>
      <c r="CR160" s="14">
        <f t="shared" si="108"/>
        <v>3</v>
      </c>
      <c r="CS160" s="14">
        <f t="shared" si="109"/>
        <v>12</v>
      </c>
      <c r="CV160" s="14">
        <f t="shared" si="100"/>
        <v>2</v>
      </c>
      <c r="CW160" s="14">
        <f t="shared" si="101"/>
        <v>0</v>
      </c>
      <c r="CX160" s="14" t="str">
        <f t="shared" si="110"/>
        <v>DefExt</v>
      </c>
      <c r="CY160" s="14">
        <f t="shared" si="111"/>
        <v>46</v>
      </c>
      <c r="CZ160" s="14">
        <f t="shared" si="112"/>
        <v>3.87</v>
      </c>
      <c r="DA160" s="14" t="str">
        <f t="shared" si="113"/>
        <v/>
      </c>
      <c r="DB160" s="14" t="str">
        <f t="shared" si="114"/>
        <v/>
      </c>
      <c r="DC160" s="14" t="str">
        <f t="shared" si="115"/>
        <v/>
      </c>
      <c r="DD160" s="14">
        <f t="shared" si="116"/>
        <v>8</v>
      </c>
      <c r="DE160" s="14">
        <f t="shared" si="117"/>
        <v>3</v>
      </c>
      <c r="DF160" s="14">
        <f t="shared" si="118"/>
        <v>12</v>
      </c>
      <c r="DG160" s="14">
        <f t="shared" si="119"/>
        <v>100</v>
      </c>
    </row>
    <row r="161" spans="77:111" ht="16.5" x14ac:dyDescent="0.2">
      <c r="BY161" s="13">
        <v>157</v>
      </c>
      <c r="BZ161" s="14">
        <f t="shared" si="102"/>
        <v>22</v>
      </c>
      <c r="CA161" s="14">
        <f t="shared" si="103"/>
        <v>6</v>
      </c>
      <c r="CB161" s="14">
        <f t="shared" si="88"/>
        <v>2</v>
      </c>
      <c r="CC161" s="14">
        <f t="shared" si="89"/>
        <v>2024061</v>
      </c>
      <c r="CD161" s="13" t="str">
        <f t="shared" si="90"/>
        <v>40级守护灵橙色套2-武器</v>
      </c>
      <c r="CE161" s="14">
        <f t="shared" si="91"/>
        <v>2</v>
      </c>
      <c r="CF161" s="14">
        <f t="shared" si="92"/>
        <v>4</v>
      </c>
      <c r="CG161" s="14">
        <f t="shared" si="104"/>
        <v>40</v>
      </c>
      <c r="CH161" s="14">
        <f t="shared" si="105"/>
        <v>40</v>
      </c>
      <c r="CI161" s="14">
        <f t="shared" si="93"/>
        <v>1</v>
      </c>
      <c r="CJ161" s="14">
        <f t="shared" si="106"/>
        <v>2022</v>
      </c>
      <c r="CK161" s="14">
        <f t="shared" si="94"/>
        <v>240</v>
      </c>
      <c r="CL161" s="14">
        <f t="shared" si="95"/>
        <v>0</v>
      </c>
      <c r="CM161" s="14">
        <f t="shared" si="96"/>
        <v>0</v>
      </c>
      <c r="CN161" s="14">
        <f t="shared" si="97"/>
        <v>19.989999999999998</v>
      </c>
      <c r="CO161" s="14">
        <f t="shared" si="98"/>
        <v>0</v>
      </c>
      <c r="CP161" s="14">
        <f t="shared" si="99"/>
        <v>0</v>
      </c>
      <c r="CQ161" s="14">
        <f t="shared" si="107"/>
        <v>8</v>
      </c>
      <c r="CR161" s="14">
        <f t="shared" si="108"/>
        <v>3</v>
      </c>
      <c r="CS161" s="14">
        <f t="shared" si="109"/>
        <v>22</v>
      </c>
      <c r="CV161" s="14">
        <f t="shared" si="100"/>
        <v>1</v>
      </c>
      <c r="CW161" s="14">
        <f t="shared" si="101"/>
        <v>0</v>
      </c>
      <c r="CX161" s="14" t="str">
        <f t="shared" si="110"/>
        <v>AtkExt</v>
      </c>
      <c r="CY161" s="14">
        <f t="shared" si="111"/>
        <v>240</v>
      </c>
      <c r="CZ161" s="14">
        <f t="shared" si="112"/>
        <v>19.989999999999998</v>
      </c>
      <c r="DA161" s="14" t="str">
        <f t="shared" si="113"/>
        <v/>
      </c>
      <c r="DB161" s="14" t="str">
        <f t="shared" si="114"/>
        <v/>
      </c>
      <c r="DC161" s="14" t="str">
        <f t="shared" si="115"/>
        <v/>
      </c>
      <c r="DD161" s="14">
        <f t="shared" si="116"/>
        <v>8</v>
      </c>
      <c r="DE161" s="14">
        <f t="shared" si="117"/>
        <v>3</v>
      </c>
      <c r="DF161" s="14">
        <f t="shared" si="118"/>
        <v>22</v>
      </c>
      <c r="DG161" s="14">
        <f t="shared" si="119"/>
        <v>100</v>
      </c>
    </row>
    <row r="162" spans="77:111" ht="16.5" x14ac:dyDescent="0.2">
      <c r="BY162" s="13">
        <v>158</v>
      </c>
      <c r="BZ162" s="14">
        <f t="shared" si="102"/>
        <v>22</v>
      </c>
      <c r="CA162" s="14">
        <f t="shared" si="103"/>
        <v>6</v>
      </c>
      <c r="CB162" s="14">
        <f t="shared" si="88"/>
        <v>2</v>
      </c>
      <c r="CC162" s="14">
        <f t="shared" si="89"/>
        <v>2024062</v>
      </c>
      <c r="CD162" s="13" t="str">
        <f t="shared" si="90"/>
        <v>40级守护灵橙色套2-头盔</v>
      </c>
      <c r="CE162" s="14">
        <f t="shared" si="91"/>
        <v>2</v>
      </c>
      <c r="CF162" s="14">
        <f t="shared" si="92"/>
        <v>4</v>
      </c>
      <c r="CG162" s="14">
        <f t="shared" si="104"/>
        <v>40</v>
      </c>
      <c r="CH162" s="14">
        <f t="shared" si="105"/>
        <v>40</v>
      </c>
      <c r="CI162" s="14">
        <f t="shared" si="93"/>
        <v>2</v>
      </c>
      <c r="CJ162" s="14">
        <f t="shared" si="106"/>
        <v>2022</v>
      </c>
      <c r="CK162" s="14">
        <f t="shared" si="94"/>
        <v>0</v>
      </c>
      <c r="CL162" s="14">
        <f t="shared" si="95"/>
        <v>55</v>
      </c>
      <c r="CM162" s="14">
        <f t="shared" si="96"/>
        <v>0</v>
      </c>
      <c r="CN162" s="14">
        <f t="shared" si="97"/>
        <v>0</v>
      </c>
      <c r="CO162" s="14">
        <f t="shared" si="98"/>
        <v>4.57</v>
      </c>
      <c r="CP162" s="14">
        <f t="shared" si="99"/>
        <v>0</v>
      </c>
      <c r="CQ162" s="14">
        <f t="shared" si="107"/>
        <v>8</v>
      </c>
      <c r="CR162" s="14">
        <f t="shared" si="108"/>
        <v>3</v>
      </c>
      <c r="CS162" s="14">
        <f t="shared" si="109"/>
        <v>22</v>
      </c>
      <c r="CV162" s="14">
        <f t="shared" si="100"/>
        <v>2</v>
      </c>
      <c r="CW162" s="14">
        <f t="shared" si="101"/>
        <v>0</v>
      </c>
      <c r="CX162" s="14" t="str">
        <f t="shared" si="110"/>
        <v>DefExt</v>
      </c>
      <c r="CY162" s="14">
        <f t="shared" si="111"/>
        <v>55</v>
      </c>
      <c r="CZ162" s="14">
        <f t="shared" si="112"/>
        <v>4.57</v>
      </c>
      <c r="DA162" s="14" t="str">
        <f t="shared" si="113"/>
        <v/>
      </c>
      <c r="DB162" s="14" t="str">
        <f t="shared" si="114"/>
        <v/>
      </c>
      <c r="DC162" s="14" t="str">
        <f t="shared" si="115"/>
        <v/>
      </c>
      <c r="DD162" s="14">
        <f t="shared" si="116"/>
        <v>8</v>
      </c>
      <c r="DE162" s="14">
        <f t="shared" si="117"/>
        <v>3</v>
      </c>
      <c r="DF162" s="14">
        <f t="shared" si="118"/>
        <v>22</v>
      </c>
      <c r="DG162" s="14">
        <f t="shared" si="119"/>
        <v>100</v>
      </c>
    </row>
    <row r="163" spans="77:111" ht="16.5" x14ac:dyDescent="0.2">
      <c r="BY163" s="13">
        <v>159</v>
      </c>
      <c r="BZ163" s="14">
        <f t="shared" si="102"/>
        <v>22</v>
      </c>
      <c r="CA163" s="14">
        <f t="shared" si="103"/>
        <v>6</v>
      </c>
      <c r="CB163" s="14">
        <f t="shared" si="88"/>
        <v>2</v>
      </c>
      <c r="CC163" s="14">
        <f t="shared" si="89"/>
        <v>2024063</v>
      </c>
      <c r="CD163" s="13" t="str">
        <f t="shared" si="90"/>
        <v>40级守护灵橙色套2-肩甲</v>
      </c>
      <c r="CE163" s="14">
        <f t="shared" si="91"/>
        <v>2</v>
      </c>
      <c r="CF163" s="14">
        <f t="shared" si="92"/>
        <v>4</v>
      </c>
      <c r="CG163" s="14">
        <f t="shared" si="104"/>
        <v>40</v>
      </c>
      <c r="CH163" s="14">
        <f t="shared" si="105"/>
        <v>40</v>
      </c>
      <c r="CI163" s="14">
        <f t="shared" si="93"/>
        <v>3</v>
      </c>
      <c r="CJ163" s="14">
        <f t="shared" si="106"/>
        <v>2022</v>
      </c>
      <c r="CK163" s="14">
        <f t="shared" si="94"/>
        <v>0</v>
      </c>
      <c r="CL163" s="14">
        <f t="shared" si="95"/>
        <v>27</v>
      </c>
      <c r="CM163" s="14">
        <f t="shared" si="96"/>
        <v>280</v>
      </c>
      <c r="CN163" s="14">
        <f t="shared" si="97"/>
        <v>0</v>
      </c>
      <c r="CO163" s="14">
        <f t="shared" si="98"/>
        <v>2.2799999999999998</v>
      </c>
      <c r="CP163" s="14">
        <f t="shared" si="99"/>
        <v>23.31</v>
      </c>
      <c r="CQ163" s="14">
        <f t="shared" si="107"/>
        <v>8</v>
      </c>
      <c r="CR163" s="14">
        <f t="shared" si="108"/>
        <v>3</v>
      </c>
      <c r="CS163" s="14">
        <f t="shared" si="109"/>
        <v>22</v>
      </c>
      <c r="CV163" s="14">
        <f t="shared" si="100"/>
        <v>2</v>
      </c>
      <c r="CW163" s="14">
        <f t="shared" si="101"/>
        <v>3</v>
      </c>
      <c r="CX163" s="14" t="str">
        <f t="shared" si="110"/>
        <v>DefExt</v>
      </c>
      <c r="CY163" s="14">
        <f t="shared" si="111"/>
        <v>27</v>
      </c>
      <c r="CZ163" s="14">
        <f t="shared" si="112"/>
        <v>2.2799999999999998</v>
      </c>
      <c r="DA163" s="14" t="str">
        <f t="shared" si="113"/>
        <v>HPExt</v>
      </c>
      <c r="DB163" s="14">
        <f t="shared" si="114"/>
        <v>280</v>
      </c>
      <c r="DC163" s="14">
        <f t="shared" si="115"/>
        <v>23.31</v>
      </c>
      <c r="DD163" s="14">
        <f t="shared" si="116"/>
        <v>8</v>
      </c>
      <c r="DE163" s="14">
        <f t="shared" si="117"/>
        <v>3</v>
      </c>
      <c r="DF163" s="14">
        <f t="shared" si="118"/>
        <v>22</v>
      </c>
      <c r="DG163" s="14">
        <f t="shared" si="119"/>
        <v>100</v>
      </c>
    </row>
    <row r="164" spans="77:111" ht="16.5" x14ac:dyDescent="0.2">
      <c r="BY164" s="13">
        <v>160</v>
      </c>
      <c r="BZ164" s="14">
        <f t="shared" si="102"/>
        <v>22</v>
      </c>
      <c r="CA164" s="14">
        <f t="shared" si="103"/>
        <v>6</v>
      </c>
      <c r="CB164" s="14">
        <f t="shared" si="88"/>
        <v>2</v>
      </c>
      <c r="CC164" s="14">
        <f t="shared" si="89"/>
        <v>2024064</v>
      </c>
      <c r="CD164" s="13" t="str">
        <f t="shared" si="90"/>
        <v>40级守护灵橙色套2-衣服</v>
      </c>
      <c r="CE164" s="14">
        <f t="shared" si="91"/>
        <v>2</v>
      </c>
      <c r="CF164" s="14">
        <f t="shared" si="92"/>
        <v>4</v>
      </c>
      <c r="CG164" s="14">
        <f t="shared" si="104"/>
        <v>40</v>
      </c>
      <c r="CH164" s="14">
        <f t="shared" si="105"/>
        <v>40</v>
      </c>
      <c r="CI164" s="14">
        <f t="shared" si="93"/>
        <v>4</v>
      </c>
      <c r="CJ164" s="14">
        <f t="shared" si="106"/>
        <v>2022</v>
      </c>
      <c r="CK164" s="14">
        <f t="shared" si="94"/>
        <v>0</v>
      </c>
      <c r="CL164" s="14">
        <f t="shared" si="95"/>
        <v>55</v>
      </c>
      <c r="CM164" s="14">
        <f t="shared" si="96"/>
        <v>0</v>
      </c>
      <c r="CN164" s="14">
        <f t="shared" si="97"/>
        <v>0</v>
      </c>
      <c r="CO164" s="14">
        <f t="shared" si="98"/>
        <v>4.57</v>
      </c>
      <c r="CP164" s="14">
        <f t="shared" si="99"/>
        <v>0</v>
      </c>
      <c r="CQ164" s="14">
        <f t="shared" si="107"/>
        <v>8</v>
      </c>
      <c r="CR164" s="14">
        <f t="shared" si="108"/>
        <v>3</v>
      </c>
      <c r="CS164" s="14">
        <f t="shared" si="109"/>
        <v>22</v>
      </c>
      <c r="CV164" s="14">
        <f t="shared" si="100"/>
        <v>2</v>
      </c>
      <c r="CW164" s="14">
        <f t="shared" si="101"/>
        <v>0</v>
      </c>
      <c r="CX164" s="14" t="str">
        <f t="shared" si="110"/>
        <v>DefExt</v>
      </c>
      <c r="CY164" s="14">
        <f t="shared" si="111"/>
        <v>55</v>
      </c>
      <c r="CZ164" s="14">
        <f t="shared" si="112"/>
        <v>4.57</v>
      </c>
      <c r="DA164" s="14" t="str">
        <f t="shared" si="113"/>
        <v/>
      </c>
      <c r="DB164" s="14" t="str">
        <f t="shared" si="114"/>
        <v/>
      </c>
      <c r="DC164" s="14" t="str">
        <f t="shared" si="115"/>
        <v/>
      </c>
      <c r="DD164" s="14">
        <f t="shared" si="116"/>
        <v>8</v>
      </c>
      <c r="DE164" s="14">
        <f t="shared" si="117"/>
        <v>3</v>
      </c>
      <c r="DF164" s="14">
        <f t="shared" si="118"/>
        <v>22</v>
      </c>
      <c r="DG164" s="14">
        <f t="shared" si="119"/>
        <v>100</v>
      </c>
    </row>
    <row r="165" spans="77:111" ht="16.5" x14ac:dyDescent="0.2">
      <c r="BY165" s="13">
        <v>161</v>
      </c>
      <c r="BZ165" s="14">
        <f t="shared" si="102"/>
        <v>23</v>
      </c>
      <c r="CA165" s="14">
        <f t="shared" si="103"/>
        <v>1</v>
      </c>
      <c r="CB165" s="14">
        <f t="shared" si="88"/>
        <v>3</v>
      </c>
      <c r="CC165" s="14">
        <f t="shared" si="89"/>
        <v>2031011</v>
      </c>
      <c r="CD165" s="13" t="str">
        <f t="shared" si="90"/>
        <v>60级寄灵人绿色-武器</v>
      </c>
      <c r="CE165" s="14">
        <f t="shared" si="91"/>
        <v>1</v>
      </c>
      <c r="CF165" s="14">
        <f t="shared" si="92"/>
        <v>1</v>
      </c>
      <c r="CG165" s="14">
        <f t="shared" si="104"/>
        <v>60</v>
      </c>
      <c r="CH165" s="14">
        <f t="shared" si="105"/>
        <v>60</v>
      </c>
      <c r="CI165" s="14">
        <f t="shared" si="93"/>
        <v>1</v>
      </c>
      <c r="CJ165" s="14" t="str">
        <f t="shared" si="106"/>
        <v/>
      </c>
      <c r="CK165" s="14">
        <f t="shared" si="94"/>
        <v>164</v>
      </c>
      <c r="CL165" s="14">
        <f t="shared" si="95"/>
        <v>0</v>
      </c>
      <c r="CM165" s="14">
        <f t="shared" si="96"/>
        <v>0</v>
      </c>
      <c r="CN165" s="14">
        <f t="shared" si="97"/>
        <v>21.89</v>
      </c>
      <c r="CO165" s="14">
        <f t="shared" si="98"/>
        <v>0</v>
      </c>
      <c r="CP165" s="14">
        <f t="shared" si="99"/>
        <v>0</v>
      </c>
      <c r="CQ165" s="14">
        <f t="shared" si="107"/>
        <v>9</v>
      </c>
      <c r="CR165" s="14">
        <f t="shared" si="108"/>
        <v>0</v>
      </c>
      <c r="CS165" s="14">
        <f t="shared" si="109"/>
        <v>13</v>
      </c>
      <c r="CV165" s="14">
        <f t="shared" si="100"/>
        <v>1</v>
      </c>
      <c r="CW165" s="14">
        <f t="shared" si="101"/>
        <v>0</v>
      </c>
      <c r="CX165" s="14" t="str">
        <f t="shared" si="110"/>
        <v>AtkExt</v>
      </c>
      <c r="CY165" s="14">
        <f t="shared" si="111"/>
        <v>164</v>
      </c>
      <c r="CZ165" s="14">
        <f t="shared" si="112"/>
        <v>21.89</v>
      </c>
      <c r="DA165" s="14" t="str">
        <f t="shared" si="113"/>
        <v/>
      </c>
      <c r="DB165" s="14" t="str">
        <f t="shared" si="114"/>
        <v/>
      </c>
      <c r="DC165" s="14" t="str">
        <f t="shared" si="115"/>
        <v/>
      </c>
      <c r="DD165" s="14">
        <f t="shared" si="116"/>
        <v>9</v>
      </c>
      <c r="DE165" s="14">
        <f t="shared" si="117"/>
        <v>0</v>
      </c>
      <c r="DF165" s="14">
        <f t="shared" si="118"/>
        <v>13</v>
      </c>
      <c r="DG165" s="14">
        <f t="shared" si="119"/>
        <v>15</v>
      </c>
    </row>
    <row r="166" spans="77:111" ht="16.5" x14ac:dyDescent="0.2">
      <c r="BY166" s="13">
        <v>162</v>
      </c>
      <c r="BZ166" s="14">
        <f t="shared" si="102"/>
        <v>23</v>
      </c>
      <c r="CA166" s="14">
        <f t="shared" si="103"/>
        <v>1</v>
      </c>
      <c r="CB166" s="14">
        <f t="shared" si="88"/>
        <v>3</v>
      </c>
      <c r="CC166" s="14">
        <f t="shared" si="89"/>
        <v>2031012</v>
      </c>
      <c r="CD166" s="13" t="str">
        <f t="shared" si="90"/>
        <v>60级寄灵人绿色-头盔</v>
      </c>
      <c r="CE166" s="14">
        <f t="shared" si="91"/>
        <v>1</v>
      </c>
      <c r="CF166" s="14">
        <f t="shared" si="92"/>
        <v>1</v>
      </c>
      <c r="CG166" s="14">
        <f t="shared" si="104"/>
        <v>60</v>
      </c>
      <c r="CH166" s="14">
        <f t="shared" si="105"/>
        <v>60</v>
      </c>
      <c r="CI166" s="14">
        <f t="shared" si="93"/>
        <v>2</v>
      </c>
      <c r="CJ166" s="14" t="str">
        <f t="shared" si="106"/>
        <v/>
      </c>
      <c r="CK166" s="14">
        <f t="shared" si="94"/>
        <v>0</v>
      </c>
      <c r="CL166" s="14">
        <f t="shared" si="95"/>
        <v>40</v>
      </c>
      <c r="CM166" s="14">
        <f t="shared" si="96"/>
        <v>0</v>
      </c>
      <c r="CN166" s="14">
        <f t="shared" si="97"/>
        <v>0</v>
      </c>
      <c r="CO166" s="14">
        <f t="shared" si="98"/>
        <v>5.28</v>
      </c>
      <c r="CP166" s="14">
        <f t="shared" si="99"/>
        <v>0</v>
      </c>
      <c r="CQ166" s="14">
        <f t="shared" si="107"/>
        <v>9</v>
      </c>
      <c r="CR166" s="14">
        <f t="shared" si="108"/>
        <v>0</v>
      </c>
      <c r="CS166" s="14">
        <f t="shared" si="109"/>
        <v>13</v>
      </c>
      <c r="CV166" s="14">
        <f t="shared" si="100"/>
        <v>2</v>
      </c>
      <c r="CW166" s="14">
        <f t="shared" si="101"/>
        <v>0</v>
      </c>
      <c r="CX166" s="14" t="str">
        <f t="shared" si="110"/>
        <v>DefExt</v>
      </c>
      <c r="CY166" s="14">
        <f t="shared" si="111"/>
        <v>40</v>
      </c>
      <c r="CZ166" s="14">
        <f t="shared" si="112"/>
        <v>5.28</v>
      </c>
      <c r="DA166" s="14" t="str">
        <f t="shared" si="113"/>
        <v/>
      </c>
      <c r="DB166" s="14" t="str">
        <f t="shared" si="114"/>
        <v/>
      </c>
      <c r="DC166" s="14" t="str">
        <f t="shared" si="115"/>
        <v/>
      </c>
      <c r="DD166" s="14">
        <f t="shared" si="116"/>
        <v>9</v>
      </c>
      <c r="DE166" s="14">
        <f t="shared" si="117"/>
        <v>0</v>
      </c>
      <c r="DF166" s="14">
        <f t="shared" si="118"/>
        <v>13</v>
      </c>
      <c r="DG166" s="14">
        <f t="shared" si="119"/>
        <v>15</v>
      </c>
    </row>
    <row r="167" spans="77:111" ht="16.5" x14ac:dyDescent="0.2">
      <c r="BY167" s="13">
        <v>163</v>
      </c>
      <c r="BZ167" s="14">
        <f t="shared" si="102"/>
        <v>23</v>
      </c>
      <c r="CA167" s="14">
        <f t="shared" si="103"/>
        <v>1</v>
      </c>
      <c r="CB167" s="14">
        <f t="shared" si="88"/>
        <v>3</v>
      </c>
      <c r="CC167" s="14">
        <f t="shared" si="89"/>
        <v>2031013</v>
      </c>
      <c r="CD167" s="13" t="str">
        <f t="shared" si="90"/>
        <v>60级寄灵人绿色-肩甲</v>
      </c>
      <c r="CE167" s="14">
        <f t="shared" si="91"/>
        <v>1</v>
      </c>
      <c r="CF167" s="14">
        <f t="shared" si="92"/>
        <v>1</v>
      </c>
      <c r="CG167" s="14">
        <f t="shared" si="104"/>
        <v>60</v>
      </c>
      <c r="CH167" s="14">
        <f t="shared" si="105"/>
        <v>60</v>
      </c>
      <c r="CI167" s="14">
        <f t="shared" si="93"/>
        <v>3</v>
      </c>
      <c r="CJ167" s="14" t="str">
        <f t="shared" si="106"/>
        <v/>
      </c>
      <c r="CK167" s="14">
        <f t="shared" si="94"/>
        <v>0</v>
      </c>
      <c r="CL167" s="14">
        <f t="shared" si="95"/>
        <v>20</v>
      </c>
      <c r="CM167" s="14">
        <f t="shared" si="96"/>
        <v>127</v>
      </c>
      <c r="CN167" s="14">
        <f t="shared" si="97"/>
        <v>0</v>
      </c>
      <c r="CO167" s="14">
        <f t="shared" si="98"/>
        <v>2.64</v>
      </c>
      <c r="CP167" s="14">
        <f t="shared" si="99"/>
        <v>16.920000000000002</v>
      </c>
      <c r="CQ167" s="14">
        <f t="shared" si="107"/>
        <v>9</v>
      </c>
      <c r="CR167" s="14">
        <f t="shared" si="108"/>
        <v>0</v>
      </c>
      <c r="CS167" s="14">
        <f t="shared" si="109"/>
        <v>13</v>
      </c>
      <c r="CV167" s="14">
        <f t="shared" si="100"/>
        <v>2</v>
      </c>
      <c r="CW167" s="14">
        <f t="shared" si="101"/>
        <v>3</v>
      </c>
      <c r="CX167" s="14" t="str">
        <f t="shared" si="110"/>
        <v>DefExt</v>
      </c>
      <c r="CY167" s="14">
        <f t="shared" si="111"/>
        <v>20</v>
      </c>
      <c r="CZ167" s="14">
        <f t="shared" si="112"/>
        <v>2.64</v>
      </c>
      <c r="DA167" s="14" t="str">
        <f t="shared" si="113"/>
        <v>HPExt</v>
      </c>
      <c r="DB167" s="14">
        <f t="shared" si="114"/>
        <v>127</v>
      </c>
      <c r="DC167" s="14">
        <f t="shared" si="115"/>
        <v>16.920000000000002</v>
      </c>
      <c r="DD167" s="14">
        <f t="shared" si="116"/>
        <v>9</v>
      </c>
      <c r="DE167" s="14">
        <f t="shared" si="117"/>
        <v>0</v>
      </c>
      <c r="DF167" s="14">
        <f t="shared" si="118"/>
        <v>13</v>
      </c>
      <c r="DG167" s="14">
        <f t="shared" si="119"/>
        <v>15</v>
      </c>
    </row>
    <row r="168" spans="77:111" ht="16.5" x14ac:dyDescent="0.2">
      <c r="BY168" s="13">
        <v>164</v>
      </c>
      <c r="BZ168" s="14">
        <f t="shared" si="102"/>
        <v>23</v>
      </c>
      <c r="CA168" s="14">
        <f t="shared" si="103"/>
        <v>1</v>
      </c>
      <c r="CB168" s="14">
        <f t="shared" si="88"/>
        <v>3</v>
      </c>
      <c r="CC168" s="14">
        <f t="shared" si="89"/>
        <v>2031014</v>
      </c>
      <c r="CD168" s="13" t="str">
        <f t="shared" si="90"/>
        <v>60级寄灵人绿色-衣服</v>
      </c>
      <c r="CE168" s="14">
        <f t="shared" si="91"/>
        <v>1</v>
      </c>
      <c r="CF168" s="14">
        <f t="shared" si="92"/>
        <v>1</v>
      </c>
      <c r="CG168" s="14">
        <f t="shared" si="104"/>
        <v>60</v>
      </c>
      <c r="CH168" s="14">
        <f t="shared" si="105"/>
        <v>60</v>
      </c>
      <c r="CI168" s="14">
        <f t="shared" si="93"/>
        <v>4</v>
      </c>
      <c r="CJ168" s="14" t="str">
        <f t="shared" si="106"/>
        <v/>
      </c>
      <c r="CK168" s="14">
        <f t="shared" si="94"/>
        <v>0</v>
      </c>
      <c r="CL168" s="14">
        <f t="shared" si="95"/>
        <v>40</v>
      </c>
      <c r="CM168" s="14">
        <f t="shared" si="96"/>
        <v>0</v>
      </c>
      <c r="CN168" s="14">
        <f t="shared" si="97"/>
        <v>0</v>
      </c>
      <c r="CO168" s="14">
        <f t="shared" si="98"/>
        <v>5.28</v>
      </c>
      <c r="CP168" s="14">
        <f t="shared" si="99"/>
        <v>0</v>
      </c>
      <c r="CQ168" s="14">
        <f t="shared" si="107"/>
        <v>9</v>
      </c>
      <c r="CR168" s="14">
        <f t="shared" si="108"/>
        <v>0</v>
      </c>
      <c r="CS168" s="14">
        <f t="shared" si="109"/>
        <v>13</v>
      </c>
      <c r="CV168" s="14">
        <f t="shared" si="100"/>
        <v>2</v>
      </c>
      <c r="CW168" s="14">
        <f t="shared" si="101"/>
        <v>0</v>
      </c>
      <c r="CX168" s="14" t="str">
        <f t="shared" si="110"/>
        <v>DefExt</v>
      </c>
      <c r="CY168" s="14">
        <f t="shared" si="111"/>
        <v>40</v>
      </c>
      <c r="CZ168" s="14">
        <f t="shared" si="112"/>
        <v>5.28</v>
      </c>
      <c r="DA168" s="14" t="str">
        <f t="shared" si="113"/>
        <v/>
      </c>
      <c r="DB168" s="14" t="str">
        <f t="shared" si="114"/>
        <v/>
      </c>
      <c r="DC168" s="14" t="str">
        <f t="shared" si="115"/>
        <v/>
      </c>
      <c r="DD168" s="14">
        <f t="shared" si="116"/>
        <v>9</v>
      </c>
      <c r="DE168" s="14">
        <f t="shared" si="117"/>
        <v>0</v>
      </c>
      <c r="DF168" s="14">
        <f t="shared" si="118"/>
        <v>13</v>
      </c>
      <c r="DG168" s="14">
        <f t="shared" si="119"/>
        <v>15</v>
      </c>
    </row>
    <row r="169" spans="77:111" ht="16.5" x14ac:dyDescent="0.2">
      <c r="BY169" s="13">
        <v>165</v>
      </c>
      <c r="BZ169" s="14">
        <f t="shared" si="102"/>
        <v>23</v>
      </c>
      <c r="CA169" s="14">
        <f t="shared" si="103"/>
        <v>1</v>
      </c>
      <c r="CB169" s="14">
        <f t="shared" si="88"/>
        <v>3</v>
      </c>
      <c r="CC169" s="14">
        <f t="shared" si="89"/>
        <v>2031015</v>
      </c>
      <c r="CD169" s="13" t="str">
        <f t="shared" si="90"/>
        <v>60级寄灵人绿色-鞋子</v>
      </c>
      <c r="CE169" s="14">
        <f t="shared" si="91"/>
        <v>1</v>
      </c>
      <c r="CF169" s="14">
        <f t="shared" si="92"/>
        <v>1</v>
      </c>
      <c r="CG169" s="14">
        <f t="shared" si="104"/>
        <v>60</v>
      </c>
      <c r="CH169" s="14">
        <f t="shared" si="105"/>
        <v>60</v>
      </c>
      <c r="CI169" s="14">
        <f t="shared" si="93"/>
        <v>5</v>
      </c>
      <c r="CJ169" s="14" t="str">
        <f t="shared" si="106"/>
        <v/>
      </c>
      <c r="CK169" s="14">
        <f t="shared" si="94"/>
        <v>0</v>
      </c>
      <c r="CL169" s="14">
        <f t="shared" si="95"/>
        <v>0</v>
      </c>
      <c r="CM169" s="14">
        <f t="shared" si="96"/>
        <v>254</v>
      </c>
      <c r="CN169" s="14">
        <f t="shared" si="97"/>
        <v>0</v>
      </c>
      <c r="CO169" s="14">
        <f t="shared" si="98"/>
        <v>0</v>
      </c>
      <c r="CP169" s="14">
        <f t="shared" si="99"/>
        <v>33.83</v>
      </c>
      <c r="CQ169" s="14">
        <f t="shared" si="107"/>
        <v>9</v>
      </c>
      <c r="CR169" s="14">
        <f t="shared" si="108"/>
        <v>0</v>
      </c>
      <c r="CS169" s="14">
        <f t="shared" si="109"/>
        <v>13</v>
      </c>
      <c r="CV169" s="14">
        <f t="shared" si="100"/>
        <v>3</v>
      </c>
      <c r="CW169" s="14">
        <f t="shared" si="101"/>
        <v>0</v>
      </c>
      <c r="CX169" s="14" t="str">
        <f t="shared" si="110"/>
        <v>HPExt</v>
      </c>
      <c r="CY169" s="14">
        <f t="shared" si="111"/>
        <v>254</v>
      </c>
      <c r="CZ169" s="14">
        <f t="shared" si="112"/>
        <v>33.83</v>
      </c>
      <c r="DA169" s="14" t="str">
        <f t="shared" si="113"/>
        <v/>
      </c>
      <c r="DB169" s="14" t="str">
        <f t="shared" si="114"/>
        <v/>
      </c>
      <c r="DC169" s="14" t="str">
        <f t="shared" si="115"/>
        <v/>
      </c>
      <c r="DD169" s="14">
        <f t="shared" si="116"/>
        <v>9</v>
      </c>
      <c r="DE169" s="14">
        <f t="shared" si="117"/>
        <v>0</v>
      </c>
      <c r="DF169" s="14">
        <f t="shared" si="118"/>
        <v>13</v>
      </c>
      <c r="DG169" s="14">
        <f t="shared" si="119"/>
        <v>15</v>
      </c>
    </row>
    <row r="170" spans="77:111" ht="16.5" x14ac:dyDescent="0.2">
      <c r="BY170" s="13">
        <v>166</v>
      </c>
      <c r="BZ170" s="14">
        <f t="shared" si="102"/>
        <v>23</v>
      </c>
      <c r="CA170" s="14">
        <f t="shared" si="103"/>
        <v>1</v>
      </c>
      <c r="CB170" s="14">
        <f t="shared" si="88"/>
        <v>3</v>
      </c>
      <c r="CC170" s="14">
        <f t="shared" si="89"/>
        <v>2031016</v>
      </c>
      <c r="CD170" s="13" t="str">
        <f t="shared" si="90"/>
        <v>60级寄灵人绿色-护手</v>
      </c>
      <c r="CE170" s="14">
        <f t="shared" si="91"/>
        <v>1</v>
      </c>
      <c r="CF170" s="14">
        <f t="shared" si="92"/>
        <v>1</v>
      </c>
      <c r="CG170" s="14">
        <f t="shared" si="104"/>
        <v>60</v>
      </c>
      <c r="CH170" s="14">
        <f t="shared" si="105"/>
        <v>60</v>
      </c>
      <c r="CI170" s="14">
        <f t="shared" si="93"/>
        <v>6</v>
      </c>
      <c r="CJ170" s="14" t="str">
        <f t="shared" si="106"/>
        <v/>
      </c>
      <c r="CK170" s="14">
        <f t="shared" si="94"/>
        <v>0</v>
      </c>
      <c r="CL170" s="14">
        <f t="shared" si="95"/>
        <v>0</v>
      </c>
      <c r="CM170" s="14">
        <f t="shared" si="96"/>
        <v>254</v>
      </c>
      <c r="CN170" s="14">
        <f t="shared" si="97"/>
        <v>0</v>
      </c>
      <c r="CO170" s="14">
        <f t="shared" si="98"/>
        <v>0</v>
      </c>
      <c r="CP170" s="14">
        <f t="shared" si="99"/>
        <v>33.83</v>
      </c>
      <c r="CQ170" s="14">
        <f t="shared" si="107"/>
        <v>9</v>
      </c>
      <c r="CR170" s="14">
        <f t="shared" si="108"/>
        <v>0</v>
      </c>
      <c r="CS170" s="14">
        <f t="shared" si="109"/>
        <v>13</v>
      </c>
      <c r="CV170" s="14">
        <f t="shared" si="100"/>
        <v>3</v>
      </c>
      <c r="CW170" s="14">
        <f t="shared" si="101"/>
        <v>0</v>
      </c>
      <c r="CX170" s="14" t="str">
        <f t="shared" si="110"/>
        <v>HPExt</v>
      </c>
      <c r="CY170" s="14">
        <f t="shared" si="111"/>
        <v>254</v>
      </c>
      <c r="CZ170" s="14">
        <f t="shared" si="112"/>
        <v>33.83</v>
      </c>
      <c r="DA170" s="14" t="str">
        <f t="shared" si="113"/>
        <v/>
      </c>
      <c r="DB170" s="14" t="str">
        <f t="shared" si="114"/>
        <v/>
      </c>
      <c r="DC170" s="14" t="str">
        <f t="shared" si="115"/>
        <v/>
      </c>
      <c r="DD170" s="14">
        <f t="shared" si="116"/>
        <v>9</v>
      </c>
      <c r="DE170" s="14">
        <f t="shared" si="117"/>
        <v>0</v>
      </c>
      <c r="DF170" s="14">
        <f t="shared" si="118"/>
        <v>13</v>
      </c>
      <c r="DG170" s="14">
        <f t="shared" si="119"/>
        <v>15</v>
      </c>
    </row>
    <row r="171" spans="77:111" ht="16.5" x14ac:dyDescent="0.2">
      <c r="BY171" s="13">
        <v>167</v>
      </c>
      <c r="BZ171" s="14">
        <f t="shared" si="102"/>
        <v>23</v>
      </c>
      <c r="CA171" s="14">
        <f t="shared" si="103"/>
        <v>1</v>
      </c>
      <c r="CB171" s="14">
        <f t="shared" si="88"/>
        <v>3</v>
      </c>
      <c r="CC171" s="14">
        <f t="shared" si="89"/>
        <v>2031017</v>
      </c>
      <c r="CD171" s="13" t="str">
        <f t="shared" si="90"/>
        <v>60级寄灵人绿色-项链</v>
      </c>
      <c r="CE171" s="14">
        <f t="shared" si="91"/>
        <v>1</v>
      </c>
      <c r="CF171" s="14">
        <f t="shared" si="92"/>
        <v>1</v>
      </c>
      <c r="CG171" s="14">
        <f t="shared" si="104"/>
        <v>60</v>
      </c>
      <c r="CH171" s="14">
        <f t="shared" si="105"/>
        <v>60</v>
      </c>
      <c r="CI171" s="14">
        <f t="shared" si="93"/>
        <v>7</v>
      </c>
      <c r="CJ171" s="14" t="str">
        <f t="shared" si="106"/>
        <v/>
      </c>
      <c r="CK171" s="14">
        <f t="shared" si="94"/>
        <v>55</v>
      </c>
      <c r="CL171" s="14">
        <f t="shared" si="95"/>
        <v>33</v>
      </c>
      <c r="CM171" s="14">
        <f t="shared" si="96"/>
        <v>0</v>
      </c>
      <c r="CN171" s="14">
        <f t="shared" si="97"/>
        <v>7.3</v>
      </c>
      <c r="CO171" s="14">
        <f t="shared" si="98"/>
        <v>4.4000000000000004</v>
      </c>
      <c r="CP171" s="14">
        <f t="shared" si="99"/>
        <v>0</v>
      </c>
      <c r="CQ171" s="14">
        <f t="shared" si="107"/>
        <v>9</v>
      </c>
      <c r="CR171" s="14">
        <f t="shared" si="108"/>
        <v>0</v>
      </c>
      <c r="CS171" s="14">
        <f t="shared" si="109"/>
        <v>13</v>
      </c>
      <c r="CV171" s="14">
        <f t="shared" si="100"/>
        <v>1</v>
      </c>
      <c r="CW171" s="14">
        <f t="shared" si="101"/>
        <v>2</v>
      </c>
      <c r="CX171" s="14" t="str">
        <f t="shared" si="110"/>
        <v>AtkExt</v>
      </c>
      <c r="CY171" s="14">
        <f t="shared" si="111"/>
        <v>55</v>
      </c>
      <c r="CZ171" s="14">
        <f t="shared" si="112"/>
        <v>7.3</v>
      </c>
      <c r="DA171" s="14" t="str">
        <f t="shared" si="113"/>
        <v>DefExt</v>
      </c>
      <c r="DB171" s="14">
        <f t="shared" si="114"/>
        <v>33</v>
      </c>
      <c r="DC171" s="14">
        <f t="shared" si="115"/>
        <v>4.4000000000000004</v>
      </c>
      <c r="DD171" s="14">
        <f t="shared" si="116"/>
        <v>9</v>
      </c>
      <c r="DE171" s="14">
        <f t="shared" si="117"/>
        <v>0</v>
      </c>
      <c r="DF171" s="14">
        <f t="shared" si="118"/>
        <v>13</v>
      </c>
      <c r="DG171" s="14">
        <f t="shared" si="119"/>
        <v>15</v>
      </c>
    </row>
    <row r="172" spans="77:111" ht="16.5" x14ac:dyDescent="0.2">
      <c r="BY172" s="13">
        <v>168</v>
      </c>
      <c r="BZ172" s="14">
        <f t="shared" si="102"/>
        <v>23</v>
      </c>
      <c r="CA172" s="14">
        <f t="shared" si="103"/>
        <v>1</v>
      </c>
      <c r="CB172" s="14">
        <f t="shared" si="88"/>
        <v>3</v>
      </c>
      <c r="CC172" s="14">
        <f t="shared" si="89"/>
        <v>2031018</v>
      </c>
      <c r="CD172" s="13" t="str">
        <f t="shared" si="90"/>
        <v>60级寄灵人绿色-戒指</v>
      </c>
      <c r="CE172" s="14">
        <f t="shared" si="91"/>
        <v>1</v>
      </c>
      <c r="CF172" s="14">
        <f t="shared" si="92"/>
        <v>1</v>
      </c>
      <c r="CG172" s="14">
        <f t="shared" si="104"/>
        <v>60</v>
      </c>
      <c r="CH172" s="14">
        <f t="shared" si="105"/>
        <v>60</v>
      </c>
      <c r="CI172" s="14">
        <f t="shared" si="93"/>
        <v>8</v>
      </c>
      <c r="CJ172" s="14" t="str">
        <f t="shared" si="106"/>
        <v/>
      </c>
      <c r="CK172" s="14">
        <f t="shared" si="94"/>
        <v>55</v>
      </c>
      <c r="CL172" s="14">
        <f t="shared" si="95"/>
        <v>0</v>
      </c>
      <c r="CM172" s="14">
        <f t="shared" si="96"/>
        <v>211</v>
      </c>
      <c r="CN172" s="14">
        <f t="shared" si="97"/>
        <v>7.3</v>
      </c>
      <c r="CO172" s="14">
        <f t="shared" si="98"/>
        <v>0</v>
      </c>
      <c r="CP172" s="14">
        <f t="shared" si="99"/>
        <v>28.19</v>
      </c>
      <c r="CQ172" s="14">
        <f t="shared" si="107"/>
        <v>9</v>
      </c>
      <c r="CR172" s="14">
        <f t="shared" si="108"/>
        <v>0</v>
      </c>
      <c r="CS172" s="14">
        <f t="shared" si="109"/>
        <v>13</v>
      </c>
      <c r="CV172" s="14">
        <f t="shared" si="100"/>
        <v>1</v>
      </c>
      <c r="CW172" s="14">
        <f t="shared" si="101"/>
        <v>3</v>
      </c>
      <c r="CX172" s="14" t="str">
        <f t="shared" si="110"/>
        <v>AtkExt</v>
      </c>
      <c r="CY172" s="14">
        <f t="shared" si="111"/>
        <v>55</v>
      </c>
      <c r="CZ172" s="14">
        <f t="shared" si="112"/>
        <v>7.3</v>
      </c>
      <c r="DA172" s="14" t="str">
        <f t="shared" si="113"/>
        <v>HPExt</v>
      </c>
      <c r="DB172" s="14">
        <f t="shared" si="114"/>
        <v>211</v>
      </c>
      <c r="DC172" s="14">
        <f t="shared" si="115"/>
        <v>28.19</v>
      </c>
      <c r="DD172" s="14">
        <f t="shared" si="116"/>
        <v>9</v>
      </c>
      <c r="DE172" s="14">
        <f t="shared" si="117"/>
        <v>0</v>
      </c>
      <c r="DF172" s="14">
        <f t="shared" si="118"/>
        <v>13</v>
      </c>
      <c r="DG172" s="14">
        <f t="shared" si="119"/>
        <v>15</v>
      </c>
    </row>
    <row r="173" spans="77:111" ht="16.5" x14ac:dyDescent="0.2">
      <c r="BY173" s="13">
        <v>169</v>
      </c>
      <c r="BZ173" s="14">
        <f t="shared" si="102"/>
        <v>24</v>
      </c>
      <c r="CA173" s="14">
        <f t="shared" si="103"/>
        <v>2</v>
      </c>
      <c r="CB173" s="14">
        <f t="shared" si="88"/>
        <v>3</v>
      </c>
      <c r="CC173" s="14">
        <f t="shared" si="89"/>
        <v>2031021</v>
      </c>
      <c r="CD173" s="13" t="str">
        <f t="shared" si="90"/>
        <v>60级守护灵绿色-武器</v>
      </c>
      <c r="CE173" s="14">
        <f t="shared" si="91"/>
        <v>2</v>
      </c>
      <c r="CF173" s="14">
        <f t="shared" si="92"/>
        <v>1</v>
      </c>
      <c r="CG173" s="14">
        <f t="shared" si="104"/>
        <v>60</v>
      </c>
      <c r="CH173" s="14">
        <f t="shared" si="105"/>
        <v>60</v>
      </c>
      <c r="CI173" s="14">
        <f t="shared" si="93"/>
        <v>1</v>
      </c>
      <c r="CJ173" s="14" t="str">
        <f t="shared" si="106"/>
        <v/>
      </c>
      <c r="CK173" s="14">
        <f t="shared" si="94"/>
        <v>181</v>
      </c>
      <c r="CL173" s="14">
        <f t="shared" si="95"/>
        <v>0</v>
      </c>
      <c r="CM173" s="14">
        <f t="shared" si="96"/>
        <v>0</v>
      </c>
      <c r="CN173" s="14">
        <f t="shared" si="97"/>
        <v>24.14</v>
      </c>
      <c r="CO173" s="14">
        <f t="shared" si="98"/>
        <v>0</v>
      </c>
      <c r="CP173" s="14">
        <f t="shared" si="99"/>
        <v>0</v>
      </c>
      <c r="CQ173" s="14">
        <f t="shared" si="107"/>
        <v>9</v>
      </c>
      <c r="CR173" s="14">
        <f t="shared" si="108"/>
        <v>0</v>
      </c>
      <c r="CS173" s="14">
        <f t="shared" si="109"/>
        <v>23</v>
      </c>
      <c r="CV173" s="14">
        <f t="shared" si="100"/>
        <v>1</v>
      </c>
      <c r="CW173" s="14">
        <f t="shared" si="101"/>
        <v>0</v>
      </c>
      <c r="CX173" s="14" t="str">
        <f t="shared" si="110"/>
        <v>AtkExt</v>
      </c>
      <c r="CY173" s="14">
        <f t="shared" si="111"/>
        <v>181</v>
      </c>
      <c r="CZ173" s="14">
        <f t="shared" si="112"/>
        <v>24.14</v>
      </c>
      <c r="DA173" s="14" t="str">
        <f t="shared" si="113"/>
        <v/>
      </c>
      <c r="DB173" s="14" t="str">
        <f t="shared" si="114"/>
        <v/>
      </c>
      <c r="DC173" s="14" t="str">
        <f t="shared" si="115"/>
        <v/>
      </c>
      <c r="DD173" s="14">
        <f t="shared" si="116"/>
        <v>9</v>
      </c>
      <c r="DE173" s="14">
        <f t="shared" si="117"/>
        <v>0</v>
      </c>
      <c r="DF173" s="14">
        <f t="shared" si="118"/>
        <v>23</v>
      </c>
      <c r="DG173" s="14">
        <f t="shared" si="119"/>
        <v>15</v>
      </c>
    </row>
    <row r="174" spans="77:111" ht="16.5" x14ac:dyDescent="0.2">
      <c r="BY174" s="13">
        <v>170</v>
      </c>
      <c r="BZ174" s="14">
        <f t="shared" si="102"/>
        <v>24</v>
      </c>
      <c r="CA174" s="14">
        <f t="shared" si="103"/>
        <v>2</v>
      </c>
      <c r="CB174" s="14">
        <f t="shared" si="88"/>
        <v>3</v>
      </c>
      <c r="CC174" s="14">
        <f t="shared" si="89"/>
        <v>2031022</v>
      </c>
      <c r="CD174" s="13" t="str">
        <f t="shared" si="90"/>
        <v>60级守护灵绿色-头盔</v>
      </c>
      <c r="CE174" s="14">
        <f t="shared" si="91"/>
        <v>2</v>
      </c>
      <c r="CF174" s="14">
        <f t="shared" si="92"/>
        <v>1</v>
      </c>
      <c r="CG174" s="14">
        <f t="shared" si="104"/>
        <v>60</v>
      </c>
      <c r="CH174" s="14">
        <f t="shared" si="105"/>
        <v>60</v>
      </c>
      <c r="CI174" s="14">
        <f t="shared" si="93"/>
        <v>2</v>
      </c>
      <c r="CJ174" s="14" t="str">
        <f t="shared" si="106"/>
        <v/>
      </c>
      <c r="CK174" s="14">
        <f t="shared" si="94"/>
        <v>0</v>
      </c>
      <c r="CL174" s="14">
        <f t="shared" si="95"/>
        <v>43</v>
      </c>
      <c r="CM174" s="14">
        <f t="shared" si="96"/>
        <v>0</v>
      </c>
      <c r="CN174" s="14">
        <f t="shared" si="97"/>
        <v>0</v>
      </c>
      <c r="CO174" s="14">
        <f t="shared" si="98"/>
        <v>5.75</v>
      </c>
      <c r="CP174" s="14">
        <f t="shared" si="99"/>
        <v>0</v>
      </c>
      <c r="CQ174" s="14">
        <f t="shared" si="107"/>
        <v>9</v>
      </c>
      <c r="CR174" s="14">
        <f t="shared" si="108"/>
        <v>0</v>
      </c>
      <c r="CS174" s="14">
        <f t="shared" si="109"/>
        <v>23</v>
      </c>
      <c r="CV174" s="14">
        <f t="shared" si="100"/>
        <v>2</v>
      </c>
      <c r="CW174" s="14">
        <f t="shared" si="101"/>
        <v>0</v>
      </c>
      <c r="CX174" s="14" t="str">
        <f t="shared" si="110"/>
        <v>DefExt</v>
      </c>
      <c r="CY174" s="14">
        <f t="shared" si="111"/>
        <v>43</v>
      </c>
      <c r="CZ174" s="14">
        <f t="shared" si="112"/>
        <v>5.75</v>
      </c>
      <c r="DA174" s="14" t="str">
        <f t="shared" si="113"/>
        <v/>
      </c>
      <c r="DB174" s="14" t="str">
        <f t="shared" si="114"/>
        <v/>
      </c>
      <c r="DC174" s="14" t="str">
        <f t="shared" si="115"/>
        <v/>
      </c>
      <c r="DD174" s="14">
        <f t="shared" si="116"/>
        <v>9</v>
      </c>
      <c r="DE174" s="14">
        <f t="shared" si="117"/>
        <v>0</v>
      </c>
      <c r="DF174" s="14">
        <f t="shared" si="118"/>
        <v>23</v>
      </c>
      <c r="DG174" s="14">
        <f t="shared" si="119"/>
        <v>15</v>
      </c>
    </row>
    <row r="175" spans="77:111" ht="16.5" x14ac:dyDescent="0.2">
      <c r="BY175" s="13">
        <v>171</v>
      </c>
      <c r="BZ175" s="14">
        <f t="shared" si="102"/>
        <v>24</v>
      </c>
      <c r="CA175" s="14">
        <f t="shared" si="103"/>
        <v>2</v>
      </c>
      <c r="CB175" s="14">
        <f t="shared" si="88"/>
        <v>3</v>
      </c>
      <c r="CC175" s="14">
        <f t="shared" si="89"/>
        <v>2031023</v>
      </c>
      <c r="CD175" s="13" t="str">
        <f t="shared" si="90"/>
        <v>60级守护灵绿色-肩甲</v>
      </c>
      <c r="CE175" s="14">
        <f t="shared" si="91"/>
        <v>2</v>
      </c>
      <c r="CF175" s="14">
        <f t="shared" si="92"/>
        <v>1</v>
      </c>
      <c r="CG175" s="14">
        <f t="shared" si="104"/>
        <v>60</v>
      </c>
      <c r="CH175" s="14">
        <f t="shared" si="105"/>
        <v>60</v>
      </c>
      <c r="CI175" s="14">
        <f t="shared" si="93"/>
        <v>3</v>
      </c>
      <c r="CJ175" s="14" t="str">
        <f t="shared" si="106"/>
        <v/>
      </c>
      <c r="CK175" s="14">
        <f t="shared" si="94"/>
        <v>0</v>
      </c>
      <c r="CL175" s="14">
        <f t="shared" si="95"/>
        <v>22</v>
      </c>
      <c r="CM175" s="14">
        <f t="shared" si="96"/>
        <v>226</v>
      </c>
      <c r="CN175" s="14">
        <f t="shared" si="97"/>
        <v>0</v>
      </c>
      <c r="CO175" s="14">
        <f t="shared" si="98"/>
        <v>2.87</v>
      </c>
      <c r="CP175" s="14">
        <f t="shared" si="99"/>
        <v>30.1</v>
      </c>
      <c r="CQ175" s="14">
        <f t="shared" si="107"/>
        <v>9</v>
      </c>
      <c r="CR175" s="14">
        <f t="shared" si="108"/>
        <v>0</v>
      </c>
      <c r="CS175" s="14">
        <f t="shared" si="109"/>
        <v>23</v>
      </c>
      <c r="CV175" s="14">
        <f t="shared" si="100"/>
        <v>2</v>
      </c>
      <c r="CW175" s="14">
        <f t="shared" si="101"/>
        <v>3</v>
      </c>
      <c r="CX175" s="14" t="str">
        <f t="shared" si="110"/>
        <v>DefExt</v>
      </c>
      <c r="CY175" s="14">
        <f t="shared" si="111"/>
        <v>22</v>
      </c>
      <c r="CZ175" s="14">
        <f t="shared" si="112"/>
        <v>2.87</v>
      </c>
      <c r="DA175" s="14" t="str">
        <f t="shared" si="113"/>
        <v>HPExt</v>
      </c>
      <c r="DB175" s="14">
        <f t="shared" si="114"/>
        <v>226</v>
      </c>
      <c r="DC175" s="14">
        <f t="shared" si="115"/>
        <v>30.1</v>
      </c>
      <c r="DD175" s="14">
        <f t="shared" si="116"/>
        <v>9</v>
      </c>
      <c r="DE175" s="14">
        <f t="shared" si="117"/>
        <v>0</v>
      </c>
      <c r="DF175" s="14">
        <f t="shared" si="118"/>
        <v>23</v>
      </c>
      <c r="DG175" s="14">
        <f t="shared" si="119"/>
        <v>15</v>
      </c>
    </row>
    <row r="176" spans="77:111" ht="16.5" x14ac:dyDescent="0.2">
      <c r="BY176" s="13">
        <v>172</v>
      </c>
      <c r="BZ176" s="14">
        <f t="shared" si="102"/>
        <v>24</v>
      </c>
      <c r="CA176" s="14">
        <f t="shared" si="103"/>
        <v>2</v>
      </c>
      <c r="CB176" s="14">
        <f t="shared" si="88"/>
        <v>3</v>
      </c>
      <c r="CC176" s="14">
        <f t="shared" si="89"/>
        <v>2031024</v>
      </c>
      <c r="CD176" s="13" t="str">
        <f t="shared" si="90"/>
        <v>60级守护灵绿色-衣服</v>
      </c>
      <c r="CE176" s="14">
        <f t="shared" si="91"/>
        <v>2</v>
      </c>
      <c r="CF176" s="14">
        <f t="shared" si="92"/>
        <v>1</v>
      </c>
      <c r="CG176" s="14">
        <f t="shared" si="104"/>
        <v>60</v>
      </c>
      <c r="CH176" s="14">
        <f t="shared" si="105"/>
        <v>60</v>
      </c>
      <c r="CI176" s="14">
        <f t="shared" si="93"/>
        <v>4</v>
      </c>
      <c r="CJ176" s="14" t="str">
        <f t="shared" si="106"/>
        <v/>
      </c>
      <c r="CK176" s="14">
        <f t="shared" si="94"/>
        <v>0</v>
      </c>
      <c r="CL176" s="14">
        <f t="shared" si="95"/>
        <v>43</v>
      </c>
      <c r="CM176" s="14">
        <f t="shared" si="96"/>
        <v>0</v>
      </c>
      <c r="CN176" s="14">
        <f t="shared" si="97"/>
        <v>0</v>
      </c>
      <c r="CO176" s="14">
        <f t="shared" si="98"/>
        <v>5.75</v>
      </c>
      <c r="CP176" s="14">
        <f t="shared" si="99"/>
        <v>0</v>
      </c>
      <c r="CQ176" s="14">
        <f t="shared" si="107"/>
        <v>9</v>
      </c>
      <c r="CR176" s="14">
        <f t="shared" si="108"/>
        <v>0</v>
      </c>
      <c r="CS176" s="14">
        <f t="shared" si="109"/>
        <v>23</v>
      </c>
      <c r="CV176" s="14">
        <f t="shared" si="100"/>
        <v>2</v>
      </c>
      <c r="CW176" s="14">
        <f t="shared" si="101"/>
        <v>0</v>
      </c>
      <c r="CX176" s="14" t="str">
        <f t="shared" si="110"/>
        <v>DefExt</v>
      </c>
      <c r="CY176" s="14">
        <f t="shared" si="111"/>
        <v>43</v>
      </c>
      <c r="CZ176" s="14">
        <f t="shared" si="112"/>
        <v>5.75</v>
      </c>
      <c r="DA176" s="14" t="str">
        <f t="shared" si="113"/>
        <v/>
      </c>
      <c r="DB176" s="14" t="str">
        <f t="shared" si="114"/>
        <v/>
      </c>
      <c r="DC176" s="14" t="str">
        <f t="shared" si="115"/>
        <v/>
      </c>
      <c r="DD176" s="14">
        <f t="shared" si="116"/>
        <v>9</v>
      </c>
      <c r="DE176" s="14">
        <f t="shared" si="117"/>
        <v>0</v>
      </c>
      <c r="DF176" s="14">
        <f t="shared" si="118"/>
        <v>23</v>
      </c>
      <c r="DG176" s="14">
        <f t="shared" si="119"/>
        <v>15</v>
      </c>
    </row>
    <row r="177" spans="77:111" ht="16.5" x14ac:dyDescent="0.2">
      <c r="BY177" s="13">
        <v>173</v>
      </c>
      <c r="BZ177" s="14">
        <f t="shared" si="102"/>
        <v>24</v>
      </c>
      <c r="CA177" s="14">
        <f t="shared" si="103"/>
        <v>2</v>
      </c>
      <c r="CB177" s="14">
        <f t="shared" si="88"/>
        <v>3</v>
      </c>
      <c r="CC177" s="14">
        <f t="shared" si="89"/>
        <v>2031025</v>
      </c>
      <c r="CD177" s="13" t="str">
        <f t="shared" si="90"/>
        <v>60级守护灵绿色-鞋子</v>
      </c>
      <c r="CE177" s="14">
        <f t="shared" si="91"/>
        <v>2</v>
      </c>
      <c r="CF177" s="14">
        <f t="shared" si="92"/>
        <v>1</v>
      </c>
      <c r="CG177" s="14">
        <f t="shared" si="104"/>
        <v>60</v>
      </c>
      <c r="CH177" s="14">
        <f t="shared" si="105"/>
        <v>60</v>
      </c>
      <c r="CI177" s="14">
        <f t="shared" si="93"/>
        <v>5</v>
      </c>
      <c r="CJ177" s="14" t="str">
        <f t="shared" si="106"/>
        <v/>
      </c>
      <c r="CK177" s="14">
        <f t="shared" si="94"/>
        <v>0</v>
      </c>
      <c r="CL177" s="14">
        <f t="shared" si="95"/>
        <v>0</v>
      </c>
      <c r="CM177" s="14">
        <f t="shared" si="96"/>
        <v>452</v>
      </c>
      <c r="CN177" s="14">
        <f t="shared" si="97"/>
        <v>0</v>
      </c>
      <c r="CO177" s="14">
        <f t="shared" si="98"/>
        <v>0</v>
      </c>
      <c r="CP177" s="14">
        <f t="shared" si="99"/>
        <v>60.2</v>
      </c>
      <c r="CQ177" s="14">
        <f t="shared" si="107"/>
        <v>9</v>
      </c>
      <c r="CR177" s="14">
        <f t="shared" si="108"/>
        <v>0</v>
      </c>
      <c r="CS177" s="14">
        <f t="shared" si="109"/>
        <v>23</v>
      </c>
      <c r="CV177" s="14">
        <f t="shared" si="100"/>
        <v>3</v>
      </c>
      <c r="CW177" s="14">
        <f t="shared" si="101"/>
        <v>0</v>
      </c>
      <c r="CX177" s="14" t="str">
        <f t="shared" si="110"/>
        <v>HPExt</v>
      </c>
      <c r="CY177" s="14">
        <f t="shared" si="111"/>
        <v>452</v>
      </c>
      <c r="CZ177" s="14">
        <f t="shared" si="112"/>
        <v>60.2</v>
      </c>
      <c r="DA177" s="14" t="str">
        <f t="shared" si="113"/>
        <v/>
      </c>
      <c r="DB177" s="14" t="str">
        <f t="shared" si="114"/>
        <v/>
      </c>
      <c r="DC177" s="14" t="str">
        <f t="shared" si="115"/>
        <v/>
      </c>
      <c r="DD177" s="14">
        <f t="shared" si="116"/>
        <v>9</v>
      </c>
      <c r="DE177" s="14">
        <f t="shared" si="117"/>
        <v>0</v>
      </c>
      <c r="DF177" s="14">
        <f t="shared" si="118"/>
        <v>23</v>
      </c>
      <c r="DG177" s="14">
        <f t="shared" si="119"/>
        <v>15</v>
      </c>
    </row>
    <row r="178" spans="77:111" ht="16.5" x14ac:dyDescent="0.2">
      <c r="BY178" s="13">
        <v>174</v>
      </c>
      <c r="BZ178" s="14">
        <f t="shared" si="102"/>
        <v>24</v>
      </c>
      <c r="CA178" s="14">
        <f t="shared" si="103"/>
        <v>2</v>
      </c>
      <c r="CB178" s="14">
        <f t="shared" si="88"/>
        <v>3</v>
      </c>
      <c r="CC178" s="14">
        <f t="shared" si="89"/>
        <v>2031026</v>
      </c>
      <c r="CD178" s="13" t="str">
        <f t="shared" si="90"/>
        <v>60级守护灵绿色-护手</v>
      </c>
      <c r="CE178" s="14">
        <f t="shared" si="91"/>
        <v>2</v>
      </c>
      <c r="CF178" s="14">
        <f t="shared" si="92"/>
        <v>1</v>
      </c>
      <c r="CG178" s="14">
        <f t="shared" si="104"/>
        <v>60</v>
      </c>
      <c r="CH178" s="14">
        <f t="shared" si="105"/>
        <v>60</v>
      </c>
      <c r="CI178" s="14">
        <f t="shared" si="93"/>
        <v>6</v>
      </c>
      <c r="CJ178" s="14" t="str">
        <f t="shared" si="106"/>
        <v/>
      </c>
      <c r="CK178" s="14">
        <f t="shared" si="94"/>
        <v>0</v>
      </c>
      <c r="CL178" s="14">
        <f t="shared" si="95"/>
        <v>0</v>
      </c>
      <c r="CM178" s="14">
        <f t="shared" si="96"/>
        <v>452</v>
      </c>
      <c r="CN178" s="14">
        <f t="shared" si="97"/>
        <v>0</v>
      </c>
      <c r="CO178" s="14">
        <f t="shared" si="98"/>
        <v>0</v>
      </c>
      <c r="CP178" s="14">
        <f t="shared" si="99"/>
        <v>60.2</v>
      </c>
      <c r="CQ178" s="14">
        <f t="shared" si="107"/>
        <v>9</v>
      </c>
      <c r="CR178" s="14">
        <f t="shared" si="108"/>
        <v>0</v>
      </c>
      <c r="CS178" s="14">
        <f t="shared" si="109"/>
        <v>23</v>
      </c>
      <c r="CV178" s="14">
        <f t="shared" si="100"/>
        <v>3</v>
      </c>
      <c r="CW178" s="14">
        <f t="shared" si="101"/>
        <v>0</v>
      </c>
      <c r="CX178" s="14" t="str">
        <f t="shared" si="110"/>
        <v>HPExt</v>
      </c>
      <c r="CY178" s="14">
        <f t="shared" si="111"/>
        <v>452</v>
      </c>
      <c r="CZ178" s="14">
        <f t="shared" si="112"/>
        <v>60.2</v>
      </c>
      <c r="DA178" s="14" t="str">
        <f t="shared" si="113"/>
        <v/>
      </c>
      <c r="DB178" s="14" t="str">
        <f t="shared" si="114"/>
        <v/>
      </c>
      <c r="DC178" s="14" t="str">
        <f t="shared" si="115"/>
        <v/>
      </c>
      <c r="DD178" s="14">
        <f t="shared" si="116"/>
        <v>9</v>
      </c>
      <c r="DE178" s="14">
        <f t="shared" si="117"/>
        <v>0</v>
      </c>
      <c r="DF178" s="14">
        <f t="shared" si="118"/>
        <v>23</v>
      </c>
      <c r="DG178" s="14">
        <f t="shared" si="119"/>
        <v>15</v>
      </c>
    </row>
    <row r="179" spans="77:111" ht="16.5" x14ac:dyDescent="0.2">
      <c r="BY179" s="13">
        <v>175</v>
      </c>
      <c r="BZ179" s="14">
        <f t="shared" si="102"/>
        <v>24</v>
      </c>
      <c r="CA179" s="14">
        <f t="shared" si="103"/>
        <v>2</v>
      </c>
      <c r="CB179" s="14">
        <f t="shared" si="88"/>
        <v>3</v>
      </c>
      <c r="CC179" s="14">
        <f t="shared" si="89"/>
        <v>2031027</v>
      </c>
      <c r="CD179" s="13" t="str">
        <f t="shared" si="90"/>
        <v>60级守护灵绿色-项链</v>
      </c>
      <c r="CE179" s="14">
        <f t="shared" si="91"/>
        <v>2</v>
      </c>
      <c r="CF179" s="14">
        <f t="shared" si="92"/>
        <v>1</v>
      </c>
      <c r="CG179" s="14">
        <f t="shared" si="104"/>
        <v>60</v>
      </c>
      <c r="CH179" s="14">
        <f t="shared" si="105"/>
        <v>60</v>
      </c>
      <c r="CI179" s="14">
        <f t="shared" si="93"/>
        <v>7</v>
      </c>
      <c r="CJ179" s="14" t="str">
        <f t="shared" si="106"/>
        <v/>
      </c>
      <c r="CK179" s="14">
        <f t="shared" si="94"/>
        <v>60</v>
      </c>
      <c r="CL179" s="14">
        <f t="shared" si="95"/>
        <v>36</v>
      </c>
      <c r="CM179" s="14">
        <f t="shared" si="96"/>
        <v>0</v>
      </c>
      <c r="CN179" s="14">
        <f t="shared" si="97"/>
        <v>8.0500000000000007</v>
      </c>
      <c r="CO179" s="14">
        <f t="shared" si="98"/>
        <v>4.79</v>
      </c>
      <c r="CP179" s="14">
        <f t="shared" si="99"/>
        <v>0</v>
      </c>
      <c r="CQ179" s="14">
        <f t="shared" si="107"/>
        <v>9</v>
      </c>
      <c r="CR179" s="14">
        <f t="shared" si="108"/>
        <v>0</v>
      </c>
      <c r="CS179" s="14">
        <f t="shared" si="109"/>
        <v>23</v>
      </c>
      <c r="CV179" s="14">
        <f t="shared" si="100"/>
        <v>1</v>
      </c>
      <c r="CW179" s="14">
        <f t="shared" si="101"/>
        <v>2</v>
      </c>
      <c r="CX179" s="14" t="str">
        <f t="shared" si="110"/>
        <v>AtkExt</v>
      </c>
      <c r="CY179" s="14">
        <f t="shared" si="111"/>
        <v>60</v>
      </c>
      <c r="CZ179" s="14">
        <f t="shared" si="112"/>
        <v>8.0500000000000007</v>
      </c>
      <c r="DA179" s="14" t="str">
        <f t="shared" si="113"/>
        <v>DefExt</v>
      </c>
      <c r="DB179" s="14">
        <f t="shared" si="114"/>
        <v>36</v>
      </c>
      <c r="DC179" s="14">
        <f t="shared" si="115"/>
        <v>4.79</v>
      </c>
      <c r="DD179" s="14">
        <f t="shared" si="116"/>
        <v>9</v>
      </c>
      <c r="DE179" s="14">
        <f t="shared" si="117"/>
        <v>0</v>
      </c>
      <c r="DF179" s="14">
        <f t="shared" si="118"/>
        <v>23</v>
      </c>
      <c r="DG179" s="14">
        <f t="shared" si="119"/>
        <v>15</v>
      </c>
    </row>
    <row r="180" spans="77:111" ht="16.5" x14ac:dyDescent="0.2">
      <c r="BY180" s="13">
        <v>176</v>
      </c>
      <c r="BZ180" s="14">
        <f t="shared" si="102"/>
        <v>24</v>
      </c>
      <c r="CA180" s="14">
        <f t="shared" si="103"/>
        <v>2</v>
      </c>
      <c r="CB180" s="14">
        <f t="shared" si="88"/>
        <v>3</v>
      </c>
      <c r="CC180" s="14">
        <f t="shared" si="89"/>
        <v>2031028</v>
      </c>
      <c r="CD180" s="13" t="str">
        <f t="shared" si="90"/>
        <v>60级守护灵绿色-戒指</v>
      </c>
      <c r="CE180" s="14">
        <f t="shared" si="91"/>
        <v>2</v>
      </c>
      <c r="CF180" s="14">
        <f t="shared" si="92"/>
        <v>1</v>
      </c>
      <c r="CG180" s="14">
        <f t="shared" si="104"/>
        <v>60</v>
      </c>
      <c r="CH180" s="14">
        <f t="shared" si="105"/>
        <v>60</v>
      </c>
      <c r="CI180" s="14">
        <f t="shared" si="93"/>
        <v>8</v>
      </c>
      <c r="CJ180" s="14" t="str">
        <f t="shared" si="106"/>
        <v/>
      </c>
      <c r="CK180" s="14">
        <f t="shared" si="94"/>
        <v>60</v>
      </c>
      <c r="CL180" s="14">
        <f t="shared" si="95"/>
        <v>0</v>
      </c>
      <c r="CM180" s="14">
        <f t="shared" si="96"/>
        <v>376</v>
      </c>
      <c r="CN180" s="14">
        <f t="shared" si="97"/>
        <v>8.0500000000000007</v>
      </c>
      <c r="CO180" s="14">
        <f t="shared" si="98"/>
        <v>0</v>
      </c>
      <c r="CP180" s="14">
        <f t="shared" si="99"/>
        <v>50.17</v>
      </c>
      <c r="CQ180" s="14">
        <f t="shared" si="107"/>
        <v>9</v>
      </c>
      <c r="CR180" s="14">
        <f t="shared" si="108"/>
        <v>0</v>
      </c>
      <c r="CS180" s="14">
        <f t="shared" si="109"/>
        <v>23</v>
      </c>
      <c r="CV180" s="14">
        <f t="shared" si="100"/>
        <v>1</v>
      </c>
      <c r="CW180" s="14">
        <f t="shared" si="101"/>
        <v>3</v>
      </c>
      <c r="CX180" s="14" t="str">
        <f t="shared" si="110"/>
        <v>AtkExt</v>
      </c>
      <c r="CY180" s="14">
        <f t="shared" si="111"/>
        <v>60</v>
      </c>
      <c r="CZ180" s="14">
        <f t="shared" si="112"/>
        <v>8.0500000000000007</v>
      </c>
      <c r="DA180" s="14" t="str">
        <f t="shared" si="113"/>
        <v>HPExt</v>
      </c>
      <c r="DB180" s="14">
        <f t="shared" si="114"/>
        <v>376</v>
      </c>
      <c r="DC180" s="14">
        <f t="shared" si="115"/>
        <v>50.17</v>
      </c>
      <c r="DD180" s="14">
        <f t="shared" si="116"/>
        <v>9</v>
      </c>
      <c r="DE180" s="14">
        <f t="shared" si="117"/>
        <v>0</v>
      </c>
      <c r="DF180" s="14">
        <f t="shared" si="118"/>
        <v>23</v>
      </c>
      <c r="DG180" s="14">
        <f t="shared" si="119"/>
        <v>15</v>
      </c>
    </row>
    <row r="181" spans="77:111" ht="16.5" x14ac:dyDescent="0.2">
      <c r="BY181" s="13">
        <v>177</v>
      </c>
      <c r="BZ181" s="14">
        <f t="shared" si="102"/>
        <v>25</v>
      </c>
      <c r="CA181" s="14">
        <f t="shared" si="103"/>
        <v>1</v>
      </c>
      <c r="CB181" s="14">
        <f t="shared" si="88"/>
        <v>3</v>
      </c>
      <c r="CC181" s="14">
        <f t="shared" si="89"/>
        <v>2032011</v>
      </c>
      <c r="CD181" s="13" t="str">
        <f t="shared" si="90"/>
        <v>60级寄灵人蓝色-武器</v>
      </c>
      <c r="CE181" s="14">
        <f t="shared" si="91"/>
        <v>1</v>
      </c>
      <c r="CF181" s="14">
        <f t="shared" si="92"/>
        <v>2</v>
      </c>
      <c r="CG181" s="14">
        <f t="shared" si="104"/>
        <v>60</v>
      </c>
      <c r="CH181" s="14">
        <f t="shared" si="105"/>
        <v>60</v>
      </c>
      <c r="CI181" s="14">
        <f t="shared" si="93"/>
        <v>1</v>
      </c>
      <c r="CJ181" s="14" t="str">
        <f t="shared" si="106"/>
        <v/>
      </c>
      <c r="CK181" s="14">
        <f t="shared" si="94"/>
        <v>246</v>
      </c>
      <c r="CL181" s="14">
        <f t="shared" si="95"/>
        <v>0</v>
      </c>
      <c r="CM181" s="14">
        <f t="shared" si="96"/>
        <v>0</v>
      </c>
      <c r="CN181" s="14">
        <f t="shared" si="97"/>
        <v>21.89</v>
      </c>
      <c r="CO181" s="14">
        <f t="shared" si="98"/>
        <v>0</v>
      </c>
      <c r="CP181" s="14">
        <f t="shared" si="99"/>
        <v>0</v>
      </c>
      <c r="CQ181" s="14">
        <f t="shared" si="107"/>
        <v>10</v>
      </c>
      <c r="CR181" s="14">
        <f t="shared" si="108"/>
        <v>0</v>
      </c>
      <c r="CS181" s="14">
        <f t="shared" si="109"/>
        <v>13</v>
      </c>
      <c r="CV181" s="14">
        <f t="shared" si="100"/>
        <v>1</v>
      </c>
      <c r="CW181" s="14">
        <f t="shared" si="101"/>
        <v>0</v>
      </c>
      <c r="CX181" s="14" t="str">
        <f t="shared" si="110"/>
        <v>AtkExt</v>
      </c>
      <c r="CY181" s="14">
        <f t="shared" si="111"/>
        <v>246</v>
      </c>
      <c r="CZ181" s="14">
        <f t="shared" si="112"/>
        <v>21.89</v>
      </c>
      <c r="DA181" s="14" t="str">
        <f t="shared" si="113"/>
        <v/>
      </c>
      <c r="DB181" s="14" t="str">
        <f t="shared" si="114"/>
        <v/>
      </c>
      <c r="DC181" s="14" t="str">
        <f t="shared" si="115"/>
        <v/>
      </c>
      <c r="DD181" s="14">
        <f t="shared" si="116"/>
        <v>10</v>
      </c>
      <c r="DE181" s="14">
        <f t="shared" si="117"/>
        <v>0</v>
      </c>
      <c r="DF181" s="14">
        <f t="shared" si="118"/>
        <v>13</v>
      </c>
      <c r="DG181" s="14">
        <f t="shared" si="119"/>
        <v>45</v>
      </c>
    </row>
    <row r="182" spans="77:111" ht="16.5" x14ac:dyDescent="0.2">
      <c r="BY182" s="13">
        <v>178</v>
      </c>
      <c r="BZ182" s="14">
        <f t="shared" si="102"/>
        <v>25</v>
      </c>
      <c r="CA182" s="14">
        <f t="shared" si="103"/>
        <v>1</v>
      </c>
      <c r="CB182" s="14">
        <f t="shared" si="88"/>
        <v>3</v>
      </c>
      <c r="CC182" s="14">
        <f t="shared" si="89"/>
        <v>2032012</v>
      </c>
      <c r="CD182" s="13" t="str">
        <f t="shared" si="90"/>
        <v>60级寄灵人蓝色-头盔</v>
      </c>
      <c r="CE182" s="14">
        <f t="shared" si="91"/>
        <v>1</v>
      </c>
      <c r="CF182" s="14">
        <f t="shared" si="92"/>
        <v>2</v>
      </c>
      <c r="CG182" s="14">
        <f t="shared" si="104"/>
        <v>60</v>
      </c>
      <c r="CH182" s="14">
        <f t="shared" si="105"/>
        <v>60</v>
      </c>
      <c r="CI182" s="14">
        <f t="shared" si="93"/>
        <v>2</v>
      </c>
      <c r="CJ182" s="14" t="str">
        <f t="shared" si="106"/>
        <v/>
      </c>
      <c r="CK182" s="14">
        <f t="shared" si="94"/>
        <v>0</v>
      </c>
      <c r="CL182" s="14">
        <f t="shared" si="95"/>
        <v>59</v>
      </c>
      <c r="CM182" s="14">
        <f t="shared" si="96"/>
        <v>0</v>
      </c>
      <c r="CN182" s="14">
        <f t="shared" si="97"/>
        <v>0</v>
      </c>
      <c r="CO182" s="14">
        <f t="shared" si="98"/>
        <v>5.28</v>
      </c>
      <c r="CP182" s="14">
        <f t="shared" si="99"/>
        <v>0</v>
      </c>
      <c r="CQ182" s="14">
        <f t="shared" si="107"/>
        <v>10</v>
      </c>
      <c r="CR182" s="14">
        <f t="shared" si="108"/>
        <v>0</v>
      </c>
      <c r="CS182" s="14">
        <f t="shared" si="109"/>
        <v>13</v>
      </c>
      <c r="CV182" s="14">
        <f t="shared" si="100"/>
        <v>2</v>
      </c>
      <c r="CW182" s="14">
        <f t="shared" si="101"/>
        <v>0</v>
      </c>
      <c r="CX182" s="14" t="str">
        <f t="shared" si="110"/>
        <v>DefExt</v>
      </c>
      <c r="CY182" s="14">
        <f t="shared" si="111"/>
        <v>59</v>
      </c>
      <c r="CZ182" s="14">
        <f t="shared" si="112"/>
        <v>5.28</v>
      </c>
      <c r="DA182" s="14" t="str">
        <f t="shared" si="113"/>
        <v/>
      </c>
      <c r="DB182" s="14" t="str">
        <f t="shared" si="114"/>
        <v/>
      </c>
      <c r="DC182" s="14" t="str">
        <f t="shared" si="115"/>
        <v/>
      </c>
      <c r="DD182" s="14">
        <f t="shared" si="116"/>
        <v>10</v>
      </c>
      <c r="DE182" s="14">
        <f t="shared" si="117"/>
        <v>0</v>
      </c>
      <c r="DF182" s="14">
        <f t="shared" si="118"/>
        <v>13</v>
      </c>
      <c r="DG182" s="14">
        <f t="shared" si="119"/>
        <v>45</v>
      </c>
    </row>
    <row r="183" spans="77:111" ht="16.5" x14ac:dyDescent="0.2">
      <c r="BY183" s="13">
        <v>179</v>
      </c>
      <c r="BZ183" s="14">
        <f t="shared" si="102"/>
        <v>25</v>
      </c>
      <c r="CA183" s="14">
        <f t="shared" si="103"/>
        <v>1</v>
      </c>
      <c r="CB183" s="14">
        <f t="shared" si="88"/>
        <v>3</v>
      </c>
      <c r="CC183" s="14">
        <f t="shared" si="89"/>
        <v>2032013</v>
      </c>
      <c r="CD183" s="13" t="str">
        <f t="shared" si="90"/>
        <v>60级寄灵人蓝色-肩甲</v>
      </c>
      <c r="CE183" s="14">
        <f t="shared" si="91"/>
        <v>1</v>
      </c>
      <c r="CF183" s="14">
        <f t="shared" si="92"/>
        <v>2</v>
      </c>
      <c r="CG183" s="14">
        <f t="shared" si="104"/>
        <v>60</v>
      </c>
      <c r="CH183" s="14">
        <f t="shared" si="105"/>
        <v>60</v>
      </c>
      <c r="CI183" s="14">
        <f t="shared" si="93"/>
        <v>3</v>
      </c>
      <c r="CJ183" s="14" t="str">
        <f t="shared" si="106"/>
        <v/>
      </c>
      <c r="CK183" s="14">
        <f t="shared" si="94"/>
        <v>0</v>
      </c>
      <c r="CL183" s="14">
        <f t="shared" si="95"/>
        <v>30</v>
      </c>
      <c r="CM183" s="14">
        <f t="shared" si="96"/>
        <v>190</v>
      </c>
      <c r="CN183" s="14">
        <f t="shared" si="97"/>
        <v>0</v>
      </c>
      <c r="CO183" s="14">
        <f t="shared" si="98"/>
        <v>2.64</v>
      </c>
      <c r="CP183" s="14">
        <f t="shared" si="99"/>
        <v>16.920000000000002</v>
      </c>
      <c r="CQ183" s="14">
        <f t="shared" si="107"/>
        <v>10</v>
      </c>
      <c r="CR183" s="14">
        <f t="shared" si="108"/>
        <v>0</v>
      </c>
      <c r="CS183" s="14">
        <f t="shared" si="109"/>
        <v>13</v>
      </c>
      <c r="CV183" s="14">
        <f t="shared" si="100"/>
        <v>2</v>
      </c>
      <c r="CW183" s="14">
        <f t="shared" si="101"/>
        <v>3</v>
      </c>
      <c r="CX183" s="14" t="str">
        <f t="shared" si="110"/>
        <v>DefExt</v>
      </c>
      <c r="CY183" s="14">
        <f t="shared" si="111"/>
        <v>30</v>
      </c>
      <c r="CZ183" s="14">
        <f t="shared" si="112"/>
        <v>2.64</v>
      </c>
      <c r="DA183" s="14" t="str">
        <f t="shared" si="113"/>
        <v>HPExt</v>
      </c>
      <c r="DB183" s="14">
        <f t="shared" si="114"/>
        <v>190</v>
      </c>
      <c r="DC183" s="14">
        <f t="shared" si="115"/>
        <v>16.920000000000002</v>
      </c>
      <c r="DD183" s="14">
        <f t="shared" si="116"/>
        <v>10</v>
      </c>
      <c r="DE183" s="14">
        <f t="shared" si="117"/>
        <v>0</v>
      </c>
      <c r="DF183" s="14">
        <f t="shared" si="118"/>
        <v>13</v>
      </c>
      <c r="DG183" s="14">
        <f t="shared" si="119"/>
        <v>45</v>
      </c>
    </row>
    <row r="184" spans="77:111" ht="16.5" x14ac:dyDescent="0.2">
      <c r="BY184" s="13">
        <v>180</v>
      </c>
      <c r="BZ184" s="14">
        <f t="shared" si="102"/>
        <v>25</v>
      </c>
      <c r="CA184" s="14">
        <f t="shared" si="103"/>
        <v>1</v>
      </c>
      <c r="CB184" s="14">
        <f t="shared" si="88"/>
        <v>3</v>
      </c>
      <c r="CC184" s="14">
        <f t="shared" si="89"/>
        <v>2032014</v>
      </c>
      <c r="CD184" s="13" t="str">
        <f t="shared" si="90"/>
        <v>60级寄灵人蓝色-衣服</v>
      </c>
      <c r="CE184" s="14">
        <f t="shared" si="91"/>
        <v>1</v>
      </c>
      <c r="CF184" s="14">
        <f t="shared" si="92"/>
        <v>2</v>
      </c>
      <c r="CG184" s="14">
        <f t="shared" si="104"/>
        <v>60</v>
      </c>
      <c r="CH184" s="14">
        <f t="shared" si="105"/>
        <v>60</v>
      </c>
      <c r="CI184" s="14">
        <f t="shared" si="93"/>
        <v>4</v>
      </c>
      <c r="CJ184" s="14" t="str">
        <f t="shared" si="106"/>
        <v/>
      </c>
      <c r="CK184" s="14">
        <f t="shared" si="94"/>
        <v>0</v>
      </c>
      <c r="CL184" s="14">
        <f t="shared" si="95"/>
        <v>59</v>
      </c>
      <c r="CM184" s="14">
        <f t="shared" si="96"/>
        <v>0</v>
      </c>
      <c r="CN184" s="14">
        <f t="shared" si="97"/>
        <v>0</v>
      </c>
      <c r="CO184" s="14">
        <f t="shared" si="98"/>
        <v>5.28</v>
      </c>
      <c r="CP184" s="14">
        <f t="shared" si="99"/>
        <v>0</v>
      </c>
      <c r="CQ184" s="14">
        <f t="shared" si="107"/>
        <v>10</v>
      </c>
      <c r="CR184" s="14">
        <f t="shared" si="108"/>
        <v>0</v>
      </c>
      <c r="CS184" s="14">
        <f t="shared" si="109"/>
        <v>13</v>
      </c>
      <c r="CV184" s="14">
        <f t="shared" si="100"/>
        <v>2</v>
      </c>
      <c r="CW184" s="14">
        <f t="shared" si="101"/>
        <v>0</v>
      </c>
      <c r="CX184" s="14" t="str">
        <f t="shared" si="110"/>
        <v>DefExt</v>
      </c>
      <c r="CY184" s="14">
        <f t="shared" si="111"/>
        <v>59</v>
      </c>
      <c r="CZ184" s="14">
        <f t="shared" si="112"/>
        <v>5.28</v>
      </c>
      <c r="DA184" s="14" t="str">
        <f t="shared" si="113"/>
        <v/>
      </c>
      <c r="DB184" s="14" t="str">
        <f t="shared" si="114"/>
        <v/>
      </c>
      <c r="DC184" s="14" t="str">
        <f t="shared" si="115"/>
        <v/>
      </c>
      <c r="DD184" s="14">
        <f t="shared" si="116"/>
        <v>10</v>
      </c>
      <c r="DE184" s="14">
        <f t="shared" si="117"/>
        <v>0</v>
      </c>
      <c r="DF184" s="14">
        <f t="shared" si="118"/>
        <v>13</v>
      </c>
      <c r="DG184" s="14">
        <f t="shared" si="119"/>
        <v>45</v>
      </c>
    </row>
    <row r="185" spans="77:111" ht="16.5" x14ac:dyDescent="0.2">
      <c r="BY185" s="13">
        <v>181</v>
      </c>
      <c r="BZ185" s="14">
        <f t="shared" si="102"/>
        <v>25</v>
      </c>
      <c r="CA185" s="14">
        <f t="shared" si="103"/>
        <v>1</v>
      </c>
      <c r="CB185" s="14">
        <f t="shared" si="88"/>
        <v>3</v>
      </c>
      <c r="CC185" s="14">
        <f t="shared" si="89"/>
        <v>2032015</v>
      </c>
      <c r="CD185" s="13" t="str">
        <f t="shared" si="90"/>
        <v>60级寄灵人蓝色-鞋子</v>
      </c>
      <c r="CE185" s="14">
        <f t="shared" si="91"/>
        <v>1</v>
      </c>
      <c r="CF185" s="14">
        <f t="shared" si="92"/>
        <v>2</v>
      </c>
      <c r="CG185" s="14">
        <f t="shared" si="104"/>
        <v>60</v>
      </c>
      <c r="CH185" s="14">
        <f t="shared" si="105"/>
        <v>60</v>
      </c>
      <c r="CI185" s="14">
        <f t="shared" si="93"/>
        <v>5</v>
      </c>
      <c r="CJ185" s="14" t="str">
        <f t="shared" si="106"/>
        <v/>
      </c>
      <c r="CK185" s="14">
        <f t="shared" si="94"/>
        <v>0</v>
      </c>
      <c r="CL185" s="14">
        <f t="shared" si="95"/>
        <v>0</v>
      </c>
      <c r="CM185" s="14">
        <f t="shared" si="96"/>
        <v>381</v>
      </c>
      <c r="CN185" s="14">
        <f t="shared" si="97"/>
        <v>0</v>
      </c>
      <c r="CO185" s="14">
        <f t="shared" si="98"/>
        <v>0</v>
      </c>
      <c r="CP185" s="14">
        <f t="shared" si="99"/>
        <v>33.83</v>
      </c>
      <c r="CQ185" s="14">
        <f t="shared" si="107"/>
        <v>10</v>
      </c>
      <c r="CR185" s="14">
        <f t="shared" si="108"/>
        <v>0</v>
      </c>
      <c r="CS185" s="14">
        <f t="shared" si="109"/>
        <v>13</v>
      </c>
      <c r="CV185" s="14">
        <f t="shared" si="100"/>
        <v>3</v>
      </c>
      <c r="CW185" s="14">
        <f t="shared" si="101"/>
        <v>0</v>
      </c>
      <c r="CX185" s="14" t="str">
        <f t="shared" si="110"/>
        <v>HPExt</v>
      </c>
      <c r="CY185" s="14">
        <f t="shared" si="111"/>
        <v>381</v>
      </c>
      <c r="CZ185" s="14">
        <f t="shared" si="112"/>
        <v>33.83</v>
      </c>
      <c r="DA185" s="14" t="str">
        <f t="shared" si="113"/>
        <v/>
      </c>
      <c r="DB185" s="14" t="str">
        <f t="shared" si="114"/>
        <v/>
      </c>
      <c r="DC185" s="14" t="str">
        <f t="shared" si="115"/>
        <v/>
      </c>
      <c r="DD185" s="14">
        <f t="shared" si="116"/>
        <v>10</v>
      </c>
      <c r="DE185" s="14">
        <f t="shared" si="117"/>
        <v>0</v>
      </c>
      <c r="DF185" s="14">
        <f t="shared" si="118"/>
        <v>13</v>
      </c>
      <c r="DG185" s="14">
        <f t="shared" si="119"/>
        <v>45</v>
      </c>
    </row>
    <row r="186" spans="77:111" ht="16.5" x14ac:dyDescent="0.2">
      <c r="BY186" s="13">
        <v>182</v>
      </c>
      <c r="BZ186" s="14">
        <f t="shared" si="102"/>
        <v>25</v>
      </c>
      <c r="CA186" s="14">
        <f t="shared" si="103"/>
        <v>1</v>
      </c>
      <c r="CB186" s="14">
        <f t="shared" si="88"/>
        <v>3</v>
      </c>
      <c r="CC186" s="14">
        <f t="shared" si="89"/>
        <v>2032016</v>
      </c>
      <c r="CD186" s="13" t="str">
        <f t="shared" si="90"/>
        <v>60级寄灵人蓝色-护手</v>
      </c>
      <c r="CE186" s="14">
        <f t="shared" si="91"/>
        <v>1</v>
      </c>
      <c r="CF186" s="14">
        <f t="shared" si="92"/>
        <v>2</v>
      </c>
      <c r="CG186" s="14">
        <f t="shared" si="104"/>
        <v>60</v>
      </c>
      <c r="CH186" s="14">
        <f t="shared" si="105"/>
        <v>60</v>
      </c>
      <c r="CI186" s="14">
        <f t="shared" si="93"/>
        <v>6</v>
      </c>
      <c r="CJ186" s="14" t="str">
        <f t="shared" si="106"/>
        <v/>
      </c>
      <c r="CK186" s="14">
        <f t="shared" si="94"/>
        <v>0</v>
      </c>
      <c r="CL186" s="14">
        <f t="shared" si="95"/>
        <v>0</v>
      </c>
      <c r="CM186" s="14">
        <f t="shared" si="96"/>
        <v>381</v>
      </c>
      <c r="CN186" s="14">
        <f t="shared" si="97"/>
        <v>0</v>
      </c>
      <c r="CO186" s="14">
        <f t="shared" si="98"/>
        <v>0</v>
      </c>
      <c r="CP186" s="14">
        <f t="shared" si="99"/>
        <v>33.83</v>
      </c>
      <c r="CQ186" s="14">
        <f t="shared" si="107"/>
        <v>10</v>
      </c>
      <c r="CR186" s="14">
        <f t="shared" si="108"/>
        <v>0</v>
      </c>
      <c r="CS186" s="14">
        <f t="shared" si="109"/>
        <v>13</v>
      </c>
      <c r="CV186" s="14">
        <f t="shared" si="100"/>
        <v>3</v>
      </c>
      <c r="CW186" s="14">
        <f t="shared" si="101"/>
        <v>0</v>
      </c>
      <c r="CX186" s="14" t="str">
        <f t="shared" si="110"/>
        <v>HPExt</v>
      </c>
      <c r="CY186" s="14">
        <f t="shared" si="111"/>
        <v>381</v>
      </c>
      <c r="CZ186" s="14">
        <f t="shared" si="112"/>
        <v>33.83</v>
      </c>
      <c r="DA186" s="14" t="str">
        <f t="shared" si="113"/>
        <v/>
      </c>
      <c r="DB186" s="14" t="str">
        <f t="shared" si="114"/>
        <v/>
      </c>
      <c r="DC186" s="14" t="str">
        <f t="shared" si="115"/>
        <v/>
      </c>
      <c r="DD186" s="14">
        <f t="shared" si="116"/>
        <v>10</v>
      </c>
      <c r="DE186" s="14">
        <f t="shared" si="117"/>
        <v>0</v>
      </c>
      <c r="DF186" s="14">
        <f t="shared" si="118"/>
        <v>13</v>
      </c>
      <c r="DG186" s="14">
        <f t="shared" si="119"/>
        <v>45</v>
      </c>
    </row>
    <row r="187" spans="77:111" ht="16.5" x14ac:dyDescent="0.2">
      <c r="BY187" s="13">
        <v>183</v>
      </c>
      <c r="BZ187" s="14">
        <f t="shared" si="102"/>
        <v>25</v>
      </c>
      <c r="CA187" s="14">
        <f t="shared" si="103"/>
        <v>1</v>
      </c>
      <c r="CB187" s="14">
        <f t="shared" si="88"/>
        <v>3</v>
      </c>
      <c r="CC187" s="14">
        <f t="shared" si="89"/>
        <v>2032017</v>
      </c>
      <c r="CD187" s="13" t="str">
        <f t="shared" si="90"/>
        <v>60级寄灵人蓝色-项链</v>
      </c>
      <c r="CE187" s="14">
        <f t="shared" si="91"/>
        <v>1</v>
      </c>
      <c r="CF187" s="14">
        <f t="shared" si="92"/>
        <v>2</v>
      </c>
      <c r="CG187" s="14">
        <f t="shared" si="104"/>
        <v>60</v>
      </c>
      <c r="CH187" s="14">
        <f t="shared" si="105"/>
        <v>60</v>
      </c>
      <c r="CI187" s="14">
        <f t="shared" si="93"/>
        <v>7</v>
      </c>
      <c r="CJ187" s="14" t="str">
        <f t="shared" si="106"/>
        <v/>
      </c>
      <c r="CK187" s="14">
        <f t="shared" si="94"/>
        <v>82</v>
      </c>
      <c r="CL187" s="14">
        <f t="shared" si="95"/>
        <v>50</v>
      </c>
      <c r="CM187" s="14">
        <f t="shared" si="96"/>
        <v>0</v>
      </c>
      <c r="CN187" s="14">
        <f t="shared" si="97"/>
        <v>7.3</v>
      </c>
      <c r="CO187" s="14">
        <f t="shared" si="98"/>
        <v>4.4000000000000004</v>
      </c>
      <c r="CP187" s="14">
        <f t="shared" si="99"/>
        <v>0</v>
      </c>
      <c r="CQ187" s="14">
        <f t="shared" si="107"/>
        <v>10</v>
      </c>
      <c r="CR187" s="14">
        <f t="shared" si="108"/>
        <v>0</v>
      </c>
      <c r="CS187" s="14">
        <f t="shared" si="109"/>
        <v>13</v>
      </c>
      <c r="CV187" s="14">
        <f t="shared" si="100"/>
        <v>1</v>
      </c>
      <c r="CW187" s="14">
        <f t="shared" si="101"/>
        <v>2</v>
      </c>
      <c r="CX187" s="14" t="str">
        <f t="shared" si="110"/>
        <v>AtkExt</v>
      </c>
      <c r="CY187" s="14">
        <f t="shared" si="111"/>
        <v>82</v>
      </c>
      <c r="CZ187" s="14">
        <f t="shared" si="112"/>
        <v>7.3</v>
      </c>
      <c r="DA187" s="14" t="str">
        <f t="shared" si="113"/>
        <v>DefExt</v>
      </c>
      <c r="DB187" s="14">
        <f t="shared" si="114"/>
        <v>50</v>
      </c>
      <c r="DC187" s="14">
        <f t="shared" si="115"/>
        <v>4.4000000000000004</v>
      </c>
      <c r="DD187" s="14">
        <f t="shared" si="116"/>
        <v>10</v>
      </c>
      <c r="DE187" s="14">
        <f t="shared" si="117"/>
        <v>0</v>
      </c>
      <c r="DF187" s="14">
        <f t="shared" si="118"/>
        <v>13</v>
      </c>
      <c r="DG187" s="14">
        <f t="shared" si="119"/>
        <v>45</v>
      </c>
    </row>
    <row r="188" spans="77:111" ht="16.5" x14ac:dyDescent="0.2">
      <c r="BY188" s="13">
        <v>184</v>
      </c>
      <c r="BZ188" s="14">
        <f t="shared" si="102"/>
        <v>25</v>
      </c>
      <c r="CA188" s="14">
        <f t="shared" si="103"/>
        <v>1</v>
      </c>
      <c r="CB188" s="14">
        <f t="shared" si="88"/>
        <v>3</v>
      </c>
      <c r="CC188" s="14">
        <f t="shared" si="89"/>
        <v>2032018</v>
      </c>
      <c r="CD188" s="13" t="str">
        <f t="shared" si="90"/>
        <v>60级寄灵人蓝色-戒指</v>
      </c>
      <c r="CE188" s="14">
        <f t="shared" si="91"/>
        <v>1</v>
      </c>
      <c r="CF188" s="14">
        <f t="shared" si="92"/>
        <v>2</v>
      </c>
      <c r="CG188" s="14">
        <f t="shared" si="104"/>
        <v>60</v>
      </c>
      <c r="CH188" s="14">
        <f t="shared" si="105"/>
        <v>60</v>
      </c>
      <c r="CI188" s="14">
        <f t="shared" si="93"/>
        <v>8</v>
      </c>
      <c r="CJ188" s="14" t="str">
        <f t="shared" si="106"/>
        <v/>
      </c>
      <c r="CK188" s="14">
        <f t="shared" si="94"/>
        <v>82</v>
      </c>
      <c r="CL188" s="14">
        <f t="shared" si="95"/>
        <v>0</v>
      </c>
      <c r="CM188" s="14">
        <f t="shared" si="96"/>
        <v>317</v>
      </c>
      <c r="CN188" s="14">
        <f t="shared" si="97"/>
        <v>7.3</v>
      </c>
      <c r="CO188" s="14">
        <f t="shared" si="98"/>
        <v>0</v>
      </c>
      <c r="CP188" s="14">
        <f t="shared" si="99"/>
        <v>28.19</v>
      </c>
      <c r="CQ188" s="14">
        <f t="shared" si="107"/>
        <v>10</v>
      </c>
      <c r="CR188" s="14">
        <f t="shared" si="108"/>
        <v>0</v>
      </c>
      <c r="CS188" s="14">
        <f t="shared" si="109"/>
        <v>13</v>
      </c>
      <c r="CV188" s="14">
        <f t="shared" si="100"/>
        <v>1</v>
      </c>
      <c r="CW188" s="14">
        <f t="shared" si="101"/>
        <v>3</v>
      </c>
      <c r="CX188" s="14" t="str">
        <f t="shared" si="110"/>
        <v>AtkExt</v>
      </c>
      <c r="CY188" s="14">
        <f t="shared" si="111"/>
        <v>82</v>
      </c>
      <c r="CZ188" s="14">
        <f t="shared" si="112"/>
        <v>7.3</v>
      </c>
      <c r="DA188" s="14" t="str">
        <f t="shared" si="113"/>
        <v>HPExt</v>
      </c>
      <c r="DB188" s="14">
        <f t="shared" si="114"/>
        <v>317</v>
      </c>
      <c r="DC188" s="14">
        <f t="shared" si="115"/>
        <v>28.19</v>
      </c>
      <c r="DD188" s="14">
        <f t="shared" si="116"/>
        <v>10</v>
      </c>
      <c r="DE188" s="14">
        <f t="shared" si="117"/>
        <v>0</v>
      </c>
      <c r="DF188" s="14">
        <f t="shared" si="118"/>
        <v>13</v>
      </c>
      <c r="DG188" s="14">
        <f t="shared" si="119"/>
        <v>45</v>
      </c>
    </row>
    <row r="189" spans="77:111" ht="16.5" x14ac:dyDescent="0.2">
      <c r="BY189" s="13">
        <v>185</v>
      </c>
      <c r="BZ189" s="14">
        <f t="shared" si="102"/>
        <v>26</v>
      </c>
      <c r="CA189" s="14">
        <f t="shared" si="103"/>
        <v>2</v>
      </c>
      <c r="CB189" s="14">
        <f t="shared" si="88"/>
        <v>3</v>
      </c>
      <c r="CC189" s="14">
        <f t="shared" si="89"/>
        <v>2032021</v>
      </c>
      <c r="CD189" s="13" t="str">
        <f t="shared" si="90"/>
        <v>60级守护灵蓝色-武器</v>
      </c>
      <c r="CE189" s="14">
        <f t="shared" si="91"/>
        <v>2</v>
      </c>
      <c r="CF189" s="14">
        <f t="shared" si="92"/>
        <v>2</v>
      </c>
      <c r="CG189" s="14">
        <f t="shared" si="104"/>
        <v>60</v>
      </c>
      <c r="CH189" s="14">
        <f t="shared" si="105"/>
        <v>60</v>
      </c>
      <c r="CI189" s="14">
        <f t="shared" si="93"/>
        <v>1</v>
      </c>
      <c r="CJ189" s="14" t="str">
        <f t="shared" si="106"/>
        <v/>
      </c>
      <c r="CK189" s="14">
        <f t="shared" si="94"/>
        <v>272</v>
      </c>
      <c r="CL189" s="14">
        <f t="shared" si="95"/>
        <v>0</v>
      </c>
      <c r="CM189" s="14">
        <f t="shared" si="96"/>
        <v>0</v>
      </c>
      <c r="CN189" s="14">
        <f t="shared" si="97"/>
        <v>24.14</v>
      </c>
      <c r="CO189" s="14">
        <f t="shared" si="98"/>
        <v>0</v>
      </c>
      <c r="CP189" s="14">
        <f t="shared" si="99"/>
        <v>0</v>
      </c>
      <c r="CQ189" s="14">
        <f t="shared" si="107"/>
        <v>10</v>
      </c>
      <c r="CR189" s="14">
        <f t="shared" si="108"/>
        <v>0</v>
      </c>
      <c r="CS189" s="14">
        <f t="shared" si="109"/>
        <v>23</v>
      </c>
      <c r="CV189" s="14">
        <f t="shared" si="100"/>
        <v>1</v>
      </c>
      <c r="CW189" s="14">
        <f t="shared" si="101"/>
        <v>0</v>
      </c>
      <c r="CX189" s="14" t="str">
        <f t="shared" si="110"/>
        <v>AtkExt</v>
      </c>
      <c r="CY189" s="14">
        <f t="shared" si="111"/>
        <v>272</v>
      </c>
      <c r="CZ189" s="14">
        <f t="shared" si="112"/>
        <v>24.14</v>
      </c>
      <c r="DA189" s="14" t="str">
        <f t="shared" si="113"/>
        <v/>
      </c>
      <c r="DB189" s="14" t="str">
        <f t="shared" si="114"/>
        <v/>
      </c>
      <c r="DC189" s="14" t="str">
        <f t="shared" si="115"/>
        <v/>
      </c>
      <c r="DD189" s="14">
        <f t="shared" si="116"/>
        <v>10</v>
      </c>
      <c r="DE189" s="14">
        <f t="shared" si="117"/>
        <v>0</v>
      </c>
      <c r="DF189" s="14">
        <f t="shared" si="118"/>
        <v>23</v>
      </c>
      <c r="DG189" s="14">
        <f t="shared" si="119"/>
        <v>45</v>
      </c>
    </row>
    <row r="190" spans="77:111" ht="16.5" x14ac:dyDescent="0.2">
      <c r="BY190" s="13">
        <v>186</v>
      </c>
      <c r="BZ190" s="14">
        <f t="shared" si="102"/>
        <v>26</v>
      </c>
      <c r="CA190" s="14">
        <f t="shared" si="103"/>
        <v>2</v>
      </c>
      <c r="CB190" s="14">
        <f t="shared" si="88"/>
        <v>3</v>
      </c>
      <c r="CC190" s="14">
        <f t="shared" si="89"/>
        <v>2032022</v>
      </c>
      <c r="CD190" s="13" t="str">
        <f t="shared" si="90"/>
        <v>60级守护灵蓝色-头盔</v>
      </c>
      <c r="CE190" s="14">
        <f t="shared" si="91"/>
        <v>2</v>
      </c>
      <c r="CF190" s="14">
        <f t="shared" si="92"/>
        <v>2</v>
      </c>
      <c r="CG190" s="14">
        <f t="shared" si="104"/>
        <v>60</v>
      </c>
      <c r="CH190" s="14">
        <f t="shared" si="105"/>
        <v>60</v>
      </c>
      <c r="CI190" s="14">
        <f t="shared" si="93"/>
        <v>2</v>
      </c>
      <c r="CJ190" s="14" t="str">
        <f t="shared" si="106"/>
        <v/>
      </c>
      <c r="CK190" s="14">
        <f t="shared" si="94"/>
        <v>0</v>
      </c>
      <c r="CL190" s="14">
        <f t="shared" si="95"/>
        <v>65</v>
      </c>
      <c r="CM190" s="14">
        <f t="shared" si="96"/>
        <v>0</v>
      </c>
      <c r="CN190" s="14">
        <f t="shared" si="97"/>
        <v>0</v>
      </c>
      <c r="CO190" s="14">
        <f t="shared" si="98"/>
        <v>5.75</v>
      </c>
      <c r="CP190" s="14">
        <f t="shared" si="99"/>
        <v>0</v>
      </c>
      <c r="CQ190" s="14">
        <f t="shared" si="107"/>
        <v>10</v>
      </c>
      <c r="CR190" s="14">
        <f t="shared" si="108"/>
        <v>0</v>
      </c>
      <c r="CS190" s="14">
        <f t="shared" si="109"/>
        <v>23</v>
      </c>
      <c r="CV190" s="14">
        <f t="shared" si="100"/>
        <v>2</v>
      </c>
      <c r="CW190" s="14">
        <f t="shared" si="101"/>
        <v>0</v>
      </c>
      <c r="CX190" s="14" t="str">
        <f t="shared" si="110"/>
        <v>DefExt</v>
      </c>
      <c r="CY190" s="14">
        <f t="shared" si="111"/>
        <v>65</v>
      </c>
      <c r="CZ190" s="14">
        <f t="shared" si="112"/>
        <v>5.75</v>
      </c>
      <c r="DA190" s="14" t="str">
        <f t="shared" si="113"/>
        <v/>
      </c>
      <c r="DB190" s="14" t="str">
        <f t="shared" si="114"/>
        <v/>
      </c>
      <c r="DC190" s="14" t="str">
        <f t="shared" si="115"/>
        <v/>
      </c>
      <c r="DD190" s="14">
        <f t="shared" si="116"/>
        <v>10</v>
      </c>
      <c r="DE190" s="14">
        <f t="shared" si="117"/>
        <v>0</v>
      </c>
      <c r="DF190" s="14">
        <f t="shared" si="118"/>
        <v>23</v>
      </c>
      <c r="DG190" s="14">
        <f t="shared" si="119"/>
        <v>45</v>
      </c>
    </row>
    <row r="191" spans="77:111" ht="16.5" x14ac:dyDescent="0.2">
      <c r="BY191" s="13">
        <v>187</v>
      </c>
      <c r="BZ191" s="14">
        <f t="shared" si="102"/>
        <v>26</v>
      </c>
      <c r="CA191" s="14">
        <f t="shared" si="103"/>
        <v>2</v>
      </c>
      <c r="CB191" s="14">
        <f t="shared" si="88"/>
        <v>3</v>
      </c>
      <c r="CC191" s="14">
        <f t="shared" si="89"/>
        <v>2032023</v>
      </c>
      <c r="CD191" s="13" t="str">
        <f t="shared" si="90"/>
        <v>60级守护灵蓝色-肩甲</v>
      </c>
      <c r="CE191" s="14">
        <f t="shared" si="91"/>
        <v>2</v>
      </c>
      <c r="CF191" s="14">
        <f t="shared" si="92"/>
        <v>2</v>
      </c>
      <c r="CG191" s="14">
        <f t="shared" si="104"/>
        <v>60</v>
      </c>
      <c r="CH191" s="14">
        <f t="shared" si="105"/>
        <v>60</v>
      </c>
      <c r="CI191" s="14">
        <f t="shared" si="93"/>
        <v>3</v>
      </c>
      <c r="CJ191" s="14" t="str">
        <f t="shared" si="106"/>
        <v/>
      </c>
      <c r="CK191" s="14">
        <f t="shared" si="94"/>
        <v>0</v>
      </c>
      <c r="CL191" s="14">
        <f t="shared" si="95"/>
        <v>32</v>
      </c>
      <c r="CM191" s="14">
        <f t="shared" si="96"/>
        <v>339</v>
      </c>
      <c r="CN191" s="14">
        <f t="shared" si="97"/>
        <v>0</v>
      </c>
      <c r="CO191" s="14">
        <f t="shared" si="98"/>
        <v>2.87</v>
      </c>
      <c r="CP191" s="14">
        <f t="shared" si="99"/>
        <v>30.1</v>
      </c>
      <c r="CQ191" s="14">
        <f t="shared" si="107"/>
        <v>10</v>
      </c>
      <c r="CR191" s="14">
        <f t="shared" si="108"/>
        <v>0</v>
      </c>
      <c r="CS191" s="14">
        <f t="shared" si="109"/>
        <v>23</v>
      </c>
      <c r="CV191" s="14">
        <f t="shared" si="100"/>
        <v>2</v>
      </c>
      <c r="CW191" s="14">
        <f t="shared" si="101"/>
        <v>3</v>
      </c>
      <c r="CX191" s="14" t="str">
        <f t="shared" si="110"/>
        <v>DefExt</v>
      </c>
      <c r="CY191" s="14">
        <f t="shared" si="111"/>
        <v>32</v>
      </c>
      <c r="CZ191" s="14">
        <f t="shared" si="112"/>
        <v>2.87</v>
      </c>
      <c r="DA191" s="14" t="str">
        <f t="shared" si="113"/>
        <v>HPExt</v>
      </c>
      <c r="DB191" s="14">
        <f t="shared" si="114"/>
        <v>339</v>
      </c>
      <c r="DC191" s="14">
        <f t="shared" si="115"/>
        <v>30.1</v>
      </c>
      <c r="DD191" s="14">
        <f t="shared" si="116"/>
        <v>10</v>
      </c>
      <c r="DE191" s="14">
        <f t="shared" si="117"/>
        <v>0</v>
      </c>
      <c r="DF191" s="14">
        <f t="shared" si="118"/>
        <v>23</v>
      </c>
      <c r="DG191" s="14">
        <f t="shared" si="119"/>
        <v>45</v>
      </c>
    </row>
    <row r="192" spans="77:111" ht="16.5" x14ac:dyDescent="0.2">
      <c r="BY192" s="13">
        <v>188</v>
      </c>
      <c r="BZ192" s="14">
        <f t="shared" si="102"/>
        <v>26</v>
      </c>
      <c r="CA192" s="14">
        <f t="shared" si="103"/>
        <v>2</v>
      </c>
      <c r="CB192" s="14">
        <f t="shared" si="88"/>
        <v>3</v>
      </c>
      <c r="CC192" s="14">
        <f t="shared" si="89"/>
        <v>2032024</v>
      </c>
      <c r="CD192" s="13" t="str">
        <f t="shared" si="90"/>
        <v>60级守护灵蓝色-衣服</v>
      </c>
      <c r="CE192" s="14">
        <f t="shared" si="91"/>
        <v>2</v>
      </c>
      <c r="CF192" s="14">
        <f t="shared" si="92"/>
        <v>2</v>
      </c>
      <c r="CG192" s="14">
        <f t="shared" si="104"/>
        <v>60</v>
      </c>
      <c r="CH192" s="14">
        <f t="shared" si="105"/>
        <v>60</v>
      </c>
      <c r="CI192" s="14">
        <f t="shared" si="93"/>
        <v>4</v>
      </c>
      <c r="CJ192" s="14" t="str">
        <f t="shared" si="106"/>
        <v/>
      </c>
      <c r="CK192" s="14">
        <f t="shared" si="94"/>
        <v>0</v>
      </c>
      <c r="CL192" s="14">
        <f t="shared" si="95"/>
        <v>65</v>
      </c>
      <c r="CM192" s="14">
        <f t="shared" si="96"/>
        <v>0</v>
      </c>
      <c r="CN192" s="14">
        <f t="shared" si="97"/>
        <v>0</v>
      </c>
      <c r="CO192" s="14">
        <f t="shared" si="98"/>
        <v>5.75</v>
      </c>
      <c r="CP192" s="14">
        <f t="shared" si="99"/>
        <v>0</v>
      </c>
      <c r="CQ192" s="14">
        <f t="shared" si="107"/>
        <v>10</v>
      </c>
      <c r="CR192" s="14">
        <f t="shared" si="108"/>
        <v>0</v>
      </c>
      <c r="CS192" s="14">
        <f t="shared" si="109"/>
        <v>23</v>
      </c>
      <c r="CV192" s="14">
        <f t="shared" si="100"/>
        <v>2</v>
      </c>
      <c r="CW192" s="14">
        <f t="shared" si="101"/>
        <v>0</v>
      </c>
      <c r="CX192" s="14" t="str">
        <f t="shared" si="110"/>
        <v>DefExt</v>
      </c>
      <c r="CY192" s="14">
        <f t="shared" si="111"/>
        <v>65</v>
      </c>
      <c r="CZ192" s="14">
        <f t="shared" si="112"/>
        <v>5.75</v>
      </c>
      <c r="DA192" s="14" t="str">
        <f t="shared" si="113"/>
        <v/>
      </c>
      <c r="DB192" s="14" t="str">
        <f t="shared" si="114"/>
        <v/>
      </c>
      <c r="DC192" s="14" t="str">
        <f t="shared" si="115"/>
        <v/>
      </c>
      <c r="DD192" s="14">
        <f t="shared" si="116"/>
        <v>10</v>
      </c>
      <c r="DE192" s="14">
        <f t="shared" si="117"/>
        <v>0</v>
      </c>
      <c r="DF192" s="14">
        <f t="shared" si="118"/>
        <v>23</v>
      </c>
      <c r="DG192" s="14">
        <f t="shared" si="119"/>
        <v>45</v>
      </c>
    </row>
    <row r="193" spans="77:111" ht="16.5" x14ac:dyDescent="0.2">
      <c r="BY193" s="13">
        <v>189</v>
      </c>
      <c r="BZ193" s="14">
        <f t="shared" si="102"/>
        <v>26</v>
      </c>
      <c r="CA193" s="14">
        <f t="shared" si="103"/>
        <v>2</v>
      </c>
      <c r="CB193" s="14">
        <f t="shared" si="88"/>
        <v>3</v>
      </c>
      <c r="CC193" s="14">
        <f t="shared" si="89"/>
        <v>2032025</v>
      </c>
      <c r="CD193" s="13" t="str">
        <f t="shared" si="90"/>
        <v>60级守护灵蓝色-鞋子</v>
      </c>
      <c r="CE193" s="14">
        <f t="shared" si="91"/>
        <v>2</v>
      </c>
      <c r="CF193" s="14">
        <f t="shared" si="92"/>
        <v>2</v>
      </c>
      <c r="CG193" s="14">
        <f t="shared" si="104"/>
        <v>60</v>
      </c>
      <c r="CH193" s="14">
        <f t="shared" si="105"/>
        <v>60</v>
      </c>
      <c r="CI193" s="14">
        <f t="shared" si="93"/>
        <v>5</v>
      </c>
      <c r="CJ193" s="14" t="str">
        <f t="shared" si="106"/>
        <v/>
      </c>
      <c r="CK193" s="14">
        <f t="shared" si="94"/>
        <v>0</v>
      </c>
      <c r="CL193" s="14">
        <f t="shared" si="95"/>
        <v>0</v>
      </c>
      <c r="CM193" s="14">
        <f t="shared" si="96"/>
        <v>677</v>
      </c>
      <c r="CN193" s="14">
        <f t="shared" si="97"/>
        <v>0</v>
      </c>
      <c r="CO193" s="14">
        <f t="shared" si="98"/>
        <v>0</v>
      </c>
      <c r="CP193" s="14">
        <f t="shared" si="99"/>
        <v>60.2</v>
      </c>
      <c r="CQ193" s="14">
        <f t="shared" si="107"/>
        <v>10</v>
      </c>
      <c r="CR193" s="14">
        <f t="shared" si="108"/>
        <v>0</v>
      </c>
      <c r="CS193" s="14">
        <f t="shared" si="109"/>
        <v>23</v>
      </c>
      <c r="CV193" s="14">
        <f t="shared" si="100"/>
        <v>3</v>
      </c>
      <c r="CW193" s="14">
        <f t="shared" si="101"/>
        <v>0</v>
      </c>
      <c r="CX193" s="14" t="str">
        <f t="shared" si="110"/>
        <v>HPExt</v>
      </c>
      <c r="CY193" s="14">
        <f t="shared" si="111"/>
        <v>677</v>
      </c>
      <c r="CZ193" s="14">
        <f t="shared" si="112"/>
        <v>60.2</v>
      </c>
      <c r="DA193" s="14" t="str">
        <f t="shared" si="113"/>
        <v/>
      </c>
      <c r="DB193" s="14" t="str">
        <f t="shared" si="114"/>
        <v/>
      </c>
      <c r="DC193" s="14" t="str">
        <f t="shared" si="115"/>
        <v/>
      </c>
      <c r="DD193" s="14">
        <f t="shared" si="116"/>
        <v>10</v>
      </c>
      <c r="DE193" s="14">
        <f t="shared" si="117"/>
        <v>0</v>
      </c>
      <c r="DF193" s="14">
        <f t="shared" si="118"/>
        <v>23</v>
      </c>
      <c r="DG193" s="14">
        <f t="shared" si="119"/>
        <v>45</v>
      </c>
    </row>
    <row r="194" spans="77:111" ht="16.5" x14ac:dyDescent="0.2">
      <c r="BY194" s="13">
        <v>190</v>
      </c>
      <c r="BZ194" s="14">
        <f t="shared" si="102"/>
        <v>26</v>
      </c>
      <c r="CA194" s="14">
        <f t="shared" si="103"/>
        <v>2</v>
      </c>
      <c r="CB194" s="14">
        <f t="shared" si="88"/>
        <v>3</v>
      </c>
      <c r="CC194" s="14">
        <f t="shared" si="89"/>
        <v>2032026</v>
      </c>
      <c r="CD194" s="13" t="str">
        <f t="shared" si="90"/>
        <v>60级守护灵蓝色-护手</v>
      </c>
      <c r="CE194" s="14">
        <f t="shared" si="91"/>
        <v>2</v>
      </c>
      <c r="CF194" s="14">
        <f t="shared" si="92"/>
        <v>2</v>
      </c>
      <c r="CG194" s="14">
        <f t="shared" si="104"/>
        <v>60</v>
      </c>
      <c r="CH194" s="14">
        <f t="shared" si="105"/>
        <v>60</v>
      </c>
      <c r="CI194" s="14">
        <f t="shared" si="93"/>
        <v>6</v>
      </c>
      <c r="CJ194" s="14" t="str">
        <f t="shared" si="106"/>
        <v/>
      </c>
      <c r="CK194" s="14">
        <f t="shared" si="94"/>
        <v>0</v>
      </c>
      <c r="CL194" s="14">
        <f t="shared" si="95"/>
        <v>0</v>
      </c>
      <c r="CM194" s="14">
        <f t="shared" si="96"/>
        <v>677</v>
      </c>
      <c r="CN194" s="14">
        <f t="shared" si="97"/>
        <v>0</v>
      </c>
      <c r="CO194" s="14">
        <f t="shared" si="98"/>
        <v>0</v>
      </c>
      <c r="CP194" s="14">
        <f t="shared" si="99"/>
        <v>60.2</v>
      </c>
      <c r="CQ194" s="14">
        <f t="shared" si="107"/>
        <v>10</v>
      </c>
      <c r="CR194" s="14">
        <f t="shared" si="108"/>
        <v>0</v>
      </c>
      <c r="CS194" s="14">
        <f t="shared" si="109"/>
        <v>23</v>
      </c>
      <c r="CV194" s="14">
        <f t="shared" si="100"/>
        <v>3</v>
      </c>
      <c r="CW194" s="14">
        <f t="shared" si="101"/>
        <v>0</v>
      </c>
      <c r="CX194" s="14" t="str">
        <f t="shared" si="110"/>
        <v>HPExt</v>
      </c>
      <c r="CY194" s="14">
        <f t="shared" si="111"/>
        <v>677</v>
      </c>
      <c r="CZ194" s="14">
        <f t="shared" si="112"/>
        <v>60.2</v>
      </c>
      <c r="DA194" s="14" t="str">
        <f t="shared" si="113"/>
        <v/>
      </c>
      <c r="DB194" s="14" t="str">
        <f t="shared" si="114"/>
        <v/>
      </c>
      <c r="DC194" s="14" t="str">
        <f t="shared" si="115"/>
        <v/>
      </c>
      <c r="DD194" s="14">
        <f t="shared" si="116"/>
        <v>10</v>
      </c>
      <c r="DE194" s="14">
        <f t="shared" si="117"/>
        <v>0</v>
      </c>
      <c r="DF194" s="14">
        <f t="shared" si="118"/>
        <v>23</v>
      </c>
      <c r="DG194" s="14">
        <f t="shared" si="119"/>
        <v>45</v>
      </c>
    </row>
    <row r="195" spans="77:111" ht="16.5" x14ac:dyDescent="0.2">
      <c r="BY195" s="13">
        <v>191</v>
      </c>
      <c r="BZ195" s="14">
        <f t="shared" si="102"/>
        <v>26</v>
      </c>
      <c r="CA195" s="14">
        <f t="shared" si="103"/>
        <v>2</v>
      </c>
      <c r="CB195" s="14">
        <f t="shared" si="88"/>
        <v>3</v>
      </c>
      <c r="CC195" s="14">
        <f t="shared" si="89"/>
        <v>2032027</v>
      </c>
      <c r="CD195" s="13" t="str">
        <f t="shared" si="90"/>
        <v>60级守护灵蓝色-项链</v>
      </c>
      <c r="CE195" s="14">
        <f t="shared" si="91"/>
        <v>2</v>
      </c>
      <c r="CF195" s="14">
        <f t="shared" si="92"/>
        <v>2</v>
      </c>
      <c r="CG195" s="14">
        <f t="shared" si="104"/>
        <v>60</v>
      </c>
      <c r="CH195" s="14">
        <f t="shared" si="105"/>
        <v>60</v>
      </c>
      <c r="CI195" s="14">
        <f t="shared" si="93"/>
        <v>7</v>
      </c>
      <c r="CJ195" s="14" t="str">
        <f t="shared" si="106"/>
        <v/>
      </c>
      <c r="CK195" s="14">
        <f t="shared" si="94"/>
        <v>91</v>
      </c>
      <c r="CL195" s="14">
        <f t="shared" si="95"/>
        <v>54</v>
      </c>
      <c r="CM195" s="14">
        <f t="shared" si="96"/>
        <v>0</v>
      </c>
      <c r="CN195" s="14">
        <f t="shared" si="97"/>
        <v>8.0500000000000007</v>
      </c>
      <c r="CO195" s="14">
        <f t="shared" si="98"/>
        <v>4.79</v>
      </c>
      <c r="CP195" s="14">
        <f t="shared" si="99"/>
        <v>0</v>
      </c>
      <c r="CQ195" s="14">
        <f t="shared" si="107"/>
        <v>10</v>
      </c>
      <c r="CR195" s="14">
        <f t="shared" si="108"/>
        <v>0</v>
      </c>
      <c r="CS195" s="14">
        <f t="shared" si="109"/>
        <v>23</v>
      </c>
      <c r="CV195" s="14">
        <f t="shared" si="100"/>
        <v>1</v>
      </c>
      <c r="CW195" s="14">
        <f t="shared" si="101"/>
        <v>2</v>
      </c>
      <c r="CX195" s="14" t="str">
        <f t="shared" si="110"/>
        <v>AtkExt</v>
      </c>
      <c r="CY195" s="14">
        <f t="shared" si="111"/>
        <v>91</v>
      </c>
      <c r="CZ195" s="14">
        <f t="shared" si="112"/>
        <v>8.0500000000000007</v>
      </c>
      <c r="DA195" s="14" t="str">
        <f t="shared" si="113"/>
        <v>DefExt</v>
      </c>
      <c r="DB195" s="14">
        <f t="shared" si="114"/>
        <v>54</v>
      </c>
      <c r="DC195" s="14">
        <f t="shared" si="115"/>
        <v>4.79</v>
      </c>
      <c r="DD195" s="14">
        <f t="shared" si="116"/>
        <v>10</v>
      </c>
      <c r="DE195" s="14">
        <f t="shared" si="117"/>
        <v>0</v>
      </c>
      <c r="DF195" s="14">
        <f t="shared" si="118"/>
        <v>23</v>
      </c>
      <c r="DG195" s="14">
        <f t="shared" si="119"/>
        <v>45</v>
      </c>
    </row>
    <row r="196" spans="77:111" ht="16.5" x14ac:dyDescent="0.2">
      <c r="BY196" s="13">
        <v>192</v>
      </c>
      <c r="BZ196" s="14">
        <f t="shared" si="102"/>
        <v>26</v>
      </c>
      <c r="CA196" s="14">
        <f t="shared" si="103"/>
        <v>2</v>
      </c>
      <c r="CB196" s="14">
        <f t="shared" si="88"/>
        <v>3</v>
      </c>
      <c r="CC196" s="14">
        <f t="shared" si="89"/>
        <v>2032028</v>
      </c>
      <c r="CD196" s="13" t="str">
        <f t="shared" si="90"/>
        <v>60级守护灵蓝色-戒指</v>
      </c>
      <c r="CE196" s="14">
        <f t="shared" si="91"/>
        <v>2</v>
      </c>
      <c r="CF196" s="14">
        <f t="shared" si="92"/>
        <v>2</v>
      </c>
      <c r="CG196" s="14">
        <f t="shared" si="104"/>
        <v>60</v>
      </c>
      <c r="CH196" s="14">
        <f t="shared" si="105"/>
        <v>60</v>
      </c>
      <c r="CI196" s="14">
        <f t="shared" si="93"/>
        <v>8</v>
      </c>
      <c r="CJ196" s="14" t="str">
        <f t="shared" si="106"/>
        <v/>
      </c>
      <c r="CK196" s="14">
        <f t="shared" si="94"/>
        <v>91</v>
      </c>
      <c r="CL196" s="14">
        <f t="shared" si="95"/>
        <v>0</v>
      </c>
      <c r="CM196" s="14">
        <f t="shared" si="96"/>
        <v>564</v>
      </c>
      <c r="CN196" s="14">
        <f t="shared" si="97"/>
        <v>8.0500000000000007</v>
      </c>
      <c r="CO196" s="14">
        <f t="shared" si="98"/>
        <v>0</v>
      </c>
      <c r="CP196" s="14">
        <f t="shared" si="99"/>
        <v>50.17</v>
      </c>
      <c r="CQ196" s="14">
        <f t="shared" si="107"/>
        <v>10</v>
      </c>
      <c r="CR196" s="14">
        <f t="shared" si="108"/>
        <v>0</v>
      </c>
      <c r="CS196" s="14">
        <f t="shared" si="109"/>
        <v>23</v>
      </c>
      <c r="CV196" s="14">
        <f t="shared" si="100"/>
        <v>1</v>
      </c>
      <c r="CW196" s="14">
        <f t="shared" si="101"/>
        <v>3</v>
      </c>
      <c r="CX196" s="14" t="str">
        <f t="shared" si="110"/>
        <v>AtkExt</v>
      </c>
      <c r="CY196" s="14">
        <f t="shared" si="111"/>
        <v>91</v>
      </c>
      <c r="CZ196" s="14">
        <f t="shared" si="112"/>
        <v>8.0500000000000007</v>
      </c>
      <c r="DA196" s="14" t="str">
        <f t="shared" si="113"/>
        <v>HPExt</v>
      </c>
      <c r="DB196" s="14">
        <f t="shared" si="114"/>
        <v>564</v>
      </c>
      <c r="DC196" s="14">
        <f t="shared" si="115"/>
        <v>50.17</v>
      </c>
      <c r="DD196" s="14">
        <f t="shared" si="116"/>
        <v>10</v>
      </c>
      <c r="DE196" s="14">
        <f t="shared" si="117"/>
        <v>0</v>
      </c>
      <c r="DF196" s="14">
        <f t="shared" si="118"/>
        <v>23</v>
      </c>
      <c r="DG196" s="14">
        <f t="shared" si="119"/>
        <v>45</v>
      </c>
    </row>
    <row r="197" spans="77:111" ht="16.5" x14ac:dyDescent="0.2">
      <c r="BY197" s="13">
        <v>193</v>
      </c>
      <c r="BZ197" s="14">
        <f t="shared" si="102"/>
        <v>27</v>
      </c>
      <c r="CA197" s="14">
        <f t="shared" si="103"/>
        <v>1</v>
      </c>
      <c r="CB197" s="14">
        <f t="shared" ref="CB197:CB260" si="120">INDEX($BE$6:$BE$81,BZ197)</f>
        <v>3</v>
      </c>
      <c r="CC197" s="14">
        <f t="shared" ref="CC197:CC260" si="121">INDEX($BJ$6:$BJ$81,BZ197)+CI197</f>
        <v>2033011</v>
      </c>
      <c r="CD197" s="13" t="str">
        <f t="shared" ref="CD197:CD260" si="122">INDEX($BK$6:$BK$81,BZ197)&amp;"-"&amp;INDEX($BO$3:$BV$3,CI197)</f>
        <v>60级寄灵人紫色-武器</v>
      </c>
      <c r="CE197" s="14">
        <f t="shared" ref="CE197:CE260" si="123">INDEX($BH$6:$BH$81,BZ197)</f>
        <v>1</v>
      </c>
      <c r="CF197" s="14">
        <f t="shared" ref="CF197:CF260" si="124">INDEX($BG$6:$BG$81,BZ197)</f>
        <v>3</v>
      </c>
      <c r="CG197" s="14">
        <f t="shared" si="104"/>
        <v>60</v>
      </c>
      <c r="CH197" s="14">
        <f t="shared" si="105"/>
        <v>60</v>
      </c>
      <c r="CI197" s="14">
        <f t="shared" ref="CI197:CI260" si="125">BY197-INDEX($BN$5:$BN$81,BZ197)</f>
        <v>1</v>
      </c>
      <c r="CJ197" s="14" t="str">
        <f t="shared" si="106"/>
        <v/>
      </c>
      <c r="CK197" s="14">
        <f t="shared" ref="CK197:CK260" si="126">ROUND(INDEX(I$5:I$16,($CE197-1)*6+$CB197)*INDEX(W$5:W$12,$CI197)*INDEX($AF$5:$AF$8,$CF197),0)</f>
        <v>263</v>
      </c>
      <c r="CL197" s="14">
        <f t="shared" ref="CL197:CL260" si="127">ROUND(INDEX(J$5:J$16,($CE197-1)*6+$CB197)*INDEX(X$5:X$12,$CI197)*INDEX($AF$5:$AF$8,$CF197),0)</f>
        <v>0</v>
      </c>
      <c r="CM197" s="14">
        <f t="shared" ref="CM197:CM260" si="128">ROUND(INDEX(K$5:K$16,($CE197-1)*6+$CB197)*INDEX(Y$5:Y$12,$CI197)*INDEX($AF$5:$AF$8,$CF197),0)</f>
        <v>0</v>
      </c>
      <c r="CN197" s="14">
        <f t="shared" ref="CN197:CN260" si="129">ROUND(INDEX(E$5:E$16,($CE197-1)*6+$CB197)*INDEX(W$5:W$12,$CI197),2)</f>
        <v>21.89</v>
      </c>
      <c r="CO197" s="14">
        <f t="shared" ref="CO197:CO260" si="130">ROUND(INDEX(F$5:F$16,($CE197-1)*6+$CB197)*INDEX(X$5:X$12,$CI197),2)</f>
        <v>0</v>
      </c>
      <c r="CP197" s="14">
        <f t="shared" ref="CP197:CP260" si="131">ROUND(INDEX(G$5:G$16,($CE197-1)*6+$CB197)*INDEX(Y$5:Y$12,$CI197),2)</f>
        <v>0</v>
      </c>
      <c r="CQ197" s="14">
        <f t="shared" si="107"/>
        <v>11</v>
      </c>
      <c r="CR197" s="14">
        <f t="shared" si="108"/>
        <v>2</v>
      </c>
      <c r="CS197" s="14">
        <f t="shared" si="109"/>
        <v>13</v>
      </c>
      <c r="CV197" s="14">
        <f t="shared" ref="CV197:CV260" si="132">INDEX(Z$5:Z$12,$CI197)</f>
        <v>1</v>
      </c>
      <c r="CW197" s="14">
        <f t="shared" ref="CW197:CW260" si="133">INDEX(AA$5:AA$12,$CI197)</f>
        <v>0</v>
      </c>
      <c r="CX197" s="14" t="str">
        <f t="shared" si="110"/>
        <v>AtkExt</v>
      </c>
      <c r="CY197" s="14">
        <f t="shared" si="111"/>
        <v>263</v>
      </c>
      <c r="CZ197" s="14">
        <f t="shared" si="112"/>
        <v>21.89</v>
      </c>
      <c r="DA197" s="14" t="str">
        <f t="shared" si="113"/>
        <v/>
      </c>
      <c r="DB197" s="14" t="str">
        <f t="shared" si="114"/>
        <v/>
      </c>
      <c r="DC197" s="14" t="str">
        <f t="shared" si="115"/>
        <v/>
      </c>
      <c r="DD197" s="14">
        <f t="shared" si="116"/>
        <v>11</v>
      </c>
      <c r="DE197" s="14">
        <f t="shared" si="117"/>
        <v>2</v>
      </c>
      <c r="DF197" s="14">
        <f t="shared" si="118"/>
        <v>13</v>
      </c>
      <c r="DG197" s="14">
        <f t="shared" si="119"/>
        <v>75</v>
      </c>
    </row>
    <row r="198" spans="77:111" ht="16.5" x14ac:dyDescent="0.2">
      <c r="BY198" s="13">
        <v>194</v>
      </c>
      <c r="BZ198" s="14">
        <f t="shared" ref="BZ198:BZ261" si="134">MATCH(BY198-1,$BN$5:$BN$81,1)</f>
        <v>27</v>
      </c>
      <c r="CA198" s="14">
        <f t="shared" ref="CA198:CA261" si="135">INDEX($BI$6:$BI$81,BZ198)</f>
        <v>1</v>
      </c>
      <c r="CB198" s="14">
        <f t="shared" si="120"/>
        <v>3</v>
      </c>
      <c r="CC198" s="14">
        <f t="shared" si="121"/>
        <v>2033012</v>
      </c>
      <c r="CD198" s="13" t="str">
        <f t="shared" si="122"/>
        <v>60级寄灵人紫色-头盔</v>
      </c>
      <c r="CE198" s="14">
        <f t="shared" si="123"/>
        <v>1</v>
      </c>
      <c r="CF198" s="14">
        <f t="shared" si="124"/>
        <v>3</v>
      </c>
      <c r="CG198" s="14">
        <f t="shared" ref="CG198:CG261" si="136">INDEX($D$5:$D$16,(CE198-1)*6+CB198)</f>
        <v>60</v>
      </c>
      <c r="CH198" s="14">
        <f t="shared" ref="CH198:CH261" si="137">INDEX($D$5:$D$16,(CE198-1)*6+CB198)</f>
        <v>60</v>
      </c>
      <c r="CI198" s="14">
        <f t="shared" si="125"/>
        <v>2</v>
      </c>
      <c r="CJ198" s="14" t="str">
        <f t="shared" ref="CJ198:CJ261" si="138">IF(INDEX($BL$6:$BL$81,BZ198)&gt;0,INDEX($BL$6:$BL$81,BZ198),"")</f>
        <v/>
      </c>
      <c r="CK198" s="14">
        <f t="shared" si="126"/>
        <v>0</v>
      </c>
      <c r="CL198" s="14">
        <f t="shared" si="127"/>
        <v>63</v>
      </c>
      <c r="CM198" s="14">
        <f t="shared" si="128"/>
        <v>0</v>
      </c>
      <c r="CN198" s="14">
        <f t="shared" si="129"/>
        <v>0</v>
      </c>
      <c r="CO198" s="14">
        <f t="shared" si="130"/>
        <v>5.28</v>
      </c>
      <c r="CP198" s="14">
        <f t="shared" si="131"/>
        <v>0</v>
      </c>
      <c r="CQ198" s="14">
        <f t="shared" ref="CQ198:CQ261" si="139">(CB198-1)*4+CF198</f>
        <v>11</v>
      </c>
      <c r="CR198" s="14">
        <f t="shared" ref="CR198:CR261" si="140">INDEX($AY$5:$BB$16,CB198,CF198)</f>
        <v>2</v>
      </c>
      <c r="CS198" s="14">
        <f t="shared" ref="CS198:CS261" si="141">CE198*10+CB198</f>
        <v>13</v>
      </c>
      <c r="CV198" s="14">
        <f t="shared" si="132"/>
        <v>2</v>
      </c>
      <c r="CW198" s="14">
        <f t="shared" si="133"/>
        <v>0</v>
      </c>
      <c r="CX198" s="14" t="str">
        <f t="shared" ref="CX198:CX261" si="142">INDEX($U$3:$W$3,CV198)</f>
        <v>DefExt</v>
      </c>
      <c r="CY198" s="14">
        <f t="shared" ref="CY198:CY261" si="143">INDEX(CK198:CM198,CV198)</f>
        <v>63</v>
      </c>
      <c r="CZ198" s="14">
        <f t="shared" ref="CZ198:CZ261" si="144">INDEX(CN198:CP198,CV198)</f>
        <v>5.28</v>
      </c>
      <c r="DA198" s="14" t="str">
        <f t="shared" ref="DA198:DA261" si="145">IF(CW198&gt;0,INDEX($U$3:$W$3,CW198),"")</f>
        <v/>
      </c>
      <c r="DB198" s="14" t="str">
        <f t="shared" ref="DB198:DB261" si="146">IF(CW198&gt;0,INDEX(CK198:CM198,CW198),"")</f>
        <v/>
      </c>
      <c r="DC198" s="14" t="str">
        <f t="shared" ref="DC198:DC261" si="147">IF(CW198&gt;0,INDEX(CN198:CP198,CW198),"")</f>
        <v/>
      </c>
      <c r="DD198" s="14">
        <f t="shared" ref="DD198:DD261" si="148">(CB198-1)*4+CF198</f>
        <v>11</v>
      </c>
      <c r="DE198" s="14">
        <f t="shared" ref="DE198:DE261" si="149">INDEX($AY$5:$BB$16,CB198,CF198)</f>
        <v>2</v>
      </c>
      <c r="DF198" s="14">
        <f t="shared" ref="DF198:DF261" si="150">CE198*10+CB198</f>
        <v>13</v>
      </c>
      <c r="DG198" s="14">
        <f t="shared" ref="DG198:DG261" si="151">INDEX($N$5:$S$8,CF198,CB198)</f>
        <v>75</v>
      </c>
    </row>
    <row r="199" spans="77:111" ht="16.5" x14ac:dyDescent="0.2">
      <c r="BY199" s="13">
        <v>195</v>
      </c>
      <c r="BZ199" s="14">
        <f t="shared" si="134"/>
        <v>27</v>
      </c>
      <c r="CA199" s="14">
        <f t="shared" si="135"/>
        <v>1</v>
      </c>
      <c r="CB199" s="14">
        <f t="shared" si="120"/>
        <v>3</v>
      </c>
      <c r="CC199" s="14">
        <f t="shared" si="121"/>
        <v>2033013</v>
      </c>
      <c r="CD199" s="13" t="str">
        <f t="shared" si="122"/>
        <v>60级寄灵人紫色-肩甲</v>
      </c>
      <c r="CE199" s="14">
        <f t="shared" si="123"/>
        <v>1</v>
      </c>
      <c r="CF199" s="14">
        <f t="shared" si="124"/>
        <v>3</v>
      </c>
      <c r="CG199" s="14">
        <f t="shared" si="136"/>
        <v>60</v>
      </c>
      <c r="CH199" s="14">
        <f t="shared" si="137"/>
        <v>60</v>
      </c>
      <c r="CI199" s="14">
        <f t="shared" si="125"/>
        <v>3</v>
      </c>
      <c r="CJ199" s="14" t="str">
        <f t="shared" si="138"/>
        <v/>
      </c>
      <c r="CK199" s="14">
        <f t="shared" si="126"/>
        <v>0</v>
      </c>
      <c r="CL199" s="14">
        <f t="shared" si="127"/>
        <v>32</v>
      </c>
      <c r="CM199" s="14">
        <f t="shared" si="128"/>
        <v>203</v>
      </c>
      <c r="CN199" s="14">
        <f t="shared" si="129"/>
        <v>0</v>
      </c>
      <c r="CO199" s="14">
        <f t="shared" si="130"/>
        <v>2.64</v>
      </c>
      <c r="CP199" s="14">
        <f t="shared" si="131"/>
        <v>16.920000000000002</v>
      </c>
      <c r="CQ199" s="14">
        <f t="shared" si="139"/>
        <v>11</v>
      </c>
      <c r="CR199" s="14">
        <f t="shared" si="140"/>
        <v>2</v>
      </c>
      <c r="CS199" s="14">
        <f t="shared" si="141"/>
        <v>13</v>
      </c>
      <c r="CV199" s="14">
        <f t="shared" si="132"/>
        <v>2</v>
      </c>
      <c r="CW199" s="14">
        <f t="shared" si="133"/>
        <v>3</v>
      </c>
      <c r="CX199" s="14" t="str">
        <f t="shared" si="142"/>
        <v>DefExt</v>
      </c>
      <c r="CY199" s="14">
        <f t="shared" si="143"/>
        <v>32</v>
      </c>
      <c r="CZ199" s="14">
        <f t="shared" si="144"/>
        <v>2.64</v>
      </c>
      <c r="DA199" s="14" t="str">
        <f t="shared" si="145"/>
        <v>HPExt</v>
      </c>
      <c r="DB199" s="14">
        <f t="shared" si="146"/>
        <v>203</v>
      </c>
      <c r="DC199" s="14">
        <f t="shared" si="147"/>
        <v>16.920000000000002</v>
      </c>
      <c r="DD199" s="14">
        <f t="shared" si="148"/>
        <v>11</v>
      </c>
      <c r="DE199" s="14">
        <f t="shared" si="149"/>
        <v>2</v>
      </c>
      <c r="DF199" s="14">
        <f t="shared" si="150"/>
        <v>13</v>
      </c>
      <c r="DG199" s="14">
        <f t="shared" si="151"/>
        <v>75</v>
      </c>
    </row>
    <row r="200" spans="77:111" ht="16.5" x14ac:dyDescent="0.2">
      <c r="BY200" s="13">
        <v>196</v>
      </c>
      <c r="BZ200" s="14">
        <f t="shared" si="134"/>
        <v>27</v>
      </c>
      <c r="CA200" s="14">
        <f t="shared" si="135"/>
        <v>1</v>
      </c>
      <c r="CB200" s="14">
        <f t="shared" si="120"/>
        <v>3</v>
      </c>
      <c r="CC200" s="14">
        <f t="shared" si="121"/>
        <v>2033014</v>
      </c>
      <c r="CD200" s="13" t="str">
        <f t="shared" si="122"/>
        <v>60级寄灵人紫色-衣服</v>
      </c>
      <c r="CE200" s="14">
        <f t="shared" si="123"/>
        <v>1</v>
      </c>
      <c r="CF200" s="14">
        <f t="shared" si="124"/>
        <v>3</v>
      </c>
      <c r="CG200" s="14">
        <f t="shared" si="136"/>
        <v>60</v>
      </c>
      <c r="CH200" s="14">
        <f t="shared" si="137"/>
        <v>60</v>
      </c>
      <c r="CI200" s="14">
        <f t="shared" si="125"/>
        <v>4</v>
      </c>
      <c r="CJ200" s="14" t="str">
        <f t="shared" si="138"/>
        <v/>
      </c>
      <c r="CK200" s="14">
        <f t="shared" si="126"/>
        <v>0</v>
      </c>
      <c r="CL200" s="14">
        <f t="shared" si="127"/>
        <v>63</v>
      </c>
      <c r="CM200" s="14">
        <f t="shared" si="128"/>
        <v>0</v>
      </c>
      <c r="CN200" s="14">
        <f t="shared" si="129"/>
        <v>0</v>
      </c>
      <c r="CO200" s="14">
        <f t="shared" si="130"/>
        <v>5.28</v>
      </c>
      <c r="CP200" s="14">
        <f t="shared" si="131"/>
        <v>0</v>
      </c>
      <c r="CQ200" s="14">
        <f t="shared" si="139"/>
        <v>11</v>
      </c>
      <c r="CR200" s="14">
        <f t="shared" si="140"/>
        <v>2</v>
      </c>
      <c r="CS200" s="14">
        <f t="shared" si="141"/>
        <v>13</v>
      </c>
      <c r="CV200" s="14">
        <f t="shared" si="132"/>
        <v>2</v>
      </c>
      <c r="CW200" s="14">
        <f t="shared" si="133"/>
        <v>0</v>
      </c>
      <c r="CX200" s="14" t="str">
        <f t="shared" si="142"/>
        <v>DefExt</v>
      </c>
      <c r="CY200" s="14">
        <f t="shared" si="143"/>
        <v>63</v>
      </c>
      <c r="CZ200" s="14">
        <f t="shared" si="144"/>
        <v>5.28</v>
      </c>
      <c r="DA200" s="14" t="str">
        <f t="shared" si="145"/>
        <v/>
      </c>
      <c r="DB200" s="14" t="str">
        <f t="shared" si="146"/>
        <v/>
      </c>
      <c r="DC200" s="14" t="str">
        <f t="shared" si="147"/>
        <v/>
      </c>
      <c r="DD200" s="14">
        <f t="shared" si="148"/>
        <v>11</v>
      </c>
      <c r="DE200" s="14">
        <f t="shared" si="149"/>
        <v>2</v>
      </c>
      <c r="DF200" s="14">
        <f t="shared" si="150"/>
        <v>13</v>
      </c>
      <c r="DG200" s="14">
        <f t="shared" si="151"/>
        <v>75</v>
      </c>
    </row>
    <row r="201" spans="77:111" ht="16.5" x14ac:dyDescent="0.2">
      <c r="BY201" s="13">
        <v>197</v>
      </c>
      <c r="BZ201" s="14">
        <f t="shared" si="134"/>
        <v>27</v>
      </c>
      <c r="CA201" s="14">
        <f t="shared" si="135"/>
        <v>1</v>
      </c>
      <c r="CB201" s="14">
        <f t="shared" si="120"/>
        <v>3</v>
      </c>
      <c r="CC201" s="14">
        <f t="shared" si="121"/>
        <v>2033015</v>
      </c>
      <c r="CD201" s="13" t="str">
        <f t="shared" si="122"/>
        <v>60级寄灵人紫色-鞋子</v>
      </c>
      <c r="CE201" s="14">
        <f t="shared" si="123"/>
        <v>1</v>
      </c>
      <c r="CF201" s="14">
        <f t="shared" si="124"/>
        <v>3</v>
      </c>
      <c r="CG201" s="14">
        <f t="shared" si="136"/>
        <v>60</v>
      </c>
      <c r="CH201" s="14">
        <f t="shared" si="137"/>
        <v>60</v>
      </c>
      <c r="CI201" s="14">
        <f t="shared" si="125"/>
        <v>5</v>
      </c>
      <c r="CJ201" s="14" t="str">
        <f t="shared" si="138"/>
        <v/>
      </c>
      <c r="CK201" s="14">
        <f t="shared" si="126"/>
        <v>0</v>
      </c>
      <c r="CL201" s="14">
        <f t="shared" si="127"/>
        <v>0</v>
      </c>
      <c r="CM201" s="14">
        <f t="shared" si="128"/>
        <v>406</v>
      </c>
      <c r="CN201" s="14">
        <f t="shared" si="129"/>
        <v>0</v>
      </c>
      <c r="CO201" s="14">
        <f t="shared" si="130"/>
        <v>0</v>
      </c>
      <c r="CP201" s="14">
        <f t="shared" si="131"/>
        <v>33.83</v>
      </c>
      <c r="CQ201" s="14">
        <f t="shared" si="139"/>
        <v>11</v>
      </c>
      <c r="CR201" s="14">
        <f t="shared" si="140"/>
        <v>2</v>
      </c>
      <c r="CS201" s="14">
        <f t="shared" si="141"/>
        <v>13</v>
      </c>
      <c r="CV201" s="14">
        <f t="shared" si="132"/>
        <v>3</v>
      </c>
      <c r="CW201" s="14">
        <f t="shared" si="133"/>
        <v>0</v>
      </c>
      <c r="CX201" s="14" t="str">
        <f t="shared" si="142"/>
        <v>HPExt</v>
      </c>
      <c r="CY201" s="14">
        <f t="shared" si="143"/>
        <v>406</v>
      </c>
      <c r="CZ201" s="14">
        <f t="shared" si="144"/>
        <v>33.83</v>
      </c>
      <c r="DA201" s="14" t="str">
        <f t="shared" si="145"/>
        <v/>
      </c>
      <c r="DB201" s="14" t="str">
        <f t="shared" si="146"/>
        <v/>
      </c>
      <c r="DC201" s="14" t="str">
        <f t="shared" si="147"/>
        <v/>
      </c>
      <c r="DD201" s="14">
        <f t="shared" si="148"/>
        <v>11</v>
      </c>
      <c r="DE201" s="14">
        <f t="shared" si="149"/>
        <v>2</v>
      </c>
      <c r="DF201" s="14">
        <f t="shared" si="150"/>
        <v>13</v>
      </c>
      <c r="DG201" s="14">
        <f t="shared" si="151"/>
        <v>75</v>
      </c>
    </row>
    <row r="202" spans="77:111" ht="16.5" x14ac:dyDescent="0.2">
      <c r="BY202" s="13">
        <v>198</v>
      </c>
      <c r="BZ202" s="14">
        <f t="shared" si="134"/>
        <v>27</v>
      </c>
      <c r="CA202" s="14">
        <f t="shared" si="135"/>
        <v>1</v>
      </c>
      <c r="CB202" s="14">
        <f t="shared" si="120"/>
        <v>3</v>
      </c>
      <c r="CC202" s="14">
        <f t="shared" si="121"/>
        <v>2033016</v>
      </c>
      <c r="CD202" s="13" t="str">
        <f t="shared" si="122"/>
        <v>60级寄灵人紫色-护手</v>
      </c>
      <c r="CE202" s="14">
        <f t="shared" si="123"/>
        <v>1</v>
      </c>
      <c r="CF202" s="14">
        <f t="shared" si="124"/>
        <v>3</v>
      </c>
      <c r="CG202" s="14">
        <f t="shared" si="136"/>
        <v>60</v>
      </c>
      <c r="CH202" s="14">
        <f t="shared" si="137"/>
        <v>60</v>
      </c>
      <c r="CI202" s="14">
        <f t="shared" si="125"/>
        <v>6</v>
      </c>
      <c r="CJ202" s="14" t="str">
        <f t="shared" si="138"/>
        <v/>
      </c>
      <c r="CK202" s="14">
        <f t="shared" si="126"/>
        <v>0</v>
      </c>
      <c r="CL202" s="14">
        <f t="shared" si="127"/>
        <v>0</v>
      </c>
      <c r="CM202" s="14">
        <f t="shared" si="128"/>
        <v>406</v>
      </c>
      <c r="CN202" s="14">
        <f t="shared" si="129"/>
        <v>0</v>
      </c>
      <c r="CO202" s="14">
        <f t="shared" si="130"/>
        <v>0</v>
      </c>
      <c r="CP202" s="14">
        <f t="shared" si="131"/>
        <v>33.83</v>
      </c>
      <c r="CQ202" s="14">
        <f t="shared" si="139"/>
        <v>11</v>
      </c>
      <c r="CR202" s="14">
        <f t="shared" si="140"/>
        <v>2</v>
      </c>
      <c r="CS202" s="14">
        <f t="shared" si="141"/>
        <v>13</v>
      </c>
      <c r="CV202" s="14">
        <f t="shared" si="132"/>
        <v>3</v>
      </c>
      <c r="CW202" s="14">
        <f t="shared" si="133"/>
        <v>0</v>
      </c>
      <c r="CX202" s="14" t="str">
        <f t="shared" si="142"/>
        <v>HPExt</v>
      </c>
      <c r="CY202" s="14">
        <f t="shared" si="143"/>
        <v>406</v>
      </c>
      <c r="CZ202" s="14">
        <f t="shared" si="144"/>
        <v>33.83</v>
      </c>
      <c r="DA202" s="14" t="str">
        <f t="shared" si="145"/>
        <v/>
      </c>
      <c r="DB202" s="14" t="str">
        <f t="shared" si="146"/>
        <v/>
      </c>
      <c r="DC202" s="14" t="str">
        <f t="shared" si="147"/>
        <v/>
      </c>
      <c r="DD202" s="14">
        <f t="shared" si="148"/>
        <v>11</v>
      </c>
      <c r="DE202" s="14">
        <f t="shared" si="149"/>
        <v>2</v>
      </c>
      <c r="DF202" s="14">
        <f t="shared" si="150"/>
        <v>13</v>
      </c>
      <c r="DG202" s="14">
        <f t="shared" si="151"/>
        <v>75</v>
      </c>
    </row>
    <row r="203" spans="77:111" ht="16.5" x14ac:dyDescent="0.2">
      <c r="BY203" s="13">
        <v>199</v>
      </c>
      <c r="BZ203" s="14">
        <f t="shared" si="134"/>
        <v>27</v>
      </c>
      <c r="CA203" s="14">
        <f t="shared" si="135"/>
        <v>1</v>
      </c>
      <c r="CB203" s="14">
        <f t="shared" si="120"/>
        <v>3</v>
      </c>
      <c r="CC203" s="14">
        <f t="shared" si="121"/>
        <v>2033017</v>
      </c>
      <c r="CD203" s="13" t="str">
        <f t="shared" si="122"/>
        <v>60级寄灵人紫色-项链</v>
      </c>
      <c r="CE203" s="14">
        <f t="shared" si="123"/>
        <v>1</v>
      </c>
      <c r="CF203" s="14">
        <f t="shared" si="124"/>
        <v>3</v>
      </c>
      <c r="CG203" s="14">
        <f t="shared" si="136"/>
        <v>60</v>
      </c>
      <c r="CH203" s="14">
        <f t="shared" si="137"/>
        <v>60</v>
      </c>
      <c r="CI203" s="14">
        <f t="shared" si="125"/>
        <v>7</v>
      </c>
      <c r="CJ203" s="14" t="str">
        <f t="shared" si="138"/>
        <v/>
      </c>
      <c r="CK203" s="14">
        <f t="shared" si="126"/>
        <v>88</v>
      </c>
      <c r="CL203" s="14">
        <f t="shared" si="127"/>
        <v>53</v>
      </c>
      <c r="CM203" s="14">
        <f t="shared" si="128"/>
        <v>0</v>
      </c>
      <c r="CN203" s="14">
        <f t="shared" si="129"/>
        <v>7.3</v>
      </c>
      <c r="CO203" s="14">
        <f t="shared" si="130"/>
        <v>4.4000000000000004</v>
      </c>
      <c r="CP203" s="14">
        <f t="shared" si="131"/>
        <v>0</v>
      </c>
      <c r="CQ203" s="14">
        <f t="shared" si="139"/>
        <v>11</v>
      </c>
      <c r="CR203" s="14">
        <f t="shared" si="140"/>
        <v>2</v>
      </c>
      <c r="CS203" s="14">
        <f t="shared" si="141"/>
        <v>13</v>
      </c>
      <c r="CV203" s="14">
        <f t="shared" si="132"/>
        <v>1</v>
      </c>
      <c r="CW203" s="14">
        <f t="shared" si="133"/>
        <v>2</v>
      </c>
      <c r="CX203" s="14" t="str">
        <f t="shared" si="142"/>
        <v>AtkExt</v>
      </c>
      <c r="CY203" s="14">
        <f t="shared" si="143"/>
        <v>88</v>
      </c>
      <c r="CZ203" s="14">
        <f t="shared" si="144"/>
        <v>7.3</v>
      </c>
      <c r="DA203" s="14" t="str">
        <f t="shared" si="145"/>
        <v>DefExt</v>
      </c>
      <c r="DB203" s="14">
        <f t="shared" si="146"/>
        <v>53</v>
      </c>
      <c r="DC203" s="14">
        <f t="shared" si="147"/>
        <v>4.4000000000000004</v>
      </c>
      <c r="DD203" s="14">
        <f t="shared" si="148"/>
        <v>11</v>
      </c>
      <c r="DE203" s="14">
        <f t="shared" si="149"/>
        <v>2</v>
      </c>
      <c r="DF203" s="14">
        <f t="shared" si="150"/>
        <v>13</v>
      </c>
      <c r="DG203" s="14">
        <f t="shared" si="151"/>
        <v>75</v>
      </c>
    </row>
    <row r="204" spans="77:111" ht="16.5" x14ac:dyDescent="0.2">
      <c r="BY204" s="13">
        <v>200</v>
      </c>
      <c r="BZ204" s="14">
        <f t="shared" si="134"/>
        <v>27</v>
      </c>
      <c r="CA204" s="14">
        <f t="shared" si="135"/>
        <v>1</v>
      </c>
      <c r="CB204" s="14">
        <f t="shared" si="120"/>
        <v>3</v>
      </c>
      <c r="CC204" s="14">
        <f t="shared" si="121"/>
        <v>2033018</v>
      </c>
      <c r="CD204" s="13" t="str">
        <f t="shared" si="122"/>
        <v>60级寄灵人紫色-戒指</v>
      </c>
      <c r="CE204" s="14">
        <f t="shared" si="123"/>
        <v>1</v>
      </c>
      <c r="CF204" s="14">
        <f t="shared" si="124"/>
        <v>3</v>
      </c>
      <c r="CG204" s="14">
        <f t="shared" si="136"/>
        <v>60</v>
      </c>
      <c r="CH204" s="14">
        <f t="shared" si="137"/>
        <v>60</v>
      </c>
      <c r="CI204" s="14">
        <f t="shared" si="125"/>
        <v>8</v>
      </c>
      <c r="CJ204" s="14" t="str">
        <f t="shared" si="138"/>
        <v/>
      </c>
      <c r="CK204" s="14">
        <f t="shared" si="126"/>
        <v>88</v>
      </c>
      <c r="CL204" s="14">
        <f t="shared" si="127"/>
        <v>0</v>
      </c>
      <c r="CM204" s="14">
        <f t="shared" si="128"/>
        <v>338</v>
      </c>
      <c r="CN204" s="14">
        <f t="shared" si="129"/>
        <v>7.3</v>
      </c>
      <c r="CO204" s="14">
        <f t="shared" si="130"/>
        <v>0</v>
      </c>
      <c r="CP204" s="14">
        <f t="shared" si="131"/>
        <v>28.19</v>
      </c>
      <c r="CQ204" s="14">
        <f t="shared" si="139"/>
        <v>11</v>
      </c>
      <c r="CR204" s="14">
        <f t="shared" si="140"/>
        <v>2</v>
      </c>
      <c r="CS204" s="14">
        <f t="shared" si="141"/>
        <v>13</v>
      </c>
      <c r="CV204" s="14">
        <f t="shared" si="132"/>
        <v>1</v>
      </c>
      <c r="CW204" s="14">
        <f t="shared" si="133"/>
        <v>3</v>
      </c>
      <c r="CX204" s="14" t="str">
        <f t="shared" si="142"/>
        <v>AtkExt</v>
      </c>
      <c r="CY204" s="14">
        <f t="shared" si="143"/>
        <v>88</v>
      </c>
      <c r="CZ204" s="14">
        <f t="shared" si="144"/>
        <v>7.3</v>
      </c>
      <c r="DA204" s="14" t="str">
        <f t="shared" si="145"/>
        <v>HPExt</v>
      </c>
      <c r="DB204" s="14">
        <f t="shared" si="146"/>
        <v>338</v>
      </c>
      <c r="DC204" s="14">
        <f t="shared" si="147"/>
        <v>28.19</v>
      </c>
      <c r="DD204" s="14">
        <f t="shared" si="148"/>
        <v>11</v>
      </c>
      <c r="DE204" s="14">
        <f t="shared" si="149"/>
        <v>2</v>
      </c>
      <c r="DF204" s="14">
        <f t="shared" si="150"/>
        <v>13</v>
      </c>
      <c r="DG204" s="14">
        <f t="shared" si="151"/>
        <v>75</v>
      </c>
    </row>
    <row r="205" spans="77:111" ht="16.5" x14ac:dyDescent="0.2">
      <c r="BY205" s="13">
        <v>201</v>
      </c>
      <c r="BZ205" s="14">
        <f t="shared" si="134"/>
        <v>28</v>
      </c>
      <c r="CA205" s="14">
        <f t="shared" si="135"/>
        <v>2</v>
      </c>
      <c r="CB205" s="14">
        <f t="shared" si="120"/>
        <v>3</v>
      </c>
      <c r="CC205" s="14">
        <f t="shared" si="121"/>
        <v>2033021</v>
      </c>
      <c r="CD205" s="13" t="str">
        <f t="shared" si="122"/>
        <v>60级守护灵紫色-武器</v>
      </c>
      <c r="CE205" s="14">
        <f t="shared" si="123"/>
        <v>2</v>
      </c>
      <c r="CF205" s="14">
        <f t="shared" si="124"/>
        <v>3</v>
      </c>
      <c r="CG205" s="14">
        <f t="shared" si="136"/>
        <v>60</v>
      </c>
      <c r="CH205" s="14">
        <f t="shared" si="137"/>
        <v>60</v>
      </c>
      <c r="CI205" s="14">
        <f t="shared" si="125"/>
        <v>1</v>
      </c>
      <c r="CJ205" s="14" t="str">
        <f t="shared" si="138"/>
        <v/>
      </c>
      <c r="CK205" s="14">
        <f t="shared" si="126"/>
        <v>290</v>
      </c>
      <c r="CL205" s="14">
        <f t="shared" si="127"/>
        <v>0</v>
      </c>
      <c r="CM205" s="14">
        <f t="shared" si="128"/>
        <v>0</v>
      </c>
      <c r="CN205" s="14">
        <f t="shared" si="129"/>
        <v>24.14</v>
      </c>
      <c r="CO205" s="14">
        <f t="shared" si="130"/>
        <v>0</v>
      </c>
      <c r="CP205" s="14">
        <f t="shared" si="131"/>
        <v>0</v>
      </c>
      <c r="CQ205" s="14">
        <f t="shared" si="139"/>
        <v>11</v>
      </c>
      <c r="CR205" s="14">
        <f t="shared" si="140"/>
        <v>2</v>
      </c>
      <c r="CS205" s="14">
        <f t="shared" si="141"/>
        <v>23</v>
      </c>
      <c r="CV205" s="14">
        <f t="shared" si="132"/>
        <v>1</v>
      </c>
      <c r="CW205" s="14">
        <f t="shared" si="133"/>
        <v>0</v>
      </c>
      <c r="CX205" s="14" t="str">
        <f t="shared" si="142"/>
        <v>AtkExt</v>
      </c>
      <c r="CY205" s="14">
        <f t="shared" si="143"/>
        <v>290</v>
      </c>
      <c r="CZ205" s="14">
        <f t="shared" si="144"/>
        <v>24.14</v>
      </c>
      <c r="DA205" s="14" t="str">
        <f t="shared" si="145"/>
        <v/>
      </c>
      <c r="DB205" s="14" t="str">
        <f t="shared" si="146"/>
        <v/>
      </c>
      <c r="DC205" s="14" t="str">
        <f t="shared" si="147"/>
        <v/>
      </c>
      <c r="DD205" s="14">
        <f t="shared" si="148"/>
        <v>11</v>
      </c>
      <c r="DE205" s="14">
        <f t="shared" si="149"/>
        <v>2</v>
      </c>
      <c r="DF205" s="14">
        <f t="shared" si="150"/>
        <v>23</v>
      </c>
      <c r="DG205" s="14">
        <f t="shared" si="151"/>
        <v>75</v>
      </c>
    </row>
    <row r="206" spans="77:111" ht="16.5" x14ac:dyDescent="0.2">
      <c r="BY206" s="13">
        <v>202</v>
      </c>
      <c r="BZ206" s="14">
        <f t="shared" si="134"/>
        <v>28</v>
      </c>
      <c r="CA206" s="14">
        <f t="shared" si="135"/>
        <v>2</v>
      </c>
      <c r="CB206" s="14">
        <f t="shared" si="120"/>
        <v>3</v>
      </c>
      <c r="CC206" s="14">
        <f t="shared" si="121"/>
        <v>2033022</v>
      </c>
      <c r="CD206" s="13" t="str">
        <f t="shared" si="122"/>
        <v>60级守护灵紫色-头盔</v>
      </c>
      <c r="CE206" s="14">
        <f t="shared" si="123"/>
        <v>2</v>
      </c>
      <c r="CF206" s="14">
        <f t="shared" si="124"/>
        <v>3</v>
      </c>
      <c r="CG206" s="14">
        <f t="shared" si="136"/>
        <v>60</v>
      </c>
      <c r="CH206" s="14">
        <f t="shared" si="137"/>
        <v>60</v>
      </c>
      <c r="CI206" s="14">
        <f t="shared" si="125"/>
        <v>2</v>
      </c>
      <c r="CJ206" s="14" t="str">
        <f t="shared" si="138"/>
        <v/>
      </c>
      <c r="CK206" s="14">
        <f t="shared" si="126"/>
        <v>0</v>
      </c>
      <c r="CL206" s="14">
        <f t="shared" si="127"/>
        <v>69</v>
      </c>
      <c r="CM206" s="14">
        <f t="shared" si="128"/>
        <v>0</v>
      </c>
      <c r="CN206" s="14">
        <f t="shared" si="129"/>
        <v>0</v>
      </c>
      <c r="CO206" s="14">
        <f t="shared" si="130"/>
        <v>5.75</v>
      </c>
      <c r="CP206" s="14">
        <f t="shared" si="131"/>
        <v>0</v>
      </c>
      <c r="CQ206" s="14">
        <f t="shared" si="139"/>
        <v>11</v>
      </c>
      <c r="CR206" s="14">
        <f t="shared" si="140"/>
        <v>2</v>
      </c>
      <c r="CS206" s="14">
        <f t="shared" si="141"/>
        <v>23</v>
      </c>
      <c r="CV206" s="14">
        <f t="shared" si="132"/>
        <v>2</v>
      </c>
      <c r="CW206" s="14">
        <f t="shared" si="133"/>
        <v>0</v>
      </c>
      <c r="CX206" s="14" t="str">
        <f t="shared" si="142"/>
        <v>DefExt</v>
      </c>
      <c r="CY206" s="14">
        <f t="shared" si="143"/>
        <v>69</v>
      </c>
      <c r="CZ206" s="14">
        <f t="shared" si="144"/>
        <v>5.75</v>
      </c>
      <c r="DA206" s="14" t="str">
        <f t="shared" si="145"/>
        <v/>
      </c>
      <c r="DB206" s="14" t="str">
        <f t="shared" si="146"/>
        <v/>
      </c>
      <c r="DC206" s="14" t="str">
        <f t="shared" si="147"/>
        <v/>
      </c>
      <c r="DD206" s="14">
        <f t="shared" si="148"/>
        <v>11</v>
      </c>
      <c r="DE206" s="14">
        <f t="shared" si="149"/>
        <v>2</v>
      </c>
      <c r="DF206" s="14">
        <f t="shared" si="150"/>
        <v>23</v>
      </c>
      <c r="DG206" s="14">
        <f t="shared" si="151"/>
        <v>75</v>
      </c>
    </row>
    <row r="207" spans="77:111" ht="16.5" x14ac:dyDescent="0.2">
      <c r="BY207" s="13">
        <v>203</v>
      </c>
      <c r="BZ207" s="14">
        <f t="shared" si="134"/>
        <v>28</v>
      </c>
      <c r="CA207" s="14">
        <f t="shared" si="135"/>
        <v>2</v>
      </c>
      <c r="CB207" s="14">
        <f t="shared" si="120"/>
        <v>3</v>
      </c>
      <c r="CC207" s="14">
        <f t="shared" si="121"/>
        <v>2033023</v>
      </c>
      <c r="CD207" s="13" t="str">
        <f t="shared" si="122"/>
        <v>60级守护灵紫色-肩甲</v>
      </c>
      <c r="CE207" s="14">
        <f t="shared" si="123"/>
        <v>2</v>
      </c>
      <c r="CF207" s="14">
        <f t="shared" si="124"/>
        <v>3</v>
      </c>
      <c r="CG207" s="14">
        <f t="shared" si="136"/>
        <v>60</v>
      </c>
      <c r="CH207" s="14">
        <f t="shared" si="137"/>
        <v>60</v>
      </c>
      <c r="CI207" s="14">
        <f t="shared" si="125"/>
        <v>3</v>
      </c>
      <c r="CJ207" s="14" t="str">
        <f t="shared" si="138"/>
        <v/>
      </c>
      <c r="CK207" s="14">
        <f t="shared" si="126"/>
        <v>0</v>
      </c>
      <c r="CL207" s="14">
        <f t="shared" si="127"/>
        <v>34</v>
      </c>
      <c r="CM207" s="14">
        <f t="shared" si="128"/>
        <v>361</v>
      </c>
      <c r="CN207" s="14">
        <f t="shared" si="129"/>
        <v>0</v>
      </c>
      <c r="CO207" s="14">
        <f t="shared" si="130"/>
        <v>2.87</v>
      </c>
      <c r="CP207" s="14">
        <f t="shared" si="131"/>
        <v>30.1</v>
      </c>
      <c r="CQ207" s="14">
        <f t="shared" si="139"/>
        <v>11</v>
      </c>
      <c r="CR207" s="14">
        <f t="shared" si="140"/>
        <v>2</v>
      </c>
      <c r="CS207" s="14">
        <f t="shared" si="141"/>
        <v>23</v>
      </c>
      <c r="CV207" s="14">
        <f t="shared" si="132"/>
        <v>2</v>
      </c>
      <c r="CW207" s="14">
        <f t="shared" si="133"/>
        <v>3</v>
      </c>
      <c r="CX207" s="14" t="str">
        <f t="shared" si="142"/>
        <v>DefExt</v>
      </c>
      <c r="CY207" s="14">
        <f t="shared" si="143"/>
        <v>34</v>
      </c>
      <c r="CZ207" s="14">
        <f t="shared" si="144"/>
        <v>2.87</v>
      </c>
      <c r="DA207" s="14" t="str">
        <f t="shared" si="145"/>
        <v>HPExt</v>
      </c>
      <c r="DB207" s="14">
        <f t="shared" si="146"/>
        <v>361</v>
      </c>
      <c r="DC207" s="14">
        <f t="shared" si="147"/>
        <v>30.1</v>
      </c>
      <c r="DD207" s="14">
        <f t="shared" si="148"/>
        <v>11</v>
      </c>
      <c r="DE207" s="14">
        <f t="shared" si="149"/>
        <v>2</v>
      </c>
      <c r="DF207" s="14">
        <f t="shared" si="150"/>
        <v>23</v>
      </c>
      <c r="DG207" s="14">
        <f t="shared" si="151"/>
        <v>75</v>
      </c>
    </row>
    <row r="208" spans="77:111" ht="16.5" x14ac:dyDescent="0.2">
      <c r="BY208" s="13">
        <v>204</v>
      </c>
      <c r="BZ208" s="14">
        <f t="shared" si="134"/>
        <v>28</v>
      </c>
      <c r="CA208" s="14">
        <f t="shared" si="135"/>
        <v>2</v>
      </c>
      <c r="CB208" s="14">
        <f t="shared" si="120"/>
        <v>3</v>
      </c>
      <c r="CC208" s="14">
        <f t="shared" si="121"/>
        <v>2033024</v>
      </c>
      <c r="CD208" s="13" t="str">
        <f t="shared" si="122"/>
        <v>60级守护灵紫色-衣服</v>
      </c>
      <c r="CE208" s="14">
        <f t="shared" si="123"/>
        <v>2</v>
      </c>
      <c r="CF208" s="14">
        <f t="shared" si="124"/>
        <v>3</v>
      </c>
      <c r="CG208" s="14">
        <f t="shared" si="136"/>
        <v>60</v>
      </c>
      <c r="CH208" s="14">
        <f t="shared" si="137"/>
        <v>60</v>
      </c>
      <c r="CI208" s="14">
        <f t="shared" si="125"/>
        <v>4</v>
      </c>
      <c r="CJ208" s="14" t="str">
        <f t="shared" si="138"/>
        <v/>
      </c>
      <c r="CK208" s="14">
        <f t="shared" si="126"/>
        <v>0</v>
      </c>
      <c r="CL208" s="14">
        <f t="shared" si="127"/>
        <v>69</v>
      </c>
      <c r="CM208" s="14">
        <f t="shared" si="128"/>
        <v>0</v>
      </c>
      <c r="CN208" s="14">
        <f t="shared" si="129"/>
        <v>0</v>
      </c>
      <c r="CO208" s="14">
        <f t="shared" si="130"/>
        <v>5.75</v>
      </c>
      <c r="CP208" s="14">
        <f t="shared" si="131"/>
        <v>0</v>
      </c>
      <c r="CQ208" s="14">
        <f t="shared" si="139"/>
        <v>11</v>
      </c>
      <c r="CR208" s="14">
        <f t="shared" si="140"/>
        <v>2</v>
      </c>
      <c r="CS208" s="14">
        <f t="shared" si="141"/>
        <v>23</v>
      </c>
      <c r="CV208" s="14">
        <f t="shared" si="132"/>
        <v>2</v>
      </c>
      <c r="CW208" s="14">
        <f t="shared" si="133"/>
        <v>0</v>
      </c>
      <c r="CX208" s="14" t="str">
        <f t="shared" si="142"/>
        <v>DefExt</v>
      </c>
      <c r="CY208" s="14">
        <f t="shared" si="143"/>
        <v>69</v>
      </c>
      <c r="CZ208" s="14">
        <f t="shared" si="144"/>
        <v>5.75</v>
      </c>
      <c r="DA208" s="14" t="str">
        <f t="shared" si="145"/>
        <v/>
      </c>
      <c r="DB208" s="14" t="str">
        <f t="shared" si="146"/>
        <v/>
      </c>
      <c r="DC208" s="14" t="str">
        <f t="shared" si="147"/>
        <v/>
      </c>
      <c r="DD208" s="14">
        <f t="shared" si="148"/>
        <v>11</v>
      </c>
      <c r="DE208" s="14">
        <f t="shared" si="149"/>
        <v>2</v>
      </c>
      <c r="DF208" s="14">
        <f t="shared" si="150"/>
        <v>23</v>
      </c>
      <c r="DG208" s="14">
        <f t="shared" si="151"/>
        <v>75</v>
      </c>
    </row>
    <row r="209" spans="77:111" ht="16.5" x14ac:dyDescent="0.2">
      <c r="BY209" s="13">
        <v>205</v>
      </c>
      <c r="BZ209" s="14">
        <f t="shared" si="134"/>
        <v>28</v>
      </c>
      <c r="CA209" s="14">
        <f t="shared" si="135"/>
        <v>2</v>
      </c>
      <c r="CB209" s="14">
        <f t="shared" si="120"/>
        <v>3</v>
      </c>
      <c r="CC209" s="14">
        <f t="shared" si="121"/>
        <v>2033025</v>
      </c>
      <c r="CD209" s="13" t="str">
        <f t="shared" si="122"/>
        <v>60级守护灵紫色-鞋子</v>
      </c>
      <c r="CE209" s="14">
        <f t="shared" si="123"/>
        <v>2</v>
      </c>
      <c r="CF209" s="14">
        <f t="shared" si="124"/>
        <v>3</v>
      </c>
      <c r="CG209" s="14">
        <f t="shared" si="136"/>
        <v>60</v>
      </c>
      <c r="CH209" s="14">
        <f t="shared" si="137"/>
        <v>60</v>
      </c>
      <c r="CI209" s="14">
        <f t="shared" si="125"/>
        <v>5</v>
      </c>
      <c r="CJ209" s="14" t="str">
        <f t="shared" si="138"/>
        <v/>
      </c>
      <c r="CK209" s="14">
        <f t="shared" si="126"/>
        <v>0</v>
      </c>
      <c r="CL209" s="14">
        <f t="shared" si="127"/>
        <v>0</v>
      </c>
      <c r="CM209" s="14">
        <f t="shared" si="128"/>
        <v>722</v>
      </c>
      <c r="CN209" s="14">
        <f t="shared" si="129"/>
        <v>0</v>
      </c>
      <c r="CO209" s="14">
        <f t="shared" si="130"/>
        <v>0</v>
      </c>
      <c r="CP209" s="14">
        <f t="shared" si="131"/>
        <v>60.2</v>
      </c>
      <c r="CQ209" s="14">
        <f t="shared" si="139"/>
        <v>11</v>
      </c>
      <c r="CR209" s="14">
        <f t="shared" si="140"/>
        <v>2</v>
      </c>
      <c r="CS209" s="14">
        <f t="shared" si="141"/>
        <v>23</v>
      </c>
      <c r="CV209" s="14">
        <f t="shared" si="132"/>
        <v>3</v>
      </c>
      <c r="CW209" s="14">
        <f t="shared" si="133"/>
        <v>0</v>
      </c>
      <c r="CX209" s="14" t="str">
        <f t="shared" si="142"/>
        <v>HPExt</v>
      </c>
      <c r="CY209" s="14">
        <f t="shared" si="143"/>
        <v>722</v>
      </c>
      <c r="CZ209" s="14">
        <f t="shared" si="144"/>
        <v>60.2</v>
      </c>
      <c r="DA209" s="14" t="str">
        <f t="shared" si="145"/>
        <v/>
      </c>
      <c r="DB209" s="14" t="str">
        <f t="shared" si="146"/>
        <v/>
      </c>
      <c r="DC209" s="14" t="str">
        <f t="shared" si="147"/>
        <v/>
      </c>
      <c r="DD209" s="14">
        <f t="shared" si="148"/>
        <v>11</v>
      </c>
      <c r="DE209" s="14">
        <f t="shared" si="149"/>
        <v>2</v>
      </c>
      <c r="DF209" s="14">
        <f t="shared" si="150"/>
        <v>23</v>
      </c>
      <c r="DG209" s="14">
        <f t="shared" si="151"/>
        <v>75</v>
      </c>
    </row>
    <row r="210" spans="77:111" ht="16.5" x14ac:dyDescent="0.2">
      <c r="BY210" s="13">
        <v>206</v>
      </c>
      <c r="BZ210" s="14">
        <f t="shared" si="134"/>
        <v>28</v>
      </c>
      <c r="CA210" s="14">
        <f t="shared" si="135"/>
        <v>2</v>
      </c>
      <c r="CB210" s="14">
        <f t="shared" si="120"/>
        <v>3</v>
      </c>
      <c r="CC210" s="14">
        <f t="shared" si="121"/>
        <v>2033026</v>
      </c>
      <c r="CD210" s="13" t="str">
        <f t="shared" si="122"/>
        <v>60级守护灵紫色-护手</v>
      </c>
      <c r="CE210" s="14">
        <f t="shared" si="123"/>
        <v>2</v>
      </c>
      <c r="CF210" s="14">
        <f t="shared" si="124"/>
        <v>3</v>
      </c>
      <c r="CG210" s="14">
        <f t="shared" si="136"/>
        <v>60</v>
      </c>
      <c r="CH210" s="14">
        <f t="shared" si="137"/>
        <v>60</v>
      </c>
      <c r="CI210" s="14">
        <f t="shared" si="125"/>
        <v>6</v>
      </c>
      <c r="CJ210" s="14" t="str">
        <f t="shared" si="138"/>
        <v/>
      </c>
      <c r="CK210" s="14">
        <f t="shared" si="126"/>
        <v>0</v>
      </c>
      <c r="CL210" s="14">
        <f t="shared" si="127"/>
        <v>0</v>
      </c>
      <c r="CM210" s="14">
        <f t="shared" si="128"/>
        <v>722</v>
      </c>
      <c r="CN210" s="14">
        <f t="shared" si="129"/>
        <v>0</v>
      </c>
      <c r="CO210" s="14">
        <f t="shared" si="130"/>
        <v>0</v>
      </c>
      <c r="CP210" s="14">
        <f t="shared" si="131"/>
        <v>60.2</v>
      </c>
      <c r="CQ210" s="14">
        <f t="shared" si="139"/>
        <v>11</v>
      </c>
      <c r="CR210" s="14">
        <f t="shared" si="140"/>
        <v>2</v>
      </c>
      <c r="CS210" s="14">
        <f t="shared" si="141"/>
        <v>23</v>
      </c>
      <c r="CV210" s="14">
        <f t="shared" si="132"/>
        <v>3</v>
      </c>
      <c r="CW210" s="14">
        <f t="shared" si="133"/>
        <v>0</v>
      </c>
      <c r="CX210" s="14" t="str">
        <f t="shared" si="142"/>
        <v>HPExt</v>
      </c>
      <c r="CY210" s="14">
        <f t="shared" si="143"/>
        <v>722</v>
      </c>
      <c r="CZ210" s="14">
        <f t="shared" si="144"/>
        <v>60.2</v>
      </c>
      <c r="DA210" s="14" t="str">
        <f t="shared" si="145"/>
        <v/>
      </c>
      <c r="DB210" s="14" t="str">
        <f t="shared" si="146"/>
        <v/>
      </c>
      <c r="DC210" s="14" t="str">
        <f t="shared" si="147"/>
        <v/>
      </c>
      <c r="DD210" s="14">
        <f t="shared" si="148"/>
        <v>11</v>
      </c>
      <c r="DE210" s="14">
        <f t="shared" si="149"/>
        <v>2</v>
      </c>
      <c r="DF210" s="14">
        <f t="shared" si="150"/>
        <v>23</v>
      </c>
      <c r="DG210" s="14">
        <f t="shared" si="151"/>
        <v>75</v>
      </c>
    </row>
    <row r="211" spans="77:111" ht="16.5" x14ac:dyDescent="0.2">
      <c r="BY211" s="13">
        <v>207</v>
      </c>
      <c r="BZ211" s="14">
        <f t="shared" si="134"/>
        <v>28</v>
      </c>
      <c r="CA211" s="14">
        <f t="shared" si="135"/>
        <v>2</v>
      </c>
      <c r="CB211" s="14">
        <f t="shared" si="120"/>
        <v>3</v>
      </c>
      <c r="CC211" s="14">
        <f t="shared" si="121"/>
        <v>2033027</v>
      </c>
      <c r="CD211" s="13" t="str">
        <f t="shared" si="122"/>
        <v>60级守护灵紫色-项链</v>
      </c>
      <c r="CE211" s="14">
        <f t="shared" si="123"/>
        <v>2</v>
      </c>
      <c r="CF211" s="14">
        <f t="shared" si="124"/>
        <v>3</v>
      </c>
      <c r="CG211" s="14">
        <f t="shared" si="136"/>
        <v>60</v>
      </c>
      <c r="CH211" s="14">
        <f t="shared" si="137"/>
        <v>60</v>
      </c>
      <c r="CI211" s="14">
        <f t="shared" si="125"/>
        <v>7</v>
      </c>
      <c r="CJ211" s="14" t="str">
        <f t="shared" si="138"/>
        <v/>
      </c>
      <c r="CK211" s="14">
        <f t="shared" si="126"/>
        <v>97</v>
      </c>
      <c r="CL211" s="14">
        <f t="shared" si="127"/>
        <v>57</v>
      </c>
      <c r="CM211" s="14">
        <f t="shared" si="128"/>
        <v>0</v>
      </c>
      <c r="CN211" s="14">
        <f t="shared" si="129"/>
        <v>8.0500000000000007</v>
      </c>
      <c r="CO211" s="14">
        <f t="shared" si="130"/>
        <v>4.79</v>
      </c>
      <c r="CP211" s="14">
        <f t="shared" si="131"/>
        <v>0</v>
      </c>
      <c r="CQ211" s="14">
        <f t="shared" si="139"/>
        <v>11</v>
      </c>
      <c r="CR211" s="14">
        <f t="shared" si="140"/>
        <v>2</v>
      </c>
      <c r="CS211" s="14">
        <f t="shared" si="141"/>
        <v>23</v>
      </c>
      <c r="CV211" s="14">
        <f t="shared" si="132"/>
        <v>1</v>
      </c>
      <c r="CW211" s="14">
        <f t="shared" si="133"/>
        <v>2</v>
      </c>
      <c r="CX211" s="14" t="str">
        <f t="shared" si="142"/>
        <v>AtkExt</v>
      </c>
      <c r="CY211" s="14">
        <f t="shared" si="143"/>
        <v>97</v>
      </c>
      <c r="CZ211" s="14">
        <f t="shared" si="144"/>
        <v>8.0500000000000007</v>
      </c>
      <c r="DA211" s="14" t="str">
        <f t="shared" si="145"/>
        <v>DefExt</v>
      </c>
      <c r="DB211" s="14">
        <f t="shared" si="146"/>
        <v>57</v>
      </c>
      <c r="DC211" s="14">
        <f t="shared" si="147"/>
        <v>4.79</v>
      </c>
      <c r="DD211" s="14">
        <f t="shared" si="148"/>
        <v>11</v>
      </c>
      <c r="DE211" s="14">
        <f t="shared" si="149"/>
        <v>2</v>
      </c>
      <c r="DF211" s="14">
        <f t="shared" si="150"/>
        <v>23</v>
      </c>
      <c r="DG211" s="14">
        <f t="shared" si="151"/>
        <v>75</v>
      </c>
    </row>
    <row r="212" spans="77:111" ht="16.5" x14ac:dyDescent="0.2">
      <c r="BY212" s="13">
        <v>208</v>
      </c>
      <c r="BZ212" s="14">
        <f t="shared" si="134"/>
        <v>28</v>
      </c>
      <c r="CA212" s="14">
        <f t="shared" si="135"/>
        <v>2</v>
      </c>
      <c r="CB212" s="14">
        <f t="shared" si="120"/>
        <v>3</v>
      </c>
      <c r="CC212" s="14">
        <f t="shared" si="121"/>
        <v>2033028</v>
      </c>
      <c r="CD212" s="13" t="str">
        <f t="shared" si="122"/>
        <v>60级守护灵紫色-戒指</v>
      </c>
      <c r="CE212" s="14">
        <f t="shared" si="123"/>
        <v>2</v>
      </c>
      <c r="CF212" s="14">
        <f t="shared" si="124"/>
        <v>3</v>
      </c>
      <c r="CG212" s="14">
        <f t="shared" si="136"/>
        <v>60</v>
      </c>
      <c r="CH212" s="14">
        <f t="shared" si="137"/>
        <v>60</v>
      </c>
      <c r="CI212" s="14">
        <f t="shared" si="125"/>
        <v>8</v>
      </c>
      <c r="CJ212" s="14" t="str">
        <f t="shared" si="138"/>
        <v/>
      </c>
      <c r="CK212" s="14">
        <f t="shared" si="126"/>
        <v>97</v>
      </c>
      <c r="CL212" s="14">
        <f t="shared" si="127"/>
        <v>0</v>
      </c>
      <c r="CM212" s="14">
        <f t="shared" si="128"/>
        <v>602</v>
      </c>
      <c r="CN212" s="14">
        <f t="shared" si="129"/>
        <v>8.0500000000000007</v>
      </c>
      <c r="CO212" s="14">
        <f t="shared" si="130"/>
        <v>0</v>
      </c>
      <c r="CP212" s="14">
        <f t="shared" si="131"/>
        <v>50.17</v>
      </c>
      <c r="CQ212" s="14">
        <f t="shared" si="139"/>
        <v>11</v>
      </c>
      <c r="CR212" s="14">
        <f t="shared" si="140"/>
        <v>2</v>
      </c>
      <c r="CS212" s="14">
        <f t="shared" si="141"/>
        <v>23</v>
      </c>
      <c r="CV212" s="14">
        <f t="shared" si="132"/>
        <v>1</v>
      </c>
      <c r="CW212" s="14">
        <f t="shared" si="133"/>
        <v>3</v>
      </c>
      <c r="CX212" s="14" t="str">
        <f t="shared" si="142"/>
        <v>AtkExt</v>
      </c>
      <c r="CY212" s="14">
        <f t="shared" si="143"/>
        <v>97</v>
      </c>
      <c r="CZ212" s="14">
        <f t="shared" si="144"/>
        <v>8.0500000000000007</v>
      </c>
      <c r="DA212" s="14" t="str">
        <f t="shared" si="145"/>
        <v>HPExt</v>
      </c>
      <c r="DB212" s="14">
        <f t="shared" si="146"/>
        <v>602</v>
      </c>
      <c r="DC212" s="14">
        <f t="shared" si="147"/>
        <v>50.17</v>
      </c>
      <c r="DD212" s="14">
        <f t="shared" si="148"/>
        <v>11</v>
      </c>
      <c r="DE212" s="14">
        <f t="shared" si="149"/>
        <v>2</v>
      </c>
      <c r="DF212" s="14">
        <f t="shared" si="150"/>
        <v>23</v>
      </c>
      <c r="DG212" s="14">
        <f t="shared" si="151"/>
        <v>75</v>
      </c>
    </row>
    <row r="213" spans="77:111" ht="16.5" x14ac:dyDescent="0.2">
      <c r="BY213" s="13">
        <v>209</v>
      </c>
      <c r="BZ213" s="14">
        <f t="shared" si="134"/>
        <v>29</v>
      </c>
      <c r="CA213" s="14">
        <f t="shared" si="135"/>
        <v>1</v>
      </c>
      <c r="CB213" s="14">
        <f t="shared" si="120"/>
        <v>3</v>
      </c>
      <c r="CC213" s="14">
        <f t="shared" si="121"/>
        <v>2034011</v>
      </c>
      <c r="CD213" s="13" t="str">
        <f t="shared" si="122"/>
        <v>60级寄灵人橙色-武器</v>
      </c>
      <c r="CE213" s="14">
        <f t="shared" si="123"/>
        <v>1</v>
      </c>
      <c r="CF213" s="14">
        <f t="shared" si="124"/>
        <v>4</v>
      </c>
      <c r="CG213" s="14">
        <f t="shared" si="136"/>
        <v>60</v>
      </c>
      <c r="CH213" s="14">
        <f t="shared" si="137"/>
        <v>60</v>
      </c>
      <c r="CI213" s="14">
        <f t="shared" si="125"/>
        <v>1</v>
      </c>
      <c r="CJ213" s="14" t="str">
        <f t="shared" si="138"/>
        <v/>
      </c>
      <c r="CK213" s="14">
        <f t="shared" si="126"/>
        <v>328</v>
      </c>
      <c r="CL213" s="14">
        <f t="shared" si="127"/>
        <v>0</v>
      </c>
      <c r="CM213" s="14">
        <f t="shared" si="128"/>
        <v>0</v>
      </c>
      <c r="CN213" s="14">
        <f t="shared" si="129"/>
        <v>21.89</v>
      </c>
      <c r="CO213" s="14">
        <f t="shared" si="130"/>
        <v>0</v>
      </c>
      <c r="CP213" s="14">
        <f t="shared" si="131"/>
        <v>0</v>
      </c>
      <c r="CQ213" s="14">
        <f t="shared" si="139"/>
        <v>12</v>
      </c>
      <c r="CR213" s="14">
        <f t="shared" si="140"/>
        <v>3</v>
      </c>
      <c r="CS213" s="14">
        <f t="shared" si="141"/>
        <v>13</v>
      </c>
      <c r="CV213" s="14">
        <f t="shared" si="132"/>
        <v>1</v>
      </c>
      <c r="CW213" s="14">
        <f t="shared" si="133"/>
        <v>0</v>
      </c>
      <c r="CX213" s="14" t="str">
        <f t="shared" si="142"/>
        <v>AtkExt</v>
      </c>
      <c r="CY213" s="14">
        <f t="shared" si="143"/>
        <v>328</v>
      </c>
      <c r="CZ213" s="14">
        <f t="shared" si="144"/>
        <v>21.89</v>
      </c>
      <c r="DA213" s="14" t="str">
        <f t="shared" si="145"/>
        <v/>
      </c>
      <c r="DB213" s="14" t="str">
        <f t="shared" si="146"/>
        <v/>
      </c>
      <c r="DC213" s="14" t="str">
        <f t="shared" si="147"/>
        <v/>
      </c>
      <c r="DD213" s="14">
        <f t="shared" si="148"/>
        <v>12</v>
      </c>
      <c r="DE213" s="14">
        <f t="shared" si="149"/>
        <v>3</v>
      </c>
      <c r="DF213" s="14">
        <f t="shared" si="150"/>
        <v>13</v>
      </c>
      <c r="DG213" s="14">
        <f t="shared" si="151"/>
        <v>150</v>
      </c>
    </row>
    <row r="214" spans="77:111" ht="16.5" x14ac:dyDescent="0.2">
      <c r="BY214" s="13">
        <v>210</v>
      </c>
      <c r="BZ214" s="14">
        <f t="shared" si="134"/>
        <v>29</v>
      </c>
      <c r="CA214" s="14">
        <f t="shared" si="135"/>
        <v>1</v>
      </c>
      <c r="CB214" s="14">
        <f t="shared" si="120"/>
        <v>3</v>
      </c>
      <c r="CC214" s="14">
        <f t="shared" si="121"/>
        <v>2034012</v>
      </c>
      <c r="CD214" s="13" t="str">
        <f t="shared" si="122"/>
        <v>60级寄灵人橙色-头盔</v>
      </c>
      <c r="CE214" s="14">
        <f t="shared" si="123"/>
        <v>1</v>
      </c>
      <c r="CF214" s="14">
        <f t="shared" si="124"/>
        <v>4</v>
      </c>
      <c r="CG214" s="14">
        <f t="shared" si="136"/>
        <v>60</v>
      </c>
      <c r="CH214" s="14">
        <f t="shared" si="137"/>
        <v>60</v>
      </c>
      <c r="CI214" s="14">
        <f t="shared" si="125"/>
        <v>2</v>
      </c>
      <c r="CJ214" s="14" t="str">
        <f t="shared" si="138"/>
        <v/>
      </c>
      <c r="CK214" s="14">
        <f t="shared" si="126"/>
        <v>0</v>
      </c>
      <c r="CL214" s="14">
        <f t="shared" si="127"/>
        <v>79</v>
      </c>
      <c r="CM214" s="14">
        <f t="shared" si="128"/>
        <v>0</v>
      </c>
      <c r="CN214" s="14">
        <f t="shared" si="129"/>
        <v>0</v>
      </c>
      <c r="CO214" s="14">
        <f t="shared" si="130"/>
        <v>5.28</v>
      </c>
      <c r="CP214" s="14">
        <f t="shared" si="131"/>
        <v>0</v>
      </c>
      <c r="CQ214" s="14">
        <f t="shared" si="139"/>
        <v>12</v>
      </c>
      <c r="CR214" s="14">
        <f t="shared" si="140"/>
        <v>3</v>
      </c>
      <c r="CS214" s="14">
        <f t="shared" si="141"/>
        <v>13</v>
      </c>
      <c r="CV214" s="14">
        <f t="shared" si="132"/>
        <v>2</v>
      </c>
      <c r="CW214" s="14">
        <f t="shared" si="133"/>
        <v>0</v>
      </c>
      <c r="CX214" s="14" t="str">
        <f t="shared" si="142"/>
        <v>DefExt</v>
      </c>
      <c r="CY214" s="14">
        <f t="shared" si="143"/>
        <v>79</v>
      </c>
      <c r="CZ214" s="14">
        <f t="shared" si="144"/>
        <v>5.28</v>
      </c>
      <c r="DA214" s="14" t="str">
        <f t="shared" si="145"/>
        <v/>
      </c>
      <c r="DB214" s="14" t="str">
        <f t="shared" si="146"/>
        <v/>
      </c>
      <c r="DC214" s="14" t="str">
        <f t="shared" si="147"/>
        <v/>
      </c>
      <c r="DD214" s="14">
        <f t="shared" si="148"/>
        <v>12</v>
      </c>
      <c r="DE214" s="14">
        <f t="shared" si="149"/>
        <v>3</v>
      </c>
      <c r="DF214" s="14">
        <f t="shared" si="150"/>
        <v>13</v>
      </c>
      <c r="DG214" s="14">
        <f t="shared" si="151"/>
        <v>150</v>
      </c>
    </row>
    <row r="215" spans="77:111" ht="16.5" x14ac:dyDescent="0.2">
      <c r="BY215" s="13">
        <v>211</v>
      </c>
      <c r="BZ215" s="14">
        <f t="shared" si="134"/>
        <v>29</v>
      </c>
      <c r="CA215" s="14">
        <f t="shared" si="135"/>
        <v>1</v>
      </c>
      <c r="CB215" s="14">
        <f t="shared" si="120"/>
        <v>3</v>
      </c>
      <c r="CC215" s="14">
        <f t="shared" si="121"/>
        <v>2034013</v>
      </c>
      <c r="CD215" s="13" t="str">
        <f t="shared" si="122"/>
        <v>60级寄灵人橙色-肩甲</v>
      </c>
      <c r="CE215" s="14">
        <f t="shared" si="123"/>
        <v>1</v>
      </c>
      <c r="CF215" s="14">
        <f t="shared" si="124"/>
        <v>4</v>
      </c>
      <c r="CG215" s="14">
        <f t="shared" si="136"/>
        <v>60</v>
      </c>
      <c r="CH215" s="14">
        <f t="shared" si="137"/>
        <v>60</v>
      </c>
      <c r="CI215" s="14">
        <f t="shared" si="125"/>
        <v>3</v>
      </c>
      <c r="CJ215" s="14" t="str">
        <f t="shared" si="138"/>
        <v/>
      </c>
      <c r="CK215" s="14">
        <f t="shared" si="126"/>
        <v>0</v>
      </c>
      <c r="CL215" s="14">
        <f t="shared" si="127"/>
        <v>40</v>
      </c>
      <c r="CM215" s="14">
        <f t="shared" si="128"/>
        <v>254</v>
      </c>
      <c r="CN215" s="14">
        <f t="shared" si="129"/>
        <v>0</v>
      </c>
      <c r="CO215" s="14">
        <f t="shared" si="130"/>
        <v>2.64</v>
      </c>
      <c r="CP215" s="14">
        <f t="shared" si="131"/>
        <v>16.920000000000002</v>
      </c>
      <c r="CQ215" s="14">
        <f t="shared" si="139"/>
        <v>12</v>
      </c>
      <c r="CR215" s="14">
        <f t="shared" si="140"/>
        <v>3</v>
      </c>
      <c r="CS215" s="14">
        <f t="shared" si="141"/>
        <v>13</v>
      </c>
      <c r="CV215" s="14">
        <f t="shared" si="132"/>
        <v>2</v>
      </c>
      <c r="CW215" s="14">
        <f t="shared" si="133"/>
        <v>3</v>
      </c>
      <c r="CX215" s="14" t="str">
        <f t="shared" si="142"/>
        <v>DefExt</v>
      </c>
      <c r="CY215" s="14">
        <f t="shared" si="143"/>
        <v>40</v>
      </c>
      <c r="CZ215" s="14">
        <f t="shared" si="144"/>
        <v>2.64</v>
      </c>
      <c r="DA215" s="14" t="str">
        <f t="shared" si="145"/>
        <v>HPExt</v>
      </c>
      <c r="DB215" s="14">
        <f t="shared" si="146"/>
        <v>254</v>
      </c>
      <c r="DC215" s="14">
        <f t="shared" si="147"/>
        <v>16.920000000000002</v>
      </c>
      <c r="DD215" s="14">
        <f t="shared" si="148"/>
        <v>12</v>
      </c>
      <c r="DE215" s="14">
        <f t="shared" si="149"/>
        <v>3</v>
      </c>
      <c r="DF215" s="14">
        <f t="shared" si="150"/>
        <v>13</v>
      </c>
      <c r="DG215" s="14">
        <f t="shared" si="151"/>
        <v>150</v>
      </c>
    </row>
    <row r="216" spans="77:111" ht="16.5" x14ac:dyDescent="0.2">
      <c r="BY216" s="13">
        <v>212</v>
      </c>
      <c r="BZ216" s="14">
        <f t="shared" si="134"/>
        <v>29</v>
      </c>
      <c r="CA216" s="14">
        <f t="shared" si="135"/>
        <v>1</v>
      </c>
      <c r="CB216" s="14">
        <f t="shared" si="120"/>
        <v>3</v>
      </c>
      <c r="CC216" s="14">
        <f t="shared" si="121"/>
        <v>2034014</v>
      </c>
      <c r="CD216" s="13" t="str">
        <f t="shared" si="122"/>
        <v>60级寄灵人橙色-衣服</v>
      </c>
      <c r="CE216" s="14">
        <f t="shared" si="123"/>
        <v>1</v>
      </c>
      <c r="CF216" s="14">
        <f t="shared" si="124"/>
        <v>4</v>
      </c>
      <c r="CG216" s="14">
        <f t="shared" si="136"/>
        <v>60</v>
      </c>
      <c r="CH216" s="14">
        <f t="shared" si="137"/>
        <v>60</v>
      </c>
      <c r="CI216" s="14">
        <f t="shared" si="125"/>
        <v>4</v>
      </c>
      <c r="CJ216" s="14" t="str">
        <f t="shared" si="138"/>
        <v/>
      </c>
      <c r="CK216" s="14">
        <f t="shared" si="126"/>
        <v>0</v>
      </c>
      <c r="CL216" s="14">
        <f t="shared" si="127"/>
        <v>79</v>
      </c>
      <c r="CM216" s="14">
        <f t="shared" si="128"/>
        <v>0</v>
      </c>
      <c r="CN216" s="14">
        <f t="shared" si="129"/>
        <v>0</v>
      </c>
      <c r="CO216" s="14">
        <f t="shared" si="130"/>
        <v>5.28</v>
      </c>
      <c r="CP216" s="14">
        <f t="shared" si="131"/>
        <v>0</v>
      </c>
      <c r="CQ216" s="14">
        <f t="shared" si="139"/>
        <v>12</v>
      </c>
      <c r="CR216" s="14">
        <f t="shared" si="140"/>
        <v>3</v>
      </c>
      <c r="CS216" s="14">
        <f t="shared" si="141"/>
        <v>13</v>
      </c>
      <c r="CV216" s="14">
        <f t="shared" si="132"/>
        <v>2</v>
      </c>
      <c r="CW216" s="14">
        <f t="shared" si="133"/>
        <v>0</v>
      </c>
      <c r="CX216" s="14" t="str">
        <f t="shared" si="142"/>
        <v>DefExt</v>
      </c>
      <c r="CY216" s="14">
        <f t="shared" si="143"/>
        <v>79</v>
      </c>
      <c r="CZ216" s="14">
        <f t="shared" si="144"/>
        <v>5.28</v>
      </c>
      <c r="DA216" s="14" t="str">
        <f t="shared" si="145"/>
        <v/>
      </c>
      <c r="DB216" s="14" t="str">
        <f t="shared" si="146"/>
        <v/>
      </c>
      <c r="DC216" s="14" t="str">
        <f t="shared" si="147"/>
        <v/>
      </c>
      <c r="DD216" s="14">
        <f t="shared" si="148"/>
        <v>12</v>
      </c>
      <c r="DE216" s="14">
        <f t="shared" si="149"/>
        <v>3</v>
      </c>
      <c r="DF216" s="14">
        <f t="shared" si="150"/>
        <v>13</v>
      </c>
      <c r="DG216" s="14">
        <f t="shared" si="151"/>
        <v>150</v>
      </c>
    </row>
    <row r="217" spans="77:111" ht="16.5" x14ac:dyDescent="0.2">
      <c r="BY217" s="13">
        <v>213</v>
      </c>
      <c r="BZ217" s="14">
        <f t="shared" si="134"/>
        <v>29</v>
      </c>
      <c r="CA217" s="14">
        <f t="shared" si="135"/>
        <v>1</v>
      </c>
      <c r="CB217" s="14">
        <f t="shared" si="120"/>
        <v>3</v>
      </c>
      <c r="CC217" s="14">
        <f t="shared" si="121"/>
        <v>2034015</v>
      </c>
      <c r="CD217" s="13" t="str">
        <f t="shared" si="122"/>
        <v>60级寄灵人橙色-鞋子</v>
      </c>
      <c r="CE217" s="14">
        <f t="shared" si="123"/>
        <v>1</v>
      </c>
      <c r="CF217" s="14">
        <f t="shared" si="124"/>
        <v>4</v>
      </c>
      <c r="CG217" s="14">
        <f t="shared" si="136"/>
        <v>60</v>
      </c>
      <c r="CH217" s="14">
        <f t="shared" si="137"/>
        <v>60</v>
      </c>
      <c r="CI217" s="14">
        <f t="shared" si="125"/>
        <v>5</v>
      </c>
      <c r="CJ217" s="14" t="str">
        <f t="shared" si="138"/>
        <v/>
      </c>
      <c r="CK217" s="14">
        <f t="shared" si="126"/>
        <v>0</v>
      </c>
      <c r="CL217" s="14">
        <f t="shared" si="127"/>
        <v>0</v>
      </c>
      <c r="CM217" s="14">
        <f t="shared" si="128"/>
        <v>507</v>
      </c>
      <c r="CN217" s="14">
        <f t="shared" si="129"/>
        <v>0</v>
      </c>
      <c r="CO217" s="14">
        <f t="shared" si="130"/>
        <v>0</v>
      </c>
      <c r="CP217" s="14">
        <f t="shared" si="131"/>
        <v>33.83</v>
      </c>
      <c r="CQ217" s="14">
        <f t="shared" si="139"/>
        <v>12</v>
      </c>
      <c r="CR217" s="14">
        <f t="shared" si="140"/>
        <v>3</v>
      </c>
      <c r="CS217" s="14">
        <f t="shared" si="141"/>
        <v>13</v>
      </c>
      <c r="CV217" s="14">
        <f t="shared" si="132"/>
        <v>3</v>
      </c>
      <c r="CW217" s="14">
        <f t="shared" si="133"/>
        <v>0</v>
      </c>
      <c r="CX217" s="14" t="str">
        <f t="shared" si="142"/>
        <v>HPExt</v>
      </c>
      <c r="CY217" s="14">
        <f t="shared" si="143"/>
        <v>507</v>
      </c>
      <c r="CZ217" s="14">
        <f t="shared" si="144"/>
        <v>33.83</v>
      </c>
      <c r="DA217" s="14" t="str">
        <f t="shared" si="145"/>
        <v/>
      </c>
      <c r="DB217" s="14" t="str">
        <f t="shared" si="146"/>
        <v/>
      </c>
      <c r="DC217" s="14" t="str">
        <f t="shared" si="147"/>
        <v/>
      </c>
      <c r="DD217" s="14">
        <f t="shared" si="148"/>
        <v>12</v>
      </c>
      <c r="DE217" s="14">
        <f t="shared" si="149"/>
        <v>3</v>
      </c>
      <c r="DF217" s="14">
        <f t="shared" si="150"/>
        <v>13</v>
      </c>
      <c r="DG217" s="14">
        <f t="shared" si="151"/>
        <v>150</v>
      </c>
    </row>
    <row r="218" spans="77:111" ht="16.5" x14ac:dyDescent="0.2">
      <c r="BY218" s="13">
        <v>214</v>
      </c>
      <c r="BZ218" s="14">
        <f t="shared" si="134"/>
        <v>29</v>
      </c>
      <c r="CA218" s="14">
        <f t="shared" si="135"/>
        <v>1</v>
      </c>
      <c r="CB218" s="14">
        <f t="shared" si="120"/>
        <v>3</v>
      </c>
      <c r="CC218" s="14">
        <f t="shared" si="121"/>
        <v>2034016</v>
      </c>
      <c r="CD218" s="13" t="str">
        <f t="shared" si="122"/>
        <v>60级寄灵人橙色-护手</v>
      </c>
      <c r="CE218" s="14">
        <f t="shared" si="123"/>
        <v>1</v>
      </c>
      <c r="CF218" s="14">
        <f t="shared" si="124"/>
        <v>4</v>
      </c>
      <c r="CG218" s="14">
        <f t="shared" si="136"/>
        <v>60</v>
      </c>
      <c r="CH218" s="14">
        <f t="shared" si="137"/>
        <v>60</v>
      </c>
      <c r="CI218" s="14">
        <f t="shared" si="125"/>
        <v>6</v>
      </c>
      <c r="CJ218" s="14" t="str">
        <f t="shared" si="138"/>
        <v/>
      </c>
      <c r="CK218" s="14">
        <f t="shared" si="126"/>
        <v>0</v>
      </c>
      <c r="CL218" s="14">
        <f t="shared" si="127"/>
        <v>0</v>
      </c>
      <c r="CM218" s="14">
        <f t="shared" si="128"/>
        <v>507</v>
      </c>
      <c r="CN218" s="14">
        <f t="shared" si="129"/>
        <v>0</v>
      </c>
      <c r="CO218" s="14">
        <f t="shared" si="130"/>
        <v>0</v>
      </c>
      <c r="CP218" s="14">
        <f t="shared" si="131"/>
        <v>33.83</v>
      </c>
      <c r="CQ218" s="14">
        <f t="shared" si="139"/>
        <v>12</v>
      </c>
      <c r="CR218" s="14">
        <f t="shared" si="140"/>
        <v>3</v>
      </c>
      <c r="CS218" s="14">
        <f t="shared" si="141"/>
        <v>13</v>
      </c>
      <c r="CV218" s="14">
        <f t="shared" si="132"/>
        <v>3</v>
      </c>
      <c r="CW218" s="14">
        <f t="shared" si="133"/>
        <v>0</v>
      </c>
      <c r="CX218" s="14" t="str">
        <f t="shared" si="142"/>
        <v>HPExt</v>
      </c>
      <c r="CY218" s="14">
        <f t="shared" si="143"/>
        <v>507</v>
      </c>
      <c r="CZ218" s="14">
        <f t="shared" si="144"/>
        <v>33.83</v>
      </c>
      <c r="DA218" s="14" t="str">
        <f t="shared" si="145"/>
        <v/>
      </c>
      <c r="DB218" s="14" t="str">
        <f t="shared" si="146"/>
        <v/>
      </c>
      <c r="DC218" s="14" t="str">
        <f t="shared" si="147"/>
        <v/>
      </c>
      <c r="DD218" s="14">
        <f t="shared" si="148"/>
        <v>12</v>
      </c>
      <c r="DE218" s="14">
        <f t="shared" si="149"/>
        <v>3</v>
      </c>
      <c r="DF218" s="14">
        <f t="shared" si="150"/>
        <v>13</v>
      </c>
      <c r="DG218" s="14">
        <f t="shared" si="151"/>
        <v>150</v>
      </c>
    </row>
    <row r="219" spans="77:111" ht="16.5" x14ac:dyDescent="0.2">
      <c r="BY219" s="13">
        <v>215</v>
      </c>
      <c r="BZ219" s="14">
        <f t="shared" si="134"/>
        <v>29</v>
      </c>
      <c r="CA219" s="14">
        <f t="shared" si="135"/>
        <v>1</v>
      </c>
      <c r="CB219" s="14">
        <f t="shared" si="120"/>
        <v>3</v>
      </c>
      <c r="CC219" s="14">
        <f t="shared" si="121"/>
        <v>2034017</v>
      </c>
      <c r="CD219" s="13" t="str">
        <f t="shared" si="122"/>
        <v>60级寄灵人橙色-项链</v>
      </c>
      <c r="CE219" s="14">
        <f t="shared" si="123"/>
        <v>1</v>
      </c>
      <c r="CF219" s="14">
        <f t="shared" si="124"/>
        <v>4</v>
      </c>
      <c r="CG219" s="14">
        <f t="shared" si="136"/>
        <v>60</v>
      </c>
      <c r="CH219" s="14">
        <f t="shared" si="137"/>
        <v>60</v>
      </c>
      <c r="CI219" s="14">
        <f t="shared" si="125"/>
        <v>7</v>
      </c>
      <c r="CJ219" s="14" t="str">
        <f t="shared" si="138"/>
        <v/>
      </c>
      <c r="CK219" s="14">
        <f t="shared" si="126"/>
        <v>109</v>
      </c>
      <c r="CL219" s="14">
        <f t="shared" si="127"/>
        <v>66</v>
      </c>
      <c r="CM219" s="14">
        <f t="shared" si="128"/>
        <v>0</v>
      </c>
      <c r="CN219" s="14">
        <f t="shared" si="129"/>
        <v>7.3</v>
      </c>
      <c r="CO219" s="14">
        <f t="shared" si="130"/>
        <v>4.4000000000000004</v>
      </c>
      <c r="CP219" s="14">
        <f t="shared" si="131"/>
        <v>0</v>
      </c>
      <c r="CQ219" s="14">
        <f t="shared" si="139"/>
        <v>12</v>
      </c>
      <c r="CR219" s="14">
        <f t="shared" si="140"/>
        <v>3</v>
      </c>
      <c r="CS219" s="14">
        <f t="shared" si="141"/>
        <v>13</v>
      </c>
      <c r="CV219" s="14">
        <f t="shared" si="132"/>
        <v>1</v>
      </c>
      <c r="CW219" s="14">
        <f t="shared" si="133"/>
        <v>2</v>
      </c>
      <c r="CX219" s="14" t="str">
        <f t="shared" si="142"/>
        <v>AtkExt</v>
      </c>
      <c r="CY219" s="14">
        <f t="shared" si="143"/>
        <v>109</v>
      </c>
      <c r="CZ219" s="14">
        <f t="shared" si="144"/>
        <v>7.3</v>
      </c>
      <c r="DA219" s="14" t="str">
        <f t="shared" si="145"/>
        <v>DefExt</v>
      </c>
      <c r="DB219" s="14">
        <f t="shared" si="146"/>
        <v>66</v>
      </c>
      <c r="DC219" s="14">
        <f t="shared" si="147"/>
        <v>4.4000000000000004</v>
      </c>
      <c r="DD219" s="14">
        <f t="shared" si="148"/>
        <v>12</v>
      </c>
      <c r="DE219" s="14">
        <f t="shared" si="149"/>
        <v>3</v>
      </c>
      <c r="DF219" s="14">
        <f t="shared" si="150"/>
        <v>13</v>
      </c>
      <c r="DG219" s="14">
        <f t="shared" si="151"/>
        <v>150</v>
      </c>
    </row>
    <row r="220" spans="77:111" ht="16.5" x14ac:dyDescent="0.2">
      <c r="BY220" s="13">
        <v>216</v>
      </c>
      <c r="BZ220" s="14">
        <f t="shared" si="134"/>
        <v>29</v>
      </c>
      <c r="CA220" s="14">
        <f t="shared" si="135"/>
        <v>1</v>
      </c>
      <c r="CB220" s="14">
        <f t="shared" si="120"/>
        <v>3</v>
      </c>
      <c r="CC220" s="14">
        <f t="shared" si="121"/>
        <v>2034018</v>
      </c>
      <c r="CD220" s="13" t="str">
        <f t="shared" si="122"/>
        <v>60级寄灵人橙色-戒指</v>
      </c>
      <c r="CE220" s="14">
        <f t="shared" si="123"/>
        <v>1</v>
      </c>
      <c r="CF220" s="14">
        <f t="shared" si="124"/>
        <v>4</v>
      </c>
      <c r="CG220" s="14">
        <f t="shared" si="136"/>
        <v>60</v>
      </c>
      <c r="CH220" s="14">
        <f t="shared" si="137"/>
        <v>60</v>
      </c>
      <c r="CI220" s="14">
        <f t="shared" si="125"/>
        <v>8</v>
      </c>
      <c r="CJ220" s="14" t="str">
        <f t="shared" si="138"/>
        <v/>
      </c>
      <c r="CK220" s="14">
        <f t="shared" si="126"/>
        <v>109</v>
      </c>
      <c r="CL220" s="14">
        <f t="shared" si="127"/>
        <v>0</v>
      </c>
      <c r="CM220" s="14">
        <f t="shared" si="128"/>
        <v>423</v>
      </c>
      <c r="CN220" s="14">
        <f t="shared" si="129"/>
        <v>7.3</v>
      </c>
      <c r="CO220" s="14">
        <f t="shared" si="130"/>
        <v>0</v>
      </c>
      <c r="CP220" s="14">
        <f t="shared" si="131"/>
        <v>28.19</v>
      </c>
      <c r="CQ220" s="14">
        <f t="shared" si="139"/>
        <v>12</v>
      </c>
      <c r="CR220" s="14">
        <f t="shared" si="140"/>
        <v>3</v>
      </c>
      <c r="CS220" s="14">
        <f t="shared" si="141"/>
        <v>13</v>
      </c>
      <c r="CV220" s="14">
        <f t="shared" si="132"/>
        <v>1</v>
      </c>
      <c r="CW220" s="14">
        <f t="shared" si="133"/>
        <v>3</v>
      </c>
      <c r="CX220" s="14" t="str">
        <f t="shared" si="142"/>
        <v>AtkExt</v>
      </c>
      <c r="CY220" s="14">
        <f t="shared" si="143"/>
        <v>109</v>
      </c>
      <c r="CZ220" s="14">
        <f t="shared" si="144"/>
        <v>7.3</v>
      </c>
      <c r="DA220" s="14" t="str">
        <f t="shared" si="145"/>
        <v>HPExt</v>
      </c>
      <c r="DB220" s="14">
        <f t="shared" si="146"/>
        <v>423</v>
      </c>
      <c r="DC220" s="14">
        <f t="shared" si="147"/>
        <v>28.19</v>
      </c>
      <c r="DD220" s="14">
        <f t="shared" si="148"/>
        <v>12</v>
      </c>
      <c r="DE220" s="14">
        <f t="shared" si="149"/>
        <v>3</v>
      </c>
      <c r="DF220" s="14">
        <f t="shared" si="150"/>
        <v>13</v>
      </c>
      <c r="DG220" s="14">
        <f t="shared" si="151"/>
        <v>150</v>
      </c>
    </row>
    <row r="221" spans="77:111" ht="16.5" x14ac:dyDescent="0.2">
      <c r="BY221" s="13">
        <v>217</v>
      </c>
      <c r="BZ221" s="14">
        <f t="shared" si="134"/>
        <v>30</v>
      </c>
      <c r="CA221" s="14">
        <f t="shared" si="135"/>
        <v>2</v>
      </c>
      <c r="CB221" s="14">
        <f t="shared" si="120"/>
        <v>3</v>
      </c>
      <c r="CC221" s="14">
        <f t="shared" si="121"/>
        <v>2034021</v>
      </c>
      <c r="CD221" s="13" t="str">
        <f t="shared" si="122"/>
        <v>60级守护灵橙色-武器</v>
      </c>
      <c r="CE221" s="14">
        <f t="shared" si="123"/>
        <v>2</v>
      </c>
      <c r="CF221" s="14">
        <f t="shared" si="124"/>
        <v>4</v>
      </c>
      <c r="CG221" s="14">
        <f t="shared" si="136"/>
        <v>60</v>
      </c>
      <c r="CH221" s="14">
        <f t="shared" si="137"/>
        <v>60</v>
      </c>
      <c r="CI221" s="14">
        <f t="shared" si="125"/>
        <v>1</v>
      </c>
      <c r="CJ221" s="14" t="str">
        <f t="shared" si="138"/>
        <v/>
      </c>
      <c r="CK221" s="14">
        <f t="shared" si="126"/>
        <v>362</v>
      </c>
      <c r="CL221" s="14">
        <f t="shared" si="127"/>
        <v>0</v>
      </c>
      <c r="CM221" s="14">
        <f t="shared" si="128"/>
        <v>0</v>
      </c>
      <c r="CN221" s="14">
        <f t="shared" si="129"/>
        <v>24.14</v>
      </c>
      <c r="CO221" s="14">
        <f t="shared" si="130"/>
        <v>0</v>
      </c>
      <c r="CP221" s="14">
        <f t="shared" si="131"/>
        <v>0</v>
      </c>
      <c r="CQ221" s="14">
        <f t="shared" si="139"/>
        <v>12</v>
      </c>
      <c r="CR221" s="14">
        <f t="shared" si="140"/>
        <v>3</v>
      </c>
      <c r="CS221" s="14">
        <f t="shared" si="141"/>
        <v>23</v>
      </c>
      <c r="CV221" s="14">
        <f t="shared" si="132"/>
        <v>1</v>
      </c>
      <c r="CW221" s="14">
        <f t="shared" si="133"/>
        <v>0</v>
      </c>
      <c r="CX221" s="14" t="str">
        <f t="shared" si="142"/>
        <v>AtkExt</v>
      </c>
      <c r="CY221" s="14">
        <f t="shared" si="143"/>
        <v>362</v>
      </c>
      <c r="CZ221" s="14">
        <f t="shared" si="144"/>
        <v>24.14</v>
      </c>
      <c r="DA221" s="14" t="str">
        <f t="shared" si="145"/>
        <v/>
      </c>
      <c r="DB221" s="14" t="str">
        <f t="shared" si="146"/>
        <v/>
      </c>
      <c r="DC221" s="14" t="str">
        <f t="shared" si="147"/>
        <v/>
      </c>
      <c r="DD221" s="14">
        <f t="shared" si="148"/>
        <v>12</v>
      </c>
      <c r="DE221" s="14">
        <f t="shared" si="149"/>
        <v>3</v>
      </c>
      <c r="DF221" s="14">
        <f t="shared" si="150"/>
        <v>23</v>
      </c>
      <c r="DG221" s="14">
        <f t="shared" si="151"/>
        <v>150</v>
      </c>
    </row>
    <row r="222" spans="77:111" ht="16.5" x14ac:dyDescent="0.2">
      <c r="BY222" s="13">
        <v>218</v>
      </c>
      <c r="BZ222" s="14">
        <f t="shared" si="134"/>
        <v>30</v>
      </c>
      <c r="CA222" s="14">
        <f t="shared" si="135"/>
        <v>2</v>
      </c>
      <c r="CB222" s="14">
        <f t="shared" si="120"/>
        <v>3</v>
      </c>
      <c r="CC222" s="14">
        <f t="shared" si="121"/>
        <v>2034022</v>
      </c>
      <c r="CD222" s="13" t="str">
        <f t="shared" si="122"/>
        <v>60级守护灵橙色-头盔</v>
      </c>
      <c r="CE222" s="14">
        <f t="shared" si="123"/>
        <v>2</v>
      </c>
      <c r="CF222" s="14">
        <f t="shared" si="124"/>
        <v>4</v>
      </c>
      <c r="CG222" s="14">
        <f t="shared" si="136"/>
        <v>60</v>
      </c>
      <c r="CH222" s="14">
        <f t="shared" si="137"/>
        <v>60</v>
      </c>
      <c r="CI222" s="14">
        <f t="shared" si="125"/>
        <v>2</v>
      </c>
      <c r="CJ222" s="14" t="str">
        <f t="shared" si="138"/>
        <v/>
      </c>
      <c r="CK222" s="14">
        <f t="shared" si="126"/>
        <v>0</v>
      </c>
      <c r="CL222" s="14">
        <f t="shared" si="127"/>
        <v>86</v>
      </c>
      <c r="CM222" s="14">
        <f t="shared" si="128"/>
        <v>0</v>
      </c>
      <c r="CN222" s="14">
        <f t="shared" si="129"/>
        <v>0</v>
      </c>
      <c r="CO222" s="14">
        <f t="shared" si="130"/>
        <v>5.75</v>
      </c>
      <c r="CP222" s="14">
        <f t="shared" si="131"/>
        <v>0</v>
      </c>
      <c r="CQ222" s="14">
        <f t="shared" si="139"/>
        <v>12</v>
      </c>
      <c r="CR222" s="14">
        <f t="shared" si="140"/>
        <v>3</v>
      </c>
      <c r="CS222" s="14">
        <f t="shared" si="141"/>
        <v>23</v>
      </c>
      <c r="CV222" s="14">
        <f t="shared" si="132"/>
        <v>2</v>
      </c>
      <c r="CW222" s="14">
        <f t="shared" si="133"/>
        <v>0</v>
      </c>
      <c r="CX222" s="14" t="str">
        <f t="shared" si="142"/>
        <v>DefExt</v>
      </c>
      <c r="CY222" s="14">
        <f t="shared" si="143"/>
        <v>86</v>
      </c>
      <c r="CZ222" s="14">
        <f t="shared" si="144"/>
        <v>5.75</v>
      </c>
      <c r="DA222" s="14" t="str">
        <f t="shared" si="145"/>
        <v/>
      </c>
      <c r="DB222" s="14" t="str">
        <f t="shared" si="146"/>
        <v/>
      </c>
      <c r="DC222" s="14" t="str">
        <f t="shared" si="147"/>
        <v/>
      </c>
      <c r="DD222" s="14">
        <f t="shared" si="148"/>
        <v>12</v>
      </c>
      <c r="DE222" s="14">
        <f t="shared" si="149"/>
        <v>3</v>
      </c>
      <c r="DF222" s="14">
        <f t="shared" si="150"/>
        <v>23</v>
      </c>
      <c r="DG222" s="14">
        <f t="shared" si="151"/>
        <v>150</v>
      </c>
    </row>
    <row r="223" spans="77:111" ht="16.5" x14ac:dyDescent="0.2">
      <c r="BY223" s="13">
        <v>219</v>
      </c>
      <c r="BZ223" s="14">
        <f t="shared" si="134"/>
        <v>30</v>
      </c>
      <c r="CA223" s="14">
        <f t="shared" si="135"/>
        <v>2</v>
      </c>
      <c r="CB223" s="14">
        <f t="shared" si="120"/>
        <v>3</v>
      </c>
      <c r="CC223" s="14">
        <f t="shared" si="121"/>
        <v>2034023</v>
      </c>
      <c r="CD223" s="13" t="str">
        <f t="shared" si="122"/>
        <v>60级守护灵橙色-肩甲</v>
      </c>
      <c r="CE223" s="14">
        <f t="shared" si="123"/>
        <v>2</v>
      </c>
      <c r="CF223" s="14">
        <f t="shared" si="124"/>
        <v>4</v>
      </c>
      <c r="CG223" s="14">
        <f t="shared" si="136"/>
        <v>60</v>
      </c>
      <c r="CH223" s="14">
        <f t="shared" si="137"/>
        <v>60</v>
      </c>
      <c r="CI223" s="14">
        <f t="shared" si="125"/>
        <v>3</v>
      </c>
      <c r="CJ223" s="14" t="str">
        <f t="shared" si="138"/>
        <v/>
      </c>
      <c r="CK223" s="14">
        <f t="shared" si="126"/>
        <v>0</v>
      </c>
      <c r="CL223" s="14">
        <f t="shared" si="127"/>
        <v>43</v>
      </c>
      <c r="CM223" s="14">
        <f t="shared" si="128"/>
        <v>452</v>
      </c>
      <c r="CN223" s="14">
        <f t="shared" si="129"/>
        <v>0</v>
      </c>
      <c r="CO223" s="14">
        <f t="shared" si="130"/>
        <v>2.87</v>
      </c>
      <c r="CP223" s="14">
        <f t="shared" si="131"/>
        <v>30.1</v>
      </c>
      <c r="CQ223" s="14">
        <f t="shared" si="139"/>
        <v>12</v>
      </c>
      <c r="CR223" s="14">
        <f t="shared" si="140"/>
        <v>3</v>
      </c>
      <c r="CS223" s="14">
        <f t="shared" si="141"/>
        <v>23</v>
      </c>
      <c r="CV223" s="14">
        <f t="shared" si="132"/>
        <v>2</v>
      </c>
      <c r="CW223" s="14">
        <f t="shared" si="133"/>
        <v>3</v>
      </c>
      <c r="CX223" s="14" t="str">
        <f t="shared" si="142"/>
        <v>DefExt</v>
      </c>
      <c r="CY223" s="14">
        <f t="shared" si="143"/>
        <v>43</v>
      </c>
      <c r="CZ223" s="14">
        <f t="shared" si="144"/>
        <v>2.87</v>
      </c>
      <c r="DA223" s="14" t="str">
        <f t="shared" si="145"/>
        <v>HPExt</v>
      </c>
      <c r="DB223" s="14">
        <f t="shared" si="146"/>
        <v>452</v>
      </c>
      <c r="DC223" s="14">
        <f t="shared" si="147"/>
        <v>30.1</v>
      </c>
      <c r="DD223" s="14">
        <f t="shared" si="148"/>
        <v>12</v>
      </c>
      <c r="DE223" s="14">
        <f t="shared" si="149"/>
        <v>3</v>
      </c>
      <c r="DF223" s="14">
        <f t="shared" si="150"/>
        <v>23</v>
      </c>
      <c r="DG223" s="14">
        <f t="shared" si="151"/>
        <v>150</v>
      </c>
    </row>
    <row r="224" spans="77:111" ht="16.5" x14ac:dyDescent="0.2">
      <c r="BY224" s="13">
        <v>220</v>
      </c>
      <c r="BZ224" s="14">
        <f t="shared" si="134"/>
        <v>30</v>
      </c>
      <c r="CA224" s="14">
        <f t="shared" si="135"/>
        <v>2</v>
      </c>
      <c r="CB224" s="14">
        <f t="shared" si="120"/>
        <v>3</v>
      </c>
      <c r="CC224" s="14">
        <f t="shared" si="121"/>
        <v>2034024</v>
      </c>
      <c r="CD224" s="13" t="str">
        <f t="shared" si="122"/>
        <v>60级守护灵橙色-衣服</v>
      </c>
      <c r="CE224" s="14">
        <f t="shared" si="123"/>
        <v>2</v>
      </c>
      <c r="CF224" s="14">
        <f t="shared" si="124"/>
        <v>4</v>
      </c>
      <c r="CG224" s="14">
        <f t="shared" si="136"/>
        <v>60</v>
      </c>
      <c r="CH224" s="14">
        <f t="shared" si="137"/>
        <v>60</v>
      </c>
      <c r="CI224" s="14">
        <f t="shared" si="125"/>
        <v>4</v>
      </c>
      <c r="CJ224" s="14" t="str">
        <f t="shared" si="138"/>
        <v/>
      </c>
      <c r="CK224" s="14">
        <f t="shared" si="126"/>
        <v>0</v>
      </c>
      <c r="CL224" s="14">
        <f t="shared" si="127"/>
        <v>86</v>
      </c>
      <c r="CM224" s="14">
        <f t="shared" si="128"/>
        <v>0</v>
      </c>
      <c r="CN224" s="14">
        <f t="shared" si="129"/>
        <v>0</v>
      </c>
      <c r="CO224" s="14">
        <f t="shared" si="130"/>
        <v>5.75</v>
      </c>
      <c r="CP224" s="14">
        <f t="shared" si="131"/>
        <v>0</v>
      </c>
      <c r="CQ224" s="14">
        <f t="shared" si="139"/>
        <v>12</v>
      </c>
      <c r="CR224" s="14">
        <f t="shared" si="140"/>
        <v>3</v>
      </c>
      <c r="CS224" s="14">
        <f t="shared" si="141"/>
        <v>23</v>
      </c>
      <c r="CV224" s="14">
        <f t="shared" si="132"/>
        <v>2</v>
      </c>
      <c r="CW224" s="14">
        <f t="shared" si="133"/>
        <v>0</v>
      </c>
      <c r="CX224" s="14" t="str">
        <f t="shared" si="142"/>
        <v>DefExt</v>
      </c>
      <c r="CY224" s="14">
        <f t="shared" si="143"/>
        <v>86</v>
      </c>
      <c r="CZ224" s="14">
        <f t="shared" si="144"/>
        <v>5.75</v>
      </c>
      <c r="DA224" s="14" t="str">
        <f t="shared" si="145"/>
        <v/>
      </c>
      <c r="DB224" s="14" t="str">
        <f t="shared" si="146"/>
        <v/>
      </c>
      <c r="DC224" s="14" t="str">
        <f t="shared" si="147"/>
        <v/>
      </c>
      <c r="DD224" s="14">
        <f t="shared" si="148"/>
        <v>12</v>
      </c>
      <c r="DE224" s="14">
        <f t="shared" si="149"/>
        <v>3</v>
      </c>
      <c r="DF224" s="14">
        <f t="shared" si="150"/>
        <v>23</v>
      </c>
      <c r="DG224" s="14">
        <f t="shared" si="151"/>
        <v>150</v>
      </c>
    </row>
    <row r="225" spans="77:111" ht="16.5" x14ac:dyDescent="0.2">
      <c r="BY225" s="13">
        <v>221</v>
      </c>
      <c r="BZ225" s="14">
        <f t="shared" si="134"/>
        <v>30</v>
      </c>
      <c r="CA225" s="14">
        <f t="shared" si="135"/>
        <v>2</v>
      </c>
      <c r="CB225" s="14">
        <f t="shared" si="120"/>
        <v>3</v>
      </c>
      <c r="CC225" s="14">
        <f t="shared" si="121"/>
        <v>2034025</v>
      </c>
      <c r="CD225" s="13" t="str">
        <f t="shared" si="122"/>
        <v>60级守护灵橙色-鞋子</v>
      </c>
      <c r="CE225" s="14">
        <f t="shared" si="123"/>
        <v>2</v>
      </c>
      <c r="CF225" s="14">
        <f t="shared" si="124"/>
        <v>4</v>
      </c>
      <c r="CG225" s="14">
        <f t="shared" si="136"/>
        <v>60</v>
      </c>
      <c r="CH225" s="14">
        <f t="shared" si="137"/>
        <v>60</v>
      </c>
      <c r="CI225" s="14">
        <f t="shared" si="125"/>
        <v>5</v>
      </c>
      <c r="CJ225" s="14" t="str">
        <f t="shared" si="138"/>
        <v/>
      </c>
      <c r="CK225" s="14">
        <f t="shared" si="126"/>
        <v>0</v>
      </c>
      <c r="CL225" s="14">
        <f t="shared" si="127"/>
        <v>0</v>
      </c>
      <c r="CM225" s="14">
        <f t="shared" si="128"/>
        <v>903</v>
      </c>
      <c r="CN225" s="14">
        <f t="shared" si="129"/>
        <v>0</v>
      </c>
      <c r="CO225" s="14">
        <f t="shared" si="130"/>
        <v>0</v>
      </c>
      <c r="CP225" s="14">
        <f t="shared" si="131"/>
        <v>60.2</v>
      </c>
      <c r="CQ225" s="14">
        <f t="shared" si="139"/>
        <v>12</v>
      </c>
      <c r="CR225" s="14">
        <f t="shared" si="140"/>
        <v>3</v>
      </c>
      <c r="CS225" s="14">
        <f t="shared" si="141"/>
        <v>23</v>
      </c>
      <c r="CV225" s="14">
        <f t="shared" si="132"/>
        <v>3</v>
      </c>
      <c r="CW225" s="14">
        <f t="shared" si="133"/>
        <v>0</v>
      </c>
      <c r="CX225" s="14" t="str">
        <f t="shared" si="142"/>
        <v>HPExt</v>
      </c>
      <c r="CY225" s="14">
        <f t="shared" si="143"/>
        <v>903</v>
      </c>
      <c r="CZ225" s="14">
        <f t="shared" si="144"/>
        <v>60.2</v>
      </c>
      <c r="DA225" s="14" t="str">
        <f t="shared" si="145"/>
        <v/>
      </c>
      <c r="DB225" s="14" t="str">
        <f t="shared" si="146"/>
        <v/>
      </c>
      <c r="DC225" s="14" t="str">
        <f t="shared" si="147"/>
        <v/>
      </c>
      <c r="DD225" s="14">
        <f t="shared" si="148"/>
        <v>12</v>
      </c>
      <c r="DE225" s="14">
        <f t="shared" si="149"/>
        <v>3</v>
      </c>
      <c r="DF225" s="14">
        <f t="shared" si="150"/>
        <v>23</v>
      </c>
      <c r="DG225" s="14">
        <f t="shared" si="151"/>
        <v>150</v>
      </c>
    </row>
    <row r="226" spans="77:111" ht="16.5" x14ac:dyDescent="0.2">
      <c r="BY226" s="13">
        <v>222</v>
      </c>
      <c r="BZ226" s="14">
        <f t="shared" si="134"/>
        <v>30</v>
      </c>
      <c r="CA226" s="14">
        <f t="shared" si="135"/>
        <v>2</v>
      </c>
      <c r="CB226" s="14">
        <f t="shared" si="120"/>
        <v>3</v>
      </c>
      <c r="CC226" s="14">
        <f t="shared" si="121"/>
        <v>2034026</v>
      </c>
      <c r="CD226" s="13" t="str">
        <f t="shared" si="122"/>
        <v>60级守护灵橙色-护手</v>
      </c>
      <c r="CE226" s="14">
        <f t="shared" si="123"/>
        <v>2</v>
      </c>
      <c r="CF226" s="14">
        <f t="shared" si="124"/>
        <v>4</v>
      </c>
      <c r="CG226" s="14">
        <f t="shared" si="136"/>
        <v>60</v>
      </c>
      <c r="CH226" s="14">
        <f t="shared" si="137"/>
        <v>60</v>
      </c>
      <c r="CI226" s="14">
        <f t="shared" si="125"/>
        <v>6</v>
      </c>
      <c r="CJ226" s="14" t="str">
        <f t="shared" si="138"/>
        <v/>
      </c>
      <c r="CK226" s="14">
        <f t="shared" si="126"/>
        <v>0</v>
      </c>
      <c r="CL226" s="14">
        <f t="shared" si="127"/>
        <v>0</v>
      </c>
      <c r="CM226" s="14">
        <f t="shared" si="128"/>
        <v>903</v>
      </c>
      <c r="CN226" s="14">
        <f t="shared" si="129"/>
        <v>0</v>
      </c>
      <c r="CO226" s="14">
        <f t="shared" si="130"/>
        <v>0</v>
      </c>
      <c r="CP226" s="14">
        <f t="shared" si="131"/>
        <v>60.2</v>
      </c>
      <c r="CQ226" s="14">
        <f t="shared" si="139"/>
        <v>12</v>
      </c>
      <c r="CR226" s="14">
        <f t="shared" si="140"/>
        <v>3</v>
      </c>
      <c r="CS226" s="14">
        <f t="shared" si="141"/>
        <v>23</v>
      </c>
      <c r="CV226" s="14">
        <f t="shared" si="132"/>
        <v>3</v>
      </c>
      <c r="CW226" s="14">
        <f t="shared" si="133"/>
        <v>0</v>
      </c>
      <c r="CX226" s="14" t="str">
        <f t="shared" si="142"/>
        <v>HPExt</v>
      </c>
      <c r="CY226" s="14">
        <f t="shared" si="143"/>
        <v>903</v>
      </c>
      <c r="CZ226" s="14">
        <f t="shared" si="144"/>
        <v>60.2</v>
      </c>
      <c r="DA226" s="14" t="str">
        <f t="shared" si="145"/>
        <v/>
      </c>
      <c r="DB226" s="14" t="str">
        <f t="shared" si="146"/>
        <v/>
      </c>
      <c r="DC226" s="14" t="str">
        <f t="shared" si="147"/>
        <v/>
      </c>
      <c r="DD226" s="14">
        <f t="shared" si="148"/>
        <v>12</v>
      </c>
      <c r="DE226" s="14">
        <f t="shared" si="149"/>
        <v>3</v>
      </c>
      <c r="DF226" s="14">
        <f t="shared" si="150"/>
        <v>23</v>
      </c>
      <c r="DG226" s="14">
        <f t="shared" si="151"/>
        <v>150</v>
      </c>
    </row>
    <row r="227" spans="77:111" ht="16.5" x14ac:dyDescent="0.2">
      <c r="BY227" s="13">
        <v>223</v>
      </c>
      <c r="BZ227" s="14">
        <f t="shared" si="134"/>
        <v>30</v>
      </c>
      <c r="CA227" s="14">
        <f t="shared" si="135"/>
        <v>2</v>
      </c>
      <c r="CB227" s="14">
        <f t="shared" si="120"/>
        <v>3</v>
      </c>
      <c r="CC227" s="14">
        <f t="shared" si="121"/>
        <v>2034027</v>
      </c>
      <c r="CD227" s="13" t="str">
        <f t="shared" si="122"/>
        <v>60级守护灵橙色-项链</v>
      </c>
      <c r="CE227" s="14">
        <f t="shared" si="123"/>
        <v>2</v>
      </c>
      <c r="CF227" s="14">
        <f t="shared" si="124"/>
        <v>4</v>
      </c>
      <c r="CG227" s="14">
        <f t="shared" si="136"/>
        <v>60</v>
      </c>
      <c r="CH227" s="14">
        <f t="shared" si="137"/>
        <v>60</v>
      </c>
      <c r="CI227" s="14">
        <f t="shared" si="125"/>
        <v>7</v>
      </c>
      <c r="CJ227" s="14" t="str">
        <f t="shared" si="138"/>
        <v/>
      </c>
      <c r="CK227" s="14">
        <f t="shared" si="126"/>
        <v>121</v>
      </c>
      <c r="CL227" s="14">
        <f t="shared" si="127"/>
        <v>72</v>
      </c>
      <c r="CM227" s="14">
        <f t="shared" si="128"/>
        <v>0</v>
      </c>
      <c r="CN227" s="14">
        <f t="shared" si="129"/>
        <v>8.0500000000000007</v>
      </c>
      <c r="CO227" s="14">
        <f t="shared" si="130"/>
        <v>4.79</v>
      </c>
      <c r="CP227" s="14">
        <f t="shared" si="131"/>
        <v>0</v>
      </c>
      <c r="CQ227" s="14">
        <f t="shared" si="139"/>
        <v>12</v>
      </c>
      <c r="CR227" s="14">
        <f t="shared" si="140"/>
        <v>3</v>
      </c>
      <c r="CS227" s="14">
        <f t="shared" si="141"/>
        <v>23</v>
      </c>
      <c r="CV227" s="14">
        <f t="shared" si="132"/>
        <v>1</v>
      </c>
      <c r="CW227" s="14">
        <f t="shared" si="133"/>
        <v>2</v>
      </c>
      <c r="CX227" s="14" t="str">
        <f t="shared" si="142"/>
        <v>AtkExt</v>
      </c>
      <c r="CY227" s="14">
        <f t="shared" si="143"/>
        <v>121</v>
      </c>
      <c r="CZ227" s="14">
        <f t="shared" si="144"/>
        <v>8.0500000000000007</v>
      </c>
      <c r="DA227" s="14" t="str">
        <f t="shared" si="145"/>
        <v>DefExt</v>
      </c>
      <c r="DB227" s="14">
        <f t="shared" si="146"/>
        <v>72</v>
      </c>
      <c r="DC227" s="14">
        <f t="shared" si="147"/>
        <v>4.79</v>
      </c>
      <c r="DD227" s="14">
        <f t="shared" si="148"/>
        <v>12</v>
      </c>
      <c r="DE227" s="14">
        <f t="shared" si="149"/>
        <v>3</v>
      </c>
      <c r="DF227" s="14">
        <f t="shared" si="150"/>
        <v>23</v>
      </c>
      <c r="DG227" s="14">
        <f t="shared" si="151"/>
        <v>150</v>
      </c>
    </row>
    <row r="228" spans="77:111" ht="16.5" x14ac:dyDescent="0.2">
      <c r="BY228" s="13">
        <v>224</v>
      </c>
      <c r="BZ228" s="14">
        <f t="shared" si="134"/>
        <v>30</v>
      </c>
      <c r="CA228" s="14">
        <f t="shared" si="135"/>
        <v>2</v>
      </c>
      <c r="CB228" s="14">
        <f t="shared" si="120"/>
        <v>3</v>
      </c>
      <c r="CC228" s="14">
        <f t="shared" si="121"/>
        <v>2034028</v>
      </c>
      <c r="CD228" s="13" t="str">
        <f t="shared" si="122"/>
        <v>60级守护灵橙色-戒指</v>
      </c>
      <c r="CE228" s="14">
        <f t="shared" si="123"/>
        <v>2</v>
      </c>
      <c r="CF228" s="14">
        <f t="shared" si="124"/>
        <v>4</v>
      </c>
      <c r="CG228" s="14">
        <f t="shared" si="136"/>
        <v>60</v>
      </c>
      <c r="CH228" s="14">
        <f t="shared" si="137"/>
        <v>60</v>
      </c>
      <c r="CI228" s="14">
        <f t="shared" si="125"/>
        <v>8</v>
      </c>
      <c r="CJ228" s="14" t="str">
        <f t="shared" si="138"/>
        <v/>
      </c>
      <c r="CK228" s="14">
        <f t="shared" si="126"/>
        <v>121</v>
      </c>
      <c r="CL228" s="14">
        <f t="shared" si="127"/>
        <v>0</v>
      </c>
      <c r="CM228" s="14">
        <f t="shared" si="128"/>
        <v>753</v>
      </c>
      <c r="CN228" s="14">
        <f t="shared" si="129"/>
        <v>8.0500000000000007</v>
      </c>
      <c r="CO228" s="14">
        <f t="shared" si="130"/>
        <v>0</v>
      </c>
      <c r="CP228" s="14">
        <f t="shared" si="131"/>
        <v>50.17</v>
      </c>
      <c r="CQ228" s="14">
        <f t="shared" si="139"/>
        <v>12</v>
      </c>
      <c r="CR228" s="14">
        <f t="shared" si="140"/>
        <v>3</v>
      </c>
      <c r="CS228" s="14">
        <f t="shared" si="141"/>
        <v>23</v>
      </c>
      <c r="CV228" s="14">
        <f t="shared" si="132"/>
        <v>1</v>
      </c>
      <c r="CW228" s="14">
        <f t="shared" si="133"/>
        <v>3</v>
      </c>
      <c r="CX228" s="14" t="str">
        <f t="shared" si="142"/>
        <v>AtkExt</v>
      </c>
      <c r="CY228" s="14">
        <f t="shared" si="143"/>
        <v>121</v>
      </c>
      <c r="CZ228" s="14">
        <f t="shared" si="144"/>
        <v>8.0500000000000007</v>
      </c>
      <c r="DA228" s="14" t="str">
        <f t="shared" si="145"/>
        <v>HPExt</v>
      </c>
      <c r="DB228" s="14">
        <f t="shared" si="146"/>
        <v>753</v>
      </c>
      <c r="DC228" s="14">
        <f t="shared" si="147"/>
        <v>50.17</v>
      </c>
      <c r="DD228" s="14">
        <f t="shared" si="148"/>
        <v>12</v>
      </c>
      <c r="DE228" s="14">
        <f t="shared" si="149"/>
        <v>3</v>
      </c>
      <c r="DF228" s="14">
        <f t="shared" si="150"/>
        <v>23</v>
      </c>
      <c r="DG228" s="14">
        <f t="shared" si="151"/>
        <v>150</v>
      </c>
    </row>
    <row r="229" spans="77:111" ht="16.5" x14ac:dyDescent="0.2">
      <c r="BY229" s="13">
        <v>225</v>
      </c>
      <c r="BZ229" s="14">
        <f t="shared" si="134"/>
        <v>31</v>
      </c>
      <c r="CA229" s="14">
        <f t="shared" si="135"/>
        <v>3</v>
      </c>
      <c r="CB229" s="14">
        <f t="shared" si="120"/>
        <v>3</v>
      </c>
      <c r="CC229" s="14">
        <f t="shared" si="121"/>
        <v>2034031</v>
      </c>
      <c r="CD229" s="13" t="str">
        <f t="shared" si="122"/>
        <v>60级寄灵人橙色套1-武器</v>
      </c>
      <c r="CE229" s="14">
        <f t="shared" si="123"/>
        <v>1</v>
      </c>
      <c r="CF229" s="14">
        <f t="shared" si="124"/>
        <v>4</v>
      </c>
      <c r="CG229" s="14">
        <f t="shared" si="136"/>
        <v>60</v>
      </c>
      <c r="CH229" s="14">
        <f t="shared" si="137"/>
        <v>60</v>
      </c>
      <c r="CI229" s="14">
        <f t="shared" si="125"/>
        <v>1</v>
      </c>
      <c r="CJ229" s="14">
        <f t="shared" si="138"/>
        <v>1031</v>
      </c>
      <c r="CK229" s="14">
        <f t="shared" si="126"/>
        <v>328</v>
      </c>
      <c r="CL229" s="14">
        <f t="shared" si="127"/>
        <v>0</v>
      </c>
      <c r="CM229" s="14">
        <f t="shared" si="128"/>
        <v>0</v>
      </c>
      <c r="CN229" s="14">
        <f t="shared" si="129"/>
        <v>21.89</v>
      </c>
      <c r="CO229" s="14">
        <f t="shared" si="130"/>
        <v>0</v>
      </c>
      <c r="CP229" s="14">
        <f t="shared" si="131"/>
        <v>0</v>
      </c>
      <c r="CQ229" s="14">
        <f t="shared" si="139"/>
        <v>12</v>
      </c>
      <c r="CR229" s="14">
        <f t="shared" si="140"/>
        <v>3</v>
      </c>
      <c r="CS229" s="14">
        <f t="shared" si="141"/>
        <v>13</v>
      </c>
      <c r="CV229" s="14">
        <f t="shared" si="132"/>
        <v>1</v>
      </c>
      <c r="CW229" s="14">
        <f t="shared" si="133"/>
        <v>0</v>
      </c>
      <c r="CX229" s="14" t="str">
        <f t="shared" si="142"/>
        <v>AtkExt</v>
      </c>
      <c r="CY229" s="14">
        <f t="shared" si="143"/>
        <v>328</v>
      </c>
      <c r="CZ229" s="14">
        <f t="shared" si="144"/>
        <v>21.89</v>
      </c>
      <c r="DA229" s="14" t="str">
        <f t="shared" si="145"/>
        <v/>
      </c>
      <c r="DB229" s="14" t="str">
        <f t="shared" si="146"/>
        <v/>
      </c>
      <c r="DC229" s="14" t="str">
        <f t="shared" si="147"/>
        <v/>
      </c>
      <c r="DD229" s="14">
        <f t="shared" si="148"/>
        <v>12</v>
      </c>
      <c r="DE229" s="14">
        <f t="shared" si="149"/>
        <v>3</v>
      </c>
      <c r="DF229" s="14">
        <f t="shared" si="150"/>
        <v>13</v>
      </c>
      <c r="DG229" s="14">
        <f t="shared" si="151"/>
        <v>150</v>
      </c>
    </row>
    <row r="230" spans="77:111" ht="16.5" x14ac:dyDescent="0.2">
      <c r="BY230" s="13">
        <v>226</v>
      </c>
      <c r="BZ230" s="14">
        <f t="shared" si="134"/>
        <v>31</v>
      </c>
      <c r="CA230" s="14">
        <f t="shared" si="135"/>
        <v>3</v>
      </c>
      <c r="CB230" s="14">
        <f t="shared" si="120"/>
        <v>3</v>
      </c>
      <c r="CC230" s="14">
        <f t="shared" si="121"/>
        <v>2034032</v>
      </c>
      <c r="CD230" s="13" t="str">
        <f t="shared" si="122"/>
        <v>60级寄灵人橙色套1-头盔</v>
      </c>
      <c r="CE230" s="14">
        <f t="shared" si="123"/>
        <v>1</v>
      </c>
      <c r="CF230" s="14">
        <f t="shared" si="124"/>
        <v>4</v>
      </c>
      <c r="CG230" s="14">
        <f t="shared" si="136"/>
        <v>60</v>
      </c>
      <c r="CH230" s="14">
        <f t="shared" si="137"/>
        <v>60</v>
      </c>
      <c r="CI230" s="14">
        <f t="shared" si="125"/>
        <v>2</v>
      </c>
      <c r="CJ230" s="14">
        <f t="shared" si="138"/>
        <v>1031</v>
      </c>
      <c r="CK230" s="14">
        <f t="shared" si="126"/>
        <v>0</v>
      </c>
      <c r="CL230" s="14">
        <f t="shared" si="127"/>
        <v>79</v>
      </c>
      <c r="CM230" s="14">
        <f t="shared" si="128"/>
        <v>0</v>
      </c>
      <c r="CN230" s="14">
        <f t="shared" si="129"/>
        <v>0</v>
      </c>
      <c r="CO230" s="14">
        <f t="shared" si="130"/>
        <v>5.28</v>
      </c>
      <c r="CP230" s="14">
        <f t="shared" si="131"/>
        <v>0</v>
      </c>
      <c r="CQ230" s="14">
        <f t="shared" si="139"/>
        <v>12</v>
      </c>
      <c r="CR230" s="14">
        <f t="shared" si="140"/>
        <v>3</v>
      </c>
      <c r="CS230" s="14">
        <f t="shared" si="141"/>
        <v>13</v>
      </c>
      <c r="CV230" s="14">
        <f t="shared" si="132"/>
        <v>2</v>
      </c>
      <c r="CW230" s="14">
        <f t="shared" si="133"/>
        <v>0</v>
      </c>
      <c r="CX230" s="14" t="str">
        <f t="shared" si="142"/>
        <v>DefExt</v>
      </c>
      <c r="CY230" s="14">
        <f t="shared" si="143"/>
        <v>79</v>
      </c>
      <c r="CZ230" s="14">
        <f t="shared" si="144"/>
        <v>5.28</v>
      </c>
      <c r="DA230" s="14" t="str">
        <f t="shared" si="145"/>
        <v/>
      </c>
      <c r="DB230" s="14" t="str">
        <f t="shared" si="146"/>
        <v/>
      </c>
      <c r="DC230" s="14" t="str">
        <f t="shared" si="147"/>
        <v/>
      </c>
      <c r="DD230" s="14">
        <f t="shared" si="148"/>
        <v>12</v>
      </c>
      <c r="DE230" s="14">
        <f t="shared" si="149"/>
        <v>3</v>
      </c>
      <c r="DF230" s="14">
        <f t="shared" si="150"/>
        <v>13</v>
      </c>
      <c r="DG230" s="14">
        <f t="shared" si="151"/>
        <v>150</v>
      </c>
    </row>
    <row r="231" spans="77:111" ht="16.5" x14ac:dyDescent="0.2">
      <c r="BY231" s="13">
        <v>227</v>
      </c>
      <c r="BZ231" s="14">
        <f t="shared" si="134"/>
        <v>31</v>
      </c>
      <c r="CA231" s="14">
        <f t="shared" si="135"/>
        <v>3</v>
      </c>
      <c r="CB231" s="14">
        <f t="shared" si="120"/>
        <v>3</v>
      </c>
      <c r="CC231" s="14">
        <f t="shared" si="121"/>
        <v>2034033</v>
      </c>
      <c r="CD231" s="13" t="str">
        <f t="shared" si="122"/>
        <v>60级寄灵人橙色套1-肩甲</v>
      </c>
      <c r="CE231" s="14">
        <f t="shared" si="123"/>
        <v>1</v>
      </c>
      <c r="CF231" s="14">
        <f t="shared" si="124"/>
        <v>4</v>
      </c>
      <c r="CG231" s="14">
        <f t="shared" si="136"/>
        <v>60</v>
      </c>
      <c r="CH231" s="14">
        <f t="shared" si="137"/>
        <v>60</v>
      </c>
      <c r="CI231" s="14">
        <f t="shared" si="125"/>
        <v>3</v>
      </c>
      <c r="CJ231" s="14">
        <f t="shared" si="138"/>
        <v>1031</v>
      </c>
      <c r="CK231" s="14">
        <f t="shared" si="126"/>
        <v>0</v>
      </c>
      <c r="CL231" s="14">
        <f t="shared" si="127"/>
        <v>40</v>
      </c>
      <c r="CM231" s="14">
        <f t="shared" si="128"/>
        <v>254</v>
      </c>
      <c r="CN231" s="14">
        <f t="shared" si="129"/>
        <v>0</v>
      </c>
      <c r="CO231" s="14">
        <f t="shared" si="130"/>
        <v>2.64</v>
      </c>
      <c r="CP231" s="14">
        <f t="shared" si="131"/>
        <v>16.920000000000002</v>
      </c>
      <c r="CQ231" s="14">
        <f t="shared" si="139"/>
        <v>12</v>
      </c>
      <c r="CR231" s="14">
        <f t="shared" si="140"/>
        <v>3</v>
      </c>
      <c r="CS231" s="14">
        <f t="shared" si="141"/>
        <v>13</v>
      </c>
      <c r="CV231" s="14">
        <f t="shared" si="132"/>
        <v>2</v>
      </c>
      <c r="CW231" s="14">
        <f t="shared" si="133"/>
        <v>3</v>
      </c>
      <c r="CX231" s="14" t="str">
        <f t="shared" si="142"/>
        <v>DefExt</v>
      </c>
      <c r="CY231" s="14">
        <f t="shared" si="143"/>
        <v>40</v>
      </c>
      <c r="CZ231" s="14">
        <f t="shared" si="144"/>
        <v>2.64</v>
      </c>
      <c r="DA231" s="14" t="str">
        <f t="shared" si="145"/>
        <v>HPExt</v>
      </c>
      <c r="DB231" s="14">
        <f t="shared" si="146"/>
        <v>254</v>
      </c>
      <c r="DC231" s="14">
        <f t="shared" si="147"/>
        <v>16.920000000000002</v>
      </c>
      <c r="DD231" s="14">
        <f t="shared" si="148"/>
        <v>12</v>
      </c>
      <c r="DE231" s="14">
        <f t="shared" si="149"/>
        <v>3</v>
      </c>
      <c r="DF231" s="14">
        <f t="shared" si="150"/>
        <v>13</v>
      </c>
      <c r="DG231" s="14">
        <f t="shared" si="151"/>
        <v>150</v>
      </c>
    </row>
    <row r="232" spans="77:111" ht="16.5" x14ac:dyDescent="0.2">
      <c r="BY232" s="13">
        <v>228</v>
      </c>
      <c r="BZ232" s="14">
        <f t="shared" si="134"/>
        <v>31</v>
      </c>
      <c r="CA232" s="14">
        <f t="shared" si="135"/>
        <v>3</v>
      </c>
      <c r="CB232" s="14">
        <f t="shared" si="120"/>
        <v>3</v>
      </c>
      <c r="CC232" s="14">
        <f t="shared" si="121"/>
        <v>2034034</v>
      </c>
      <c r="CD232" s="13" t="str">
        <f t="shared" si="122"/>
        <v>60级寄灵人橙色套1-衣服</v>
      </c>
      <c r="CE232" s="14">
        <f t="shared" si="123"/>
        <v>1</v>
      </c>
      <c r="CF232" s="14">
        <f t="shared" si="124"/>
        <v>4</v>
      </c>
      <c r="CG232" s="14">
        <f t="shared" si="136"/>
        <v>60</v>
      </c>
      <c r="CH232" s="14">
        <f t="shared" si="137"/>
        <v>60</v>
      </c>
      <c r="CI232" s="14">
        <f t="shared" si="125"/>
        <v>4</v>
      </c>
      <c r="CJ232" s="14">
        <f t="shared" si="138"/>
        <v>1031</v>
      </c>
      <c r="CK232" s="14">
        <f t="shared" si="126"/>
        <v>0</v>
      </c>
      <c r="CL232" s="14">
        <f t="shared" si="127"/>
        <v>79</v>
      </c>
      <c r="CM232" s="14">
        <f t="shared" si="128"/>
        <v>0</v>
      </c>
      <c r="CN232" s="14">
        <f t="shared" si="129"/>
        <v>0</v>
      </c>
      <c r="CO232" s="14">
        <f t="shared" si="130"/>
        <v>5.28</v>
      </c>
      <c r="CP232" s="14">
        <f t="shared" si="131"/>
        <v>0</v>
      </c>
      <c r="CQ232" s="14">
        <f t="shared" si="139"/>
        <v>12</v>
      </c>
      <c r="CR232" s="14">
        <f t="shared" si="140"/>
        <v>3</v>
      </c>
      <c r="CS232" s="14">
        <f t="shared" si="141"/>
        <v>13</v>
      </c>
      <c r="CV232" s="14">
        <f t="shared" si="132"/>
        <v>2</v>
      </c>
      <c r="CW232" s="14">
        <f t="shared" si="133"/>
        <v>0</v>
      </c>
      <c r="CX232" s="14" t="str">
        <f t="shared" si="142"/>
        <v>DefExt</v>
      </c>
      <c r="CY232" s="14">
        <f t="shared" si="143"/>
        <v>79</v>
      </c>
      <c r="CZ232" s="14">
        <f t="shared" si="144"/>
        <v>5.28</v>
      </c>
      <c r="DA232" s="14" t="str">
        <f t="shared" si="145"/>
        <v/>
      </c>
      <c r="DB232" s="14" t="str">
        <f t="shared" si="146"/>
        <v/>
      </c>
      <c r="DC232" s="14" t="str">
        <f t="shared" si="147"/>
        <v/>
      </c>
      <c r="DD232" s="14">
        <f t="shared" si="148"/>
        <v>12</v>
      </c>
      <c r="DE232" s="14">
        <f t="shared" si="149"/>
        <v>3</v>
      </c>
      <c r="DF232" s="14">
        <f t="shared" si="150"/>
        <v>13</v>
      </c>
      <c r="DG232" s="14">
        <f t="shared" si="151"/>
        <v>150</v>
      </c>
    </row>
    <row r="233" spans="77:111" ht="16.5" x14ac:dyDescent="0.2">
      <c r="BY233" s="13">
        <v>229</v>
      </c>
      <c r="BZ233" s="14">
        <f t="shared" si="134"/>
        <v>31</v>
      </c>
      <c r="CA233" s="14">
        <f t="shared" si="135"/>
        <v>3</v>
      </c>
      <c r="CB233" s="14">
        <f t="shared" si="120"/>
        <v>3</v>
      </c>
      <c r="CC233" s="14">
        <f t="shared" si="121"/>
        <v>2034035</v>
      </c>
      <c r="CD233" s="13" t="str">
        <f t="shared" si="122"/>
        <v>60级寄灵人橙色套1-鞋子</v>
      </c>
      <c r="CE233" s="14">
        <f t="shared" si="123"/>
        <v>1</v>
      </c>
      <c r="CF233" s="14">
        <f t="shared" si="124"/>
        <v>4</v>
      </c>
      <c r="CG233" s="14">
        <f t="shared" si="136"/>
        <v>60</v>
      </c>
      <c r="CH233" s="14">
        <f t="shared" si="137"/>
        <v>60</v>
      </c>
      <c r="CI233" s="14">
        <f t="shared" si="125"/>
        <v>5</v>
      </c>
      <c r="CJ233" s="14">
        <f t="shared" si="138"/>
        <v>1031</v>
      </c>
      <c r="CK233" s="14">
        <f t="shared" si="126"/>
        <v>0</v>
      </c>
      <c r="CL233" s="14">
        <f t="shared" si="127"/>
        <v>0</v>
      </c>
      <c r="CM233" s="14">
        <f t="shared" si="128"/>
        <v>507</v>
      </c>
      <c r="CN233" s="14">
        <f t="shared" si="129"/>
        <v>0</v>
      </c>
      <c r="CO233" s="14">
        <f t="shared" si="130"/>
        <v>0</v>
      </c>
      <c r="CP233" s="14">
        <f t="shared" si="131"/>
        <v>33.83</v>
      </c>
      <c r="CQ233" s="14">
        <f t="shared" si="139"/>
        <v>12</v>
      </c>
      <c r="CR233" s="14">
        <f t="shared" si="140"/>
        <v>3</v>
      </c>
      <c r="CS233" s="14">
        <f t="shared" si="141"/>
        <v>13</v>
      </c>
      <c r="CV233" s="14">
        <f t="shared" si="132"/>
        <v>3</v>
      </c>
      <c r="CW233" s="14">
        <f t="shared" si="133"/>
        <v>0</v>
      </c>
      <c r="CX233" s="14" t="str">
        <f t="shared" si="142"/>
        <v>HPExt</v>
      </c>
      <c r="CY233" s="14">
        <f t="shared" si="143"/>
        <v>507</v>
      </c>
      <c r="CZ233" s="14">
        <f t="shared" si="144"/>
        <v>33.83</v>
      </c>
      <c r="DA233" s="14" t="str">
        <f t="shared" si="145"/>
        <v/>
      </c>
      <c r="DB233" s="14" t="str">
        <f t="shared" si="146"/>
        <v/>
      </c>
      <c r="DC233" s="14" t="str">
        <f t="shared" si="147"/>
        <v/>
      </c>
      <c r="DD233" s="14">
        <f t="shared" si="148"/>
        <v>12</v>
      </c>
      <c r="DE233" s="14">
        <f t="shared" si="149"/>
        <v>3</v>
      </c>
      <c r="DF233" s="14">
        <f t="shared" si="150"/>
        <v>13</v>
      </c>
      <c r="DG233" s="14">
        <f t="shared" si="151"/>
        <v>150</v>
      </c>
    </row>
    <row r="234" spans="77:111" ht="16.5" x14ac:dyDescent="0.2">
      <c r="BY234" s="13">
        <v>230</v>
      </c>
      <c r="BZ234" s="14">
        <f t="shared" si="134"/>
        <v>31</v>
      </c>
      <c r="CA234" s="14">
        <f t="shared" si="135"/>
        <v>3</v>
      </c>
      <c r="CB234" s="14">
        <f t="shared" si="120"/>
        <v>3</v>
      </c>
      <c r="CC234" s="14">
        <f t="shared" si="121"/>
        <v>2034036</v>
      </c>
      <c r="CD234" s="13" t="str">
        <f t="shared" si="122"/>
        <v>60级寄灵人橙色套1-护手</v>
      </c>
      <c r="CE234" s="14">
        <f t="shared" si="123"/>
        <v>1</v>
      </c>
      <c r="CF234" s="14">
        <f t="shared" si="124"/>
        <v>4</v>
      </c>
      <c r="CG234" s="14">
        <f t="shared" si="136"/>
        <v>60</v>
      </c>
      <c r="CH234" s="14">
        <f t="shared" si="137"/>
        <v>60</v>
      </c>
      <c r="CI234" s="14">
        <f t="shared" si="125"/>
        <v>6</v>
      </c>
      <c r="CJ234" s="14">
        <f t="shared" si="138"/>
        <v>1031</v>
      </c>
      <c r="CK234" s="14">
        <f t="shared" si="126"/>
        <v>0</v>
      </c>
      <c r="CL234" s="14">
        <f t="shared" si="127"/>
        <v>0</v>
      </c>
      <c r="CM234" s="14">
        <f t="shared" si="128"/>
        <v>507</v>
      </c>
      <c r="CN234" s="14">
        <f t="shared" si="129"/>
        <v>0</v>
      </c>
      <c r="CO234" s="14">
        <f t="shared" si="130"/>
        <v>0</v>
      </c>
      <c r="CP234" s="14">
        <f t="shared" si="131"/>
        <v>33.83</v>
      </c>
      <c r="CQ234" s="14">
        <f t="shared" si="139"/>
        <v>12</v>
      </c>
      <c r="CR234" s="14">
        <f t="shared" si="140"/>
        <v>3</v>
      </c>
      <c r="CS234" s="14">
        <f t="shared" si="141"/>
        <v>13</v>
      </c>
      <c r="CV234" s="14">
        <f t="shared" si="132"/>
        <v>3</v>
      </c>
      <c r="CW234" s="14">
        <f t="shared" si="133"/>
        <v>0</v>
      </c>
      <c r="CX234" s="14" t="str">
        <f t="shared" si="142"/>
        <v>HPExt</v>
      </c>
      <c r="CY234" s="14">
        <f t="shared" si="143"/>
        <v>507</v>
      </c>
      <c r="CZ234" s="14">
        <f t="shared" si="144"/>
        <v>33.83</v>
      </c>
      <c r="DA234" s="14" t="str">
        <f t="shared" si="145"/>
        <v/>
      </c>
      <c r="DB234" s="14" t="str">
        <f t="shared" si="146"/>
        <v/>
      </c>
      <c r="DC234" s="14" t="str">
        <f t="shared" si="147"/>
        <v/>
      </c>
      <c r="DD234" s="14">
        <f t="shared" si="148"/>
        <v>12</v>
      </c>
      <c r="DE234" s="14">
        <f t="shared" si="149"/>
        <v>3</v>
      </c>
      <c r="DF234" s="14">
        <f t="shared" si="150"/>
        <v>13</v>
      </c>
      <c r="DG234" s="14">
        <f t="shared" si="151"/>
        <v>150</v>
      </c>
    </row>
    <row r="235" spans="77:111" ht="16.5" x14ac:dyDescent="0.2">
      <c r="BY235" s="13">
        <v>231</v>
      </c>
      <c r="BZ235" s="14">
        <f t="shared" si="134"/>
        <v>32</v>
      </c>
      <c r="CA235" s="14">
        <f t="shared" si="135"/>
        <v>4</v>
      </c>
      <c r="CB235" s="14">
        <f t="shared" si="120"/>
        <v>3</v>
      </c>
      <c r="CC235" s="14">
        <f t="shared" si="121"/>
        <v>2034041</v>
      </c>
      <c r="CD235" s="13" t="str">
        <f t="shared" si="122"/>
        <v>60级守护灵橙色套1-武器</v>
      </c>
      <c r="CE235" s="14">
        <f t="shared" si="123"/>
        <v>2</v>
      </c>
      <c r="CF235" s="14">
        <f t="shared" si="124"/>
        <v>4</v>
      </c>
      <c r="CG235" s="14">
        <f t="shared" si="136"/>
        <v>60</v>
      </c>
      <c r="CH235" s="14">
        <f t="shared" si="137"/>
        <v>60</v>
      </c>
      <c r="CI235" s="14">
        <f t="shared" si="125"/>
        <v>1</v>
      </c>
      <c r="CJ235" s="14">
        <f t="shared" si="138"/>
        <v>2031</v>
      </c>
      <c r="CK235" s="14">
        <f t="shared" si="126"/>
        <v>362</v>
      </c>
      <c r="CL235" s="14">
        <f t="shared" si="127"/>
        <v>0</v>
      </c>
      <c r="CM235" s="14">
        <f t="shared" si="128"/>
        <v>0</v>
      </c>
      <c r="CN235" s="14">
        <f t="shared" si="129"/>
        <v>24.14</v>
      </c>
      <c r="CO235" s="14">
        <f t="shared" si="130"/>
        <v>0</v>
      </c>
      <c r="CP235" s="14">
        <f t="shared" si="131"/>
        <v>0</v>
      </c>
      <c r="CQ235" s="14">
        <f t="shared" si="139"/>
        <v>12</v>
      </c>
      <c r="CR235" s="14">
        <f t="shared" si="140"/>
        <v>3</v>
      </c>
      <c r="CS235" s="14">
        <f t="shared" si="141"/>
        <v>23</v>
      </c>
      <c r="CV235" s="14">
        <f t="shared" si="132"/>
        <v>1</v>
      </c>
      <c r="CW235" s="14">
        <f t="shared" si="133"/>
        <v>0</v>
      </c>
      <c r="CX235" s="14" t="str">
        <f t="shared" si="142"/>
        <v>AtkExt</v>
      </c>
      <c r="CY235" s="14">
        <f t="shared" si="143"/>
        <v>362</v>
      </c>
      <c r="CZ235" s="14">
        <f t="shared" si="144"/>
        <v>24.14</v>
      </c>
      <c r="DA235" s="14" t="str">
        <f t="shared" si="145"/>
        <v/>
      </c>
      <c r="DB235" s="14" t="str">
        <f t="shared" si="146"/>
        <v/>
      </c>
      <c r="DC235" s="14" t="str">
        <f t="shared" si="147"/>
        <v/>
      </c>
      <c r="DD235" s="14">
        <f t="shared" si="148"/>
        <v>12</v>
      </c>
      <c r="DE235" s="14">
        <f t="shared" si="149"/>
        <v>3</v>
      </c>
      <c r="DF235" s="14">
        <f t="shared" si="150"/>
        <v>23</v>
      </c>
      <c r="DG235" s="14">
        <f t="shared" si="151"/>
        <v>150</v>
      </c>
    </row>
    <row r="236" spans="77:111" ht="16.5" x14ac:dyDescent="0.2">
      <c r="BY236" s="13">
        <v>232</v>
      </c>
      <c r="BZ236" s="14">
        <f t="shared" si="134"/>
        <v>32</v>
      </c>
      <c r="CA236" s="14">
        <f t="shared" si="135"/>
        <v>4</v>
      </c>
      <c r="CB236" s="14">
        <f t="shared" si="120"/>
        <v>3</v>
      </c>
      <c r="CC236" s="14">
        <f t="shared" si="121"/>
        <v>2034042</v>
      </c>
      <c r="CD236" s="13" t="str">
        <f t="shared" si="122"/>
        <v>60级守护灵橙色套1-头盔</v>
      </c>
      <c r="CE236" s="14">
        <f t="shared" si="123"/>
        <v>2</v>
      </c>
      <c r="CF236" s="14">
        <f t="shared" si="124"/>
        <v>4</v>
      </c>
      <c r="CG236" s="14">
        <f t="shared" si="136"/>
        <v>60</v>
      </c>
      <c r="CH236" s="14">
        <f t="shared" si="137"/>
        <v>60</v>
      </c>
      <c r="CI236" s="14">
        <f t="shared" si="125"/>
        <v>2</v>
      </c>
      <c r="CJ236" s="14">
        <f t="shared" si="138"/>
        <v>2031</v>
      </c>
      <c r="CK236" s="14">
        <f t="shared" si="126"/>
        <v>0</v>
      </c>
      <c r="CL236" s="14">
        <f t="shared" si="127"/>
        <v>86</v>
      </c>
      <c r="CM236" s="14">
        <f t="shared" si="128"/>
        <v>0</v>
      </c>
      <c r="CN236" s="14">
        <f t="shared" si="129"/>
        <v>0</v>
      </c>
      <c r="CO236" s="14">
        <f t="shared" si="130"/>
        <v>5.75</v>
      </c>
      <c r="CP236" s="14">
        <f t="shared" si="131"/>
        <v>0</v>
      </c>
      <c r="CQ236" s="14">
        <f t="shared" si="139"/>
        <v>12</v>
      </c>
      <c r="CR236" s="14">
        <f t="shared" si="140"/>
        <v>3</v>
      </c>
      <c r="CS236" s="14">
        <f t="shared" si="141"/>
        <v>23</v>
      </c>
      <c r="CV236" s="14">
        <f t="shared" si="132"/>
        <v>2</v>
      </c>
      <c r="CW236" s="14">
        <f t="shared" si="133"/>
        <v>0</v>
      </c>
      <c r="CX236" s="14" t="str">
        <f t="shared" si="142"/>
        <v>DefExt</v>
      </c>
      <c r="CY236" s="14">
        <f t="shared" si="143"/>
        <v>86</v>
      </c>
      <c r="CZ236" s="14">
        <f t="shared" si="144"/>
        <v>5.75</v>
      </c>
      <c r="DA236" s="14" t="str">
        <f t="shared" si="145"/>
        <v/>
      </c>
      <c r="DB236" s="14" t="str">
        <f t="shared" si="146"/>
        <v/>
      </c>
      <c r="DC236" s="14" t="str">
        <f t="shared" si="147"/>
        <v/>
      </c>
      <c r="DD236" s="14">
        <f t="shared" si="148"/>
        <v>12</v>
      </c>
      <c r="DE236" s="14">
        <f t="shared" si="149"/>
        <v>3</v>
      </c>
      <c r="DF236" s="14">
        <f t="shared" si="150"/>
        <v>23</v>
      </c>
      <c r="DG236" s="14">
        <f t="shared" si="151"/>
        <v>150</v>
      </c>
    </row>
    <row r="237" spans="77:111" ht="16.5" x14ac:dyDescent="0.2">
      <c r="BY237" s="13">
        <v>233</v>
      </c>
      <c r="BZ237" s="14">
        <f t="shared" si="134"/>
        <v>32</v>
      </c>
      <c r="CA237" s="14">
        <f t="shared" si="135"/>
        <v>4</v>
      </c>
      <c r="CB237" s="14">
        <f t="shared" si="120"/>
        <v>3</v>
      </c>
      <c r="CC237" s="14">
        <f t="shared" si="121"/>
        <v>2034043</v>
      </c>
      <c r="CD237" s="13" t="str">
        <f t="shared" si="122"/>
        <v>60级守护灵橙色套1-肩甲</v>
      </c>
      <c r="CE237" s="14">
        <f t="shared" si="123"/>
        <v>2</v>
      </c>
      <c r="CF237" s="14">
        <f t="shared" si="124"/>
        <v>4</v>
      </c>
      <c r="CG237" s="14">
        <f t="shared" si="136"/>
        <v>60</v>
      </c>
      <c r="CH237" s="14">
        <f t="shared" si="137"/>
        <v>60</v>
      </c>
      <c r="CI237" s="14">
        <f t="shared" si="125"/>
        <v>3</v>
      </c>
      <c r="CJ237" s="14">
        <f t="shared" si="138"/>
        <v>2031</v>
      </c>
      <c r="CK237" s="14">
        <f t="shared" si="126"/>
        <v>0</v>
      </c>
      <c r="CL237" s="14">
        <f t="shared" si="127"/>
        <v>43</v>
      </c>
      <c r="CM237" s="14">
        <f t="shared" si="128"/>
        <v>452</v>
      </c>
      <c r="CN237" s="14">
        <f t="shared" si="129"/>
        <v>0</v>
      </c>
      <c r="CO237" s="14">
        <f t="shared" si="130"/>
        <v>2.87</v>
      </c>
      <c r="CP237" s="14">
        <f t="shared" si="131"/>
        <v>30.1</v>
      </c>
      <c r="CQ237" s="14">
        <f t="shared" si="139"/>
        <v>12</v>
      </c>
      <c r="CR237" s="14">
        <f t="shared" si="140"/>
        <v>3</v>
      </c>
      <c r="CS237" s="14">
        <f t="shared" si="141"/>
        <v>23</v>
      </c>
      <c r="CV237" s="14">
        <f t="shared" si="132"/>
        <v>2</v>
      </c>
      <c r="CW237" s="14">
        <f t="shared" si="133"/>
        <v>3</v>
      </c>
      <c r="CX237" s="14" t="str">
        <f t="shared" si="142"/>
        <v>DefExt</v>
      </c>
      <c r="CY237" s="14">
        <f t="shared" si="143"/>
        <v>43</v>
      </c>
      <c r="CZ237" s="14">
        <f t="shared" si="144"/>
        <v>2.87</v>
      </c>
      <c r="DA237" s="14" t="str">
        <f t="shared" si="145"/>
        <v>HPExt</v>
      </c>
      <c r="DB237" s="14">
        <f t="shared" si="146"/>
        <v>452</v>
      </c>
      <c r="DC237" s="14">
        <f t="shared" si="147"/>
        <v>30.1</v>
      </c>
      <c r="DD237" s="14">
        <f t="shared" si="148"/>
        <v>12</v>
      </c>
      <c r="DE237" s="14">
        <f t="shared" si="149"/>
        <v>3</v>
      </c>
      <c r="DF237" s="14">
        <f t="shared" si="150"/>
        <v>23</v>
      </c>
      <c r="DG237" s="14">
        <f t="shared" si="151"/>
        <v>150</v>
      </c>
    </row>
    <row r="238" spans="77:111" ht="16.5" x14ac:dyDescent="0.2">
      <c r="BY238" s="13">
        <v>234</v>
      </c>
      <c r="BZ238" s="14">
        <f t="shared" si="134"/>
        <v>32</v>
      </c>
      <c r="CA238" s="14">
        <f t="shared" si="135"/>
        <v>4</v>
      </c>
      <c r="CB238" s="14">
        <f t="shared" si="120"/>
        <v>3</v>
      </c>
      <c r="CC238" s="14">
        <f t="shared" si="121"/>
        <v>2034044</v>
      </c>
      <c r="CD238" s="13" t="str">
        <f t="shared" si="122"/>
        <v>60级守护灵橙色套1-衣服</v>
      </c>
      <c r="CE238" s="14">
        <f t="shared" si="123"/>
        <v>2</v>
      </c>
      <c r="CF238" s="14">
        <f t="shared" si="124"/>
        <v>4</v>
      </c>
      <c r="CG238" s="14">
        <f t="shared" si="136"/>
        <v>60</v>
      </c>
      <c r="CH238" s="14">
        <f t="shared" si="137"/>
        <v>60</v>
      </c>
      <c r="CI238" s="14">
        <f t="shared" si="125"/>
        <v>4</v>
      </c>
      <c r="CJ238" s="14">
        <f t="shared" si="138"/>
        <v>2031</v>
      </c>
      <c r="CK238" s="14">
        <f t="shared" si="126"/>
        <v>0</v>
      </c>
      <c r="CL238" s="14">
        <f t="shared" si="127"/>
        <v>86</v>
      </c>
      <c r="CM238" s="14">
        <f t="shared" si="128"/>
        <v>0</v>
      </c>
      <c r="CN238" s="14">
        <f t="shared" si="129"/>
        <v>0</v>
      </c>
      <c r="CO238" s="14">
        <f t="shared" si="130"/>
        <v>5.75</v>
      </c>
      <c r="CP238" s="14">
        <f t="shared" si="131"/>
        <v>0</v>
      </c>
      <c r="CQ238" s="14">
        <f t="shared" si="139"/>
        <v>12</v>
      </c>
      <c r="CR238" s="14">
        <f t="shared" si="140"/>
        <v>3</v>
      </c>
      <c r="CS238" s="14">
        <f t="shared" si="141"/>
        <v>23</v>
      </c>
      <c r="CV238" s="14">
        <f t="shared" si="132"/>
        <v>2</v>
      </c>
      <c r="CW238" s="14">
        <f t="shared" si="133"/>
        <v>0</v>
      </c>
      <c r="CX238" s="14" t="str">
        <f t="shared" si="142"/>
        <v>DefExt</v>
      </c>
      <c r="CY238" s="14">
        <f t="shared" si="143"/>
        <v>86</v>
      </c>
      <c r="CZ238" s="14">
        <f t="shared" si="144"/>
        <v>5.75</v>
      </c>
      <c r="DA238" s="14" t="str">
        <f t="shared" si="145"/>
        <v/>
      </c>
      <c r="DB238" s="14" t="str">
        <f t="shared" si="146"/>
        <v/>
      </c>
      <c r="DC238" s="14" t="str">
        <f t="shared" si="147"/>
        <v/>
      </c>
      <c r="DD238" s="14">
        <f t="shared" si="148"/>
        <v>12</v>
      </c>
      <c r="DE238" s="14">
        <f t="shared" si="149"/>
        <v>3</v>
      </c>
      <c r="DF238" s="14">
        <f t="shared" si="150"/>
        <v>23</v>
      </c>
      <c r="DG238" s="14">
        <f t="shared" si="151"/>
        <v>150</v>
      </c>
    </row>
    <row r="239" spans="77:111" ht="16.5" x14ac:dyDescent="0.2">
      <c r="BY239" s="13">
        <v>235</v>
      </c>
      <c r="BZ239" s="14">
        <f t="shared" si="134"/>
        <v>32</v>
      </c>
      <c r="CA239" s="14">
        <f t="shared" si="135"/>
        <v>4</v>
      </c>
      <c r="CB239" s="14">
        <f t="shared" si="120"/>
        <v>3</v>
      </c>
      <c r="CC239" s="14">
        <f t="shared" si="121"/>
        <v>2034045</v>
      </c>
      <c r="CD239" s="13" t="str">
        <f t="shared" si="122"/>
        <v>60级守护灵橙色套1-鞋子</v>
      </c>
      <c r="CE239" s="14">
        <f t="shared" si="123"/>
        <v>2</v>
      </c>
      <c r="CF239" s="14">
        <f t="shared" si="124"/>
        <v>4</v>
      </c>
      <c r="CG239" s="14">
        <f t="shared" si="136"/>
        <v>60</v>
      </c>
      <c r="CH239" s="14">
        <f t="shared" si="137"/>
        <v>60</v>
      </c>
      <c r="CI239" s="14">
        <f t="shared" si="125"/>
        <v>5</v>
      </c>
      <c r="CJ239" s="14">
        <f t="shared" si="138"/>
        <v>2031</v>
      </c>
      <c r="CK239" s="14">
        <f t="shared" si="126"/>
        <v>0</v>
      </c>
      <c r="CL239" s="14">
        <f t="shared" si="127"/>
        <v>0</v>
      </c>
      <c r="CM239" s="14">
        <f t="shared" si="128"/>
        <v>903</v>
      </c>
      <c r="CN239" s="14">
        <f t="shared" si="129"/>
        <v>0</v>
      </c>
      <c r="CO239" s="14">
        <f t="shared" si="130"/>
        <v>0</v>
      </c>
      <c r="CP239" s="14">
        <f t="shared" si="131"/>
        <v>60.2</v>
      </c>
      <c r="CQ239" s="14">
        <f t="shared" si="139"/>
        <v>12</v>
      </c>
      <c r="CR239" s="14">
        <f t="shared" si="140"/>
        <v>3</v>
      </c>
      <c r="CS239" s="14">
        <f t="shared" si="141"/>
        <v>23</v>
      </c>
      <c r="CV239" s="14">
        <f t="shared" si="132"/>
        <v>3</v>
      </c>
      <c r="CW239" s="14">
        <f t="shared" si="133"/>
        <v>0</v>
      </c>
      <c r="CX239" s="14" t="str">
        <f t="shared" si="142"/>
        <v>HPExt</v>
      </c>
      <c r="CY239" s="14">
        <f t="shared" si="143"/>
        <v>903</v>
      </c>
      <c r="CZ239" s="14">
        <f t="shared" si="144"/>
        <v>60.2</v>
      </c>
      <c r="DA239" s="14" t="str">
        <f t="shared" si="145"/>
        <v/>
      </c>
      <c r="DB239" s="14" t="str">
        <f t="shared" si="146"/>
        <v/>
      </c>
      <c r="DC239" s="14" t="str">
        <f t="shared" si="147"/>
        <v/>
      </c>
      <c r="DD239" s="14">
        <f t="shared" si="148"/>
        <v>12</v>
      </c>
      <c r="DE239" s="14">
        <f t="shared" si="149"/>
        <v>3</v>
      </c>
      <c r="DF239" s="14">
        <f t="shared" si="150"/>
        <v>23</v>
      </c>
      <c r="DG239" s="14">
        <f t="shared" si="151"/>
        <v>150</v>
      </c>
    </row>
    <row r="240" spans="77:111" ht="16.5" x14ac:dyDescent="0.2">
      <c r="BY240" s="13">
        <v>236</v>
      </c>
      <c r="BZ240" s="14">
        <f t="shared" si="134"/>
        <v>32</v>
      </c>
      <c r="CA240" s="14">
        <f t="shared" si="135"/>
        <v>4</v>
      </c>
      <c r="CB240" s="14">
        <f t="shared" si="120"/>
        <v>3</v>
      </c>
      <c r="CC240" s="14">
        <f t="shared" si="121"/>
        <v>2034046</v>
      </c>
      <c r="CD240" s="13" t="str">
        <f t="shared" si="122"/>
        <v>60级守护灵橙色套1-护手</v>
      </c>
      <c r="CE240" s="14">
        <f t="shared" si="123"/>
        <v>2</v>
      </c>
      <c r="CF240" s="14">
        <f t="shared" si="124"/>
        <v>4</v>
      </c>
      <c r="CG240" s="14">
        <f t="shared" si="136"/>
        <v>60</v>
      </c>
      <c r="CH240" s="14">
        <f t="shared" si="137"/>
        <v>60</v>
      </c>
      <c r="CI240" s="14">
        <f t="shared" si="125"/>
        <v>6</v>
      </c>
      <c r="CJ240" s="14">
        <f t="shared" si="138"/>
        <v>2031</v>
      </c>
      <c r="CK240" s="14">
        <f t="shared" si="126"/>
        <v>0</v>
      </c>
      <c r="CL240" s="14">
        <f t="shared" si="127"/>
        <v>0</v>
      </c>
      <c r="CM240" s="14">
        <f t="shared" si="128"/>
        <v>903</v>
      </c>
      <c r="CN240" s="14">
        <f t="shared" si="129"/>
        <v>0</v>
      </c>
      <c r="CO240" s="14">
        <f t="shared" si="130"/>
        <v>0</v>
      </c>
      <c r="CP240" s="14">
        <f t="shared" si="131"/>
        <v>60.2</v>
      </c>
      <c r="CQ240" s="14">
        <f t="shared" si="139"/>
        <v>12</v>
      </c>
      <c r="CR240" s="14">
        <f t="shared" si="140"/>
        <v>3</v>
      </c>
      <c r="CS240" s="14">
        <f t="shared" si="141"/>
        <v>23</v>
      </c>
      <c r="CV240" s="14">
        <f t="shared" si="132"/>
        <v>3</v>
      </c>
      <c r="CW240" s="14">
        <f t="shared" si="133"/>
        <v>0</v>
      </c>
      <c r="CX240" s="14" t="str">
        <f t="shared" si="142"/>
        <v>HPExt</v>
      </c>
      <c r="CY240" s="14">
        <f t="shared" si="143"/>
        <v>903</v>
      </c>
      <c r="CZ240" s="14">
        <f t="shared" si="144"/>
        <v>60.2</v>
      </c>
      <c r="DA240" s="14" t="str">
        <f t="shared" si="145"/>
        <v/>
      </c>
      <c r="DB240" s="14" t="str">
        <f t="shared" si="146"/>
        <v/>
      </c>
      <c r="DC240" s="14" t="str">
        <f t="shared" si="147"/>
        <v/>
      </c>
      <c r="DD240" s="14">
        <f t="shared" si="148"/>
        <v>12</v>
      </c>
      <c r="DE240" s="14">
        <f t="shared" si="149"/>
        <v>3</v>
      </c>
      <c r="DF240" s="14">
        <f t="shared" si="150"/>
        <v>23</v>
      </c>
      <c r="DG240" s="14">
        <f t="shared" si="151"/>
        <v>150</v>
      </c>
    </row>
    <row r="241" spans="77:111" ht="16.5" x14ac:dyDescent="0.2">
      <c r="BY241" s="13">
        <v>237</v>
      </c>
      <c r="BZ241" s="14">
        <f t="shared" si="134"/>
        <v>33</v>
      </c>
      <c r="CA241" s="14">
        <f t="shared" si="135"/>
        <v>5</v>
      </c>
      <c r="CB241" s="14">
        <f t="shared" si="120"/>
        <v>3</v>
      </c>
      <c r="CC241" s="14">
        <f t="shared" si="121"/>
        <v>2034051</v>
      </c>
      <c r="CD241" s="13" t="str">
        <f t="shared" si="122"/>
        <v>60级寄灵人橙色套2-武器</v>
      </c>
      <c r="CE241" s="14">
        <f t="shared" si="123"/>
        <v>1</v>
      </c>
      <c r="CF241" s="14">
        <f t="shared" si="124"/>
        <v>4</v>
      </c>
      <c r="CG241" s="14">
        <f t="shared" si="136"/>
        <v>60</v>
      </c>
      <c r="CH241" s="14">
        <f t="shared" si="137"/>
        <v>60</v>
      </c>
      <c r="CI241" s="14">
        <f t="shared" si="125"/>
        <v>1</v>
      </c>
      <c r="CJ241" s="14">
        <f t="shared" si="138"/>
        <v>1032</v>
      </c>
      <c r="CK241" s="14">
        <f t="shared" si="126"/>
        <v>328</v>
      </c>
      <c r="CL241" s="14">
        <f t="shared" si="127"/>
        <v>0</v>
      </c>
      <c r="CM241" s="14">
        <f t="shared" si="128"/>
        <v>0</v>
      </c>
      <c r="CN241" s="14">
        <f t="shared" si="129"/>
        <v>21.89</v>
      </c>
      <c r="CO241" s="14">
        <f t="shared" si="130"/>
        <v>0</v>
      </c>
      <c r="CP241" s="14">
        <f t="shared" si="131"/>
        <v>0</v>
      </c>
      <c r="CQ241" s="14">
        <f t="shared" si="139"/>
        <v>12</v>
      </c>
      <c r="CR241" s="14">
        <f t="shared" si="140"/>
        <v>3</v>
      </c>
      <c r="CS241" s="14">
        <f t="shared" si="141"/>
        <v>13</v>
      </c>
      <c r="CV241" s="14">
        <f t="shared" si="132"/>
        <v>1</v>
      </c>
      <c r="CW241" s="14">
        <f t="shared" si="133"/>
        <v>0</v>
      </c>
      <c r="CX241" s="14" t="str">
        <f t="shared" si="142"/>
        <v>AtkExt</v>
      </c>
      <c r="CY241" s="14">
        <f t="shared" si="143"/>
        <v>328</v>
      </c>
      <c r="CZ241" s="14">
        <f t="shared" si="144"/>
        <v>21.89</v>
      </c>
      <c r="DA241" s="14" t="str">
        <f t="shared" si="145"/>
        <v/>
      </c>
      <c r="DB241" s="14" t="str">
        <f t="shared" si="146"/>
        <v/>
      </c>
      <c r="DC241" s="14" t="str">
        <f t="shared" si="147"/>
        <v/>
      </c>
      <c r="DD241" s="14">
        <f t="shared" si="148"/>
        <v>12</v>
      </c>
      <c r="DE241" s="14">
        <f t="shared" si="149"/>
        <v>3</v>
      </c>
      <c r="DF241" s="14">
        <f t="shared" si="150"/>
        <v>13</v>
      </c>
      <c r="DG241" s="14">
        <f t="shared" si="151"/>
        <v>150</v>
      </c>
    </row>
    <row r="242" spans="77:111" ht="16.5" x14ac:dyDescent="0.2">
      <c r="BY242" s="13">
        <v>238</v>
      </c>
      <c r="BZ242" s="14">
        <f t="shared" si="134"/>
        <v>33</v>
      </c>
      <c r="CA242" s="14">
        <f t="shared" si="135"/>
        <v>5</v>
      </c>
      <c r="CB242" s="14">
        <f t="shared" si="120"/>
        <v>3</v>
      </c>
      <c r="CC242" s="14">
        <f t="shared" si="121"/>
        <v>2034052</v>
      </c>
      <c r="CD242" s="13" t="str">
        <f t="shared" si="122"/>
        <v>60级寄灵人橙色套2-头盔</v>
      </c>
      <c r="CE242" s="14">
        <f t="shared" si="123"/>
        <v>1</v>
      </c>
      <c r="CF242" s="14">
        <f t="shared" si="124"/>
        <v>4</v>
      </c>
      <c r="CG242" s="14">
        <f t="shared" si="136"/>
        <v>60</v>
      </c>
      <c r="CH242" s="14">
        <f t="shared" si="137"/>
        <v>60</v>
      </c>
      <c r="CI242" s="14">
        <f t="shared" si="125"/>
        <v>2</v>
      </c>
      <c r="CJ242" s="14">
        <f t="shared" si="138"/>
        <v>1032</v>
      </c>
      <c r="CK242" s="14">
        <f t="shared" si="126"/>
        <v>0</v>
      </c>
      <c r="CL242" s="14">
        <f t="shared" si="127"/>
        <v>79</v>
      </c>
      <c r="CM242" s="14">
        <f t="shared" si="128"/>
        <v>0</v>
      </c>
      <c r="CN242" s="14">
        <f t="shared" si="129"/>
        <v>0</v>
      </c>
      <c r="CO242" s="14">
        <f t="shared" si="130"/>
        <v>5.28</v>
      </c>
      <c r="CP242" s="14">
        <f t="shared" si="131"/>
        <v>0</v>
      </c>
      <c r="CQ242" s="14">
        <f t="shared" si="139"/>
        <v>12</v>
      </c>
      <c r="CR242" s="14">
        <f t="shared" si="140"/>
        <v>3</v>
      </c>
      <c r="CS242" s="14">
        <f t="shared" si="141"/>
        <v>13</v>
      </c>
      <c r="CV242" s="14">
        <f t="shared" si="132"/>
        <v>2</v>
      </c>
      <c r="CW242" s="14">
        <f t="shared" si="133"/>
        <v>0</v>
      </c>
      <c r="CX242" s="14" t="str">
        <f t="shared" si="142"/>
        <v>DefExt</v>
      </c>
      <c r="CY242" s="14">
        <f t="shared" si="143"/>
        <v>79</v>
      </c>
      <c r="CZ242" s="14">
        <f t="shared" si="144"/>
        <v>5.28</v>
      </c>
      <c r="DA242" s="14" t="str">
        <f t="shared" si="145"/>
        <v/>
      </c>
      <c r="DB242" s="14" t="str">
        <f t="shared" si="146"/>
        <v/>
      </c>
      <c r="DC242" s="14" t="str">
        <f t="shared" si="147"/>
        <v/>
      </c>
      <c r="DD242" s="14">
        <f t="shared" si="148"/>
        <v>12</v>
      </c>
      <c r="DE242" s="14">
        <f t="shared" si="149"/>
        <v>3</v>
      </c>
      <c r="DF242" s="14">
        <f t="shared" si="150"/>
        <v>13</v>
      </c>
      <c r="DG242" s="14">
        <f t="shared" si="151"/>
        <v>150</v>
      </c>
    </row>
    <row r="243" spans="77:111" ht="16.5" x14ac:dyDescent="0.2">
      <c r="BY243" s="13">
        <v>239</v>
      </c>
      <c r="BZ243" s="14">
        <f t="shared" si="134"/>
        <v>33</v>
      </c>
      <c r="CA243" s="14">
        <f t="shared" si="135"/>
        <v>5</v>
      </c>
      <c r="CB243" s="14">
        <f t="shared" si="120"/>
        <v>3</v>
      </c>
      <c r="CC243" s="14">
        <f t="shared" si="121"/>
        <v>2034053</v>
      </c>
      <c r="CD243" s="13" t="str">
        <f t="shared" si="122"/>
        <v>60级寄灵人橙色套2-肩甲</v>
      </c>
      <c r="CE243" s="14">
        <f t="shared" si="123"/>
        <v>1</v>
      </c>
      <c r="CF243" s="14">
        <f t="shared" si="124"/>
        <v>4</v>
      </c>
      <c r="CG243" s="14">
        <f t="shared" si="136"/>
        <v>60</v>
      </c>
      <c r="CH243" s="14">
        <f t="shared" si="137"/>
        <v>60</v>
      </c>
      <c r="CI243" s="14">
        <f t="shared" si="125"/>
        <v>3</v>
      </c>
      <c r="CJ243" s="14">
        <f t="shared" si="138"/>
        <v>1032</v>
      </c>
      <c r="CK243" s="14">
        <f t="shared" si="126"/>
        <v>0</v>
      </c>
      <c r="CL243" s="14">
        <f t="shared" si="127"/>
        <v>40</v>
      </c>
      <c r="CM243" s="14">
        <f t="shared" si="128"/>
        <v>254</v>
      </c>
      <c r="CN243" s="14">
        <f t="shared" si="129"/>
        <v>0</v>
      </c>
      <c r="CO243" s="14">
        <f t="shared" si="130"/>
        <v>2.64</v>
      </c>
      <c r="CP243" s="14">
        <f t="shared" si="131"/>
        <v>16.920000000000002</v>
      </c>
      <c r="CQ243" s="14">
        <f t="shared" si="139"/>
        <v>12</v>
      </c>
      <c r="CR243" s="14">
        <f t="shared" si="140"/>
        <v>3</v>
      </c>
      <c r="CS243" s="14">
        <f t="shared" si="141"/>
        <v>13</v>
      </c>
      <c r="CV243" s="14">
        <f t="shared" si="132"/>
        <v>2</v>
      </c>
      <c r="CW243" s="14">
        <f t="shared" si="133"/>
        <v>3</v>
      </c>
      <c r="CX243" s="14" t="str">
        <f t="shared" si="142"/>
        <v>DefExt</v>
      </c>
      <c r="CY243" s="14">
        <f t="shared" si="143"/>
        <v>40</v>
      </c>
      <c r="CZ243" s="14">
        <f t="shared" si="144"/>
        <v>2.64</v>
      </c>
      <c r="DA243" s="14" t="str">
        <f t="shared" si="145"/>
        <v>HPExt</v>
      </c>
      <c r="DB243" s="14">
        <f t="shared" si="146"/>
        <v>254</v>
      </c>
      <c r="DC243" s="14">
        <f t="shared" si="147"/>
        <v>16.920000000000002</v>
      </c>
      <c r="DD243" s="14">
        <f t="shared" si="148"/>
        <v>12</v>
      </c>
      <c r="DE243" s="14">
        <f t="shared" si="149"/>
        <v>3</v>
      </c>
      <c r="DF243" s="14">
        <f t="shared" si="150"/>
        <v>13</v>
      </c>
      <c r="DG243" s="14">
        <f t="shared" si="151"/>
        <v>150</v>
      </c>
    </row>
    <row r="244" spans="77:111" ht="16.5" x14ac:dyDescent="0.2">
      <c r="BY244" s="13">
        <v>240</v>
      </c>
      <c r="BZ244" s="14">
        <f t="shared" si="134"/>
        <v>33</v>
      </c>
      <c r="CA244" s="14">
        <f t="shared" si="135"/>
        <v>5</v>
      </c>
      <c r="CB244" s="14">
        <f t="shared" si="120"/>
        <v>3</v>
      </c>
      <c r="CC244" s="14">
        <f t="shared" si="121"/>
        <v>2034054</v>
      </c>
      <c r="CD244" s="13" t="str">
        <f t="shared" si="122"/>
        <v>60级寄灵人橙色套2-衣服</v>
      </c>
      <c r="CE244" s="14">
        <f t="shared" si="123"/>
        <v>1</v>
      </c>
      <c r="CF244" s="14">
        <f t="shared" si="124"/>
        <v>4</v>
      </c>
      <c r="CG244" s="14">
        <f t="shared" si="136"/>
        <v>60</v>
      </c>
      <c r="CH244" s="14">
        <f t="shared" si="137"/>
        <v>60</v>
      </c>
      <c r="CI244" s="14">
        <f t="shared" si="125"/>
        <v>4</v>
      </c>
      <c r="CJ244" s="14">
        <f t="shared" si="138"/>
        <v>1032</v>
      </c>
      <c r="CK244" s="14">
        <f t="shared" si="126"/>
        <v>0</v>
      </c>
      <c r="CL244" s="14">
        <f t="shared" si="127"/>
        <v>79</v>
      </c>
      <c r="CM244" s="14">
        <f t="shared" si="128"/>
        <v>0</v>
      </c>
      <c r="CN244" s="14">
        <f t="shared" si="129"/>
        <v>0</v>
      </c>
      <c r="CO244" s="14">
        <f t="shared" si="130"/>
        <v>5.28</v>
      </c>
      <c r="CP244" s="14">
        <f t="shared" si="131"/>
        <v>0</v>
      </c>
      <c r="CQ244" s="14">
        <f t="shared" si="139"/>
        <v>12</v>
      </c>
      <c r="CR244" s="14">
        <f t="shared" si="140"/>
        <v>3</v>
      </c>
      <c r="CS244" s="14">
        <f t="shared" si="141"/>
        <v>13</v>
      </c>
      <c r="CV244" s="14">
        <f t="shared" si="132"/>
        <v>2</v>
      </c>
      <c r="CW244" s="14">
        <f t="shared" si="133"/>
        <v>0</v>
      </c>
      <c r="CX244" s="14" t="str">
        <f t="shared" si="142"/>
        <v>DefExt</v>
      </c>
      <c r="CY244" s="14">
        <f t="shared" si="143"/>
        <v>79</v>
      </c>
      <c r="CZ244" s="14">
        <f t="shared" si="144"/>
        <v>5.28</v>
      </c>
      <c r="DA244" s="14" t="str">
        <f t="shared" si="145"/>
        <v/>
      </c>
      <c r="DB244" s="14" t="str">
        <f t="shared" si="146"/>
        <v/>
      </c>
      <c r="DC244" s="14" t="str">
        <f t="shared" si="147"/>
        <v/>
      </c>
      <c r="DD244" s="14">
        <f t="shared" si="148"/>
        <v>12</v>
      </c>
      <c r="DE244" s="14">
        <f t="shared" si="149"/>
        <v>3</v>
      </c>
      <c r="DF244" s="14">
        <f t="shared" si="150"/>
        <v>13</v>
      </c>
      <c r="DG244" s="14">
        <f t="shared" si="151"/>
        <v>150</v>
      </c>
    </row>
    <row r="245" spans="77:111" ht="16.5" x14ac:dyDescent="0.2">
      <c r="BY245" s="13">
        <v>241</v>
      </c>
      <c r="BZ245" s="14">
        <f t="shared" si="134"/>
        <v>33</v>
      </c>
      <c r="CA245" s="14">
        <f t="shared" si="135"/>
        <v>5</v>
      </c>
      <c r="CB245" s="14">
        <f t="shared" si="120"/>
        <v>3</v>
      </c>
      <c r="CC245" s="14">
        <f t="shared" si="121"/>
        <v>2034055</v>
      </c>
      <c r="CD245" s="13" t="str">
        <f t="shared" si="122"/>
        <v>60级寄灵人橙色套2-鞋子</v>
      </c>
      <c r="CE245" s="14">
        <f t="shared" si="123"/>
        <v>1</v>
      </c>
      <c r="CF245" s="14">
        <f t="shared" si="124"/>
        <v>4</v>
      </c>
      <c r="CG245" s="14">
        <f t="shared" si="136"/>
        <v>60</v>
      </c>
      <c r="CH245" s="14">
        <f t="shared" si="137"/>
        <v>60</v>
      </c>
      <c r="CI245" s="14">
        <f t="shared" si="125"/>
        <v>5</v>
      </c>
      <c r="CJ245" s="14">
        <f t="shared" si="138"/>
        <v>1032</v>
      </c>
      <c r="CK245" s="14">
        <f t="shared" si="126"/>
        <v>0</v>
      </c>
      <c r="CL245" s="14">
        <f t="shared" si="127"/>
        <v>0</v>
      </c>
      <c r="CM245" s="14">
        <f t="shared" si="128"/>
        <v>507</v>
      </c>
      <c r="CN245" s="14">
        <f t="shared" si="129"/>
        <v>0</v>
      </c>
      <c r="CO245" s="14">
        <f t="shared" si="130"/>
        <v>0</v>
      </c>
      <c r="CP245" s="14">
        <f t="shared" si="131"/>
        <v>33.83</v>
      </c>
      <c r="CQ245" s="14">
        <f t="shared" si="139"/>
        <v>12</v>
      </c>
      <c r="CR245" s="14">
        <f t="shared" si="140"/>
        <v>3</v>
      </c>
      <c r="CS245" s="14">
        <f t="shared" si="141"/>
        <v>13</v>
      </c>
      <c r="CV245" s="14">
        <f t="shared" si="132"/>
        <v>3</v>
      </c>
      <c r="CW245" s="14">
        <f t="shared" si="133"/>
        <v>0</v>
      </c>
      <c r="CX245" s="14" t="str">
        <f t="shared" si="142"/>
        <v>HPExt</v>
      </c>
      <c r="CY245" s="14">
        <f t="shared" si="143"/>
        <v>507</v>
      </c>
      <c r="CZ245" s="14">
        <f t="shared" si="144"/>
        <v>33.83</v>
      </c>
      <c r="DA245" s="14" t="str">
        <f t="shared" si="145"/>
        <v/>
      </c>
      <c r="DB245" s="14" t="str">
        <f t="shared" si="146"/>
        <v/>
      </c>
      <c r="DC245" s="14" t="str">
        <f t="shared" si="147"/>
        <v/>
      </c>
      <c r="DD245" s="14">
        <f t="shared" si="148"/>
        <v>12</v>
      </c>
      <c r="DE245" s="14">
        <f t="shared" si="149"/>
        <v>3</v>
      </c>
      <c r="DF245" s="14">
        <f t="shared" si="150"/>
        <v>13</v>
      </c>
      <c r="DG245" s="14">
        <f t="shared" si="151"/>
        <v>150</v>
      </c>
    </row>
    <row r="246" spans="77:111" ht="16.5" x14ac:dyDescent="0.2">
      <c r="BY246" s="13">
        <v>242</v>
      </c>
      <c r="BZ246" s="14">
        <f t="shared" si="134"/>
        <v>33</v>
      </c>
      <c r="CA246" s="14">
        <f t="shared" si="135"/>
        <v>5</v>
      </c>
      <c r="CB246" s="14">
        <f t="shared" si="120"/>
        <v>3</v>
      </c>
      <c r="CC246" s="14">
        <f t="shared" si="121"/>
        <v>2034056</v>
      </c>
      <c r="CD246" s="13" t="str">
        <f t="shared" si="122"/>
        <v>60级寄灵人橙色套2-护手</v>
      </c>
      <c r="CE246" s="14">
        <f t="shared" si="123"/>
        <v>1</v>
      </c>
      <c r="CF246" s="14">
        <f t="shared" si="124"/>
        <v>4</v>
      </c>
      <c r="CG246" s="14">
        <f t="shared" si="136"/>
        <v>60</v>
      </c>
      <c r="CH246" s="14">
        <f t="shared" si="137"/>
        <v>60</v>
      </c>
      <c r="CI246" s="14">
        <f t="shared" si="125"/>
        <v>6</v>
      </c>
      <c r="CJ246" s="14">
        <f t="shared" si="138"/>
        <v>1032</v>
      </c>
      <c r="CK246" s="14">
        <f t="shared" si="126"/>
        <v>0</v>
      </c>
      <c r="CL246" s="14">
        <f t="shared" si="127"/>
        <v>0</v>
      </c>
      <c r="CM246" s="14">
        <f t="shared" si="128"/>
        <v>507</v>
      </c>
      <c r="CN246" s="14">
        <f t="shared" si="129"/>
        <v>0</v>
      </c>
      <c r="CO246" s="14">
        <f t="shared" si="130"/>
        <v>0</v>
      </c>
      <c r="CP246" s="14">
        <f t="shared" si="131"/>
        <v>33.83</v>
      </c>
      <c r="CQ246" s="14">
        <f t="shared" si="139"/>
        <v>12</v>
      </c>
      <c r="CR246" s="14">
        <f t="shared" si="140"/>
        <v>3</v>
      </c>
      <c r="CS246" s="14">
        <f t="shared" si="141"/>
        <v>13</v>
      </c>
      <c r="CV246" s="14">
        <f t="shared" si="132"/>
        <v>3</v>
      </c>
      <c r="CW246" s="14">
        <f t="shared" si="133"/>
        <v>0</v>
      </c>
      <c r="CX246" s="14" t="str">
        <f t="shared" si="142"/>
        <v>HPExt</v>
      </c>
      <c r="CY246" s="14">
        <f t="shared" si="143"/>
        <v>507</v>
      </c>
      <c r="CZ246" s="14">
        <f t="shared" si="144"/>
        <v>33.83</v>
      </c>
      <c r="DA246" s="14" t="str">
        <f t="shared" si="145"/>
        <v/>
      </c>
      <c r="DB246" s="14" t="str">
        <f t="shared" si="146"/>
        <v/>
      </c>
      <c r="DC246" s="14" t="str">
        <f t="shared" si="147"/>
        <v/>
      </c>
      <c r="DD246" s="14">
        <f t="shared" si="148"/>
        <v>12</v>
      </c>
      <c r="DE246" s="14">
        <f t="shared" si="149"/>
        <v>3</v>
      </c>
      <c r="DF246" s="14">
        <f t="shared" si="150"/>
        <v>13</v>
      </c>
      <c r="DG246" s="14">
        <f t="shared" si="151"/>
        <v>150</v>
      </c>
    </row>
    <row r="247" spans="77:111" ht="16.5" x14ac:dyDescent="0.2">
      <c r="BY247" s="13">
        <v>243</v>
      </c>
      <c r="BZ247" s="14">
        <f t="shared" si="134"/>
        <v>34</v>
      </c>
      <c r="CA247" s="14">
        <f t="shared" si="135"/>
        <v>6</v>
      </c>
      <c r="CB247" s="14">
        <f t="shared" si="120"/>
        <v>3</v>
      </c>
      <c r="CC247" s="14">
        <f t="shared" si="121"/>
        <v>2034061</v>
      </c>
      <c r="CD247" s="13" t="str">
        <f t="shared" si="122"/>
        <v>60级守护灵橙色套2-武器</v>
      </c>
      <c r="CE247" s="14">
        <f t="shared" si="123"/>
        <v>2</v>
      </c>
      <c r="CF247" s="14">
        <f t="shared" si="124"/>
        <v>4</v>
      </c>
      <c r="CG247" s="14">
        <f t="shared" si="136"/>
        <v>60</v>
      </c>
      <c r="CH247" s="14">
        <f t="shared" si="137"/>
        <v>60</v>
      </c>
      <c r="CI247" s="14">
        <f t="shared" si="125"/>
        <v>1</v>
      </c>
      <c r="CJ247" s="14">
        <f t="shared" si="138"/>
        <v>2032</v>
      </c>
      <c r="CK247" s="14">
        <f t="shared" si="126"/>
        <v>362</v>
      </c>
      <c r="CL247" s="14">
        <f t="shared" si="127"/>
        <v>0</v>
      </c>
      <c r="CM247" s="14">
        <f t="shared" si="128"/>
        <v>0</v>
      </c>
      <c r="CN247" s="14">
        <f t="shared" si="129"/>
        <v>24.14</v>
      </c>
      <c r="CO247" s="14">
        <f t="shared" si="130"/>
        <v>0</v>
      </c>
      <c r="CP247" s="14">
        <f t="shared" si="131"/>
        <v>0</v>
      </c>
      <c r="CQ247" s="14">
        <f t="shared" si="139"/>
        <v>12</v>
      </c>
      <c r="CR247" s="14">
        <f t="shared" si="140"/>
        <v>3</v>
      </c>
      <c r="CS247" s="14">
        <f t="shared" si="141"/>
        <v>23</v>
      </c>
      <c r="CV247" s="14">
        <f t="shared" si="132"/>
        <v>1</v>
      </c>
      <c r="CW247" s="14">
        <f t="shared" si="133"/>
        <v>0</v>
      </c>
      <c r="CX247" s="14" t="str">
        <f t="shared" si="142"/>
        <v>AtkExt</v>
      </c>
      <c r="CY247" s="14">
        <f t="shared" si="143"/>
        <v>362</v>
      </c>
      <c r="CZ247" s="14">
        <f t="shared" si="144"/>
        <v>24.14</v>
      </c>
      <c r="DA247" s="14" t="str">
        <f t="shared" si="145"/>
        <v/>
      </c>
      <c r="DB247" s="14" t="str">
        <f t="shared" si="146"/>
        <v/>
      </c>
      <c r="DC247" s="14" t="str">
        <f t="shared" si="147"/>
        <v/>
      </c>
      <c r="DD247" s="14">
        <f t="shared" si="148"/>
        <v>12</v>
      </c>
      <c r="DE247" s="14">
        <f t="shared" si="149"/>
        <v>3</v>
      </c>
      <c r="DF247" s="14">
        <f t="shared" si="150"/>
        <v>23</v>
      </c>
      <c r="DG247" s="14">
        <f t="shared" si="151"/>
        <v>150</v>
      </c>
    </row>
    <row r="248" spans="77:111" ht="16.5" x14ac:dyDescent="0.2">
      <c r="BY248" s="13">
        <v>244</v>
      </c>
      <c r="BZ248" s="14">
        <f t="shared" si="134"/>
        <v>34</v>
      </c>
      <c r="CA248" s="14">
        <f t="shared" si="135"/>
        <v>6</v>
      </c>
      <c r="CB248" s="14">
        <f t="shared" si="120"/>
        <v>3</v>
      </c>
      <c r="CC248" s="14">
        <f t="shared" si="121"/>
        <v>2034062</v>
      </c>
      <c r="CD248" s="13" t="str">
        <f t="shared" si="122"/>
        <v>60级守护灵橙色套2-头盔</v>
      </c>
      <c r="CE248" s="14">
        <f t="shared" si="123"/>
        <v>2</v>
      </c>
      <c r="CF248" s="14">
        <f t="shared" si="124"/>
        <v>4</v>
      </c>
      <c r="CG248" s="14">
        <f t="shared" si="136"/>
        <v>60</v>
      </c>
      <c r="CH248" s="14">
        <f t="shared" si="137"/>
        <v>60</v>
      </c>
      <c r="CI248" s="14">
        <f t="shared" si="125"/>
        <v>2</v>
      </c>
      <c r="CJ248" s="14">
        <f t="shared" si="138"/>
        <v>2032</v>
      </c>
      <c r="CK248" s="14">
        <f t="shared" si="126"/>
        <v>0</v>
      </c>
      <c r="CL248" s="14">
        <f t="shared" si="127"/>
        <v>86</v>
      </c>
      <c r="CM248" s="14">
        <f t="shared" si="128"/>
        <v>0</v>
      </c>
      <c r="CN248" s="14">
        <f t="shared" si="129"/>
        <v>0</v>
      </c>
      <c r="CO248" s="14">
        <f t="shared" si="130"/>
        <v>5.75</v>
      </c>
      <c r="CP248" s="14">
        <f t="shared" si="131"/>
        <v>0</v>
      </c>
      <c r="CQ248" s="14">
        <f t="shared" si="139"/>
        <v>12</v>
      </c>
      <c r="CR248" s="14">
        <f t="shared" si="140"/>
        <v>3</v>
      </c>
      <c r="CS248" s="14">
        <f t="shared" si="141"/>
        <v>23</v>
      </c>
      <c r="CV248" s="14">
        <f t="shared" si="132"/>
        <v>2</v>
      </c>
      <c r="CW248" s="14">
        <f t="shared" si="133"/>
        <v>0</v>
      </c>
      <c r="CX248" s="14" t="str">
        <f t="shared" si="142"/>
        <v>DefExt</v>
      </c>
      <c r="CY248" s="14">
        <f t="shared" si="143"/>
        <v>86</v>
      </c>
      <c r="CZ248" s="14">
        <f t="shared" si="144"/>
        <v>5.75</v>
      </c>
      <c r="DA248" s="14" t="str">
        <f t="shared" si="145"/>
        <v/>
      </c>
      <c r="DB248" s="14" t="str">
        <f t="shared" si="146"/>
        <v/>
      </c>
      <c r="DC248" s="14" t="str">
        <f t="shared" si="147"/>
        <v/>
      </c>
      <c r="DD248" s="14">
        <f t="shared" si="148"/>
        <v>12</v>
      </c>
      <c r="DE248" s="14">
        <f t="shared" si="149"/>
        <v>3</v>
      </c>
      <c r="DF248" s="14">
        <f t="shared" si="150"/>
        <v>23</v>
      </c>
      <c r="DG248" s="14">
        <f t="shared" si="151"/>
        <v>150</v>
      </c>
    </row>
    <row r="249" spans="77:111" ht="16.5" x14ac:dyDescent="0.2">
      <c r="BY249" s="13">
        <v>245</v>
      </c>
      <c r="BZ249" s="14">
        <f t="shared" si="134"/>
        <v>34</v>
      </c>
      <c r="CA249" s="14">
        <f t="shared" si="135"/>
        <v>6</v>
      </c>
      <c r="CB249" s="14">
        <f t="shared" si="120"/>
        <v>3</v>
      </c>
      <c r="CC249" s="14">
        <f t="shared" si="121"/>
        <v>2034063</v>
      </c>
      <c r="CD249" s="13" t="str">
        <f t="shared" si="122"/>
        <v>60级守护灵橙色套2-肩甲</v>
      </c>
      <c r="CE249" s="14">
        <f t="shared" si="123"/>
        <v>2</v>
      </c>
      <c r="CF249" s="14">
        <f t="shared" si="124"/>
        <v>4</v>
      </c>
      <c r="CG249" s="14">
        <f t="shared" si="136"/>
        <v>60</v>
      </c>
      <c r="CH249" s="14">
        <f t="shared" si="137"/>
        <v>60</v>
      </c>
      <c r="CI249" s="14">
        <f t="shared" si="125"/>
        <v>3</v>
      </c>
      <c r="CJ249" s="14">
        <f t="shared" si="138"/>
        <v>2032</v>
      </c>
      <c r="CK249" s="14">
        <f t="shared" si="126"/>
        <v>0</v>
      </c>
      <c r="CL249" s="14">
        <f t="shared" si="127"/>
        <v>43</v>
      </c>
      <c r="CM249" s="14">
        <f t="shared" si="128"/>
        <v>452</v>
      </c>
      <c r="CN249" s="14">
        <f t="shared" si="129"/>
        <v>0</v>
      </c>
      <c r="CO249" s="14">
        <f t="shared" si="130"/>
        <v>2.87</v>
      </c>
      <c r="CP249" s="14">
        <f t="shared" si="131"/>
        <v>30.1</v>
      </c>
      <c r="CQ249" s="14">
        <f t="shared" si="139"/>
        <v>12</v>
      </c>
      <c r="CR249" s="14">
        <f t="shared" si="140"/>
        <v>3</v>
      </c>
      <c r="CS249" s="14">
        <f t="shared" si="141"/>
        <v>23</v>
      </c>
      <c r="CV249" s="14">
        <f t="shared" si="132"/>
        <v>2</v>
      </c>
      <c r="CW249" s="14">
        <f t="shared" si="133"/>
        <v>3</v>
      </c>
      <c r="CX249" s="14" t="str">
        <f t="shared" si="142"/>
        <v>DefExt</v>
      </c>
      <c r="CY249" s="14">
        <f t="shared" si="143"/>
        <v>43</v>
      </c>
      <c r="CZ249" s="14">
        <f t="shared" si="144"/>
        <v>2.87</v>
      </c>
      <c r="DA249" s="14" t="str">
        <f t="shared" si="145"/>
        <v>HPExt</v>
      </c>
      <c r="DB249" s="14">
        <f t="shared" si="146"/>
        <v>452</v>
      </c>
      <c r="DC249" s="14">
        <f t="shared" si="147"/>
        <v>30.1</v>
      </c>
      <c r="DD249" s="14">
        <f t="shared" si="148"/>
        <v>12</v>
      </c>
      <c r="DE249" s="14">
        <f t="shared" si="149"/>
        <v>3</v>
      </c>
      <c r="DF249" s="14">
        <f t="shared" si="150"/>
        <v>23</v>
      </c>
      <c r="DG249" s="14">
        <f t="shared" si="151"/>
        <v>150</v>
      </c>
    </row>
    <row r="250" spans="77:111" ht="16.5" x14ac:dyDescent="0.2">
      <c r="BY250" s="13">
        <v>246</v>
      </c>
      <c r="BZ250" s="14">
        <f t="shared" si="134"/>
        <v>34</v>
      </c>
      <c r="CA250" s="14">
        <f t="shared" si="135"/>
        <v>6</v>
      </c>
      <c r="CB250" s="14">
        <f t="shared" si="120"/>
        <v>3</v>
      </c>
      <c r="CC250" s="14">
        <f t="shared" si="121"/>
        <v>2034064</v>
      </c>
      <c r="CD250" s="13" t="str">
        <f t="shared" si="122"/>
        <v>60级守护灵橙色套2-衣服</v>
      </c>
      <c r="CE250" s="14">
        <f t="shared" si="123"/>
        <v>2</v>
      </c>
      <c r="CF250" s="14">
        <f t="shared" si="124"/>
        <v>4</v>
      </c>
      <c r="CG250" s="14">
        <f t="shared" si="136"/>
        <v>60</v>
      </c>
      <c r="CH250" s="14">
        <f t="shared" si="137"/>
        <v>60</v>
      </c>
      <c r="CI250" s="14">
        <f t="shared" si="125"/>
        <v>4</v>
      </c>
      <c r="CJ250" s="14">
        <f t="shared" si="138"/>
        <v>2032</v>
      </c>
      <c r="CK250" s="14">
        <f t="shared" si="126"/>
        <v>0</v>
      </c>
      <c r="CL250" s="14">
        <f t="shared" si="127"/>
        <v>86</v>
      </c>
      <c r="CM250" s="14">
        <f t="shared" si="128"/>
        <v>0</v>
      </c>
      <c r="CN250" s="14">
        <f t="shared" si="129"/>
        <v>0</v>
      </c>
      <c r="CO250" s="14">
        <f t="shared" si="130"/>
        <v>5.75</v>
      </c>
      <c r="CP250" s="14">
        <f t="shared" si="131"/>
        <v>0</v>
      </c>
      <c r="CQ250" s="14">
        <f t="shared" si="139"/>
        <v>12</v>
      </c>
      <c r="CR250" s="14">
        <f t="shared" si="140"/>
        <v>3</v>
      </c>
      <c r="CS250" s="14">
        <f t="shared" si="141"/>
        <v>23</v>
      </c>
      <c r="CV250" s="14">
        <f t="shared" si="132"/>
        <v>2</v>
      </c>
      <c r="CW250" s="14">
        <f t="shared" si="133"/>
        <v>0</v>
      </c>
      <c r="CX250" s="14" t="str">
        <f t="shared" si="142"/>
        <v>DefExt</v>
      </c>
      <c r="CY250" s="14">
        <f t="shared" si="143"/>
        <v>86</v>
      </c>
      <c r="CZ250" s="14">
        <f t="shared" si="144"/>
        <v>5.75</v>
      </c>
      <c r="DA250" s="14" t="str">
        <f t="shared" si="145"/>
        <v/>
      </c>
      <c r="DB250" s="14" t="str">
        <f t="shared" si="146"/>
        <v/>
      </c>
      <c r="DC250" s="14" t="str">
        <f t="shared" si="147"/>
        <v/>
      </c>
      <c r="DD250" s="14">
        <f t="shared" si="148"/>
        <v>12</v>
      </c>
      <c r="DE250" s="14">
        <f t="shared" si="149"/>
        <v>3</v>
      </c>
      <c r="DF250" s="14">
        <f t="shared" si="150"/>
        <v>23</v>
      </c>
      <c r="DG250" s="14">
        <f t="shared" si="151"/>
        <v>150</v>
      </c>
    </row>
    <row r="251" spans="77:111" ht="16.5" x14ac:dyDescent="0.2">
      <c r="BY251" s="13">
        <v>247</v>
      </c>
      <c r="BZ251" s="14">
        <f t="shared" si="134"/>
        <v>34</v>
      </c>
      <c r="CA251" s="14">
        <f t="shared" si="135"/>
        <v>6</v>
      </c>
      <c r="CB251" s="14">
        <f t="shared" si="120"/>
        <v>3</v>
      </c>
      <c r="CC251" s="14">
        <f t="shared" si="121"/>
        <v>2034065</v>
      </c>
      <c r="CD251" s="13" t="str">
        <f t="shared" si="122"/>
        <v>60级守护灵橙色套2-鞋子</v>
      </c>
      <c r="CE251" s="14">
        <f t="shared" si="123"/>
        <v>2</v>
      </c>
      <c r="CF251" s="14">
        <f t="shared" si="124"/>
        <v>4</v>
      </c>
      <c r="CG251" s="14">
        <f t="shared" si="136"/>
        <v>60</v>
      </c>
      <c r="CH251" s="14">
        <f t="shared" si="137"/>
        <v>60</v>
      </c>
      <c r="CI251" s="14">
        <f t="shared" si="125"/>
        <v>5</v>
      </c>
      <c r="CJ251" s="14">
        <f t="shared" si="138"/>
        <v>2032</v>
      </c>
      <c r="CK251" s="14">
        <f t="shared" si="126"/>
        <v>0</v>
      </c>
      <c r="CL251" s="14">
        <f t="shared" si="127"/>
        <v>0</v>
      </c>
      <c r="CM251" s="14">
        <f t="shared" si="128"/>
        <v>903</v>
      </c>
      <c r="CN251" s="14">
        <f t="shared" si="129"/>
        <v>0</v>
      </c>
      <c r="CO251" s="14">
        <f t="shared" si="130"/>
        <v>0</v>
      </c>
      <c r="CP251" s="14">
        <f t="shared" si="131"/>
        <v>60.2</v>
      </c>
      <c r="CQ251" s="14">
        <f t="shared" si="139"/>
        <v>12</v>
      </c>
      <c r="CR251" s="14">
        <f t="shared" si="140"/>
        <v>3</v>
      </c>
      <c r="CS251" s="14">
        <f t="shared" si="141"/>
        <v>23</v>
      </c>
      <c r="CV251" s="14">
        <f t="shared" si="132"/>
        <v>3</v>
      </c>
      <c r="CW251" s="14">
        <f t="shared" si="133"/>
        <v>0</v>
      </c>
      <c r="CX251" s="14" t="str">
        <f t="shared" si="142"/>
        <v>HPExt</v>
      </c>
      <c r="CY251" s="14">
        <f t="shared" si="143"/>
        <v>903</v>
      </c>
      <c r="CZ251" s="14">
        <f t="shared" si="144"/>
        <v>60.2</v>
      </c>
      <c r="DA251" s="14" t="str">
        <f t="shared" si="145"/>
        <v/>
      </c>
      <c r="DB251" s="14" t="str">
        <f t="shared" si="146"/>
        <v/>
      </c>
      <c r="DC251" s="14" t="str">
        <f t="shared" si="147"/>
        <v/>
      </c>
      <c r="DD251" s="14">
        <f t="shared" si="148"/>
        <v>12</v>
      </c>
      <c r="DE251" s="14">
        <f t="shared" si="149"/>
        <v>3</v>
      </c>
      <c r="DF251" s="14">
        <f t="shared" si="150"/>
        <v>23</v>
      </c>
      <c r="DG251" s="14">
        <f t="shared" si="151"/>
        <v>150</v>
      </c>
    </row>
    <row r="252" spans="77:111" ht="16.5" x14ac:dyDescent="0.2">
      <c r="BY252" s="13">
        <v>248</v>
      </c>
      <c r="BZ252" s="14">
        <f t="shared" si="134"/>
        <v>34</v>
      </c>
      <c r="CA252" s="14">
        <f t="shared" si="135"/>
        <v>6</v>
      </c>
      <c r="CB252" s="14">
        <f t="shared" si="120"/>
        <v>3</v>
      </c>
      <c r="CC252" s="14">
        <f t="shared" si="121"/>
        <v>2034066</v>
      </c>
      <c r="CD252" s="13" t="str">
        <f t="shared" si="122"/>
        <v>60级守护灵橙色套2-护手</v>
      </c>
      <c r="CE252" s="14">
        <f t="shared" si="123"/>
        <v>2</v>
      </c>
      <c r="CF252" s="14">
        <f t="shared" si="124"/>
        <v>4</v>
      </c>
      <c r="CG252" s="14">
        <f t="shared" si="136"/>
        <v>60</v>
      </c>
      <c r="CH252" s="14">
        <f t="shared" si="137"/>
        <v>60</v>
      </c>
      <c r="CI252" s="14">
        <f t="shared" si="125"/>
        <v>6</v>
      </c>
      <c r="CJ252" s="14">
        <f t="shared" si="138"/>
        <v>2032</v>
      </c>
      <c r="CK252" s="14">
        <f t="shared" si="126"/>
        <v>0</v>
      </c>
      <c r="CL252" s="14">
        <f t="shared" si="127"/>
        <v>0</v>
      </c>
      <c r="CM252" s="14">
        <f t="shared" si="128"/>
        <v>903</v>
      </c>
      <c r="CN252" s="14">
        <f t="shared" si="129"/>
        <v>0</v>
      </c>
      <c r="CO252" s="14">
        <f t="shared" si="130"/>
        <v>0</v>
      </c>
      <c r="CP252" s="14">
        <f t="shared" si="131"/>
        <v>60.2</v>
      </c>
      <c r="CQ252" s="14">
        <f t="shared" si="139"/>
        <v>12</v>
      </c>
      <c r="CR252" s="14">
        <f t="shared" si="140"/>
        <v>3</v>
      </c>
      <c r="CS252" s="14">
        <f t="shared" si="141"/>
        <v>23</v>
      </c>
      <c r="CV252" s="14">
        <f t="shared" si="132"/>
        <v>3</v>
      </c>
      <c r="CW252" s="14">
        <f t="shared" si="133"/>
        <v>0</v>
      </c>
      <c r="CX252" s="14" t="str">
        <f t="shared" si="142"/>
        <v>HPExt</v>
      </c>
      <c r="CY252" s="14">
        <f t="shared" si="143"/>
        <v>903</v>
      </c>
      <c r="CZ252" s="14">
        <f t="shared" si="144"/>
        <v>60.2</v>
      </c>
      <c r="DA252" s="14" t="str">
        <f t="shared" si="145"/>
        <v/>
      </c>
      <c r="DB252" s="14" t="str">
        <f t="shared" si="146"/>
        <v/>
      </c>
      <c r="DC252" s="14" t="str">
        <f t="shared" si="147"/>
        <v/>
      </c>
      <c r="DD252" s="14">
        <f t="shared" si="148"/>
        <v>12</v>
      </c>
      <c r="DE252" s="14">
        <f t="shared" si="149"/>
        <v>3</v>
      </c>
      <c r="DF252" s="14">
        <f t="shared" si="150"/>
        <v>23</v>
      </c>
      <c r="DG252" s="14">
        <f t="shared" si="151"/>
        <v>150</v>
      </c>
    </row>
    <row r="253" spans="77:111" ht="16.5" x14ac:dyDescent="0.2">
      <c r="BY253" s="13">
        <v>249</v>
      </c>
      <c r="BZ253" s="14">
        <f t="shared" si="134"/>
        <v>35</v>
      </c>
      <c r="CA253" s="14">
        <f t="shared" si="135"/>
        <v>1</v>
      </c>
      <c r="CB253" s="14">
        <f t="shared" si="120"/>
        <v>4</v>
      </c>
      <c r="CC253" s="14">
        <f t="shared" si="121"/>
        <v>2041011</v>
      </c>
      <c r="CD253" s="13" t="str">
        <f t="shared" si="122"/>
        <v>80级寄灵人绿色-武器</v>
      </c>
      <c r="CE253" s="14">
        <f t="shared" si="123"/>
        <v>1</v>
      </c>
      <c r="CF253" s="14">
        <f t="shared" si="124"/>
        <v>1</v>
      </c>
      <c r="CG253" s="14">
        <f t="shared" si="136"/>
        <v>80</v>
      </c>
      <c r="CH253" s="14">
        <f t="shared" si="137"/>
        <v>80</v>
      </c>
      <c r="CI253" s="14">
        <f t="shared" si="125"/>
        <v>1</v>
      </c>
      <c r="CJ253" s="14" t="str">
        <f t="shared" si="138"/>
        <v/>
      </c>
      <c r="CK253" s="14">
        <f t="shared" si="126"/>
        <v>291</v>
      </c>
      <c r="CL253" s="14">
        <f t="shared" si="127"/>
        <v>0</v>
      </c>
      <c r="CM253" s="14">
        <f t="shared" si="128"/>
        <v>0</v>
      </c>
      <c r="CN253" s="14">
        <f t="shared" si="129"/>
        <v>29.1</v>
      </c>
      <c r="CO253" s="14">
        <f t="shared" si="130"/>
        <v>0</v>
      </c>
      <c r="CP253" s="14">
        <f t="shared" si="131"/>
        <v>0</v>
      </c>
      <c r="CQ253" s="14">
        <f t="shared" si="139"/>
        <v>13</v>
      </c>
      <c r="CR253" s="14">
        <f t="shared" si="140"/>
        <v>0</v>
      </c>
      <c r="CS253" s="14">
        <f t="shared" si="141"/>
        <v>14</v>
      </c>
      <c r="CV253" s="14">
        <f t="shared" si="132"/>
        <v>1</v>
      </c>
      <c r="CW253" s="14">
        <f t="shared" si="133"/>
        <v>0</v>
      </c>
      <c r="CX253" s="14" t="str">
        <f t="shared" si="142"/>
        <v>AtkExt</v>
      </c>
      <c r="CY253" s="14">
        <f t="shared" si="143"/>
        <v>291</v>
      </c>
      <c r="CZ253" s="14">
        <f t="shared" si="144"/>
        <v>29.1</v>
      </c>
      <c r="DA253" s="14" t="str">
        <f t="shared" si="145"/>
        <v/>
      </c>
      <c r="DB253" s="14" t="str">
        <f t="shared" si="146"/>
        <v/>
      </c>
      <c r="DC253" s="14" t="str">
        <f t="shared" si="147"/>
        <v/>
      </c>
      <c r="DD253" s="14">
        <f t="shared" si="148"/>
        <v>13</v>
      </c>
      <c r="DE253" s="14">
        <f t="shared" si="149"/>
        <v>0</v>
      </c>
      <c r="DF253" s="14">
        <f t="shared" si="150"/>
        <v>14</v>
      </c>
      <c r="DG253" s="14">
        <f t="shared" si="151"/>
        <v>30</v>
      </c>
    </row>
    <row r="254" spans="77:111" ht="16.5" x14ac:dyDescent="0.2">
      <c r="BY254" s="13">
        <v>250</v>
      </c>
      <c r="BZ254" s="14">
        <f t="shared" si="134"/>
        <v>35</v>
      </c>
      <c r="CA254" s="14">
        <f t="shared" si="135"/>
        <v>1</v>
      </c>
      <c r="CB254" s="14">
        <f t="shared" si="120"/>
        <v>4</v>
      </c>
      <c r="CC254" s="14">
        <f t="shared" si="121"/>
        <v>2041012</v>
      </c>
      <c r="CD254" s="13" t="str">
        <f t="shared" si="122"/>
        <v>80级寄灵人绿色-头盔</v>
      </c>
      <c r="CE254" s="14">
        <f t="shared" si="123"/>
        <v>1</v>
      </c>
      <c r="CF254" s="14">
        <f t="shared" si="124"/>
        <v>1</v>
      </c>
      <c r="CG254" s="14">
        <f t="shared" si="136"/>
        <v>80</v>
      </c>
      <c r="CH254" s="14">
        <f t="shared" si="137"/>
        <v>80</v>
      </c>
      <c r="CI254" s="14">
        <f t="shared" si="125"/>
        <v>2</v>
      </c>
      <c r="CJ254" s="14" t="str">
        <f t="shared" si="138"/>
        <v/>
      </c>
      <c r="CK254" s="14">
        <f t="shared" si="126"/>
        <v>0</v>
      </c>
      <c r="CL254" s="14">
        <f t="shared" si="127"/>
        <v>71</v>
      </c>
      <c r="CM254" s="14">
        <f t="shared" si="128"/>
        <v>0</v>
      </c>
      <c r="CN254" s="14">
        <f t="shared" si="129"/>
        <v>0</v>
      </c>
      <c r="CO254" s="14">
        <f t="shared" si="130"/>
        <v>7.13</v>
      </c>
      <c r="CP254" s="14">
        <f t="shared" si="131"/>
        <v>0</v>
      </c>
      <c r="CQ254" s="14">
        <f t="shared" si="139"/>
        <v>13</v>
      </c>
      <c r="CR254" s="14">
        <f t="shared" si="140"/>
        <v>0</v>
      </c>
      <c r="CS254" s="14">
        <f t="shared" si="141"/>
        <v>14</v>
      </c>
      <c r="CV254" s="14">
        <f t="shared" si="132"/>
        <v>2</v>
      </c>
      <c r="CW254" s="14">
        <f t="shared" si="133"/>
        <v>0</v>
      </c>
      <c r="CX254" s="14" t="str">
        <f t="shared" si="142"/>
        <v>DefExt</v>
      </c>
      <c r="CY254" s="14">
        <f t="shared" si="143"/>
        <v>71</v>
      </c>
      <c r="CZ254" s="14">
        <f t="shared" si="144"/>
        <v>7.13</v>
      </c>
      <c r="DA254" s="14" t="str">
        <f t="shared" si="145"/>
        <v/>
      </c>
      <c r="DB254" s="14" t="str">
        <f t="shared" si="146"/>
        <v/>
      </c>
      <c r="DC254" s="14" t="str">
        <f t="shared" si="147"/>
        <v/>
      </c>
      <c r="DD254" s="14">
        <f t="shared" si="148"/>
        <v>13</v>
      </c>
      <c r="DE254" s="14">
        <f t="shared" si="149"/>
        <v>0</v>
      </c>
      <c r="DF254" s="14">
        <f t="shared" si="150"/>
        <v>14</v>
      </c>
      <c r="DG254" s="14">
        <f t="shared" si="151"/>
        <v>30</v>
      </c>
    </row>
    <row r="255" spans="77:111" ht="16.5" x14ac:dyDescent="0.2">
      <c r="BY255" s="13">
        <v>251</v>
      </c>
      <c r="BZ255" s="14">
        <f t="shared" si="134"/>
        <v>35</v>
      </c>
      <c r="CA255" s="14">
        <f t="shared" si="135"/>
        <v>1</v>
      </c>
      <c r="CB255" s="14">
        <f t="shared" si="120"/>
        <v>4</v>
      </c>
      <c r="CC255" s="14">
        <f t="shared" si="121"/>
        <v>2041013</v>
      </c>
      <c r="CD255" s="13" t="str">
        <f t="shared" si="122"/>
        <v>80级寄灵人绿色-肩甲</v>
      </c>
      <c r="CE255" s="14">
        <f t="shared" si="123"/>
        <v>1</v>
      </c>
      <c r="CF255" s="14">
        <f t="shared" si="124"/>
        <v>1</v>
      </c>
      <c r="CG255" s="14">
        <f t="shared" si="136"/>
        <v>80</v>
      </c>
      <c r="CH255" s="14">
        <f t="shared" si="137"/>
        <v>80</v>
      </c>
      <c r="CI255" s="14">
        <f t="shared" si="125"/>
        <v>3</v>
      </c>
      <c r="CJ255" s="14" t="str">
        <f t="shared" si="138"/>
        <v/>
      </c>
      <c r="CK255" s="14">
        <f t="shared" si="126"/>
        <v>0</v>
      </c>
      <c r="CL255" s="14">
        <f t="shared" si="127"/>
        <v>36</v>
      </c>
      <c r="CM255" s="14">
        <f t="shared" si="128"/>
        <v>222</v>
      </c>
      <c r="CN255" s="14">
        <f t="shared" si="129"/>
        <v>0</v>
      </c>
      <c r="CO255" s="14">
        <f t="shared" si="130"/>
        <v>3.57</v>
      </c>
      <c r="CP255" s="14">
        <f t="shared" si="131"/>
        <v>22.2</v>
      </c>
      <c r="CQ255" s="14">
        <f t="shared" si="139"/>
        <v>13</v>
      </c>
      <c r="CR255" s="14">
        <f t="shared" si="140"/>
        <v>0</v>
      </c>
      <c r="CS255" s="14">
        <f t="shared" si="141"/>
        <v>14</v>
      </c>
      <c r="CV255" s="14">
        <f t="shared" si="132"/>
        <v>2</v>
      </c>
      <c r="CW255" s="14">
        <f t="shared" si="133"/>
        <v>3</v>
      </c>
      <c r="CX255" s="14" t="str">
        <f t="shared" si="142"/>
        <v>DefExt</v>
      </c>
      <c r="CY255" s="14">
        <f t="shared" si="143"/>
        <v>36</v>
      </c>
      <c r="CZ255" s="14">
        <f t="shared" si="144"/>
        <v>3.57</v>
      </c>
      <c r="DA255" s="14" t="str">
        <f t="shared" si="145"/>
        <v>HPExt</v>
      </c>
      <c r="DB255" s="14">
        <f t="shared" si="146"/>
        <v>222</v>
      </c>
      <c r="DC255" s="14">
        <f t="shared" si="147"/>
        <v>22.2</v>
      </c>
      <c r="DD255" s="14">
        <f t="shared" si="148"/>
        <v>13</v>
      </c>
      <c r="DE255" s="14">
        <f t="shared" si="149"/>
        <v>0</v>
      </c>
      <c r="DF255" s="14">
        <f t="shared" si="150"/>
        <v>14</v>
      </c>
      <c r="DG255" s="14">
        <f t="shared" si="151"/>
        <v>30</v>
      </c>
    </row>
    <row r="256" spans="77:111" ht="16.5" x14ac:dyDescent="0.2">
      <c r="BY256" s="13">
        <v>252</v>
      </c>
      <c r="BZ256" s="14">
        <f t="shared" si="134"/>
        <v>35</v>
      </c>
      <c r="CA256" s="14">
        <f t="shared" si="135"/>
        <v>1</v>
      </c>
      <c r="CB256" s="14">
        <f t="shared" si="120"/>
        <v>4</v>
      </c>
      <c r="CC256" s="14">
        <f t="shared" si="121"/>
        <v>2041014</v>
      </c>
      <c r="CD256" s="13" t="str">
        <f t="shared" si="122"/>
        <v>80级寄灵人绿色-衣服</v>
      </c>
      <c r="CE256" s="14">
        <f t="shared" si="123"/>
        <v>1</v>
      </c>
      <c r="CF256" s="14">
        <f t="shared" si="124"/>
        <v>1</v>
      </c>
      <c r="CG256" s="14">
        <f t="shared" si="136"/>
        <v>80</v>
      </c>
      <c r="CH256" s="14">
        <f t="shared" si="137"/>
        <v>80</v>
      </c>
      <c r="CI256" s="14">
        <f t="shared" si="125"/>
        <v>4</v>
      </c>
      <c r="CJ256" s="14" t="str">
        <f t="shared" si="138"/>
        <v/>
      </c>
      <c r="CK256" s="14">
        <f t="shared" si="126"/>
        <v>0</v>
      </c>
      <c r="CL256" s="14">
        <f t="shared" si="127"/>
        <v>71</v>
      </c>
      <c r="CM256" s="14">
        <f t="shared" si="128"/>
        <v>0</v>
      </c>
      <c r="CN256" s="14">
        <f t="shared" si="129"/>
        <v>0</v>
      </c>
      <c r="CO256" s="14">
        <f t="shared" si="130"/>
        <v>7.13</v>
      </c>
      <c r="CP256" s="14">
        <f t="shared" si="131"/>
        <v>0</v>
      </c>
      <c r="CQ256" s="14">
        <f t="shared" si="139"/>
        <v>13</v>
      </c>
      <c r="CR256" s="14">
        <f t="shared" si="140"/>
        <v>0</v>
      </c>
      <c r="CS256" s="14">
        <f t="shared" si="141"/>
        <v>14</v>
      </c>
      <c r="CV256" s="14">
        <f t="shared" si="132"/>
        <v>2</v>
      </c>
      <c r="CW256" s="14">
        <f t="shared" si="133"/>
        <v>0</v>
      </c>
      <c r="CX256" s="14" t="str">
        <f t="shared" si="142"/>
        <v>DefExt</v>
      </c>
      <c r="CY256" s="14">
        <f t="shared" si="143"/>
        <v>71</v>
      </c>
      <c r="CZ256" s="14">
        <f t="shared" si="144"/>
        <v>7.13</v>
      </c>
      <c r="DA256" s="14" t="str">
        <f t="shared" si="145"/>
        <v/>
      </c>
      <c r="DB256" s="14" t="str">
        <f t="shared" si="146"/>
        <v/>
      </c>
      <c r="DC256" s="14" t="str">
        <f t="shared" si="147"/>
        <v/>
      </c>
      <c r="DD256" s="14">
        <f t="shared" si="148"/>
        <v>13</v>
      </c>
      <c r="DE256" s="14">
        <f t="shared" si="149"/>
        <v>0</v>
      </c>
      <c r="DF256" s="14">
        <f t="shared" si="150"/>
        <v>14</v>
      </c>
      <c r="DG256" s="14">
        <f t="shared" si="151"/>
        <v>30</v>
      </c>
    </row>
    <row r="257" spans="77:111" ht="16.5" x14ac:dyDescent="0.2">
      <c r="BY257" s="13">
        <v>253</v>
      </c>
      <c r="BZ257" s="14">
        <f t="shared" si="134"/>
        <v>35</v>
      </c>
      <c r="CA257" s="14">
        <f t="shared" si="135"/>
        <v>1</v>
      </c>
      <c r="CB257" s="14">
        <f t="shared" si="120"/>
        <v>4</v>
      </c>
      <c r="CC257" s="14">
        <f t="shared" si="121"/>
        <v>2041015</v>
      </c>
      <c r="CD257" s="13" t="str">
        <f t="shared" si="122"/>
        <v>80级寄灵人绿色-鞋子</v>
      </c>
      <c r="CE257" s="14">
        <f t="shared" si="123"/>
        <v>1</v>
      </c>
      <c r="CF257" s="14">
        <f t="shared" si="124"/>
        <v>1</v>
      </c>
      <c r="CG257" s="14">
        <f t="shared" si="136"/>
        <v>80</v>
      </c>
      <c r="CH257" s="14">
        <f t="shared" si="137"/>
        <v>80</v>
      </c>
      <c r="CI257" s="14">
        <f t="shared" si="125"/>
        <v>5</v>
      </c>
      <c r="CJ257" s="14" t="str">
        <f t="shared" si="138"/>
        <v/>
      </c>
      <c r="CK257" s="14">
        <f t="shared" si="126"/>
        <v>0</v>
      </c>
      <c r="CL257" s="14">
        <f t="shared" si="127"/>
        <v>0</v>
      </c>
      <c r="CM257" s="14">
        <f t="shared" si="128"/>
        <v>444</v>
      </c>
      <c r="CN257" s="14">
        <f t="shared" si="129"/>
        <v>0</v>
      </c>
      <c r="CO257" s="14">
        <f t="shared" si="130"/>
        <v>0</v>
      </c>
      <c r="CP257" s="14">
        <f t="shared" si="131"/>
        <v>44.41</v>
      </c>
      <c r="CQ257" s="14">
        <f t="shared" si="139"/>
        <v>13</v>
      </c>
      <c r="CR257" s="14">
        <f t="shared" si="140"/>
        <v>0</v>
      </c>
      <c r="CS257" s="14">
        <f t="shared" si="141"/>
        <v>14</v>
      </c>
      <c r="CV257" s="14">
        <f t="shared" si="132"/>
        <v>3</v>
      </c>
      <c r="CW257" s="14">
        <f t="shared" si="133"/>
        <v>0</v>
      </c>
      <c r="CX257" s="14" t="str">
        <f t="shared" si="142"/>
        <v>HPExt</v>
      </c>
      <c r="CY257" s="14">
        <f t="shared" si="143"/>
        <v>444</v>
      </c>
      <c r="CZ257" s="14">
        <f t="shared" si="144"/>
        <v>44.41</v>
      </c>
      <c r="DA257" s="14" t="str">
        <f t="shared" si="145"/>
        <v/>
      </c>
      <c r="DB257" s="14" t="str">
        <f t="shared" si="146"/>
        <v/>
      </c>
      <c r="DC257" s="14" t="str">
        <f t="shared" si="147"/>
        <v/>
      </c>
      <c r="DD257" s="14">
        <f t="shared" si="148"/>
        <v>13</v>
      </c>
      <c r="DE257" s="14">
        <f t="shared" si="149"/>
        <v>0</v>
      </c>
      <c r="DF257" s="14">
        <f t="shared" si="150"/>
        <v>14</v>
      </c>
      <c r="DG257" s="14">
        <f t="shared" si="151"/>
        <v>30</v>
      </c>
    </row>
    <row r="258" spans="77:111" ht="16.5" x14ac:dyDescent="0.2">
      <c r="BY258" s="13">
        <v>254</v>
      </c>
      <c r="BZ258" s="14">
        <f t="shared" si="134"/>
        <v>35</v>
      </c>
      <c r="CA258" s="14">
        <f t="shared" si="135"/>
        <v>1</v>
      </c>
      <c r="CB258" s="14">
        <f t="shared" si="120"/>
        <v>4</v>
      </c>
      <c r="CC258" s="14">
        <f t="shared" si="121"/>
        <v>2041016</v>
      </c>
      <c r="CD258" s="13" t="str">
        <f t="shared" si="122"/>
        <v>80级寄灵人绿色-护手</v>
      </c>
      <c r="CE258" s="14">
        <f t="shared" si="123"/>
        <v>1</v>
      </c>
      <c r="CF258" s="14">
        <f t="shared" si="124"/>
        <v>1</v>
      </c>
      <c r="CG258" s="14">
        <f t="shared" si="136"/>
        <v>80</v>
      </c>
      <c r="CH258" s="14">
        <f t="shared" si="137"/>
        <v>80</v>
      </c>
      <c r="CI258" s="14">
        <f t="shared" si="125"/>
        <v>6</v>
      </c>
      <c r="CJ258" s="14" t="str">
        <f t="shared" si="138"/>
        <v/>
      </c>
      <c r="CK258" s="14">
        <f t="shared" si="126"/>
        <v>0</v>
      </c>
      <c r="CL258" s="14">
        <f t="shared" si="127"/>
        <v>0</v>
      </c>
      <c r="CM258" s="14">
        <f t="shared" si="128"/>
        <v>444</v>
      </c>
      <c r="CN258" s="14">
        <f t="shared" si="129"/>
        <v>0</v>
      </c>
      <c r="CO258" s="14">
        <f t="shared" si="130"/>
        <v>0</v>
      </c>
      <c r="CP258" s="14">
        <f t="shared" si="131"/>
        <v>44.41</v>
      </c>
      <c r="CQ258" s="14">
        <f t="shared" si="139"/>
        <v>13</v>
      </c>
      <c r="CR258" s="14">
        <f t="shared" si="140"/>
        <v>0</v>
      </c>
      <c r="CS258" s="14">
        <f t="shared" si="141"/>
        <v>14</v>
      </c>
      <c r="CV258" s="14">
        <f t="shared" si="132"/>
        <v>3</v>
      </c>
      <c r="CW258" s="14">
        <f t="shared" si="133"/>
        <v>0</v>
      </c>
      <c r="CX258" s="14" t="str">
        <f t="shared" si="142"/>
        <v>HPExt</v>
      </c>
      <c r="CY258" s="14">
        <f t="shared" si="143"/>
        <v>444</v>
      </c>
      <c r="CZ258" s="14">
        <f t="shared" si="144"/>
        <v>44.41</v>
      </c>
      <c r="DA258" s="14" t="str">
        <f t="shared" si="145"/>
        <v/>
      </c>
      <c r="DB258" s="14" t="str">
        <f t="shared" si="146"/>
        <v/>
      </c>
      <c r="DC258" s="14" t="str">
        <f t="shared" si="147"/>
        <v/>
      </c>
      <c r="DD258" s="14">
        <f t="shared" si="148"/>
        <v>13</v>
      </c>
      <c r="DE258" s="14">
        <f t="shared" si="149"/>
        <v>0</v>
      </c>
      <c r="DF258" s="14">
        <f t="shared" si="150"/>
        <v>14</v>
      </c>
      <c r="DG258" s="14">
        <f t="shared" si="151"/>
        <v>30</v>
      </c>
    </row>
    <row r="259" spans="77:111" ht="16.5" x14ac:dyDescent="0.2">
      <c r="BY259" s="13">
        <v>255</v>
      </c>
      <c r="BZ259" s="14">
        <f t="shared" si="134"/>
        <v>35</v>
      </c>
      <c r="CA259" s="14">
        <f t="shared" si="135"/>
        <v>1</v>
      </c>
      <c r="CB259" s="14">
        <f t="shared" si="120"/>
        <v>4</v>
      </c>
      <c r="CC259" s="14">
        <f t="shared" si="121"/>
        <v>2041017</v>
      </c>
      <c r="CD259" s="13" t="str">
        <f t="shared" si="122"/>
        <v>80级寄灵人绿色-项链</v>
      </c>
      <c r="CE259" s="14">
        <f t="shared" si="123"/>
        <v>1</v>
      </c>
      <c r="CF259" s="14">
        <f t="shared" si="124"/>
        <v>1</v>
      </c>
      <c r="CG259" s="14">
        <f t="shared" si="136"/>
        <v>80</v>
      </c>
      <c r="CH259" s="14">
        <f t="shared" si="137"/>
        <v>80</v>
      </c>
      <c r="CI259" s="14">
        <f t="shared" si="125"/>
        <v>7</v>
      </c>
      <c r="CJ259" s="14" t="str">
        <f t="shared" si="138"/>
        <v/>
      </c>
      <c r="CK259" s="14">
        <f t="shared" si="126"/>
        <v>97</v>
      </c>
      <c r="CL259" s="14">
        <f t="shared" si="127"/>
        <v>59</v>
      </c>
      <c r="CM259" s="14">
        <f t="shared" si="128"/>
        <v>0</v>
      </c>
      <c r="CN259" s="14">
        <f t="shared" si="129"/>
        <v>9.6999999999999993</v>
      </c>
      <c r="CO259" s="14">
        <f t="shared" si="130"/>
        <v>5.94</v>
      </c>
      <c r="CP259" s="14">
        <f t="shared" si="131"/>
        <v>0</v>
      </c>
      <c r="CQ259" s="14">
        <f t="shared" si="139"/>
        <v>13</v>
      </c>
      <c r="CR259" s="14">
        <f t="shared" si="140"/>
        <v>0</v>
      </c>
      <c r="CS259" s="14">
        <f t="shared" si="141"/>
        <v>14</v>
      </c>
      <c r="CV259" s="14">
        <f t="shared" si="132"/>
        <v>1</v>
      </c>
      <c r="CW259" s="14">
        <f t="shared" si="133"/>
        <v>2</v>
      </c>
      <c r="CX259" s="14" t="str">
        <f t="shared" si="142"/>
        <v>AtkExt</v>
      </c>
      <c r="CY259" s="14">
        <f t="shared" si="143"/>
        <v>97</v>
      </c>
      <c r="CZ259" s="14">
        <f t="shared" si="144"/>
        <v>9.6999999999999993</v>
      </c>
      <c r="DA259" s="14" t="str">
        <f t="shared" si="145"/>
        <v>DefExt</v>
      </c>
      <c r="DB259" s="14">
        <f t="shared" si="146"/>
        <v>59</v>
      </c>
      <c r="DC259" s="14">
        <f t="shared" si="147"/>
        <v>5.94</v>
      </c>
      <c r="DD259" s="14">
        <f t="shared" si="148"/>
        <v>13</v>
      </c>
      <c r="DE259" s="14">
        <f t="shared" si="149"/>
        <v>0</v>
      </c>
      <c r="DF259" s="14">
        <f t="shared" si="150"/>
        <v>14</v>
      </c>
      <c r="DG259" s="14">
        <f t="shared" si="151"/>
        <v>30</v>
      </c>
    </row>
    <row r="260" spans="77:111" ht="16.5" x14ac:dyDescent="0.2">
      <c r="BY260" s="13">
        <v>256</v>
      </c>
      <c r="BZ260" s="14">
        <f t="shared" si="134"/>
        <v>35</v>
      </c>
      <c r="CA260" s="14">
        <f t="shared" si="135"/>
        <v>1</v>
      </c>
      <c r="CB260" s="14">
        <f t="shared" si="120"/>
        <v>4</v>
      </c>
      <c r="CC260" s="14">
        <f t="shared" si="121"/>
        <v>2041018</v>
      </c>
      <c r="CD260" s="13" t="str">
        <f t="shared" si="122"/>
        <v>80级寄灵人绿色-戒指</v>
      </c>
      <c r="CE260" s="14">
        <f t="shared" si="123"/>
        <v>1</v>
      </c>
      <c r="CF260" s="14">
        <f t="shared" si="124"/>
        <v>1</v>
      </c>
      <c r="CG260" s="14">
        <f t="shared" si="136"/>
        <v>80</v>
      </c>
      <c r="CH260" s="14">
        <f t="shared" si="137"/>
        <v>80</v>
      </c>
      <c r="CI260" s="14">
        <f t="shared" si="125"/>
        <v>8</v>
      </c>
      <c r="CJ260" s="14" t="str">
        <f t="shared" si="138"/>
        <v/>
      </c>
      <c r="CK260" s="14">
        <f t="shared" si="126"/>
        <v>97</v>
      </c>
      <c r="CL260" s="14">
        <f t="shared" si="127"/>
        <v>0</v>
      </c>
      <c r="CM260" s="14">
        <f t="shared" si="128"/>
        <v>370</v>
      </c>
      <c r="CN260" s="14">
        <f t="shared" si="129"/>
        <v>9.6999999999999993</v>
      </c>
      <c r="CO260" s="14">
        <f t="shared" si="130"/>
        <v>0</v>
      </c>
      <c r="CP260" s="14">
        <f t="shared" si="131"/>
        <v>37.01</v>
      </c>
      <c r="CQ260" s="14">
        <f t="shared" si="139"/>
        <v>13</v>
      </c>
      <c r="CR260" s="14">
        <f t="shared" si="140"/>
        <v>0</v>
      </c>
      <c r="CS260" s="14">
        <f t="shared" si="141"/>
        <v>14</v>
      </c>
      <c r="CV260" s="14">
        <f t="shared" si="132"/>
        <v>1</v>
      </c>
      <c r="CW260" s="14">
        <f t="shared" si="133"/>
        <v>3</v>
      </c>
      <c r="CX260" s="14" t="str">
        <f t="shared" si="142"/>
        <v>AtkExt</v>
      </c>
      <c r="CY260" s="14">
        <f t="shared" si="143"/>
        <v>97</v>
      </c>
      <c r="CZ260" s="14">
        <f t="shared" si="144"/>
        <v>9.6999999999999993</v>
      </c>
      <c r="DA260" s="14" t="str">
        <f t="shared" si="145"/>
        <v>HPExt</v>
      </c>
      <c r="DB260" s="14">
        <f t="shared" si="146"/>
        <v>370</v>
      </c>
      <c r="DC260" s="14">
        <f t="shared" si="147"/>
        <v>37.01</v>
      </c>
      <c r="DD260" s="14">
        <f t="shared" si="148"/>
        <v>13</v>
      </c>
      <c r="DE260" s="14">
        <f t="shared" si="149"/>
        <v>0</v>
      </c>
      <c r="DF260" s="14">
        <f t="shared" si="150"/>
        <v>14</v>
      </c>
      <c r="DG260" s="14">
        <f t="shared" si="151"/>
        <v>30</v>
      </c>
    </row>
    <row r="261" spans="77:111" ht="16.5" x14ac:dyDescent="0.2">
      <c r="BY261" s="13">
        <v>257</v>
      </c>
      <c r="BZ261" s="14">
        <f t="shared" si="134"/>
        <v>36</v>
      </c>
      <c r="CA261" s="14">
        <f t="shared" si="135"/>
        <v>2</v>
      </c>
      <c r="CB261" s="14">
        <f t="shared" ref="CB261:CB324" si="152">INDEX($BE$6:$BE$81,BZ261)</f>
        <v>4</v>
      </c>
      <c r="CC261" s="14">
        <f t="shared" ref="CC261:CC324" si="153">INDEX($BJ$6:$BJ$81,BZ261)+CI261</f>
        <v>2041021</v>
      </c>
      <c r="CD261" s="13" t="str">
        <f t="shared" ref="CD261:CD324" si="154">INDEX($BK$6:$BK$81,BZ261)&amp;"-"&amp;INDEX($BO$3:$BV$3,CI261)</f>
        <v>80级守护灵绿色-武器</v>
      </c>
      <c r="CE261" s="14">
        <f t="shared" ref="CE261:CE324" si="155">INDEX($BH$6:$BH$81,BZ261)</f>
        <v>2</v>
      </c>
      <c r="CF261" s="14">
        <f t="shared" ref="CF261:CF324" si="156">INDEX($BG$6:$BG$81,BZ261)</f>
        <v>1</v>
      </c>
      <c r="CG261" s="14">
        <f t="shared" si="136"/>
        <v>80</v>
      </c>
      <c r="CH261" s="14">
        <f t="shared" si="137"/>
        <v>80</v>
      </c>
      <c r="CI261" s="14">
        <f t="shared" ref="CI261:CI324" si="157">BY261-INDEX($BN$5:$BN$81,BZ261)</f>
        <v>1</v>
      </c>
      <c r="CJ261" s="14" t="str">
        <f t="shared" si="138"/>
        <v/>
      </c>
      <c r="CK261" s="14">
        <f t="shared" ref="CK261:CK324" si="158">ROUND(INDEX(I$5:I$16,($CE261-1)*6+$CB261)*INDEX(W$5:W$12,$CI261)*INDEX($AF$5:$AF$8,$CF261),0)</f>
        <v>308</v>
      </c>
      <c r="CL261" s="14">
        <f t="shared" ref="CL261:CL324" si="159">ROUND(INDEX(J$5:J$16,($CE261-1)*6+$CB261)*INDEX(X$5:X$12,$CI261)*INDEX($AF$5:$AF$8,$CF261),0)</f>
        <v>0</v>
      </c>
      <c r="CM261" s="14">
        <f t="shared" ref="CM261:CM324" si="160">ROUND(INDEX(K$5:K$16,($CE261-1)*6+$CB261)*INDEX(Y$5:Y$12,$CI261)*INDEX($AF$5:$AF$8,$CF261),0)</f>
        <v>0</v>
      </c>
      <c r="CN261" s="14">
        <f t="shared" ref="CN261:CN324" si="161">ROUND(INDEX(E$5:E$16,($CE261-1)*6+$CB261)*INDEX(W$5:W$12,$CI261),2)</f>
        <v>30.79</v>
      </c>
      <c r="CO261" s="14">
        <f t="shared" ref="CO261:CO324" si="162">ROUND(INDEX(F$5:F$16,($CE261-1)*6+$CB261)*INDEX(X$5:X$12,$CI261),2)</f>
        <v>0</v>
      </c>
      <c r="CP261" s="14">
        <f t="shared" ref="CP261:CP324" si="163">ROUND(INDEX(G$5:G$16,($CE261-1)*6+$CB261)*INDEX(Y$5:Y$12,$CI261),2)</f>
        <v>0</v>
      </c>
      <c r="CQ261" s="14">
        <f t="shared" si="139"/>
        <v>13</v>
      </c>
      <c r="CR261" s="14">
        <f t="shared" si="140"/>
        <v>0</v>
      </c>
      <c r="CS261" s="14">
        <f t="shared" si="141"/>
        <v>24</v>
      </c>
      <c r="CV261" s="14">
        <f t="shared" ref="CV261:CV324" si="164">INDEX(Z$5:Z$12,$CI261)</f>
        <v>1</v>
      </c>
      <c r="CW261" s="14">
        <f t="shared" ref="CW261:CW324" si="165">INDEX(AA$5:AA$12,$CI261)</f>
        <v>0</v>
      </c>
      <c r="CX261" s="14" t="str">
        <f t="shared" si="142"/>
        <v>AtkExt</v>
      </c>
      <c r="CY261" s="14">
        <f t="shared" si="143"/>
        <v>308</v>
      </c>
      <c r="CZ261" s="14">
        <f t="shared" si="144"/>
        <v>30.79</v>
      </c>
      <c r="DA261" s="14" t="str">
        <f t="shared" si="145"/>
        <v/>
      </c>
      <c r="DB261" s="14" t="str">
        <f t="shared" si="146"/>
        <v/>
      </c>
      <c r="DC261" s="14" t="str">
        <f t="shared" si="147"/>
        <v/>
      </c>
      <c r="DD261" s="14">
        <f t="shared" si="148"/>
        <v>13</v>
      </c>
      <c r="DE261" s="14">
        <f t="shared" si="149"/>
        <v>0</v>
      </c>
      <c r="DF261" s="14">
        <f t="shared" si="150"/>
        <v>24</v>
      </c>
      <c r="DG261" s="14">
        <f t="shared" si="151"/>
        <v>30</v>
      </c>
    </row>
    <row r="262" spans="77:111" ht="16.5" x14ac:dyDescent="0.2">
      <c r="BY262" s="13">
        <v>258</v>
      </c>
      <c r="BZ262" s="14">
        <f t="shared" ref="BZ262:BZ325" si="166">MATCH(BY262-1,$BN$5:$BN$81,1)</f>
        <v>36</v>
      </c>
      <c r="CA262" s="14">
        <f t="shared" ref="CA262:CA325" si="167">INDEX($BI$6:$BI$81,BZ262)</f>
        <v>2</v>
      </c>
      <c r="CB262" s="14">
        <f t="shared" si="152"/>
        <v>4</v>
      </c>
      <c r="CC262" s="14">
        <f t="shared" si="153"/>
        <v>2041022</v>
      </c>
      <c r="CD262" s="13" t="str">
        <f t="shared" si="154"/>
        <v>80级守护灵绿色-头盔</v>
      </c>
      <c r="CE262" s="14">
        <f t="shared" si="155"/>
        <v>2</v>
      </c>
      <c r="CF262" s="14">
        <f t="shared" si="156"/>
        <v>1</v>
      </c>
      <c r="CG262" s="14">
        <f t="shared" ref="CG262:CG325" si="168">INDEX($D$5:$D$16,(CE262-1)*6+CB262)</f>
        <v>80</v>
      </c>
      <c r="CH262" s="14">
        <f t="shared" ref="CH262:CH325" si="169">INDEX($D$5:$D$16,(CE262-1)*6+CB262)</f>
        <v>80</v>
      </c>
      <c r="CI262" s="14">
        <f t="shared" si="157"/>
        <v>2</v>
      </c>
      <c r="CJ262" s="14" t="str">
        <f t="shared" ref="CJ262:CJ325" si="170">IF(INDEX($BL$6:$BL$81,BZ262)&gt;0,INDEX($BL$6:$BL$81,BZ262),"")</f>
        <v/>
      </c>
      <c r="CK262" s="14">
        <f t="shared" si="158"/>
        <v>0</v>
      </c>
      <c r="CL262" s="14">
        <f t="shared" si="159"/>
        <v>75</v>
      </c>
      <c r="CM262" s="14">
        <f t="shared" si="160"/>
        <v>0</v>
      </c>
      <c r="CN262" s="14">
        <f t="shared" si="161"/>
        <v>0</v>
      </c>
      <c r="CO262" s="14">
        <f t="shared" si="162"/>
        <v>7.48</v>
      </c>
      <c r="CP262" s="14">
        <f t="shared" si="163"/>
        <v>0</v>
      </c>
      <c r="CQ262" s="14">
        <f t="shared" ref="CQ262:CQ325" si="171">(CB262-1)*4+CF262</f>
        <v>13</v>
      </c>
      <c r="CR262" s="14">
        <f t="shared" ref="CR262:CR325" si="172">INDEX($AY$5:$BB$16,CB262,CF262)</f>
        <v>0</v>
      </c>
      <c r="CS262" s="14">
        <f t="shared" ref="CS262:CS325" si="173">CE262*10+CB262</f>
        <v>24</v>
      </c>
      <c r="CV262" s="14">
        <f t="shared" si="164"/>
        <v>2</v>
      </c>
      <c r="CW262" s="14">
        <f t="shared" si="165"/>
        <v>0</v>
      </c>
      <c r="CX262" s="14" t="str">
        <f t="shared" ref="CX262:CX325" si="174">INDEX($U$3:$W$3,CV262)</f>
        <v>DefExt</v>
      </c>
      <c r="CY262" s="14">
        <f t="shared" ref="CY262:CY325" si="175">INDEX(CK262:CM262,CV262)</f>
        <v>75</v>
      </c>
      <c r="CZ262" s="14">
        <f t="shared" ref="CZ262:CZ325" si="176">INDEX(CN262:CP262,CV262)</f>
        <v>7.48</v>
      </c>
      <c r="DA262" s="14" t="str">
        <f t="shared" ref="DA262:DA325" si="177">IF(CW262&gt;0,INDEX($U$3:$W$3,CW262),"")</f>
        <v/>
      </c>
      <c r="DB262" s="14" t="str">
        <f t="shared" ref="DB262:DB325" si="178">IF(CW262&gt;0,INDEX(CK262:CM262,CW262),"")</f>
        <v/>
      </c>
      <c r="DC262" s="14" t="str">
        <f t="shared" ref="DC262:DC325" si="179">IF(CW262&gt;0,INDEX(CN262:CP262,CW262),"")</f>
        <v/>
      </c>
      <c r="DD262" s="14">
        <f t="shared" ref="DD262:DD325" si="180">(CB262-1)*4+CF262</f>
        <v>13</v>
      </c>
      <c r="DE262" s="14">
        <f t="shared" ref="DE262:DE325" si="181">INDEX($AY$5:$BB$16,CB262,CF262)</f>
        <v>0</v>
      </c>
      <c r="DF262" s="14">
        <f t="shared" ref="DF262:DF325" si="182">CE262*10+CB262</f>
        <v>24</v>
      </c>
      <c r="DG262" s="14">
        <f t="shared" ref="DG262:DG325" si="183">INDEX($N$5:$S$8,CF262,CB262)</f>
        <v>30</v>
      </c>
    </row>
    <row r="263" spans="77:111" ht="16.5" x14ac:dyDescent="0.2">
      <c r="BY263" s="13">
        <v>259</v>
      </c>
      <c r="BZ263" s="14">
        <f t="shared" si="166"/>
        <v>36</v>
      </c>
      <c r="CA263" s="14">
        <f t="shared" si="167"/>
        <v>2</v>
      </c>
      <c r="CB263" s="14">
        <f t="shared" si="152"/>
        <v>4</v>
      </c>
      <c r="CC263" s="14">
        <f t="shared" si="153"/>
        <v>2041023</v>
      </c>
      <c r="CD263" s="13" t="str">
        <f t="shared" si="154"/>
        <v>80级守护灵绿色-肩甲</v>
      </c>
      <c r="CE263" s="14">
        <f t="shared" si="155"/>
        <v>2</v>
      </c>
      <c r="CF263" s="14">
        <f t="shared" si="156"/>
        <v>1</v>
      </c>
      <c r="CG263" s="14">
        <f t="shared" si="168"/>
        <v>80</v>
      </c>
      <c r="CH263" s="14">
        <f t="shared" si="169"/>
        <v>80</v>
      </c>
      <c r="CI263" s="14">
        <f t="shared" si="157"/>
        <v>3</v>
      </c>
      <c r="CJ263" s="14" t="str">
        <f t="shared" si="170"/>
        <v/>
      </c>
      <c r="CK263" s="14">
        <f t="shared" si="158"/>
        <v>0</v>
      </c>
      <c r="CL263" s="14">
        <f t="shared" si="159"/>
        <v>37</v>
      </c>
      <c r="CM263" s="14">
        <f t="shared" si="160"/>
        <v>397</v>
      </c>
      <c r="CN263" s="14">
        <f t="shared" si="161"/>
        <v>0</v>
      </c>
      <c r="CO263" s="14">
        <f t="shared" si="162"/>
        <v>3.74</v>
      </c>
      <c r="CP263" s="14">
        <f t="shared" si="163"/>
        <v>39.68</v>
      </c>
      <c r="CQ263" s="14">
        <f t="shared" si="171"/>
        <v>13</v>
      </c>
      <c r="CR263" s="14">
        <f t="shared" si="172"/>
        <v>0</v>
      </c>
      <c r="CS263" s="14">
        <f t="shared" si="173"/>
        <v>24</v>
      </c>
      <c r="CV263" s="14">
        <f t="shared" si="164"/>
        <v>2</v>
      </c>
      <c r="CW263" s="14">
        <f t="shared" si="165"/>
        <v>3</v>
      </c>
      <c r="CX263" s="14" t="str">
        <f t="shared" si="174"/>
        <v>DefExt</v>
      </c>
      <c r="CY263" s="14">
        <f t="shared" si="175"/>
        <v>37</v>
      </c>
      <c r="CZ263" s="14">
        <f t="shared" si="176"/>
        <v>3.74</v>
      </c>
      <c r="DA263" s="14" t="str">
        <f t="shared" si="177"/>
        <v>HPExt</v>
      </c>
      <c r="DB263" s="14">
        <f t="shared" si="178"/>
        <v>397</v>
      </c>
      <c r="DC263" s="14">
        <f t="shared" si="179"/>
        <v>39.68</v>
      </c>
      <c r="DD263" s="14">
        <f t="shared" si="180"/>
        <v>13</v>
      </c>
      <c r="DE263" s="14">
        <f t="shared" si="181"/>
        <v>0</v>
      </c>
      <c r="DF263" s="14">
        <f t="shared" si="182"/>
        <v>24</v>
      </c>
      <c r="DG263" s="14">
        <f t="shared" si="183"/>
        <v>30</v>
      </c>
    </row>
    <row r="264" spans="77:111" ht="16.5" x14ac:dyDescent="0.2">
      <c r="BY264" s="13">
        <v>260</v>
      </c>
      <c r="BZ264" s="14">
        <f t="shared" si="166"/>
        <v>36</v>
      </c>
      <c r="CA264" s="14">
        <f t="shared" si="167"/>
        <v>2</v>
      </c>
      <c r="CB264" s="14">
        <f t="shared" si="152"/>
        <v>4</v>
      </c>
      <c r="CC264" s="14">
        <f t="shared" si="153"/>
        <v>2041024</v>
      </c>
      <c r="CD264" s="13" t="str">
        <f t="shared" si="154"/>
        <v>80级守护灵绿色-衣服</v>
      </c>
      <c r="CE264" s="14">
        <f t="shared" si="155"/>
        <v>2</v>
      </c>
      <c r="CF264" s="14">
        <f t="shared" si="156"/>
        <v>1</v>
      </c>
      <c r="CG264" s="14">
        <f t="shared" si="168"/>
        <v>80</v>
      </c>
      <c r="CH264" s="14">
        <f t="shared" si="169"/>
        <v>80</v>
      </c>
      <c r="CI264" s="14">
        <f t="shared" si="157"/>
        <v>4</v>
      </c>
      <c r="CJ264" s="14" t="str">
        <f t="shared" si="170"/>
        <v/>
      </c>
      <c r="CK264" s="14">
        <f t="shared" si="158"/>
        <v>0</v>
      </c>
      <c r="CL264" s="14">
        <f t="shared" si="159"/>
        <v>75</v>
      </c>
      <c r="CM264" s="14">
        <f t="shared" si="160"/>
        <v>0</v>
      </c>
      <c r="CN264" s="14">
        <f t="shared" si="161"/>
        <v>0</v>
      </c>
      <c r="CO264" s="14">
        <f t="shared" si="162"/>
        <v>7.48</v>
      </c>
      <c r="CP264" s="14">
        <f t="shared" si="163"/>
        <v>0</v>
      </c>
      <c r="CQ264" s="14">
        <f t="shared" si="171"/>
        <v>13</v>
      </c>
      <c r="CR264" s="14">
        <f t="shared" si="172"/>
        <v>0</v>
      </c>
      <c r="CS264" s="14">
        <f t="shared" si="173"/>
        <v>24</v>
      </c>
      <c r="CV264" s="14">
        <f t="shared" si="164"/>
        <v>2</v>
      </c>
      <c r="CW264" s="14">
        <f t="shared" si="165"/>
        <v>0</v>
      </c>
      <c r="CX264" s="14" t="str">
        <f t="shared" si="174"/>
        <v>DefExt</v>
      </c>
      <c r="CY264" s="14">
        <f t="shared" si="175"/>
        <v>75</v>
      </c>
      <c r="CZ264" s="14">
        <f t="shared" si="176"/>
        <v>7.48</v>
      </c>
      <c r="DA264" s="14" t="str">
        <f t="shared" si="177"/>
        <v/>
      </c>
      <c r="DB264" s="14" t="str">
        <f t="shared" si="178"/>
        <v/>
      </c>
      <c r="DC264" s="14" t="str">
        <f t="shared" si="179"/>
        <v/>
      </c>
      <c r="DD264" s="14">
        <f t="shared" si="180"/>
        <v>13</v>
      </c>
      <c r="DE264" s="14">
        <f t="shared" si="181"/>
        <v>0</v>
      </c>
      <c r="DF264" s="14">
        <f t="shared" si="182"/>
        <v>24</v>
      </c>
      <c r="DG264" s="14">
        <f t="shared" si="183"/>
        <v>30</v>
      </c>
    </row>
    <row r="265" spans="77:111" ht="16.5" x14ac:dyDescent="0.2">
      <c r="BY265" s="13">
        <v>261</v>
      </c>
      <c r="BZ265" s="14">
        <f t="shared" si="166"/>
        <v>36</v>
      </c>
      <c r="CA265" s="14">
        <f t="shared" si="167"/>
        <v>2</v>
      </c>
      <c r="CB265" s="14">
        <f t="shared" si="152"/>
        <v>4</v>
      </c>
      <c r="CC265" s="14">
        <f t="shared" si="153"/>
        <v>2041025</v>
      </c>
      <c r="CD265" s="13" t="str">
        <f t="shared" si="154"/>
        <v>80级守护灵绿色-鞋子</v>
      </c>
      <c r="CE265" s="14">
        <f t="shared" si="155"/>
        <v>2</v>
      </c>
      <c r="CF265" s="14">
        <f t="shared" si="156"/>
        <v>1</v>
      </c>
      <c r="CG265" s="14">
        <f t="shared" si="168"/>
        <v>80</v>
      </c>
      <c r="CH265" s="14">
        <f t="shared" si="169"/>
        <v>80</v>
      </c>
      <c r="CI265" s="14">
        <f t="shared" si="157"/>
        <v>5</v>
      </c>
      <c r="CJ265" s="14" t="str">
        <f t="shared" si="170"/>
        <v/>
      </c>
      <c r="CK265" s="14">
        <f t="shared" si="158"/>
        <v>0</v>
      </c>
      <c r="CL265" s="14">
        <f t="shared" si="159"/>
        <v>0</v>
      </c>
      <c r="CM265" s="14">
        <f t="shared" si="160"/>
        <v>794</v>
      </c>
      <c r="CN265" s="14">
        <f t="shared" si="161"/>
        <v>0</v>
      </c>
      <c r="CO265" s="14">
        <f t="shared" si="162"/>
        <v>0</v>
      </c>
      <c r="CP265" s="14">
        <f t="shared" si="163"/>
        <v>79.36</v>
      </c>
      <c r="CQ265" s="14">
        <f t="shared" si="171"/>
        <v>13</v>
      </c>
      <c r="CR265" s="14">
        <f t="shared" si="172"/>
        <v>0</v>
      </c>
      <c r="CS265" s="14">
        <f t="shared" si="173"/>
        <v>24</v>
      </c>
      <c r="CV265" s="14">
        <f t="shared" si="164"/>
        <v>3</v>
      </c>
      <c r="CW265" s="14">
        <f t="shared" si="165"/>
        <v>0</v>
      </c>
      <c r="CX265" s="14" t="str">
        <f t="shared" si="174"/>
        <v>HPExt</v>
      </c>
      <c r="CY265" s="14">
        <f t="shared" si="175"/>
        <v>794</v>
      </c>
      <c r="CZ265" s="14">
        <f t="shared" si="176"/>
        <v>79.36</v>
      </c>
      <c r="DA265" s="14" t="str">
        <f t="shared" si="177"/>
        <v/>
      </c>
      <c r="DB265" s="14" t="str">
        <f t="shared" si="178"/>
        <v/>
      </c>
      <c r="DC265" s="14" t="str">
        <f t="shared" si="179"/>
        <v/>
      </c>
      <c r="DD265" s="14">
        <f t="shared" si="180"/>
        <v>13</v>
      </c>
      <c r="DE265" s="14">
        <f t="shared" si="181"/>
        <v>0</v>
      </c>
      <c r="DF265" s="14">
        <f t="shared" si="182"/>
        <v>24</v>
      </c>
      <c r="DG265" s="14">
        <f t="shared" si="183"/>
        <v>30</v>
      </c>
    </row>
    <row r="266" spans="77:111" ht="16.5" x14ac:dyDescent="0.2">
      <c r="BY266" s="13">
        <v>262</v>
      </c>
      <c r="BZ266" s="14">
        <f t="shared" si="166"/>
        <v>36</v>
      </c>
      <c r="CA266" s="14">
        <f t="shared" si="167"/>
        <v>2</v>
      </c>
      <c r="CB266" s="14">
        <f t="shared" si="152"/>
        <v>4</v>
      </c>
      <c r="CC266" s="14">
        <f t="shared" si="153"/>
        <v>2041026</v>
      </c>
      <c r="CD266" s="13" t="str">
        <f t="shared" si="154"/>
        <v>80级守护灵绿色-护手</v>
      </c>
      <c r="CE266" s="14">
        <f t="shared" si="155"/>
        <v>2</v>
      </c>
      <c r="CF266" s="14">
        <f t="shared" si="156"/>
        <v>1</v>
      </c>
      <c r="CG266" s="14">
        <f t="shared" si="168"/>
        <v>80</v>
      </c>
      <c r="CH266" s="14">
        <f t="shared" si="169"/>
        <v>80</v>
      </c>
      <c r="CI266" s="14">
        <f t="shared" si="157"/>
        <v>6</v>
      </c>
      <c r="CJ266" s="14" t="str">
        <f t="shared" si="170"/>
        <v/>
      </c>
      <c r="CK266" s="14">
        <f t="shared" si="158"/>
        <v>0</v>
      </c>
      <c r="CL266" s="14">
        <f t="shared" si="159"/>
        <v>0</v>
      </c>
      <c r="CM266" s="14">
        <f t="shared" si="160"/>
        <v>794</v>
      </c>
      <c r="CN266" s="14">
        <f t="shared" si="161"/>
        <v>0</v>
      </c>
      <c r="CO266" s="14">
        <f t="shared" si="162"/>
        <v>0</v>
      </c>
      <c r="CP266" s="14">
        <f t="shared" si="163"/>
        <v>79.36</v>
      </c>
      <c r="CQ266" s="14">
        <f t="shared" si="171"/>
        <v>13</v>
      </c>
      <c r="CR266" s="14">
        <f t="shared" si="172"/>
        <v>0</v>
      </c>
      <c r="CS266" s="14">
        <f t="shared" si="173"/>
        <v>24</v>
      </c>
      <c r="CV266" s="14">
        <f t="shared" si="164"/>
        <v>3</v>
      </c>
      <c r="CW266" s="14">
        <f t="shared" si="165"/>
        <v>0</v>
      </c>
      <c r="CX266" s="14" t="str">
        <f t="shared" si="174"/>
        <v>HPExt</v>
      </c>
      <c r="CY266" s="14">
        <f t="shared" si="175"/>
        <v>794</v>
      </c>
      <c r="CZ266" s="14">
        <f t="shared" si="176"/>
        <v>79.36</v>
      </c>
      <c r="DA266" s="14" t="str">
        <f t="shared" si="177"/>
        <v/>
      </c>
      <c r="DB266" s="14" t="str">
        <f t="shared" si="178"/>
        <v/>
      </c>
      <c r="DC266" s="14" t="str">
        <f t="shared" si="179"/>
        <v/>
      </c>
      <c r="DD266" s="14">
        <f t="shared" si="180"/>
        <v>13</v>
      </c>
      <c r="DE266" s="14">
        <f t="shared" si="181"/>
        <v>0</v>
      </c>
      <c r="DF266" s="14">
        <f t="shared" si="182"/>
        <v>24</v>
      </c>
      <c r="DG266" s="14">
        <f t="shared" si="183"/>
        <v>30</v>
      </c>
    </row>
    <row r="267" spans="77:111" ht="16.5" x14ac:dyDescent="0.2">
      <c r="BY267" s="13">
        <v>263</v>
      </c>
      <c r="BZ267" s="14">
        <f t="shared" si="166"/>
        <v>36</v>
      </c>
      <c r="CA267" s="14">
        <f t="shared" si="167"/>
        <v>2</v>
      </c>
      <c r="CB267" s="14">
        <f t="shared" si="152"/>
        <v>4</v>
      </c>
      <c r="CC267" s="14">
        <f t="shared" si="153"/>
        <v>2041027</v>
      </c>
      <c r="CD267" s="13" t="str">
        <f t="shared" si="154"/>
        <v>80级守护灵绿色-项链</v>
      </c>
      <c r="CE267" s="14">
        <f t="shared" si="155"/>
        <v>2</v>
      </c>
      <c r="CF267" s="14">
        <f t="shared" si="156"/>
        <v>1</v>
      </c>
      <c r="CG267" s="14">
        <f t="shared" si="168"/>
        <v>80</v>
      </c>
      <c r="CH267" s="14">
        <f t="shared" si="169"/>
        <v>80</v>
      </c>
      <c r="CI267" s="14">
        <f t="shared" si="157"/>
        <v>7</v>
      </c>
      <c r="CJ267" s="14" t="str">
        <f t="shared" si="170"/>
        <v/>
      </c>
      <c r="CK267" s="14">
        <f t="shared" si="158"/>
        <v>103</v>
      </c>
      <c r="CL267" s="14">
        <f t="shared" si="159"/>
        <v>62</v>
      </c>
      <c r="CM267" s="14">
        <f t="shared" si="160"/>
        <v>0</v>
      </c>
      <c r="CN267" s="14">
        <f t="shared" si="161"/>
        <v>10.26</v>
      </c>
      <c r="CO267" s="14">
        <f t="shared" si="162"/>
        <v>6.24</v>
      </c>
      <c r="CP267" s="14">
        <f t="shared" si="163"/>
        <v>0</v>
      </c>
      <c r="CQ267" s="14">
        <f t="shared" si="171"/>
        <v>13</v>
      </c>
      <c r="CR267" s="14">
        <f t="shared" si="172"/>
        <v>0</v>
      </c>
      <c r="CS267" s="14">
        <f t="shared" si="173"/>
        <v>24</v>
      </c>
      <c r="CV267" s="14">
        <f t="shared" si="164"/>
        <v>1</v>
      </c>
      <c r="CW267" s="14">
        <f t="shared" si="165"/>
        <v>2</v>
      </c>
      <c r="CX267" s="14" t="str">
        <f t="shared" si="174"/>
        <v>AtkExt</v>
      </c>
      <c r="CY267" s="14">
        <f t="shared" si="175"/>
        <v>103</v>
      </c>
      <c r="CZ267" s="14">
        <f t="shared" si="176"/>
        <v>10.26</v>
      </c>
      <c r="DA267" s="14" t="str">
        <f t="shared" si="177"/>
        <v>DefExt</v>
      </c>
      <c r="DB267" s="14">
        <f t="shared" si="178"/>
        <v>62</v>
      </c>
      <c r="DC267" s="14">
        <f t="shared" si="179"/>
        <v>6.24</v>
      </c>
      <c r="DD267" s="14">
        <f t="shared" si="180"/>
        <v>13</v>
      </c>
      <c r="DE267" s="14">
        <f t="shared" si="181"/>
        <v>0</v>
      </c>
      <c r="DF267" s="14">
        <f t="shared" si="182"/>
        <v>24</v>
      </c>
      <c r="DG267" s="14">
        <f t="shared" si="183"/>
        <v>30</v>
      </c>
    </row>
    <row r="268" spans="77:111" ht="16.5" x14ac:dyDescent="0.2">
      <c r="BY268" s="13">
        <v>264</v>
      </c>
      <c r="BZ268" s="14">
        <f t="shared" si="166"/>
        <v>36</v>
      </c>
      <c r="CA268" s="14">
        <f t="shared" si="167"/>
        <v>2</v>
      </c>
      <c r="CB268" s="14">
        <f t="shared" si="152"/>
        <v>4</v>
      </c>
      <c r="CC268" s="14">
        <f t="shared" si="153"/>
        <v>2041028</v>
      </c>
      <c r="CD268" s="13" t="str">
        <f t="shared" si="154"/>
        <v>80级守护灵绿色-戒指</v>
      </c>
      <c r="CE268" s="14">
        <f t="shared" si="155"/>
        <v>2</v>
      </c>
      <c r="CF268" s="14">
        <f t="shared" si="156"/>
        <v>1</v>
      </c>
      <c r="CG268" s="14">
        <f t="shared" si="168"/>
        <v>80</v>
      </c>
      <c r="CH268" s="14">
        <f t="shared" si="169"/>
        <v>80</v>
      </c>
      <c r="CI268" s="14">
        <f t="shared" si="157"/>
        <v>8</v>
      </c>
      <c r="CJ268" s="14" t="str">
        <f t="shared" si="170"/>
        <v/>
      </c>
      <c r="CK268" s="14">
        <f t="shared" si="158"/>
        <v>103</v>
      </c>
      <c r="CL268" s="14">
        <f t="shared" si="159"/>
        <v>0</v>
      </c>
      <c r="CM268" s="14">
        <f t="shared" si="160"/>
        <v>661</v>
      </c>
      <c r="CN268" s="14">
        <f t="shared" si="161"/>
        <v>10.26</v>
      </c>
      <c r="CO268" s="14">
        <f t="shared" si="162"/>
        <v>0</v>
      </c>
      <c r="CP268" s="14">
        <f t="shared" si="163"/>
        <v>66.13</v>
      </c>
      <c r="CQ268" s="14">
        <f t="shared" si="171"/>
        <v>13</v>
      </c>
      <c r="CR268" s="14">
        <f t="shared" si="172"/>
        <v>0</v>
      </c>
      <c r="CS268" s="14">
        <f t="shared" si="173"/>
        <v>24</v>
      </c>
      <c r="CV268" s="14">
        <f t="shared" si="164"/>
        <v>1</v>
      </c>
      <c r="CW268" s="14">
        <f t="shared" si="165"/>
        <v>3</v>
      </c>
      <c r="CX268" s="14" t="str">
        <f t="shared" si="174"/>
        <v>AtkExt</v>
      </c>
      <c r="CY268" s="14">
        <f t="shared" si="175"/>
        <v>103</v>
      </c>
      <c r="CZ268" s="14">
        <f t="shared" si="176"/>
        <v>10.26</v>
      </c>
      <c r="DA268" s="14" t="str">
        <f t="shared" si="177"/>
        <v>HPExt</v>
      </c>
      <c r="DB268" s="14">
        <f t="shared" si="178"/>
        <v>661</v>
      </c>
      <c r="DC268" s="14">
        <f t="shared" si="179"/>
        <v>66.13</v>
      </c>
      <c r="DD268" s="14">
        <f t="shared" si="180"/>
        <v>13</v>
      </c>
      <c r="DE268" s="14">
        <f t="shared" si="181"/>
        <v>0</v>
      </c>
      <c r="DF268" s="14">
        <f t="shared" si="182"/>
        <v>24</v>
      </c>
      <c r="DG268" s="14">
        <f t="shared" si="183"/>
        <v>30</v>
      </c>
    </row>
    <row r="269" spans="77:111" ht="16.5" x14ac:dyDescent="0.2">
      <c r="BY269" s="13">
        <v>265</v>
      </c>
      <c r="BZ269" s="14">
        <f t="shared" si="166"/>
        <v>37</v>
      </c>
      <c r="CA269" s="14">
        <f t="shared" si="167"/>
        <v>1</v>
      </c>
      <c r="CB269" s="14">
        <f t="shared" si="152"/>
        <v>4</v>
      </c>
      <c r="CC269" s="14">
        <f t="shared" si="153"/>
        <v>2042011</v>
      </c>
      <c r="CD269" s="13" t="str">
        <f t="shared" si="154"/>
        <v>80级寄灵人蓝色-武器</v>
      </c>
      <c r="CE269" s="14">
        <f t="shared" si="155"/>
        <v>1</v>
      </c>
      <c r="CF269" s="14">
        <f t="shared" si="156"/>
        <v>2</v>
      </c>
      <c r="CG269" s="14">
        <f t="shared" si="168"/>
        <v>80</v>
      </c>
      <c r="CH269" s="14">
        <f t="shared" si="169"/>
        <v>80</v>
      </c>
      <c r="CI269" s="14">
        <f t="shared" si="157"/>
        <v>1</v>
      </c>
      <c r="CJ269" s="14" t="str">
        <f t="shared" si="170"/>
        <v/>
      </c>
      <c r="CK269" s="14">
        <f t="shared" si="158"/>
        <v>437</v>
      </c>
      <c r="CL269" s="14">
        <f t="shared" si="159"/>
        <v>0</v>
      </c>
      <c r="CM269" s="14">
        <f t="shared" si="160"/>
        <v>0</v>
      </c>
      <c r="CN269" s="14">
        <f t="shared" si="161"/>
        <v>29.1</v>
      </c>
      <c r="CO269" s="14">
        <f t="shared" si="162"/>
        <v>0</v>
      </c>
      <c r="CP269" s="14">
        <f t="shared" si="163"/>
        <v>0</v>
      </c>
      <c r="CQ269" s="14">
        <f t="shared" si="171"/>
        <v>14</v>
      </c>
      <c r="CR269" s="14">
        <f t="shared" si="172"/>
        <v>0</v>
      </c>
      <c r="CS269" s="14">
        <f t="shared" si="173"/>
        <v>14</v>
      </c>
      <c r="CV269" s="14">
        <f t="shared" si="164"/>
        <v>1</v>
      </c>
      <c r="CW269" s="14">
        <f t="shared" si="165"/>
        <v>0</v>
      </c>
      <c r="CX269" s="14" t="str">
        <f t="shared" si="174"/>
        <v>AtkExt</v>
      </c>
      <c r="CY269" s="14">
        <f t="shared" si="175"/>
        <v>437</v>
      </c>
      <c r="CZ269" s="14">
        <f t="shared" si="176"/>
        <v>29.1</v>
      </c>
      <c r="DA269" s="14" t="str">
        <f t="shared" si="177"/>
        <v/>
      </c>
      <c r="DB269" s="14" t="str">
        <f t="shared" si="178"/>
        <v/>
      </c>
      <c r="DC269" s="14" t="str">
        <f t="shared" si="179"/>
        <v/>
      </c>
      <c r="DD269" s="14">
        <f t="shared" si="180"/>
        <v>14</v>
      </c>
      <c r="DE269" s="14">
        <f t="shared" si="181"/>
        <v>0</v>
      </c>
      <c r="DF269" s="14">
        <f t="shared" si="182"/>
        <v>14</v>
      </c>
      <c r="DG269" s="14">
        <f t="shared" si="183"/>
        <v>90</v>
      </c>
    </row>
    <row r="270" spans="77:111" ht="16.5" x14ac:dyDescent="0.2">
      <c r="BY270" s="13">
        <v>266</v>
      </c>
      <c r="BZ270" s="14">
        <f t="shared" si="166"/>
        <v>37</v>
      </c>
      <c r="CA270" s="14">
        <f t="shared" si="167"/>
        <v>1</v>
      </c>
      <c r="CB270" s="14">
        <f t="shared" si="152"/>
        <v>4</v>
      </c>
      <c r="CC270" s="14">
        <f t="shared" si="153"/>
        <v>2042012</v>
      </c>
      <c r="CD270" s="13" t="str">
        <f t="shared" si="154"/>
        <v>80级寄灵人蓝色-头盔</v>
      </c>
      <c r="CE270" s="14">
        <f t="shared" si="155"/>
        <v>1</v>
      </c>
      <c r="CF270" s="14">
        <f t="shared" si="156"/>
        <v>2</v>
      </c>
      <c r="CG270" s="14">
        <f t="shared" si="168"/>
        <v>80</v>
      </c>
      <c r="CH270" s="14">
        <f t="shared" si="169"/>
        <v>80</v>
      </c>
      <c r="CI270" s="14">
        <f t="shared" si="157"/>
        <v>2</v>
      </c>
      <c r="CJ270" s="14" t="str">
        <f t="shared" si="170"/>
        <v/>
      </c>
      <c r="CK270" s="14">
        <f t="shared" si="158"/>
        <v>0</v>
      </c>
      <c r="CL270" s="14">
        <f t="shared" si="159"/>
        <v>107</v>
      </c>
      <c r="CM270" s="14">
        <f t="shared" si="160"/>
        <v>0</v>
      </c>
      <c r="CN270" s="14">
        <f t="shared" si="161"/>
        <v>0</v>
      </c>
      <c r="CO270" s="14">
        <f t="shared" si="162"/>
        <v>7.13</v>
      </c>
      <c r="CP270" s="14">
        <f t="shared" si="163"/>
        <v>0</v>
      </c>
      <c r="CQ270" s="14">
        <f t="shared" si="171"/>
        <v>14</v>
      </c>
      <c r="CR270" s="14">
        <f t="shared" si="172"/>
        <v>0</v>
      </c>
      <c r="CS270" s="14">
        <f t="shared" si="173"/>
        <v>14</v>
      </c>
      <c r="CV270" s="14">
        <f t="shared" si="164"/>
        <v>2</v>
      </c>
      <c r="CW270" s="14">
        <f t="shared" si="165"/>
        <v>0</v>
      </c>
      <c r="CX270" s="14" t="str">
        <f t="shared" si="174"/>
        <v>DefExt</v>
      </c>
      <c r="CY270" s="14">
        <f t="shared" si="175"/>
        <v>107</v>
      </c>
      <c r="CZ270" s="14">
        <f t="shared" si="176"/>
        <v>7.13</v>
      </c>
      <c r="DA270" s="14" t="str">
        <f t="shared" si="177"/>
        <v/>
      </c>
      <c r="DB270" s="14" t="str">
        <f t="shared" si="178"/>
        <v/>
      </c>
      <c r="DC270" s="14" t="str">
        <f t="shared" si="179"/>
        <v/>
      </c>
      <c r="DD270" s="14">
        <f t="shared" si="180"/>
        <v>14</v>
      </c>
      <c r="DE270" s="14">
        <f t="shared" si="181"/>
        <v>0</v>
      </c>
      <c r="DF270" s="14">
        <f t="shared" si="182"/>
        <v>14</v>
      </c>
      <c r="DG270" s="14">
        <f t="shared" si="183"/>
        <v>90</v>
      </c>
    </row>
    <row r="271" spans="77:111" ht="16.5" x14ac:dyDescent="0.2">
      <c r="BY271" s="13">
        <v>267</v>
      </c>
      <c r="BZ271" s="14">
        <f t="shared" si="166"/>
        <v>37</v>
      </c>
      <c r="CA271" s="14">
        <f t="shared" si="167"/>
        <v>1</v>
      </c>
      <c r="CB271" s="14">
        <f t="shared" si="152"/>
        <v>4</v>
      </c>
      <c r="CC271" s="14">
        <f t="shared" si="153"/>
        <v>2042013</v>
      </c>
      <c r="CD271" s="13" t="str">
        <f t="shared" si="154"/>
        <v>80级寄灵人蓝色-肩甲</v>
      </c>
      <c r="CE271" s="14">
        <f t="shared" si="155"/>
        <v>1</v>
      </c>
      <c r="CF271" s="14">
        <f t="shared" si="156"/>
        <v>2</v>
      </c>
      <c r="CG271" s="14">
        <f t="shared" si="168"/>
        <v>80</v>
      </c>
      <c r="CH271" s="14">
        <f t="shared" si="169"/>
        <v>80</v>
      </c>
      <c r="CI271" s="14">
        <f t="shared" si="157"/>
        <v>3</v>
      </c>
      <c r="CJ271" s="14" t="str">
        <f t="shared" si="170"/>
        <v/>
      </c>
      <c r="CK271" s="14">
        <f t="shared" si="158"/>
        <v>0</v>
      </c>
      <c r="CL271" s="14">
        <f t="shared" si="159"/>
        <v>54</v>
      </c>
      <c r="CM271" s="14">
        <f t="shared" si="160"/>
        <v>333</v>
      </c>
      <c r="CN271" s="14">
        <f t="shared" si="161"/>
        <v>0</v>
      </c>
      <c r="CO271" s="14">
        <f t="shared" si="162"/>
        <v>3.57</v>
      </c>
      <c r="CP271" s="14">
        <f t="shared" si="163"/>
        <v>22.2</v>
      </c>
      <c r="CQ271" s="14">
        <f t="shared" si="171"/>
        <v>14</v>
      </c>
      <c r="CR271" s="14">
        <f t="shared" si="172"/>
        <v>0</v>
      </c>
      <c r="CS271" s="14">
        <f t="shared" si="173"/>
        <v>14</v>
      </c>
      <c r="CV271" s="14">
        <f t="shared" si="164"/>
        <v>2</v>
      </c>
      <c r="CW271" s="14">
        <f t="shared" si="165"/>
        <v>3</v>
      </c>
      <c r="CX271" s="14" t="str">
        <f t="shared" si="174"/>
        <v>DefExt</v>
      </c>
      <c r="CY271" s="14">
        <f t="shared" si="175"/>
        <v>54</v>
      </c>
      <c r="CZ271" s="14">
        <f t="shared" si="176"/>
        <v>3.57</v>
      </c>
      <c r="DA271" s="14" t="str">
        <f t="shared" si="177"/>
        <v>HPExt</v>
      </c>
      <c r="DB271" s="14">
        <f t="shared" si="178"/>
        <v>333</v>
      </c>
      <c r="DC271" s="14">
        <f t="shared" si="179"/>
        <v>22.2</v>
      </c>
      <c r="DD271" s="14">
        <f t="shared" si="180"/>
        <v>14</v>
      </c>
      <c r="DE271" s="14">
        <f t="shared" si="181"/>
        <v>0</v>
      </c>
      <c r="DF271" s="14">
        <f t="shared" si="182"/>
        <v>14</v>
      </c>
      <c r="DG271" s="14">
        <f t="shared" si="183"/>
        <v>90</v>
      </c>
    </row>
    <row r="272" spans="77:111" ht="16.5" x14ac:dyDescent="0.2">
      <c r="BY272" s="13">
        <v>268</v>
      </c>
      <c r="BZ272" s="14">
        <f t="shared" si="166"/>
        <v>37</v>
      </c>
      <c r="CA272" s="14">
        <f t="shared" si="167"/>
        <v>1</v>
      </c>
      <c r="CB272" s="14">
        <f t="shared" si="152"/>
        <v>4</v>
      </c>
      <c r="CC272" s="14">
        <f t="shared" si="153"/>
        <v>2042014</v>
      </c>
      <c r="CD272" s="13" t="str">
        <f t="shared" si="154"/>
        <v>80级寄灵人蓝色-衣服</v>
      </c>
      <c r="CE272" s="14">
        <f t="shared" si="155"/>
        <v>1</v>
      </c>
      <c r="CF272" s="14">
        <f t="shared" si="156"/>
        <v>2</v>
      </c>
      <c r="CG272" s="14">
        <f t="shared" si="168"/>
        <v>80</v>
      </c>
      <c r="CH272" s="14">
        <f t="shared" si="169"/>
        <v>80</v>
      </c>
      <c r="CI272" s="14">
        <f t="shared" si="157"/>
        <v>4</v>
      </c>
      <c r="CJ272" s="14" t="str">
        <f t="shared" si="170"/>
        <v/>
      </c>
      <c r="CK272" s="14">
        <f t="shared" si="158"/>
        <v>0</v>
      </c>
      <c r="CL272" s="14">
        <f t="shared" si="159"/>
        <v>107</v>
      </c>
      <c r="CM272" s="14">
        <f t="shared" si="160"/>
        <v>0</v>
      </c>
      <c r="CN272" s="14">
        <f t="shared" si="161"/>
        <v>0</v>
      </c>
      <c r="CO272" s="14">
        <f t="shared" si="162"/>
        <v>7.13</v>
      </c>
      <c r="CP272" s="14">
        <f t="shared" si="163"/>
        <v>0</v>
      </c>
      <c r="CQ272" s="14">
        <f t="shared" si="171"/>
        <v>14</v>
      </c>
      <c r="CR272" s="14">
        <f t="shared" si="172"/>
        <v>0</v>
      </c>
      <c r="CS272" s="14">
        <f t="shared" si="173"/>
        <v>14</v>
      </c>
      <c r="CV272" s="14">
        <f t="shared" si="164"/>
        <v>2</v>
      </c>
      <c r="CW272" s="14">
        <f t="shared" si="165"/>
        <v>0</v>
      </c>
      <c r="CX272" s="14" t="str">
        <f t="shared" si="174"/>
        <v>DefExt</v>
      </c>
      <c r="CY272" s="14">
        <f t="shared" si="175"/>
        <v>107</v>
      </c>
      <c r="CZ272" s="14">
        <f t="shared" si="176"/>
        <v>7.13</v>
      </c>
      <c r="DA272" s="14" t="str">
        <f t="shared" si="177"/>
        <v/>
      </c>
      <c r="DB272" s="14" t="str">
        <f t="shared" si="178"/>
        <v/>
      </c>
      <c r="DC272" s="14" t="str">
        <f t="shared" si="179"/>
        <v/>
      </c>
      <c r="DD272" s="14">
        <f t="shared" si="180"/>
        <v>14</v>
      </c>
      <c r="DE272" s="14">
        <f t="shared" si="181"/>
        <v>0</v>
      </c>
      <c r="DF272" s="14">
        <f t="shared" si="182"/>
        <v>14</v>
      </c>
      <c r="DG272" s="14">
        <f t="shared" si="183"/>
        <v>90</v>
      </c>
    </row>
    <row r="273" spans="77:111" ht="16.5" x14ac:dyDescent="0.2">
      <c r="BY273" s="13">
        <v>269</v>
      </c>
      <c r="BZ273" s="14">
        <f t="shared" si="166"/>
        <v>37</v>
      </c>
      <c r="CA273" s="14">
        <f t="shared" si="167"/>
        <v>1</v>
      </c>
      <c r="CB273" s="14">
        <f t="shared" si="152"/>
        <v>4</v>
      </c>
      <c r="CC273" s="14">
        <f t="shared" si="153"/>
        <v>2042015</v>
      </c>
      <c r="CD273" s="13" t="str">
        <f t="shared" si="154"/>
        <v>80级寄灵人蓝色-鞋子</v>
      </c>
      <c r="CE273" s="14">
        <f t="shared" si="155"/>
        <v>1</v>
      </c>
      <c r="CF273" s="14">
        <f t="shared" si="156"/>
        <v>2</v>
      </c>
      <c r="CG273" s="14">
        <f t="shared" si="168"/>
        <v>80</v>
      </c>
      <c r="CH273" s="14">
        <f t="shared" si="169"/>
        <v>80</v>
      </c>
      <c r="CI273" s="14">
        <f t="shared" si="157"/>
        <v>5</v>
      </c>
      <c r="CJ273" s="14" t="str">
        <f t="shared" si="170"/>
        <v/>
      </c>
      <c r="CK273" s="14">
        <f t="shared" si="158"/>
        <v>0</v>
      </c>
      <c r="CL273" s="14">
        <f t="shared" si="159"/>
        <v>0</v>
      </c>
      <c r="CM273" s="14">
        <f t="shared" si="160"/>
        <v>666</v>
      </c>
      <c r="CN273" s="14">
        <f t="shared" si="161"/>
        <v>0</v>
      </c>
      <c r="CO273" s="14">
        <f t="shared" si="162"/>
        <v>0</v>
      </c>
      <c r="CP273" s="14">
        <f t="shared" si="163"/>
        <v>44.41</v>
      </c>
      <c r="CQ273" s="14">
        <f t="shared" si="171"/>
        <v>14</v>
      </c>
      <c r="CR273" s="14">
        <f t="shared" si="172"/>
        <v>0</v>
      </c>
      <c r="CS273" s="14">
        <f t="shared" si="173"/>
        <v>14</v>
      </c>
      <c r="CV273" s="14">
        <f t="shared" si="164"/>
        <v>3</v>
      </c>
      <c r="CW273" s="14">
        <f t="shared" si="165"/>
        <v>0</v>
      </c>
      <c r="CX273" s="14" t="str">
        <f t="shared" si="174"/>
        <v>HPExt</v>
      </c>
      <c r="CY273" s="14">
        <f t="shared" si="175"/>
        <v>666</v>
      </c>
      <c r="CZ273" s="14">
        <f t="shared" si="176"/>
        <v>44.41</v>
      </c>
      <c r="DA273" s="14" t="str">
        <f t="shared" si="177"/>
        <v/>
      </c>
      <c r="DB273" s="14" t="str">
        <f t="shared" si="178"/>
        <v/>
      </c>
      <c r="DC273" s="14" t="str">
        <f t="shared" si="179"/>
        <v/>
      </c>
      <c r="DD273" s="14">
        <f t="shared" si="180"/>
        <v>14</v>
      </c>
      <c r="DE273" s="14">
        <f t="shared" si="181"/>
        <v>0</v>
      </c>
      <c r="DF273" s="14">
        <f t="shared" si="182"/>
        <v>14</v>
      </c>
      <c r="DG273" s="14">
        <f t="shared" si="183"/>
        <v>90</v>
      </c>
    </row>
    <row r="274" spans="77:111" ht="16.5" x14ac:dyDescent="0.2">
      <c r="BY274" s="13">
        <v>270</v>
      </c>
      <c r="BZ274" s="14">
        <f t="shared" si="166"/>
        <v>37</v>
      </c>
      <c r="CA274" s="14">
        <f t="shared" si="167"/>
        <v>1</v>
      </c>
      <c r="CB274" s="14">
        <f t="shared" si="152"/>
        <v>4</v>
      </c>
      <c r="CC274" s="14">
        <f t="shared" si="153"/>
        <v>2042016</v>
      </c>
      <c r="CD274" s="13" t="str">
        <f t="shared" si="154"/>
        <v>80级寄灵人蓝色-护手</v>
      </c>
      <c r="CE274" s="14">
        <f t="shared" si="155"/>
        <v>1</v>
      </c>
      <c r="CF274" s="14">
        <f t="shared" si="156"/>
        <v>2</v>
      </c>
      <c r="CG274" s="14">
        <f t="shared" si="168"/>
        <v>80</v>
      </c>
      <c r="CH274" s="14">
        <f t="shared" si="169"/>
        <v>80</v>
      </c>
      <c r="CI274" s="14">
        <f t="shared" si="157"/>
        <v>6</v>
      </c>
      <c r="CJ274" s="14" t="str">
        <f t="shared" si="170"/>
        <v/>
      </c>
      <c r="CK274" s="14">
        <f t="shared" si="158"/>
        <v>0</v>
      </c>
      <c r="CL274" s="14">
        <f t="shared" si="159"/>
        <v>0</v>
      </c>
      <c r="CM274" s="14">
        <f t="shared" si="160"/>
        <v>666</v>
      </c>
      <c r="CN274" s="14">
        <f t="shared" si="161"/>
        <v>0</v>
      </c>
      <c r="CO274" s="14">
        <f t="shared" si="162"/>
        <v>0</v>
      </c>
      <c r="CP274" s="14">
        <f t="shared" si="163"/>
        <v>44.41</v>
      </c>
      <c r="CQ274" s="14">
        <f t="shared" si="171"/>
        <v>14</v>
      </c>
      <c r="CR274" s="14">
        <f t="shared" si="172"/>
        <v>0</v>
      </c>
      <c r="CS274" s="14">
        <f t="shared" si="173"/>
        <v>14</v>
      </c>
      <c r="CV274" s="14">
        <f t="shared" si="164"/>
        <v>3</v>
      </c>
      <c r="CW274" s="14">
        <f t="shared" si="165"/>
        <v>0</v>
      </c>
      <c r="CX274" s="14" t="str">
        <f t="shared" si="174"/>
        <v>HPExt</v>
      </c>
      <c r="CY274" s="14">
        <f t="shared" si="175"/>
        <v>666</v>
      </c>
      <c r="CZ274" s="14">
        <f t="shared" si="176"/>
        <v>44.41</v>
      </c>
      <c r="DA274" s="14" t="str">
        <f t="shared" si="177"/>
        <v/>
      </c>
      <c r="DB274" s="14" t="str">
        <f t="shared" si="178"/>
        <v/>
      </c>
      <c r="DC274" s="14" t="str">
        <f t="shared" si="179"/>
        <v/>
      </c>
      <c r="DD274" s="14">
        <f t="shared" si="180"/>
        <v>14</v>
      </c>
      <c r="DE274" s="14">
        <f t="shared" si="181"/>
        <v>0</v>
      </c>
      <c r="DF274" s="14">
        <f t="shared" si="182"/>
        <v>14</v>
      </c>
      <c r="DG274" s="14">
        <f t="shared" si="183"/>
        <v>90</v>
      </c>
    </row>
    <row r="275" spans="77:111" ht="16.5" x14ac:dyDescent="0.2">
      <c r="BY275" s="13">
        <v>271</v>
      </c>
      <c r="BZ275" s="14">
        <f t="shared" si="166"/>
        <v>37</v>
      </c>
      <c r="CA275" s="14">
        <f t="shared" si="167"/>
        <v>1</v>
      </c>
      <c r="CB275" s="14">
        <f t="shared" si="152"/>
        <v>4</v>
      </c>
      <c r="CC275" s="14">
        <f t="shared" si="153"/>
        <v>2042017</v>
      </c>
      <c r="CD275" s="13" t="str">
        <f t="shared" si="154"/>
        <v>80级寄灵人蓝色-项链</v>
      </c>
      <c r="CE275" s="14">
        <f t="shared" si="155"/>
        <v>1</v>
      </c>
      <c r="CF275" s="14">
        <f t="shared" si="156"/>
        <v>2</v>
      </c>
      <c r="CG275" s="14">
        <f t="shared" si="168"/>
        <v>80</v>
      </c>
      <c r="CH275" s="14">
        <f t="shared" si="169"/>
        <v>80</v>
      </c>
      <c r="CI275" s="14">
        <f t="shared" si="157"/>
        <v>7</v>
      </c>
      <c r="CJ275" s="14" t="str">
        <f t="shared" si="170"/>
        <v/>
      </c>
      <c r="CK275" s="14">
        <f t="shared" si="158"/>
        <v>146</v>
      </c>
      <c r="CL275" s="14">
        <f t="shared" si="159"/>
        <v>89</v>
      </c>
      <c r="CM275" s="14">
        <f t="shared" si="160"/>
        <v>0</v>
      </c>
      <c r="CN275" s="14">
        <f t="shared" si="161"/>
        <v>9.6999999999999993</v>
      </c>
      <c r="CO275" s="14">
        <f t="shared" si="162"/>
        <v>5.94</v>
      </c>
      <c r="CP275" s="14">
        <f t="shared" si="163"/>
        <v>0</v>
      </c>
      <c r="CQ275" s="14">
        <f t="shared" si="171"/>
        <v>14</v>
      </c>
      <c r="CR275" s="14">
        <f t="shared" si="172"/>
        <v>0</v>
      </c>
      <c r="CS275" s="14">
        <f t="shared" si="173"/>
        <v>14</v>
      </c>
      <c r="CV275" s="14">
        <f t="shared" si="164"/>
        <v>1</v>
      </c>
      <c r="CW275" s="14">
        <f t="shared" si="165"/>
        <v>2</v>
      </c>
      <c r="CX275" s="14" t="str">
        <f t="shared" si="174"/>
        <v>AtkExt</v>
      </c>
      <c r="CY275" s="14">
        <f t="shared" si="175"/>
        <v>146</v>
      </c>
      <c r="CZ275" s="14">
        <f t="shared" si="176"/>
        <v>9.6999999999999993</v>
      </c>
      <c r="DA275" s="14" t="str">
        <f t="shared" si="177"/>
        <v>DefExt</v>
      </c>
      <c r="DB275" s="14">
        <f t="shared" si="178"/>
        <v>89</v>
      </c>
      <c r="DC275" s="14">
        <f t="shared" si="179"/>
        <v>5.94</v>
      </c>
      <c r="DD275" s="14">
        <f t="shared" si="180"/>
        <v>14</v>
      </c>
      <c r="DE275" s="14">
        <f t="shared" si="181"/>
        <v>0</v>
      </c>
      <c r="DF275" s="14">
        <f t="shared" si="182"/>
        <v>14</v>
      </c>
      <c r="DG275" s="14">
        <f t="shared" si="183"/>
        <v>90</v>
      </c>
    </row>
    <row r="276" spans="77:111" ht="16.5" x14ac:dyDescent="0.2">
      <c r="BY276" s="13">
        <v>272</v>
      </c>
      <c r="BZ276" s="14">
        <f t="shared" si="166"/>
        <v>37</v>
      </c>
      <c r="CA276" s="14">
        <f t="shared" si="167"/>
        <v>1</v>
      </c>
      <c r="CB276" s="14">
        <f t="shared" si="152"/>
        <v>4</v>
      </c>
      <c r="CC276" s="14">
        <f t="shared" si="153"/>
        <v>2042018</v>
      </c>
      <c r="CD276" s="13" t="str">
        <f t="shared" si="154"/>
        <v>80级寄灵人蓝色-戒指</v>
      </c>
      <c r="CE276" s="14">
        <f t="shared" si="155"/>
        <v>1</v>
      </c>
      <c r="CF276" s="14">
        <f t="shared" si="156"/>
        <v>2</v>
      </c>
      <c r="CG276" s="14">
        <f t="shared" si="168"/>
        <v>80</v>
      </c>
      <c r="CH276" s="14">
        <f t="shared" si="169"/>
        <v>80</v>
      </c>
      <c r="CI276" s="14">
        <f t="shared" si="157"/>
        <v>8</v>
      </c>
      <c r="CJ276" s="14" t="str">
        <f t="shared" si="170"/>
        <v/>
      </c>
      <c r="CK276" s="14">
        <f t="shared" si="158"/>
        <v>146</v>
      </c>
      <c r="CL276" s="14">
        <f t="shared" si="159"/>
        <v>0</v>
      </c>
      <c r="CM276" s="14">
        <f t="shared" si="160"/>
        <v>555</v>
      </c>
      <c r="CN276" s="14">
        <f t="shared" si="161"/>
        <v>9.6999999999999993</v>
      </c>
      <c r="CO276" s="14">
        <f t="shared" si="162"/>
        <v>0</v>
      </c>
      <c r="CP276" s="14">
        <f t="shared" si="163"/>
        <v>37.01</v>
      </c>
      <c r="CQ276" s="14">
        <f t="shared" si="171"/>
        <v>14</v>
      </c>
      <c r="CR276" s="14">
        <f t="shared" si="172"/>
        <v>0</v>
      </c>
      <c r="CS276" s="14">
        <f t="shared" si="173"/>
        <v>14</v>
      </c>
      <c r="CV276" s="14">
        <f t="shared" si="164"/>
        <v>1</v>
      </c>
      <c r="CW276" s="14">
        <f t="shared" si="165"/>
        <v>3</v>
      </c>
      <c r="CX276" s="14" t="str">
        <f t="shared" si="174"/>
        <v>AtkExt</v>
      </c>
      <c r="CY276" s="14">
        <f t="shared" si="175"/>
        <v>146</v>
      </c>
      <c r="CZ276" s="14">
        <f t="shared" si="176"/>
        <v>9.6999999999999993</v>
      </c>
      <c r="DA276" s="14" t="str">
        <f t="shared" si="177"/>
        <v>HPExt</v>
      </c>
      <c r="DB276" s="14">
        <f t="shared" si="178"/>
        <v>555</v>
      </c>
      <c r="DC276" s="14">
        <f t="shared" si="179"/>
        <v>37.01</v>
      </c>
      <c r="DD276" s="14">
        <f t="shared" si="180"/>
        <v>14</v>
      </c>
      <c r="DE276" s="14">
        <f t="shared" si="181"/>
        <v>0</v>
      </c>
      <c r="DF276" s="14">
        <f t="shared" si="182"/>
        <v>14</v>
      </c>
      <c r="DG276" s="14">
        <f t="shared" si="183"/>
        <v>90</v>
      </c>
    </row>
    <row r="277" spans="77:111" ht="16.5" x14ac:dyDescent="0.2">
      <c r="BY277" s="13">
        <v>273</v>
      </c>
      <c r="BZ277" s="14">
        <f t="shared" si="166"/>
        <v>38</v>
      </c>
      <c r="CA277" s="14">
        <f t="shared" si="167"/>
        <v>2</v>
      </c>
      <c r="CB277" s="14">
        <f t="shared" si="152"/>
        <v>4</v>
      </c>
      <c r="CC277" s="14">
        <f t="shared" si="153"/>
        <v>2042021</v>
      </c>
      <c r="CD277" s="13" t="str">
        <f t="shared" si="154"/>
        <v>80级守护灵蓝色-武器</v>
      </c>
      <c r="CE277" s="14">
        <f t="shared" si="155"/>
        <v>2</v>
      </c>
      <c r="CF277" s="14">
        <f t="shared" si="156"/>
        <v>2</v>
      </c>
      <c r="CG277" s="14">
        <f t="shared" si="168"/>
        <v>80</v>
      </c>
      <c r="CH277" s="14">
        <f t="shared" si="169"/>
        <v>80</v>
      </c>
      <c r="CI277" s="14">
        <f t="shared" si="157"/>
        <v>1</v>
      </c>
      <c r="CJ277" s="14" t="str">
        <f t="shared" si="170"/>
        <v/>
      </c>
      <c r="CK277" s="14">
        <f t="shared" si="158"/>
        <v>462</v>
      </c>
      <c r="CL277" s="14">
        <f t="shared" si="159"/>
        <v>0</v>
      </c>
      <c r="CM277" s="14">
        <f t="shared" si="160"/>
        <v>0</v>
      </c>
      <c r="CN277" s="14">
        <f t="shared" si="161"/>
        <v>30.79</v>
      </c>
      <c r="CO277" s="14">
        <f t="shared" si="162"/>
        <v>0</v>
      </c>
      <c r="CP277" s="14">
        <f t="shared" si="163"/>
        <v>0</v>
      </c>
      <c r="CQ277" s="14">
        <f t="shared" si="171"/>
        <v>14</v>
      </c>
      <c r="CR277" s="14">
        <f t="shared" si="172"/>
        <v>0</v>
      </c>
      <c r="CS277" s="14">
        <f t="shared" si="173"/>
        <v>24</v>
      </c>
      <c r="CV277" s="14">
        <f t="shared" si="164"/>
        <v>1</v>
      </c>
      <c r="CW277" s="14">
        <f t="shared" si="165"/>
        <v>0</v>
      </c>
      <c r="CX277" s="14" t="str">
        <f t="shared" si="174"/>
        <v>AtkExt</v>
      </c>
      <c r="CY277" s="14">
        <f t="shared" si="175"/>
        <v>462</v>
      </c>
      <c r="CZ277" s="14">
        <f t="shared" si="176"/>
        <v>30.79</v>
      </c>
      <c r="DA277" s="14" t="str">
        <f t="shared" si="177"/>
        <v/>
      </c>
      <c r="DB277" s="14" t="str">
        <f t="shared" si="178"/>
        <v/>
      </c>
      <c r="DC277" s="14" t="str">
        <f t="shared" si="179"/>
        <v/>
      </c>
      <c r="DD277" s="14">
        <f t="shared" si="180"/>
        <v>14</v>
      </c>
      <c r="DE277" s="14">
        <f t="shared" si="181"/>
        <v>0</v>
      </c>
      <c r="DF277" s="14">
        <f t="shared" si="182"/>
        <v>24</v>
      </c>
      <c r="DG277" s="14">
        <f t="shared" si="183"/>
        <v>90</v>
      </c>
    </row>
    <row r="278" spans="77:111" ht="16.5" x14ac:dyDescent="0.2">
      <c r="BY278" s="13">
        <v>274</v>
      </c>
      <c r="BZ278" s="14">
        <f t="shared" si="166"/>
        <v>38</v>
      </c>
      <c r="CA278" s="14">
        <f t="shared" si="167"/>
        <v>2</v>
      </c>
      <c r="CB278" s="14">
        <f t="shared" si="152"/>
        <v>4</v>
      </c>
      <c r="CC278" s="14">
        <f t="shared" si="153"/>
        <v>2042022</v>
      </c>
      <c r="CD278" s="13" t="str">
        <f t="shared" si="154"/>
        <v>80级守护灵蓝色-头盔</v>
      </c>
      <c r="CE278" s="14">
        <f t="shared" si="155"/>
        <v>2</v>
      </c>
      <c r="CF278" s="14">
        <f t="shared" si="156"/>
        <v>2</v>
      </c>
      <c r="CG278" s="14">
        <f t="shared" si="168"/>
        <v>80</v>
      </c>
      <c r="CH278" s="14">
        <f t="shared" si="169"/>
        <v>80</v>
      </c>
      <c r="CI278" s="14">
        <f t="shared" si="157"/>
        <v>2</v>
      </c>
      <c r="CJ278" s="14" t="str">
        <f t="shared" si="170"/>
        <v/>
      </c>
      <c r="CK278" s="14">
        <f t="shared" si="158"/>
        <v>0</v>
      </c>
      <c r="CL278" s="14">
        <f t="shared" si="159"/>
        <v>112</v>
      </c>
      <c r="CM278" s="14">
        <f t="shared" si="160"/>
        <v>0</v>
      </c>
      <c r="CN278" s="14">
        <f t="shared" si="161"/>
        <v>0</v>
      </c>
      <c r="CO278" s="14">
        <f t="shared" si="162"/>
        <v>7.48</v>
      </c>
      <c r="CP278" s="14">
        <f t="shared" si="163"/>
        <v>0</v>
      </c>
      <c r="CQ278" s="14">
        <f t="shared" si="171"/>
        <v>14</v>
      </c>
      <c r="CR278" s="14">
        <f t="shared" si="172"/>
        <v>0</v>
      </c>
      <c r="CS278" s="14">
        <f t="shared" si="173"/>
        <v>24</v>
      </c>
      <c r="CV278" s="14">
        <f t="shared" si="164"/>
        <v>2</v>
      </c>
      <c r="CW278" s="14">
        <f t="shared" si="165"/>
        <v>0</v>
      </c>
      <c r="CX278" s="14" t="str">
        <f t="shared" si="174"/>
        <v>DefExt</v>
      </c>
      <c r="CY278" s="14">
        <f t="shared" si="175"/>
        <v>112</v>
      </c>
      <c r="CZ278" s="14">
        <f t="shared" si="176"/>
        <v>7.48</v>
      </c>
      <c r="DA278" s="14" t="str">
        <f t="shared" si="177"/>
        <v/>
      </c>
      <c r="DB278" s="14" t="str">
        <f t="shared" si="178"/>
        <v/>
      </c>
      <c r="DC278" s="14" t="str">
        <f t="shared" si="179"/>
        <v/>
      </c>
      <c r="DD278" s="14">
        <f t="shared" si="180"/>
        <v>14</v>
      </c>
      <c r="DE278" s="14">
        <f t="shared" si="181"/>
        <v>0</v>
      </c>
      <c r="DF278" s="14">
        <f t="shared" si="182"/>
        <v>24</v>
      </c>
      <c r="DG278" s="14">
        <f t="shared" si="183"/>
        <v>90</v>
      </c>
    </row>
    <row r="279" spans="77:111" ht="16.5" x14ac:dyDescent="0.2">
      <c r="BY279" s="13">
        <v>275</v>
      </c>
      <c r="BZ279" s="14">
        <f t="shared" si="166"/>
        <v>38</v>
      </c>
      <c r="CA279" s="14">
        <f t="shared" si="167"/>
        <v>2</v>
      </c>
      <c r="CB279" s="14">
        <f t="shared" si="152"/>
        <v>4</v>
      </c>
      <c r="CC279" s="14">
        <f t="shared" si="153"/>
        <v>2042023</v>
      </c>
      <c r="CD279" s="13" t="str">
        <f t="shared" si="154"/>
        <v>80级守护灵蓝色-肩甲</v>
      </c>
      <c r="CE279" s="14">
        <f t="shared" si="155"/>
        <v>2</v>
      </c>
      <c r="CF279" s="14">
        <f t="shared" si="156"/>
        <v>2</v>
      </c>
      <c r="CG279" s="14">
        <f t="shared" si="168"/>
        <v>80</v>
      </c>
      <c r="CH279" s="14">
        <f t="shared" si="169"/>
        <v>80</v>
      </c>
      <c r="CI279" s="14">
        <f t="shared" si="157"/>
        <v>3</v>
      </c>
      <c r="CJ279" s="14" t="str">
        <f t="shared" si="170"/>
        <v/>
      </c>
      <c r="CK279" s="14">
        <f t="shared" si="158"/>
        <v>0</v>
      </c>
      <c r="CL279" s="14">
        <f t="shared" si="159"/>
        <v>56</v>
      </c>
      <c r="CM279" s="14">
        <f t="shared" si="160"/>
        <v>595</v>
      </c>
      <c r="CN279" s="14">
        <f t="shared" si="161"/>
        <v>0</v>
      </c>
      <c r="CO279" s="14">
        <f t="shared" si="162"/>
        <v>3.74</v>
      </c>
      <c r="CP279" s="14">
        <f t="shared" si="163"/>
        <v>39.68</v>
      </c>
      <c r="CQ279" s="14">
        <f t="shared" si="171"/>
        <v>14</v>
      </c>
      <c r="CR279" s="14">
        <f t="shared" si="172"/>
        <v>0</v>
      </c>
      <c r="CS279" s="14">
        <f t="shared" si="173"/>
        <v>24</v>
      </c>
      <c r="CV279" s="14">
        <f t="shared" si="164"/>
        <v>2</v>
      </c>
      <c r="CW279" s="14">
        <f t="shared" si="165"/>
        <v>3</v>
      </c>
      <c r="CX279" s="14" t="str">
        <f t="shared" si="174"/>
        <v>DefExt</v>
      </c>
      <c r="CY279" s="14">
        <f t="shared" si="175"/>
        <v>56</v>
      </c>
      <c r="CZ279" s="14">
        <f t="shared" si="176"/>
        <v>3.74</v>
      </c>
      <c r="DA279" s="14" t="str">
        <f t="shared" si="177"/>
        <v>HPExt</v>
      </c>
      <c r="DB279" s="14">
        <f t="shared" si="178"/>
        <v>595</v>
      </c>
      <c r="DC279" s="14">
        <f t="shared" si="179"/>
        <v>39.68</v>
      </c>
      <c r="DD279" s="14">
        <f t="shared" si="180"/>
        <v>14</v>
      </c>
      <c r="DE279" s="14">
        <f t="shared" si="181"/>
        <v>0</v>
      </c>
      <c r="DF279" s="14">
        <f t="shared" si="182"/>
        <v>24</v>
      </c>
      <c r="DG279" s="14">
        <f t="shared" si="183"/>
        <v>90</v>
      </c>
    </row>
    <row r="280" spans="77:111" ht="16.5" x14ac:dyDescent="0.2">
      <c r="BY280" s="13">
        <v>276</v>
      </c>
      <c r="BZ280" s="14">
        <f t="shared" si="166"/>
        <v>38</v>
      </c>
      <c r="CA280" s="14">
        <f t="shared" si="167"/>
        <v>2</v>
      </c>
      <c r="CB280" s="14">
        <f t="shared" si="152"/>
        <v>4</v>
      </c>
      <c r="CC280" s="14">
        <f t="shared" si="153"/>
        <v>2042024</v>
      </c>
      <c r="CD280" s="13" t="str">
        <f t="shared" si="154"/>
        <v>80级守护灵蓝色-衣服</v>
      </c>
      <c r="CE280" s="14">
        <f t="shared" si="155"/>
        <v>2</v>
      </c>
      <c r="CF280" s="14">
        <f t="shared" si="156"/>
        <v>2</v>
      </c>
      <c r="CG280" s="14">
        <f t="shared" si="168"/>
        <v>80</v>
      </c>
      <c r="CH280" s="14">
        <f t="shared" si="169"/>
        <v>80</v>
      </c>
      <c r="CI280" s="14">
        <f t="shared" si="157"/>
        <v>4</v>
      </c>
      <c r="CJ280" s="14" t="str">
        <f t="shared" si="170"/>
        <v/>
      </c>
      <c r="CK280" s="14">
        <f t="shared" si="158"/>
        <v>0</v>
      </c>
      <c r="CL280" s="14">
        <f t="shared" si="159"/>
        <v>112</v>
      </c>
      <c r="CM280" s="14">
        <f t="shared" si="160"/>
        <v>0</v>
      </c>
      <c r="CN280" s="14">
        <f t="shared" si="161"/>
        <v>0</v>
      </c>
      <c r="CO280" s="14">
        <f t="shared" si="162"/>
        <v>7.48</v>
      </c>
      <c r="CP280" s="14">
        <f t="shared" si="163"/>
        <v>0</v>
      </c>
      <c r="CQ280" s="14">
        <f t="shared" si="171"/>
        <v>14</v>
      </c>
      <c r="CR280" s="14">
        <f t="shared" si="172"/>
        <v>0</v>
      </c>
      <c r="CS280" s="14">
        <f t="shared" si="173"/>
        <v>24</v>
      </c>
      <c r="CV280" s="14">
        <f t="shared" si="164"/>
        <v>2</v>
      </c>
      <c r="CW280" s="14">
        <f t="shared" si="165"/>
        <v>0</v>
      </c>
      <c r="CX280" s="14" t="str">
        <f t="shared" si="174"/>
        <v>DefExt</v>
      </c>
      <c r="CY280" s="14">
        <f t="shared" si="175"/>
        <v>112</v>
      </c>
      <c r="CZ280" s="14">
        <f t="shared" si="176"/>
        <v>7.48</v>
      </c>
      <c r="DA280" s="14" t="str">
        <f t="shared" si="177"/>
        <v/>
      </c>
      <c r="DB280" s="14" t="str">
        <f t="shared" si="178"/>
        <v/>
      </c>
      <c r="DC280" s="14" t="str">
        <f t="shared" si="179"/>
        <v/>
      </c>
      <c r="DD280" s="14">
        <f t="shared" si="180"/>
        <v>14</v>
      </c>
      <c r="DE280" s="14">
        <f t="shared" si="181"/>
        <v>0</v>
      </c>
      <c r="DF280" s="14">
        <f t="shared" si="182"/>
        <v>24</v>
      </c>
      <c r="DG280" s="14">
        <f t="shared" si="183"/>
        <v>90</v>
      </c>
    </row>
    <row r="281" spans="77:111" ht="16.5" x14ac:dyDescent="0.2">
      <c r="BY281" s="13">
        <v>277</v>
      </c>
      <c r="BZ281" s="14">
        <f t="shared" si="166"/>
        <v>38</v>
      </c>
      <c r="CA281" s="14">
        <f t="shared" si="167"/>
        <v>2</v>
      </c>
      <c r="CB281" s="14">
        <f t="shared" si="152"/>
        <v>4</v>
      </c>
      <c r="CC281" s="14">
        <f t="shared" si="153"/>
        <v>2042025</v>
      </c>
      <c r="CD281" s="13" t="str">
        <f t="shared" si="154"/>
        <v>80级守护灵蓝色-鞋子</v>
      </c>
      <c r="CE281" s="14">
        <f t="shared" si="155"/>
        <v>2</v>
      </c>
      <c r="CF281" s="14">
        <f t="shared" si="156"/>
        <v>2</v>
      </c>
      <c r="CG281" s="14">
        <f t="shared" si="168"/>
        <v>80</v>
      </c>
      <c r="CH281" s="14">
        <f t="shared" si="169"/>
        <v>80</v>
      </c>
      <c r="CI281" s="14">
        <f t="shared" si="157"/>
        <v>5</v>
      </c>
      <c r="CJ281" s="14" t="str">
        <f t="shared" si="170"/>
        <v/>
      </c>
      <c r="CK281" s="14">
        <f t="shared" si="158"/>
        <v>0</v>
      </c>
      <c r="CL281" s="14">
        <f t="shared" si="159"/>
        <v>0</v>
      </c>
      <c r="CM281" s="14">
        <f t="shared" si="160"/>
        <v>1190</v>
      </c>
      <c r="CN281" s="14">
        <f t="shared" si="161"/>
        <v>0</v>
      </c>
      <c r="CO281" s="14">
        <f t="shared" si="162"/>
        <v>0</v>
      </c>
      <c r="CP281" s="14">
        <f t="shared" si="163"/>
        <v>79.36</v>
      </c>
      <c r="CQ281" s="14">
        <f t="shared" si="171"/>
        <v>14</v>
      </c>
      <c r="CR281" s="14">
        <f t="shared" si="172"/>
        <v>0</v>
      </c>
      <c r="CS281" s="14">
        <f t="shared" si="173"/>
        <v>24</v>
      </c>
      <c r="CV281" s="14">
        <f t="shared" si="164"/>
        <v>3</v>
      </c>
      <c r="CW281" s="14">
        <f t="shared" si="165"/>
        <v>0</v>
      </c>
      <c r="CX281" s="14" t="str">
        <f t="shared" si="174"/>
        <v>HPExt</v>
      </c>
      <c r="CY281" s="14">
        <f t="shared" si="175"/>
        <v>1190</v>
      </c>
      <c r="CZ281" s="14">
        <f t="shared" si="176"/>
        <v>79.36</v>
      </c>
      <c r="DA281" s="14" t="str">
        <f t="shared" si="177"/>
        <v/>
      </c>
      <c r="DB281" s="14" t="str">
        <f t="shared" si="178"/>
        <v/>
      </c>
      <c r="DC281" s="14" t="str">
        <f t="shared" si="179"/>
        <v/>
      </c>
      <c r="DD281" s="14">
        <f t="shared" si="180"/>
        <v>14</v>
      </c>
      <c r="DE281" s="14">
        <f t="shared" si="181"/>
        <v>0</v>
      </c>
      <c r="DF281" s="14">
        <f t="shared" si="182"/>
        <v>24</v>
      </c>
      <c r="DG281" s="14">
        <f t="shared" si="183"/>
        <v>90</v>
      </c>
    </row>
    <row r="282" spans="77:111" ht="16.5" x14ac:dyDescent="0.2">
      <c r="BY282" s="13">
        <v>278</v>
      </c>
      <c r="BZ282" s="14">
        <f t="shared" si="166"/>
        <v>38</v>
      </c>
      <c r="CA282" s="14">
        <f t="shared" si="167"/>
        <v>2</v>
      </c>
      <c r="CB282" s="14">
        <f t="shared" si="152"/>
        <v>4</v>
      </c>
      <c r="CC282" s="14">
        <f t="shared" si="153"/>
        <v>2042026</v>
      </c>
      <c r="CD282" s="13" t="str">
        <f t="shared" si="154"/>
        <v>80级守护灵蓝色-护手</v>
      </c>
      <c r="CE282" s="14">
        <f t="shared" si="155"/>
        <v>2</v>
      </c>
      <c r="CF282" s="14">
        <f t="shared" si="156"/>
        <v>2</v>
      </c>
      <c r="CG282" s="14">
        <f t="shared" si="168"/>
        <v>80</v>
      </c>
      <c r="CH282" s="14">
        <f t="shared" si="169"/>
        <v>80</v>
      </c>
      <c r="CI282" s="14">
        <f t="shared" si="157"/>
        <v>6</v>
      </c>
      <c r="CJ282" s="14" t="str">
        <f t="shared" si="170"/>
        <v/>
      </c>
      <c r="CK282" s="14">
        <f t="shared" si="158"/>
        <v>0</v>
      </c>
      <c r="CL282" s="14">
        <f t="shared" si="159"/>
        <v>0</v>
      </c>
      <c r="CM282" s="14">
        <f t="shared" si="160"/>
        <v>1190</v>
      </c>
      <c r="CN282" s="14">
        <f t="shared" si="161"/>
        <v>0</v>
      </c>
      <c r="CO282" s="14">
        <f t="shared" si="162"/>
        <v>0</v>
      </c>
      <c r="CP282" s="14">
        <f t="shared" si="163"/>
        <v>79.36</v>
      </c>
      <c r="CQ282" s="14">
        <f t="shared" si="171"/>
        <v>14</v>
      </c>
      <c r="CR282" s="14">
        <f t="shared" si="172"/>
        <v>0</v>
      </c>
      <c r="CS282" s="14">
        <f t="shared" si="173"/>
        <v>24</v>
      </c>
      <c r="CV282" s="14">
        <f t="shared" si="164"/>
        <v>3</v>
      </c>
      <c r="CW282" s="14">
        <f t="shared" si="165"/>
        <v>0</v>
      </c>
      <c r="CX282" s="14" t="str">
        <f t="shared" si="174"/>
        <v>HPExt</v>
      </c>
      <c r="CY282" s="14">
        <f t="shared" si="175"/>
        <v>1190</v>
      </c>
      <c r="CZ282" s="14">
        <f t="shared" si="176"/>
        <v>79.36</v>
      </c>
      <c r="DA282" s="14" t="str">
        <f t="shared" si="177"/>
        <v/>
      </c>
      <c r="DB282" s="14" t="str">
        <f t="shared" si="178"/>
        <v/>
      </c>
      <c r="DC282" s="14" t="str">
        <f t="shared" si="179"/>
        <v/>
      </c>
      <c r="DD282" s="14">
        <f t="shared" si="180"/>
        <v>14</v>
      </c>
      <c r="DE282" s="14">
        <f t="shared" si="181"/>
        <v>0</v>
      </c>
      <c r="DF282" s="14">
        <f t="shared" si="182"/>
        <v>24</v>
      </c>
      <c r="DG282" s="14">
        <f t="shared" si="183"/>
        <v>90</v>
      </c>
    </row>
    <row r="283" spans="77:111" ht="16.5" x14ac:dyDescent="0.2">
      <c r="BY283" s="13">
        <v>279</v>
      </c>
      <c r="BZ283" s="14">
        <f t="shared" si="166"/>
        <v>38</v>
      </c>
      <c r="CA283" s="14">
        <f t="shared" si="167"/>
        <v>2</v>
      </c>
      <c r="CB283" s="14">
        <f t="shared" si="152"/>
        <v>4</v>
      </c>
      <c r="CC283" s="14">
        <f t="shared" si="153"/>
        <v>2042027</v>
      </c>
      <c r="CD283" s="13" t="str">
        <f t="shared" si="154"/>
        <v>80级守护灵蓝色-项链</v>
      </c>
      <c r="CE283" s="14">
        <f t="shared" si="155"/>
        <v>2</v>
      </c>
      <c r="CF283" s="14">
        <f t="shared" si="156"/>
        <v>2</v>
      </c>
      <c r="CG283" s="14">
        <f t="shared" si="168"/>
        <v>80</v>
      </c>
      <c r="CH283" s="14">
        <f t="shared" si="169"/>
        <v>80</v>
      </c>
      <c r="CI283" s="14">
        <f t="shared" si="157"/>
        <v>7</v>
      </c>
      <c r="CJ283" s="14" t="str">
        <f t="shared" si="170"/>
        <v/>
      </c>
      <c r="CK283" s="14">
        <f t="shared" si="158"/>
        <v>154</v>
      </c>
      <c r="CL283" s="14">
        <f t="shared" si="159"/>
        <v>94</v>
      </c>
      <c r="CM283" s="14">
        <f t="shared" si="160"/>
        <v>0</v>
      </c>
      <c r="CN283" s="14">
        <f t="shared" si="161"/>
        <v>10.26</v>
      </c>
      <c r="CO283" s="14">
        <f t="shared" si="162"/>
        <v>6.24</v>
      </c>
      <c r="CP283" s="14">
        <f t="shared" si="163"/>
        <v>0</v>
      </c>
      <c r="CQ283" s="14">
        <f t="shared" si="171"/>
        <v>14</v>
      </c>
      <c r="CR283" s="14">
        <f t="shared" si="172"/>
        <v>0</v>
      </c>
      <c r="CS283" s="14">
        <f t="shared" si="173"/>
        <v>24</v>
      </c>
      <c r="CV283" s="14">
        <f t="shared" si="164"/>
        <v>1</v>
      </c>
      <c r="CW283" s="14">
        <f t="shared" si="165"/>
        <v>2</v>
      </c>
      <c r="CX283" s="14" t="str">
        <f t="shared" si="174"/>
        <v>AtkExt</v>
      </c>
      <c r="CY283" s="14">
        <f t="shared" si="175"/>
        <v>154</v>
      </c>
      <c r="CZ283" s="14">
        <f t="shared" si="176"/>
        <v>10.26</v>
      </c>
      <c r="DA283" s="14" t="str">
        <f t="shared" si="177"/>
        <v>DefExt</v>
      </c>
      <c r="DB283" s="14">
        <f t="shared" si="178"/>
        <v>94</v>
      </c>
      <c r="DC283" s="14">
        <f t="shared" si="179"/>
        <v>6.24</v>
      </c>
      <c r="DD283" s="14">
        <f t="shared" si="180"/>
        <v>14</v>
      </c>
      <c r="DE283" s="14">
        <f t="shared" si="181"/>
        <v>0</v>
      </c>
      <c r="DF283" s="14">
        <f t="shared" si="182"/>
        <v>24</v>
      </c>
      <c r="DG283" s="14">
        <f t="shared" si="183"/>
        <v>90</v>
      </c>
    </row>
    <row r="284" spans="77:111" ht="16.5" x14ac:dyDescent="0.2">
      <c r="BY284" s="13">
        <v>280</v>
      </c>
      <c r="BZ284" s="14">
        <f t="shared" si="166"/>
        <v>38</v>
      </c>
      <c r="CA284" s="14">
        <f t="shared" si="167"/>
        <v>2</v>
      </c>
      <c r="CB284" s="14">
        <f t="shared" si="152"/>
        <v>4</v>
      </c>
      <c r="CC284" s="14">
        <f t="shared" si="153"/>
        <v>2042028</v>
      </c>
      <c r="CD284" s="13" t="str">
        <f t="shared" si="154"/>
        <v>80级守护灵蓝色-戒指</v>
      </c>
      <c r="CE284" s="14">
        <f t="shared" si="155"/>
        <v>2</v>
      </c>
      <c r="CF284" s="14">
        <f t="shared" si="156"/>
        <v>2</v>
      </c>
      <c r="CG284" s="14">
        <f t="shared" si="168"/>
        <v>80</v>
      </c>
      <c r="CH284" s="14">
        <f t="shared" si="169"/>
        <v>80</v>
      </c>
      <c r="CI284" s="14">
        <f t="shared" si="157"/>
        <v>8</v>
      </c>
      <c r="CJ284" s="14" t="str">
        <f t="shared" si="170"/>
        <v/>
      </c>
      <c r="CK284" s="14">
        <f t="shared" si="158"/>
        <v>154</v>
      </c>
      <c r="CL284" s="14">
        <f t="shared" si="159"/>
        <v>0</v>
      </c>
      <c r="CM284" s="14">
        <f t="shared" si="160"/>
        <v>992</v>
      </c>
      <c r="CN284" s="14">
        <f t="shared" si="161"/>
        <v>10.26</v>
      </c>
      <c r="CO284" s="14">
        <f t="shared" si="162"/>
        <v>0</v>
      </c>
      <c r="CP284" s="14">
        <f t="shared" si="163"/>
        <v>66.13</v>
      </c>
      <c r="CQ284" s="14">
        <f t="shared" si="171"/>
        <v>14</v>
      </c>
      <c r="CR284" s="14">
        <f t="shared" si="172"/>
        <v>0</v>
      </c>
      <c r="CS284" s="14">
        <f t="shared" si="173"/>
        <v>24</v>
      </c>
      <c r="CV284" s="14">
        <f t="shared" si="164"/>
        <v>1</v>
      </c>
      <c r="CW284" s="14">
        <f t="shared" si="165"/>
        <v>3</v>
      </c>
      <c r="CX284" s="14" t="str">
        <f t="shared" si="174"/>
        <v>AtkExt</v>
      </c>
      <c r="CY284" s="14">
        <f t="shared" si="175"/>
        <v>154</v>
      </c>
      <c r="CZ284" s="14">
        <f t="shared" si="176"/>
        <v>10.26</v>
      </c>
      <c r="DA284" s="14" t="str">
        <f t="shared" si="177"/>
        <v>HPExt</v>
      </c>
      <c r="DB284" s="14">
        <f t="shared" si="178"/>
        <v>992</v>
      </c>
      <c r="DC284" s="14">
        <f t="shared" si="179"/>
        <v>66.13</v>
      </c>
      <c r="DD284" s="14">
        <f t="shared" si="180"/>
        <v>14</v>
      </c>
      <c r="DE284" s="14">
        <f t="shared" si="181"/>
        <v>0</v>
      </c>
      <c r="DF284" s="14">
        <f t="shared" si="182"/>
        <v>24</v>
      </c>
      <c r="DG284" s="14">
        <f t="shared" si="183"/>
        <v>90</v>
      </c>
    </row>
    <row r="285" spans="77:111" ht="16.5" x14ac:dyDescent="0.2">
      <c r="BY285" s="13">
        <v>281</v>
      </c>
      <c r="BZ285" s="14">
        <f t="shared" si="166"/>
        <v>39</v>
      </c>
      <c r="CA285" s="14">
        <f t="shared" si="167"/>
        <v>1</v>
      </c>
      <c r="CB285" s="14">
        <f t="shared" si="152"/>
        <v>4</v>
      </c>
      <c r="CC285" s="14">
        <f t="shared" si="153"/>
        <v>2043011</v>
      </c>
      <c r="CD285" s="13" t="str">
        <f t="shared" si="154"/>
        <v>80级寄灵人紫色-武器</v>
      </c>
      <c r="CE285" s="14">
        <f t="shared" si="155"/>
        <v>1</v>
      </c>
      <c r="CF285" s="14">
        <f t="shared" si="156"/>
        <v>3</v>
      </c>
      <c r="CG285" s="14">
        <f t="shared" si="168"/>
        <v>80</v>
      </c>
      <c r="CH285" s="14">
        <f t="shared" si="169"/>
        <v>80</v>
      </c>
      <c r="CI285" s="14">
        <f t="shared" si="157"/>
        <v>1</v>
      </c>
      <c r="CJ285" s="14" t="str">
        <f t="shared" si="170"/>
        <v/>
      </c>
      <c r="CK285" s="14">
        <f t="shared" si="158"/>
        <v>466</v>
      </c>
      <c r="CL285" s="14">
        <f t="shared" si="159"/>
        <v>0</v>
      </c>
      <c r="CM285" s="14">
        <f t="shared" si="160"/>
        <v>0</v>
      </c>
      <c r="CN285" s="14">
        <f t="shared" si="161"/>
        <v>29.1</v>
      </c>
      <c r="CO285" s="14">
        <f t="shared" si="162"/>
        <v>0</v>
      </c>
      <c r="CP285" s="14">
        <f t="shared" si="163"/>
        <v>0</v>
      </c>
      <c r="CQ285" s="14">
        <f t="shared" si="171"/>
        <v>15</v>
      </c>
      <c r="CR285" s="14">
        <f t="shared" si="172"/>
        <v>3</v>
      </c>
      <c r="CS285" s="14">
        <f t="shared" si="173"/>
        <v>14</v>
      </c>
      <c r="CV285" s="14">
        <f t="shared" si="164"/>
        <v>1</v>
      </c>
      <c r="CW285" s="14">
        <f t="shared" si="165"/>
        <v>0</v>
      </c>
      <c r="CX285" s="14" t="str">
        <f t="shared" si="174"/>
        <v>AtkExt</v>
      </c>
      <c r="CY285" s="14">
        <f t="shared" si="175"/>
        <v>466</v>
      </c>
      <c r="CZ285" s="14">
        <f t="shared" si="176"/>
        <v>29.1</v>
      </c>
      <c r="DA285" s="14" t="str">
        <f t="shared" si="177"/>
        <v/>
      </c>
      <c r="DB285" s="14" t="str">
        <f t="shared" si="178"/>
        <v/>
      </c>
      <c r="DC285" s="14" t="str">
        <f t="shared" si="179"/>
        <v/>
      </c>
      <c r="DD285" s="14">
        <f t="shared" si="180"/>
        <v>15</v>
      </c>
      <c r="DE285" s="14">
        <f t="shared" si="181"/>
        <v>3</v>
      </c>
      <c r="DF285" s="14">
        <f t="shared" si="182"/>
        <v>14</v>
      </c>
      <c r="DG285" s="14">
        <f t="shared" si="183"/>
        <v>150</v>
      </c>
    </row>
    <row r="286" spans="77:111" ht="16.5" x14ac:dyDescent="0.2">
      <c r="BY286" s="13">
        <v>282</v>
      </c>
      <c r="BZ286" s="14">
        <f t="shared" si="166"/>
        <v>39</v>
      </c>
      <c r="CA286" s="14">
        <f t="shared" si="167"/>
        <v>1</v>
      </c>
      <c r="CB286" s="14">
        <f t="shared" si="152"/>
        <v>4</v>
      </c>
      <c r="CC286" s="14">
        <f t="shared" si="153"/>
        <v>2043012</v>
      </c>
      <c r="CD286" s="13" t="str">
        <f t="shared" si="154"/>
        <v>80级寄灵人紫色-头盔</v>
      </c>
      <c r="CE286" s="14">
        <f t="shared" si="155"/>
        <v>1</v>
      </c>
      <c r="CF286" s="14">
        <f t="shared" si="156"/>
        <v>3</v>
      </c>
      <c r="CG286" s="14">
        <f t="shared" si="168"/>
        <v>80</v>
      </c>
      <c r="CH286" s="14">
        <f t="shared" si="169"/>
        <v>80</v>
      </c>
      <c r="CI286" s="14">
        <f t="shared" si="157"/>
        <v>2</v>
      </c>
      <c r="CJ286" s="14" t="str">
        <f t="shared" si="170"/>
        <v/>
      </c>
      <c r="CK286" s="14">
        <f t="shared" si="158"/>
        <v>0</v>
      </c>
      <c r="CL286" s="14">
        <f t="shared" si="159"/>
        <v>114</v>
      </c>
      <c r="CM286" s="14">
        <f t="shared" si="160"/>
        <v>0</v>
      </c>
      <c r="CN286" s="14">
        <f t="shared" si="161"/>
        <v>0</v>
      </c>
      <c r="CO286" s="14">
        <f t="shared" si="162"/>
        <v>7.13</v>
      </c>
      <c r="CP286" s="14">
        <f t="shared" si="163"/>
        <v>0</v>
      </c>
      <c r="CQ286" s="14">
        <f t="shared" si="171"/>
        <v>15</v>
      </c>
      <c r="CR286" s="14">
        <f t="shared" si="172"/>
        <v>3</v>
      </c>
      <c r="CS286" s="14">
        <f t="shared" si="173"/>
        <v>14</v>
      </c>
      <c r="CV286" s="14">
        <f t="shared" si="164"/>
        <v>2</v>
      </c>
      <c r="CW286" s="14">
        <f t="shared" si="165"/>
        <v>0</v>
      </c>
      <c r="CX286" s="14" t="str">
        <f t="shared" si="174"/>
        <v>DefExt</v>
      </c>
      <c r="CY286" s="14">
        <f t="shared" si="175"/>
        <v>114</v>
      </c>
      <c r="CZ286" s="14">
        <f t="shared" si="176"/>
        <v>7.13</v>
      </c>
      <c r="DA286" s="14" t="str">
        <f t="shared" si="177"/>
        <v/>
      </c>
      <c r="DB286" s="14" t="str">
        <f t="shared" si="178"/>
        <v/>
      </c>
      <c r="DC286" s="14" t="str">
        <f t="shared" si="179"/>
        <v/>
      </c>
      <c r="DD286" s="14">
        <f t="shared" si="180"/>
        <v>15</v>
      </c>
      <c r="DE286" s="14">
        <f t="shared" si="181"/>
        <v>3</v>
      </c>
      <c r="DF286" s="14">
        <f t="shared" si="182"/>
        <v>14</v>
      </c>
      <c r="DG286" s="14">
        <f t="shared" si="183"/>
        <v>150</v>
      </c>
    </row>
    <row r="287" spans="77:111" ht="16.5" x14ac:dyDescent="0.2">
      <c r="BY287" s="13">
        <v>283</v>
      </c>
      <c r="BZ287" s="14">
        <f t="shared" si="166"/>
        <v>39</v>
      </c>
      <c r="CA287" s="14">
        <f t="shared" si="167"/>
        <v>1</v>
      </c>
      <c r="CB287" s="14">
        <f t="shared" si="152"/>
        <v>4</v>
      </c>
      <c r="CC287" s="14">
        <f t="shared" si="153"/>
        <v>2043013</v>
      </c>
      <c r="CD287" s="13" t="str">
        <f t="shared" si="154"/>
        <v>80级寄灵人紫色-肩甲</v>
      </c>
      <c r="CE287" s="14">
        <f t="shared" si="155"/>
        <v>1</v>
      </c>
      <c r="CF287" s="14">
        <f t="shared" si="156"/>
        <v>3</v>
      </c>
      <c r="CG287" s="14">
        <f t="shared" si="168"/>
        <v>80</v>
      </c>
      <c r="CH287" s="14">
        <f t="shared" si="169"/>
        <v>80</v>
      </c>
      <c r="CI287" s="14">
        <f t="shared" si="157"/>
        <v>3</v>
      </c>
      <c r="CJ287" s="14" t="str">
        <f t="shared" si="170"/>
        <v/>
      </c>
      <c r="CK287" s="14">
        <f t="shared" si="158"/>
        <v>0</v>
      </c>
      <c r="CL287" s="14">
        <f t="shared" si="159"/>
        <v>57</v>
      </c>
      <c r="CM287" s="14">
        <f t="shared" si="160"/>
        <v>355</v>
      </c>
      <c r="CN287" s="14">
        <f t="shared" si="161"/>
        <v>0</v>
      </c>
      <c r="CO287" s="14">
        <f t="shared" si="162"/>
        <v>3.57</v>
      </c>
      <c r="CP287" s="14">
        <f t="shared" si="163"/>
        <v>22.2</v>
      </c>
      <c r="CQ287" s="14">
        <f t="shared" si="171"/>
        <v>15</v>
      </c>
      <c r="CR287" s="14">
        <f t="shared" si="172"/>
        <v>3</v>
      </c>
      <c r="CS287" s="14">
        <f t="shared" si="173"/>
        <v>14</v>
      </c>
      <c r="CV287" s="14">
        <f t="shared" si="164"/>
        <v>2</v>
      </c>
      <c r="CW287" s="14">
        <f t="shared" si="165"/>
        <v>3</v>
      </c>
      <c r="CX287" s="14" t="str">
        <f t="shared" si="174"/>
        <v>DefExt</v>
      </c>
      <c r="CY287" s="14">
        <f t="shared" si="175"/>
        <v>57</v>
      </c>
      <c r="CZ287" s="14">
        <f t="shared" si="176"/>
        <v>3.57</v>
      </c>
      <c r="DA287" s="14" t="str">
        <f t="shared" si="177"/>
        <v>HPExt</v>
      </c>
      <c r="DB287" s="14">
        <f t="shared" si="178"/>
        <v>355</v>
      </c>
      <c r="DC287" s="14">
        <f t="shared" si="179"/>
        <v>22.2</v>
      </c>
      <c r="DD287" s="14">
        <f t="shared" si="180"/>
        <v>15</v>
      </c>
      <c r="DE287" s="14">
        <f t="shared" si="181"/>
        <v>3</v>
      </c>
      <c r="DF287" s="14">
        <f t="shared" si="182"/>
        <v>14</v>
      </c>
      <c r="DG287" s="14">
        <f t="shared" si="183"/>
        <v>150</v>
      </c>
    </row>
    <row r="288" spans="77:111" ht="16.5" x14ac:dyDescent="0.2">
      <c r="BY288" s="13">
        <v>284</v>
      </c>
      <c r="BZ288" s="14">
        <f t="shared" si="166"/>
        <v>39</v>
      </c>
      <c r="CA288" s="14">
        <f t="shared" si="167"/>
        <v>1</v>
      </c>
      <c r="CB288" s="14">
        <f t="shared" si="152"/>
        <v>4</v>
      </c>
      <c r="CC288" s="14">
        <f t="shared" si="153"/>
        <v>2043014</v>
      </c>
      <c r="CD288" s="13" t="str">
        <f t="shared" si="154"/>
        <v>80级寄灵人紫色-衣服</v>
      </c>
      <c r="CE288" s="14">
        <f t="shared" si="155"/>
        <v>1</v>
      </c>
      <c r="CF288" s="14">
        <f t="shared" si="156"/>
        <v>3</v>
      </c>
      <c r="CG288" s="14">
        <f t="shared" si="168"/>
        <v>80</v>
      </c>
      <c r="CH288" s="14">
        <f t="shared" si="169"/>
        <v>80</v>
      </c>
      <c r="CI288" s="14">
        <f t="shared" si="157"/>
        <v>4</v>
      </c>
      <c r="CJ288" s="14" t="str">
        <f t="shared" si="170"/>
        <v/>
      </c>
      <c r="CK288" s="14">
        <f t="shared" si="158"/>
        <v>0</v>
      </c>
      <c r="CL288" s="14">
        <f t="shared" si="159"/>
        <v>114</v>
      </c>
      <c r="CM288" s="14">
        <f t="shared" si="160"/>
        <v>0</v>
      </c>
      <c r="CN288" s="14">
        <f t="shared" si="161"/>
        <v>0</v>
      </c>
      <c r="CO288" s="14">
        <f t="shared" si="162"/>
        <v>7.13</v>
      </c>
      <c r="CP288" s="14">
        <f t="shared" si="163"/>
        <v>0</v>
      </c>
      <c r="CQ288" s="14">
        <f t="shared" si="171"/>
        <v>15</v>
      </c>
      <c r="CR288" s="14">
        <f t="shared" si="172"/>
        <v>3</v>
      </c>
      <c r="CS288" s="14">
        <f t="shared" si="173"/>
        <v>14</v>
      </c>
      <c r="CV288" s="14">
        <f t="shared" si="164"/>
        <v>2</v>
      </c>
      <c r="CW288" s="14">
        <f t="shared" si="165"/>
        <v>0</v>
      </c>
      <c r="CX288" s="14" t="str">
        <f t="shared" si="174"/>
        <v>DefExt</v>
      </c>
      <c r="CY288" s="14">
        <f t="shared" si="175"/>
        <v>114</v>
      </c>
      <c r="CZ288" s="14">
        <f t="shared" si="176"/>
        <v>7.13</v>
      </c>
      <c r="DA288" s="14" t="str">
        <f t="shared" si="177"/>
        <v/>
      </c>
      <c r="DB288" s="14" t="str">
        <f t="shared" si="178"/>
        <v/>
      </c>
      <c r="DC288" s="14" t="str">
        <f t="shared" si="179"/>
        <v/>
      </c>
      <c r="DD288" s="14">
        <f t="shared" si="180"/>
        <v>15</v>
      </c>
      <c r="DE288" s="14">
        <f t="shared" si="181"/>
        <v>3</v>
      </c>
      <c r="DF288" s="14">
        <f t="shared" si="182"/>
        <v>14</v>
      </c>
      <c r="DG288" s="14">
        <f t="shared" si="183"/>
        <v>150</v>
      </c>
    </row>
    <row r="289" spans="77:111" ht="16.5" x14ac:dyDescent="0.2">
      <c r="BY289" s="13">
        <v>285</v>
      </c>
      <c r="BZ289" s="14">
        <f t="shared" si="166"/>
        <v>39</v>
      </c>
      <c r="CA289" s="14">
        <f t="shared" si="167"/>
        <v>1</v>
      </c>
      <c r="CB289" s="14">
        <f t="shared" si="152"/>
        <v>4</v>
      </c>
      <c r="CC289" s="14">
        <f t="shared" si="153"/>
        <v>2043015</v>
      </c>
      <c r="CD289" s="13" t="str">
        <f t="shared" si="154"/>
        <v>80级寄灵人紫色-鞋子</v>
      </c>
      <c r="CE289" s="14">
        <f t="shared" si="155"/>
        <v>1</v>
      </c>
      <c r="CF289" s="14">
        <f t="shared" si="156"/>
        <v>3</v>
      </c>
      <c r="CG289" s="14">
        <f t="shared" si="168"/>
        <v>80</v>
      </c>
      <c r="CH289" s="14">
        <f t="shared" si="169"/>
        <v>80</v>
      </c>
      <c r="CI289" s="14">
        <f t="shared" si="157"/>
        <v>5</v>
      </c>
      <c r="CJ289" s="14" t="str">
        <f t="shared" si="170"/>
        <v/>
      </c>
      <c r="CK289" s="14">
        <f t="shared" si="158"/>
        <v>0</v>
      </c>
      <c r="CL289" s="14">
        <f t="shared" si="159"/>
        <v>0</v>
      </c>
      <c r="CM289" s="14">
        <f t="shared" si="160"/>
        <v>711</v>
      </c>
      <c r="CN289" s="14">
        <f t="shared" si="161"/>
        <v>0</v>
      </c>
      <c r="CO289" s="14">
        <f t="shared" si="162"/>
        <v>0</v>
      </c>
      <c r="CP289" s="14">
        <f t="shared" si="163"/>
        <v>44.41</v>
      </c>
      <c r="CQ289" s="14">
        <f t="shared" si="171"/>
        <v>15</v>
      </c>
      <c r="CR289" s="14">
        <f t="shared" si="172"/>
        <v>3</v>
      </c>
      <c r="CS289" s="14">
        <f t="shared" si="173"/>
        <v>14</v>
      </c>
      <c r="CV289" s="14">
        <f t="shared" si="164"/>
        <v>3</v>
      </c>
      <c r="CW289" s="14">
        <f t="shared" si="165"/>
        <v>0</v>
      </c>
      <c r="CX289" s="14" t="str">
        <f t="shared" si="174"/>
        <v>HPExt</v>
      </c>
      <c r="CY289" s="14">
        <f t="shared" si="175"/>
        <v>711</v>
      </c>
      <c r="CZ289" s="14">
        <f t="shared" si="176"/>
        <v>44.41</v>
      </c>
      <c r="DA289" s="14" t="str">
        <f t="shared" si="177"/>
        <v/>
      </c>
      <c r="DB289" s="14" t="str">
        <f t="shared" si="178"/>
        <v/>
      </c>
      <c r="DC289" s="14" t="str">
        <f t="shared" si="179"/>
        <v/>
      </c>
      <c r="DD289" s="14">
        <f t="shared" si="180"/>
        <v>15</v>
      </c>
      <c r="DE289" s="14">
        <f t="shared" si="181"/>
        <v>3</v>
      </c>
      <c r="DF289" s="14">
        <f t="shared" si="182"/>
        <v>14</v>
      </c>
      <c r="DG289" s="14">
        <f t="shared" si="183"/>
        <v>150</v>
      </c>
    </row>
    <row r="290" spans="77:111" ht="16.5" x14ac:dyDescent="0.2">
      <c r="BY290" s="13">
        <v>286</v>
      </c>
      <c r="BZ290" s="14">
        <f t="shared" si="166"/>
        <v>39</v>
      </c>
      <c r="CA290" s="14">
        <f t="shared" si="167"/>
        <v>1</v>
      </c>
      <c r="CB290" s="14">
        <f t="shared" si="152"/>
        <v>4</v>
      </c>
      <c r="CC290" s="14">
        <f t="shared" si="153"/>
        <v>2043016</v>
      </c>
      <c r="CD290" s="13" t="str">
        <f t="shared" si="154"/>
        <v>80级寄灵人紫色-护手</v>
      </c>
      <c r="CE290" s="14">
        <f t="shared" si="155"/>
        <v>1</v>
      </c>
      <c r="CF290" s="14">
        <f t="shared" si="156"/>
        <v>3</v>
      </c>
      <c r="CG290" s="14">
        <f t="shared" si="168"/>
        <v>80</v>
      </c>
      <c r="CH290" s="14">
        <f t="shared" si="169"/>
        <v>80</v>
      </c>
      <c r="CI290" s="14">
        <f t="shared" si="157"/>
        <v>6</v>
      </c>
      <c r="CJ290" s="14" t="str">
        <f t="shared" si="170"/>
        <v/>
      </c>
      <c r="CK290" s="14">
        <f t="shared" si="158"/>
        <v>0</v>
      </c>
      <c r="CL290" s="14">
        <f t="shared" si="159"/>
        <v>0</v>
      </c>
      <c r="CM290" s="14">
        <f t="shared" si="160"/>
        <v>711</v>
      </c>
      <c r="CN290" s="14">
        <f t="shared" si="161"/>
        <v>0</v>
      </c>
      <c r="CO290" s="14">
        <f t="shared" si="162"/>
        <v>0</v>
      </c>
      <c r="CP290" s="14">
        <f t="shared" si="163"/>
        <v>44.41</v>
      </c>
      <c r="CQ290" s="14">
        <f t="shared" si="171"/>
        <v>15</v>
      </c>
      <c r="CR290" s="14">
        <f t="shared" si="172"/>
        <v>3</v>
      </c>
      <c r="CS290" s="14">
        <f t="shared" si="173"/>
        <v>14</v>
      </c>
      <c r="CV290" s="14">
        <f t="shared" si="164"/>
        <v>3</v>
      </c>
      <c r="CW290" s="14">
        <f t="shared" si="165"/>
        <v>0</v>
      </c>
      <c r="CX290" s="14" t="str">
        <f t="shared" si="174"/>
        <v>HPExt</v>
      </c>
      <c r="CY290" s="14">
        <f t="shared" si="175"/>
        <v>711</v>
      </c>
      <c r="CZ290" s="14">
        <f t="shared" si="176"/>
        <v>44.41</v>
      </c>
      <c r="DA290" s="14" t="str">
        <f t="shared" si="177"/>
        <v/>
      </c>
      <c r="DB290" s="14" t="str">
        <f t="shared" si="178"/>
        <v/>
      </c>
      <c r="DC290" s="14" t="str">
        <f t="shared" si="179"/>
        <v/>
      </c>
      <c r="DD290" s="14">
        <f t="shared" si="180"/>
        <v>15</v>
      </c>
      <c r="DE290" s="14">
        <f t="shared" si="181"/>
        <v>3</v>
      </c>
      <c r="DF290" s="14">
        <f t="shared" si="182"/>
        <v>14</v>
      </c>
      <c r="DG290" s="14">
        <f t="shared" si="183"/>
        <v>150</v>
      </c>
    </row>
    <row r="291" spans="77:111" ht="16.5" x14ac:dyDescent="0.2">
      <c r="BY291" s="13">
        <v>287</v>
      </c>
      <c r="BZ291" s="14">
        <f t="shared" si="166"/>
        <v>39</v>
      </c>
      <c r="CA291" s="14">
        <f t="shared" si="167"/>
        <v>1</v>
      </c>
      <c r="CB291" s="14">
        <f t="shared" si="152"/>
        <v>4</v>
      </c>
      <c r="CC291" s="14">
        <f t="shared" si="153"/>
        <v>2043017</v>
      </c>
      <c r="CD291" s="13" t="str">
        <f t="shared" si="154"/>
        <v>80级寄灵人紫色-项链</v>
      </c>
      <c r="CE291" s="14">
        <f t="shared" si="155"/>
        <v>1</v>
      </c>
      <c r="CF291" s="14">
        <f t="shared" si="156"/>
        <v>3</v>
      </c>
      <c r="CG291" s="14">
        <f t="shared" si="168"/>
        <v>80</v>
      </c>
      <c r="CH291" s="14">
        <f t="shared" si="169"/>
        <v>80</v>
      </c>
      <c r="CI291" s="14">
        <f t="shared" si="157"/>
        <v>7</v>
      </c>
      <c r="CJ291" s="14" t="str">
        <f t="shared" si="170"/>
        <v/>
      </c>
      <c r="CK291" s="14">
        <f t="shared" si="158"/>
        <v>155</v>
      </c>
      <c r="CL291" s="14">
        <f t="shared" si="159"/>
        <v>95</v>
      </c>
      <c r="CM291" s="14">
        <f t="shared" si="160"/>
        <v>0</v>
      </c>
      <c r="CN291" s="14">
        <f t="shared" si="161"/>
        <v>9.6999999999999993</v>
      </c>
      <c r="CO291" s="14">
        <f t="shared" si="162"/>
        <v>5.94</v>
      </c>
      <c r="CP291" s="14">
        <f t="shared" si="163"/>
        <v>0</v>
      </c>
      <c r="CQ291" s="14">
        <f t="shared" si="171"/>
        <v>15</v>
      </c>
      <c r="CR291" s="14">
        <f t="shared" si="172"/>
        <v>3</v>
      </c>
      <c r="CS291" s="14">
        <f t="shared" si="173"/>
        <v>14</v>
      </c>
      <c r="CV291" s="14">
        <f t="shared" si="164"/>
        <v>1</v>
      </c>
      <c r="CW291" s="14">
        <f t="shared" si="165"/>
        <v>2</v>
      </c>
      <c r="CX291" s="14" t="str">
        <f t="shared" si="174"/>
        <v>AtkExt</v>
      </c>
      <c r="CY291" s="14">
        <f t="shared" si="175"/>
        <v>155</v>
      </c>
      <c r="CZ291" s="14">
        <f t="shared" si="176"/>
        <v>9.6999999999999993</v>
      </c>
      <c r="DA291" s="14" t="str">
        <f t="shared" si="177"/>
        <v>DefExt</v>
      </c>
      <c r="DB291" s="14">
        <f t="shared" si="178"/>
        <v>95</v>
      </c>
      <c r="DC291" s="14">
        <f t="shared" si="179"/>
        <v>5.94</v>
      </c>
      <c r="DD291" s="14">
        <f t="shared" si="180"/>
        <v>15</v>
      </c>
      <c r="DE291" s="14">
        <f t="shared" si="181"/>
        <v>3</v>
      </c>
      <c r="DF291" s="14">
        <f t="shared" si="182"/>
        <v>14</v>
      </c>
      <c r="DG291" s="14">
        <f t="shared" si="183"/>
        <v>150</v>
      </c>
    </row>
    <row r="292" spans="77:111" ht="16.5" x14ac:dyDescent="0.2">
      <c r="BY292" s="13">
        <v>288</v>
      </c>
      <c r="BZ292" s="14">
        <f t="shared" si="166"/>
        <v>39</v>
      </c>
      <c r="CA292" s="14">
        <f t="shared" si="167"/>
        <v>1</v>
      </c>
      <c r="CB292" s="14">
        <f t="shared" si="152"/>
        <v>4</v>
      </c>
      <c r="CC292" s="14">
        <f t="shared" si="153"/>
        <v>2043018</v>
      </c>
      <c r="CD292" s="13" t="str">
        <f t="shared" si="154"/>
        <v>80级寄灵人紫色-戒指</v>
      </c>
      <c r="CE292" s="14">
        <f t="shared" si="155"/>
        <v>1</v>
      </c>
      <c r="CF292" s="14">
        <f t="shared" si="156"/>
        <v>3</v>
      </c>
      <c r="CG292" s="14">
        <f t="shared" si="168"/>
        <v>80</v>
      </c>
      <c r="CH292" s="14">
        <f t="shared" si="169"/>
        <v>80</v>
      </c>
      <c r="CI292" s="14">
        <f t="shared" si="157"/>
        <v>8</v>
      </c>
      <c r="CJ292" s="14" t="str">
        <f t="shared" si="170"/>
        <v/>
      </c>
      <c r="CK292" s="14">
        <f t="shared" si="158"/>
        <v>155</v>
      </c>
      <c r="CL292" s="14">
        <f t="shared" si="159"/>
        <v>0</v>
      </c>
      <c r="CM292" s="14">
        <f t="shared" si="160"/>
        <v>592</v>
      </c>
      <c r="CN292" s="14">
        <f t="shared" si="161"/>
        <v>9.6999999999999993</v>
      </c>
      <c r="CO292" s="14">
        <f t="shared" si="162"/>
        <v>0</v>
      </c>
      <c r="CP292" s="14">
        <f t="shared" si="163"/>
        <v>37.01</v>
      </c>
      <c r="CQ292" s="14">
        <f t="shared" si="171"/>
        <v>15</v>
      </c>
      <c r="CR292" s="14">
        <f t="shared" si="172"/>
        <v>3</v>
      </c>
      <c r="CS292" s="14">
        <f t="shared" si="173"/>
        <v>14</v>
      </c>
      <c r="CV292" s="14">
        <f t="shared" si="164"/>
        <v>1</v>
      </c>
      <c r="CW292" s="14">
        <f t="shared" si="165"/>
        <v>3</v>
      </c>
      <c r="CX292" s="14" t="str">
        <f t="shared" si="174"/>
        <v>AtkExt</v>
      </c>
      <c r="CY292" s="14">
        <f t="shared" si="175"/>
        <v>155</v>
      </c>
      <c r="CZ292" s="14">
        <f t="shared" si="176"/>
        <v>9.6999999999999993</v>
      </c>
      <c r="DA292" s="14" t="str">
        <f t="shared" si="177"/>
        <v>HPExt</v>
      </c>
      <c r="DB292" s="14">
        <f t="shared" si="178"/>
        <v>592</v>
      </c>
      <c r="DC292" s="14">
        <f t="shared" si="179"/>
        <v>37.01</v>
      </c>
      <c r="DD292" s="14">
        <f t="shared" si="180"/>
        <v>15</v>
      </c>
      <c r="DE292" s="14">
        <f t="shared" si="181"/>
        <v>3</v>
      </c>
      <c r="DF292" s="14">
        <f t="shared" si="182"/>
        <v>14</v>
      </c>
      <c r="DG292" s="14">
        <f t="shared" si="183"/>
        <v>150</v>
      </c>
    </row>
    <row r="293" spans="77:111" ht="16.5" x14ac:dyDescent="0.2">
      <c r="BY293" s="13">
        <v>289</v>
      </c>
      <c r="BZ293" s="14">
        <f t="shared" si="166"/>
        <v>40</v>
      </c>
      <c r="CA293" s="14">
        <f t="shared" si="167"/>
        <v>2</v>
      </c>
      <c r="CB293" s="14">
        <f t="shared" si="152"/>
        <v>4</v>
      </c>
      <c r="CC293" s="14">
        <f t="shared" si="153"/>
        <v>2043021</v>
      </c>
      <c r="CD293" s="13" t="str">
        <f t="shared" si="154"/>
        <v>80级守护灵紫色-武器</v>
      </c>
      <c r="CE293" s="14">
        <f t="shared" si="155"/>
        <v>2</v>
      </c>
      <c r="CF293" s="14">
        <f t="shared" si="156"/>
        <v>3</v>
      </c>
      <c r="CG293" s="14">
        <f t="shared" si="168"/>
        <v>80</v>
      </c>
      <c r="CH293" s="14">
        <f t="shared" si="169"/>
        <v>80</v>
      </c>
      <c r="CI293" s="14">
        <f t="shared" si="157"/>
        <v>1</v>
      </c>
      <c r="CJ293" s="14" t="str">
        <f t="shared" si="170"/>
        <v/>
      </c>
      <c r="CK293" s="14">
        <f t="shared" si="158"/>
        <v>493</v>
      </c>
      <c r="CL293" s="14">
        <f t="shared" si="159"/>
        <v>0</v>
      </c>
      <c r="CM293" s="14">
        <f t="shared" si="160"/>
        <v>0</v>
      </c>
      <c r="CN293" s="14">
        <f t="shared" si="161"/>
        <v>30.79</v>
      </c>
      <c r="CO293" s="14">
        <f t="shared" si="162"/>
        <v>0</v>
      </c>
      <c r="CP293" s="14">
        <f t="shared" si="163"/>
        <v>0</v>
      </c>
      <c r="CQ293" s="14">
        <f t="shared" si="171"/>
        <v>15</v>
      </c>
      <c r="CR293" s="14">
        <f t="shared" si="172"/>
        <v>3</v>
      </c>
      <c r="CS293" s="14">
        <f t="shared" si="173"/>
        <v>24</v>
      </c>
      <c r="CV293" s="14">
        <f t="shared" si="164"/>
        <v>1</v>
      </c>
      <c r="CW293" s="14">
        <f t="shared" si="165"/>
        <v>0</v>
      </c>
      <c r="CX293" s="14" t="str">
        <f t="shared" si="174"/>
        <v>AtkExt</v>
      </c>
      <c r="CY293" s="14">
        <f t="shared" si="175"/>
        <v>493</v>
      </c>
      <c r="CZ293" s="14">
        <f t="shared" si="176"/>
        <v>30.79</v>
      </c>
      <c r="DA293" s="14" t="str">
        <f t="shared" si="177"/>
        <v/>
      </c>
      <c r="DB293" s="14" t="str">
        <f t="shared" si="178"/>
        <v/>
      </c>
      <c r="DC293" s="14" t="str">
        <f t="shared" si="179"/>
        <v/>
      </c>
      <c r="DD293" s="14">
        <f t="shared" si="180"/>
        <v>15</v>
      </c>
      <c r="DE293" s="14">
        <f t="shared" si="181"/>
        <v>3</v>
      </c>
      <c r="DF293" s="14">
        <f t="shared" si="182"/>
        <v>24</v>
      </c>
      <c r="DG293" s="14">
        <f t="shared" si="183"/>
        <v>150</v>
      </c>
    </row>
    <row r="294" spans="77:111" ht="16.5" x14ac:dyDescent="0.2">
      <c r="BY294" s="13">
        <v>290</v>
      </c>
      <c r="BZ294" s="14">
        <f t="shared" si="166"/>
        <v>40</v>
      </c>
      <c r="CA294" s="14">
        <f t="shared" si="167"/>
        <v>2</v>
      </c>
      <c r="CB294" s="14">
        <f t="shared" si="152"/>
        <v>4</v>
      </c>
      <c r="CC294" s="14">
        <f t="shared" si="153"/>
        <v>2043022</v>
      </c>
      <c r="CD294" s="13" t="str">
        <f t="shared" si="154"/>
        <v>80级守护灵紫色-头盔</v>
      </c>
      <c r="CE294" s="14">
        <f t="shared" si="155"/>
        <v>2</v>
      </c>
      <c r="CF294" s="14">
        <f t="shared" si="156"/>
        <v>3</v>
      </c>
      <c r="CG294" s="14">
        <f t="shared" si="168"/>
        <v>80</v>
      </c>
      <c r="CH294" s="14">
        <f t="shared" si="169"/>
        <v>80</v>
      </c>
      <c r="CI294" s="14">
        <f t="shared" si="157"/>
        <v>2</v>
      </c>
      <c r="CJ294" s="14" t="str">
        <f t="shared" si="170"/>
        <v/>
      </c>
      <c r="CK294" s="14">
        <f t="shared" si="158"/>
        <v>0</v>
      </c>
      <c r="CL294" s="14">
        <f t="shared" si="159"/>
        <v>120</v>
      </c>
      <c r="CM294" s="14">
        <f t="shared" si="160"/>
        <v>0</v>
      </c>
      <c r="CN294" s="14">
        <f t="shared" si="161"/>
        <v>0</v>
      </c>
      <c r="CO294" s="14">
        <f t="shared" si="162"/>
        <v>7.48</v>
      </c>
      <c r="CP294" s="14">
        <f t="shared" si="163"/>
        <v>0</v>
      </c>
      <c r="CQ294" s="14">
        <f t="shared" si="171"/>
        <v>15</v>
      </c>
      <c r="CR294" s="14">
        <f t="shared" si="172"/>
        <v>3</v>
      </c>
      <c r="CS294" s="14">
        <f t="shared" si="173"/>
        <v>24</v>
      </c>
      <c r="CV294" s="14">
        <f t="shared" si="164"/>
        <v>2</v>
      </c>
      <c r="CW294" s="14">
        <f t="shared" si="165"/>
        <v>0</v>
      </c>
      <c r="CX294" s="14" t="str">
        <f t="shared" si="174"/>
        <v>DefExt</v>
      </c>
      <c r="CY294" s="14">
        <f t="shared" si="175"/>
        <v>120</v>
      </c>
      <c r="CZ294" s="14">
        <f t="shared" si="176"/>
        <v>7.48</v>
      </c>
      <c r="DA294" s="14" t="str">
        <f t="shared" si="177"/>
        <v/>
      </c>
      <c r="DB294" s="14" t="str">
        <f t="shared" si="178"/>
        <v/>
      </c>
      <c r="DC294" s="14" t="str">
        <f t="shared" si="179"/>
        <v/>
      </c>
      <c r="DD294" s="14">
        <f t="shared" si="180"/>
        <v>15</v>
      </c>
      <c r="DE294" s="14">
        <f t="shared" si="181"/>
        <v>3</v>
      </c>
      <c r="DF294" s="14">
        <f t="shared" si="182"/>
        <v>24</v>
      </c>
      <c r="DG294" s="14">
        <f t="shared" si="183"/>
        <v>150</v>
      </c>
    </row>
    <row r="295" spans="77:111" ht="16.5" x14ac:dyDescent="0.2">
      <c r="BY295" s="13">
        <v>291</v>
      </c>
      <c r="BZ295" s="14">
        <f t="shared" si="166"/>
        <v>40</v>
      </c>
      <c r="CA295" s="14">
        <f t="shared" si="167"/>
        <v>2</v>
      </c>
      <c r="CB295" s="14">
        <f t="shared" si="152"/>
        <v>4</v>
      </c>
      <c r="CC295" s="14">
        <f t="shared" si="153"/>
        <v>2043023</v>
      </c>
      <c r="CD295" s="13" t="str">
        <f t="shared" si="154"/>
        <v>80级守护灵紫色-肩甲</v>
      </c>
      <c r="CE295" s="14">
        <f t="shared" si="155"/>
        <v>2</v>
      </c>
      <c r="CF295" s="14">
        <f t="shared" si="156"/>
        <v>3</v>
      </c>
      <c r="CG295" s="14">
        <f t="shared" si="168"/>
        <v>80</v>
      </c>
      <c r="CH295" s="14">
        <f t="shared" si="169"/>
        <v>80</v>
      </c>
      <c r="CI295" s="14">
        <f t="shared" si="157"/>
        <v>3</v>
      </c>
      <c r="CJ295" s="14" t="str">
        <f t="shared" si="170"/>
        <v/>
      </c>
      <c r="CK295" s="14">
        <f t="shared" si="158"/>
        <v>0</v>
      </c>
      <c r="CL295" s="14">
        <f t="shared" si="159"/>
        <v>60</v>
      </c>
      <c r="CM295" s="14">
        <f t="shared" si="160"/>
        <v>635</v>
      </c>
      <c r="CN295" s="14">
        <f t="shared" si="161"/>
        <v>0</v>
      </c>
      <c r="CO295" s="14">
        <f t="shared" si="162"/>
        <v>3.74</v>
      </c>
      <c r="CP295" s="14">
        <f t="shared" si="163"/>
        <v>39.68</v>
      </c>
      <c r="CQ295" s="14">
        <f t="shared" si="171"/>
        <v>15</v>
      </c>
      <c r="CR295" s="14">
        <f t="shared" si="172"/>
        <v>3</v>
      </c>
      <c r="CS295" s="14">
        <f t="shared" si="173"/>
        <v>24</v>
      </c>
      <c r="CV295" s="14">
        <f t="shared" si="164"/>
        <v>2</v>
      </c>
      <c r="CW295" s="14">
        <f t="shared" si="165"/>
        <v>3</v>
      </c>
      <c r="CX295" s="14" t="str">
        <f t="shared" si="174"/>
        <v>DefExt</v>
      </c>
      <c r="CY295" s="14">
        <f t="shared" si="175"/>
        <v>60</v>
      </c>
      <c r="CZ295" s="14">
        <f t="shared" si="176"/>
        <v>3.74</v>
      </c>
      <c r="DA295" s="14" t="str">
        <f t="shared" si="177"/>
        <v>HPExt</v>
      </c>
      <c r="DB295" s="14">
        <f t="shared" si="178"/>
        <v>635</v>
      </c>
      <c r="DC295" s="14">
        <f t="shared" si="179"/>
        <v>39.68</v>
      </c>
      <c r="DD295" s="14">
        <f t="shared" si="180"/>
        <v>15</v>
      </c>
      <c r="DE295" s="14">
        <f t="shared" si="181"/>
        <v>3</v>
      </c>
      <c r="DF295" s="14">
        <f t="shared" si="182"/>
        <v>24</v>
      </c>
      <c r="DG295" s="14">
        <f t="shared" si="183"/>
        <v>150</v>
      </c>
    </row>
    <row r="296" spans="77:111" ht="16.5" x14ac:dyDescent="0.2">
      <c r="BY296" s="13">
        <v>292</v>
      </c>
      <c r="BZ296" s="14">
        <f t="shared" si="166"/>
        <v>40</v>
      </c>
      <c r="CA296" s="14">
        <f t="shared" si="167"/>
        <v>2</v>
      </c>
      <c r="CB296" s="14">
        <f t="shared" si="152"/>
        <v>4</v>
      </c>
      <c r="CC296" s="14">
        <f t="shared" si="153"/>
        <v>2043024</v>
      </c>
      <c r="CD296" s="13" t="str">
        <f t="shared" si="154"/>
        <v>80级守护灵紫色-衣服</v>
      </c>
      <c r="CE296" s="14">
        <f t="shared" si="155"/>
        <v>2</v>
      </c>
      <c r="CF296" s="14">
        <f t="shared" si="156"/>
        <v>3</v>
      </c>
      <c r="CG296" s="14">
        <f t="shared" si="168"/>
        <v>80</v>
      </c>
      <c r="CH296" s="14">
        <f t="shared" si="169"/>
        <v>80</v>
      </c>
      <c r="CI296" s="14">
        <f t="shared" si="157"/>
        <v>4</v>
      </c>
      <c r="CJ296" s="14" t="str">
        <f t="shared" si="170"/>
        <v/>
      </c>
      <c r="CK296" s="14">
        <f t="shared" si="158"/>
        <v>0</v>
      </c>
      <c r="CL296" s="14">
        <f t="shared" si="159"/>
        <v>120</v>
      </c>
      <c r="CM296" s="14">
        <f t="shared" si="160"/>
        <v>0</v>
      </c>
      <c r="CN296" s="14">
        <f t="shared" si="161"/>
        <v>0</v>
      </c>
      <c r="CO296" s="14">
        <f t="shared" si="162"/>
        <v>7.48</v>
      </c>
      <c r="CP296" s="14">
        <f t="shared" si="163"/>
        <v>0</v>
      </c>
      <c r="CQ296" s="14">
        <f t="shared" si="171"/>
        <v>15</v>
      </c>
      <c r="CR296" s="14">
        <f t="shared" si="172"/>
        <v>3</v>
      </c>
      <c r="CS296" s="14">
        <f t="shared" si="173"/>
        <v>24</v>
      </c>
      <c r="CV296" s="14">
        <f t="shared" si="164"/>
        <v>2</v>
      </c>
      <c r="CW296" s="14">
        <f t="shared" si="165"/>
        <v>0</v>
      </c>
      <c r="CX296" s="14" t="str">
        <f t="shared" si="174"/>
        <v>DefExt</v>
      </c>
      <c r="CY296" s="14">
        <f t="shared" si="175"/>
        <v>120</v>
      </c>
      <c r="CZ296" s="14">
        <f t="shared" si="176"/>
        <v>7.48</v>
      </c>
      <c r="DA296" s="14" t="str">
        <f t="shared" si="177"/>
        <v/>
      </c>
      <c r="DB296" s="14" t="str">
        <f t="shared" si="178"/>
        <v/>
      </c>
      <c r="DC296" s="14" t="str">
        <f t="shared" si="179"/>
        <v/>
      </c>
      <c r="DD296" s="14">
        <f t="shared" si="180"/>
        <v>15</v>
      </c>
      <c r="DE296" s="14">
        <f t="shared" si="181"/>
        <v>3</v>
      </c>
      <c r="DF296" s="14">
        <f t="shared" si="182"/>
        <v>24</v>
      </c>
      <c r="DG296" s="14">
        <f t="shared" si="183"/>
        <v>150</v>
      </c>
    </row>
    <row r="297" spans="77:111" ht="16.5" x14ac:dyDescent="0.2">
      <c r="BY297" s="13">
        <v>293</v>
      </c>
      <c r="BZ297" s="14">
        <f t="shared" si="166"/>
        <v>40</v>
      </c>
      <c r="CA297" s="14">
        <f t="shared" si="167"/>
        <v>2</v>
      </c>
      <c r="CB297" s="14">
        <f t="shared" si="152"/>
        <v>4</v>
      </c>
      <c r="CC297" s="14">
        <f t="shared" si="153"/>
        <v>2043025</v>
      </c>
      <c r="CD297" s="13" t="str">
        <f t="shared" si="154"/>
        <v>80级守护灵紫色-鞋子</v>
      </c>
      <c r="CE297" s="14">
        <f t="shared" si="155"/>
        <v>2</v>
      </c>
      <c r="CF297" s="14">
        <f t="shared" si="156"/>
        <v>3</v>
      </c>
      <c r="CG297" s="14">
        <f t="shared" si="168"/>
        <v>80</v>
      </c>
      <c r="CH297" s="14">
        <f t="shared" si="169"/>
        <v>80</v>
      </c>
      <c r="CI297" s="14">
        <f t="shared" si="157"/>
        <v>5</v>
      </c>
      <c r="CJ297" s="14" t="str">
        <f t="shared" si="170"/>
        <v/>
      </c>
      <c r="CK297" s="14">
        <f t="shared" si="158"/>
        <v>0</v>
      </c>
      <c r="CL297" s="14">
        <f t="shared" si="159"/>
        <v>0</v>
      </c>
      <c r="CM297" s="14">
        <f t="shared" si="160"/>
        <v>1270</v>
      </c>
      <c r="CN297" s="14">
        <f t="shared" si="161"/>
        <v>0</v>
      </c>
      <c r="CO297" s="14">
        <f t="shared" si="162"/>
        <v>0</v>
      </c>
      <c r="CP297" s="14">
        <f t="shared" si="163"/>
        <v>79.36</v>
      </c>
      <c r="CQ297" s="14">
        <f t="shared" si="171"/>
        <v>15</v>
      </c>
      <c r="CR297" s="14">
        <f t="shared" si="172"/>
        <v>3</v>
      </c>
      <c r="CS297" s="14">
        <f t="shared" si="173"/>
        <v>24</v>
      </c>
      <c r="CV297" s="14">
        <f t="shared" si="164"/>
        <v>3</v>
      </c>
      <c r="CW297" s="14">
        <f t="shared" si="165"/>
        <v>0</v>
      </c>
      <c r="CX297" s="14" t="str">
        <f t="shared" si="174"/>
        <v>HPExt</v>
      </c>
      <c r="CY297" s="14">
        <f t="shared" si="175"/>
        <v>1270</v>
      </c>
      <c r="CZ297" s="14">
        <f t="shared" si="176"/>
        <v>79.36</v>
      </c>
      <c r="DA297" s="14" t="str">
        <f t="shared" si="177"/>
        <v/>
      </c>
      <c r="DB297" s="14" t="str">
        <f t="shared" si="178"/>
        <v/>
      </c>
      <c r="DC297" s="14" t="str">
        <f t="shared" si="179"/>
        <v/>
      </c>
      <c r="DD297" s="14">
        <f t="shared" si="180"/>
        <v>15</v>
      </c>
      <c r="DE297" s="14">
        <f t="shared" si="181"/>
        <v>3</v>
      </c>
      <c r="DF297" s="14">
        <f t="shared" si="182"/>
        <v>24</v>
      </c>
      <c r="DG297" s="14">
        <f t="shared" si="183"/>
        <v>150</v>
      </c>
    </row>
    <row r="298" spans="77:111" ht="16.5" x14ac:dyDescent="0.2">
      <c r="BY298" s="13">
        <v>294</v>
      </c>
      <c r="BZ298" s="14">
        <f t="shared" si="166"/>
        <v>40</v>
      </c>
      <c r="CA298" s="14">
        <f t="shared" si="167"/>
        <v>2</v>
      </c>
      <c r="CB298" s="14">
        <f t="shared" si="152"/>
        <v>4</v>
      </c>
      <c r="CC298" s="14">
        <f t="shared" si="153"/>
        <v>2043026</v>
      </c>
      <c r="CD298" s="13" t="str">
        <f t="shared" si="154"/>
        <v>80级守护灵紫色-护手</v>
      </c>
      <c r="CE298" s="14">
        <f t="shared" si="155"/>
        <v>2</v>
      </c>
      <c r="CF298" s="14">
        <f t="shared" si="156"/>
        <v>3</v>
      </c>
      <c r="CG298" s="14">
        <f t="shared" si="168"/>
        <v>80</v>
      </c>
      <c r="CH298" s="14">
        <f t="shared" si="169"/>
        <v>80</v>
      </c>
      <c r="CI298" s="14">
        <f t="shared" si="157"/>
        <v>6</v>
      </c>
      <c r="CJ298" s="14" t="str">
        <f t="shared" si="170"/>
        <v/>
      </c>
      <c r="CK298" s="14">
        <f t="shared" si="158"/>
        <v>0</v>
      </c>
      <c r="CL298" s="14">
        <f t="shared" si="159"/>
        <v>0</v>
      </c>
      <c r="CM298" s="14">
        <f t="shared" si="160"/>
        <v>1270</v>
      </c>
      <c r="CN298" s="14">
        <f t="shared" si="161"/>
        <v>0</v>
      </c>
      <c r="CO298" s="14">
        <f t="shared" si="162"/>
        <v>0</v>
      </c>
      <c r="CP298" s="14">
        <f t="shared" si="163"/>
        <v>79.36</v>
      </c>
      <c r="CQ298" s="14">
        <f t="shared" si="171"/>
        <v>15</v>
      </c>
      <c r="CR298" s="14">
        <f t="shared" si="172"/>
        <v>3</v>
      </c>
      <c r="CS298" s="14">
        <f t="shared" si="173"/>
        <v>24</v>
      </c>
      <c r="CV298" s="14">
        <f t="shared" si="164"/>
        <v>3</v>
      </c>
      <c r="CW298" s="14">
        <f t="shared" si="165"/>
        <v>0</v>
      </c>
      <c r="CX298" s="14" t="str">
        <f t="shared" si="174"/>
        <v>HPExt</v>
      </c>
      <c r="CY298" s="14">
        <f t="shared" si="175"/>
        <v>1270</v>
      </c>
      <c r="CZ298" s="14">
        <f t="shared" si="176"/>
        <v>79.36</v>
      </c>
      <c r="DA298" s="14" t="str">
        <f t="shared" si="177"/>
        <v/>
      </c>
      <c r="DB298" s="14" t="str">
        <f t="shared" si="178"/>
        <v/>
      </c>
      <c r="DC298" s="14" t="str">
        <f t="shared" si="179"/>
        <v/>
      </c>
      <c r="DD298" s="14">
        <f t="shared" si="180"/>
        <v>15</v>
      </c>
      <c r="DE298" s="14">
        <f t="shared" si="181"/>
        <v>3</v>
      </c>
      <c r="DF298" s="14">
        <f t="shared" si="182"/>
        <v>24</v>
      </c>
      <c r="DG298" s="14">
        <f t="shared" si="183"/>
        <v>150</v>
      </c>
    </row>
    <row r="299" spans="77:111" ht="16.5" x14ac:dyDescent="0.2">
      <c r="BY299" s="13">
        <v>295</v>
      </c>
      <c r="BZ299" s="14">
        <f t="shared" si="166"/>
        <v>40</v>
      </c>
      <c r="CA299" s="14">
        <f t="shared" si="167"/>
        <v>2</v>
      </c>
      <c r="CB299" s="14">
        <f t="shared" si="152"/>
        <v>4</v>
      </c>
      <c r="CC299" s="14">
        <f t="shared" si="153"/>
        <v>2043027</v>
      </c>
      <c r="CD299" s="13" t="str">
        <f t="shared" si="154"/>
        <v>80级守护灵紫色-项链</v>
      </c>
      <c r="CE299" s="14">
        <f t="shared" si="155"/>
        <v>2</v>
      </c>
      <c r="CF299" s="14">
        <f t="shared" si="156"/>
        <v>3</v>
      </c>
      <c r="CG299" s="14">
        <f t="shared" si="168"/>
        <v>80</v>
      </c>
      <c r="CH299" s="14">
        <f t="shared" si="169"/>
        <v>80</v>
      </c>
      <c r="CI299" s="14">
        <f t="shared" si="157"/>
        <v>7</v>
      </c>
      <c r="CJ299" s="14" t="str">
        <f t="shared" si="170"/>
        <v/>
      </c>
      <c r="CK299" s="14">
        <f t="shared" si="158"/>
        <v>164</v>
      </c>
      <c r="CL299" s="14">
        <f t="shared" si="159"/>
        <v>100</v>
      </c>
      <c r="CM299" s="14">
        <f t="shared" si="160"/>
        <v>0</v>
      </c>
      <c r="CN299" s="14">
        <f t="shared" si="161"/>
        <v>10.26</v>
      </c>
      <c r="CO299" s="14">
        <f t="shared" si="162"/>
        <v>6.24</v>
      </c>
      <c r="CP299" s="14">
        <f t="shared" si="163"/>
        <v>0</v>
      </c>
      <c r="CQ299" s="14">
        <f t="shared" si="171"/>
        <v>15</v>
      </c>
      <c r="CR299" s="14">
        <f t="shared" si="172"/>
        <v>3</v>
      </c>
      <c r="CS299" s="14">
        <f t="shared" si="173"/>
        <v>24</v>
      </c>
      <c r="CV299" s="14">
        <f t="shared" si="164"/>
        <v>1</v>
      </c>
      <c r="CW299" s="14">
        <f t="shared" si="165"/>
        <v>2</v>
      </c>
      <c r="CX299" s="14" t="str">
        <f t="shared" si="174"/>
        <v>AtkExt</v>
      </c>
      <c r="CY299" s="14">
        <f t="shared" si="175"/>
        <v>164</v>
      </c>
      <c r="CZ299" s="14">
        <f t="shared" si="176"/>
        <v>10.26</v>
      </c>
      <c r="DA299" s="14" t="str">
        <f t="shared" si="177"/>
        <v>DefExt</v>
      </c>
      <c r="DB299" s="14">
        <f t="shared" si="178"/>
        <v>100</v>
      </c>
      <c r="DC299" s="14">
        <f t="shared" si="179"/>
        <v>6.24</v>
      </c>
      <c r="DD299" s="14">
        <f t="shared" si="180"/>
        <v>15</v>
      </c>
      <c r="DE299" s="14">
        <f t="shared" si="181"/>
        <v>3</v>
      </c>
      <c r="DF299" s="14">
        <f t="shared" si="182"/>
        <v>24</v>
      </c>
      <c r="DG299" s="14">
        <f t="shared" si="183"/>
        <v>150</v>
      </c>
    </row>
    <row r="300" spans="77:111" ht="16.5" x14ac:dyDescent="0.2">
      <c r="BY300" s="13">
        <v>296</v>
      </c>
      <c r="BZ300" s="14">
        <f t="shared" si="166"/>
        <v>40</v>
      </c>
      <c r="CA300" s="14">
        <f t="shared" si="167"/>
        <v>2</v>
      </c>
      <c r="CB300" s="14">
        <f t="shared" si="152"/>
        <v>4</v>
      </c>
      <c r="CC300" s="14">
        <f t="shared" si="153"/>
        <v>2043028</v>
      </c>
      <c r="CD300" s="13" t="str">
        <f t="shared" si="154"/>
        <v>80级守护灵紫色-戒指</v>
      </c>
      <c r="CE300" s="14">
        <f t="shared" si="155"/>
        <v>2</v>
      </c>
      <c r="CF300" s="14">
        <f t="shared" si="156"/>
        <v>3</v>
      </c>
      <c r="CG300" s="14">
        <f t="shared" si="168"/>
        <v>80</v>
      </c>
      <c r="CH300" s="14">
        <f t="shared" si="169"/>
        <v>80</v>
      </c>
      <c r="CI300" s="14">
        <f t="shared" si="157"/>
        <v>8</v>
      </c>
      <c r="CJ300" s="14" t="str">
        <f t="shared" si="170"/>
        <v/>
      </c>
      <c r="CK300" s="14">
        <f t="shared" si="158"/>
        <v>164</v>
      </c>
      <c r="CL300" s="14">
        <f t="shared" si="159"/>
        <v>0</v>
      </c>
      <c r="CM300" s="14">
        <f t="shared" si="160"/>
        <v>1058</v>
      </c>
      <c r="CN300" s="14">
        <f t="shared" si="161"/>
        <v>10.26</v>
      </c>
      <c r="CO300" s="14">
        <f t="shared" si="162"/>
        <v>0</v>
      </c>
      <c r="CP300" s="14">
        <f t="shared" si="163"/>
        <v>66.13</v>
      </c>
      <c r="CQ300" s="14">
        <f t="shared" si="171"/>
        <v>15</v>
      </c>
      <c r="CR300" s="14">
        <f t="shared" si="172"/>
        <v>3</v>
      </c>
      <c r="CS300" s="14">
        <f t="shared" si="173"/>
        <v>24</v>
      </c>
      <c r="CV300" s="14">
        <f t="shared" si="164"/>
        <v>1</v>
      </c>
      <c r="CW300" s="14">
        <f t="shared" si="165"/>
        <v>3</v>
      </c>
      <c r="CX300" s="14" t="str">
        <f t="shared" si="174"/>
        <v>AtkExt</v>
      </c>
      <c r="CY300" s="14">
        <f t="shared" si="175"/>
        <v>164</v>
      </c>
      <c r="CZ300" s="14">
        <f t="shared" si="176"/>
        <v>10.26</v>
      </c>
      <c r="DA300" s="14" t="str">
        <f t="shared" si="177"/>
        <v>HPExt</v>
      </c>
      <c r="DB300" s="14">
        <f t="shared" si="178"/>
        <v>1058</v>
      </c>
      <c r="DC300" s="14">
        <f t="shared" si="179"/>
        <v>66.13</v>
      </c>
      <c r="DD300" s="14">
        <f t="shared" si="180"/>
        <v>15</v>
      </c>
      <c r="DE300" s="14">
        <f t="shared" si="181"/>
        <v>3</v>
      </c>
      <c r="DF300" s="14">
        <f t="shared" si="182"/>
        <v>24</v>
      </c>
      <c r="DG300" s="14">
        <f t="shared" si="183"/>
        <v>150</v>
      </c>
    </row>
    <row r="301" spans="77:111" ht="16.5" x14ac:dyDescent="0.2">
      <c r="BY301" s="13">
        <v>297</v>
      </c>
      <c r="BZ301" s="14">
        <f t="shared" si="166"/>
        <v>41</v>
      </c>
      <c r="CA301" s="14">
        <f t="shared" si="167"/>
        <v>1</v>
      </c>
      <c r="CB301" s="14">
        <f t="shared" si="152"/>
        <v>4</v>
      </c>
      <c r="CC301" s="14">
        <f t="shared" si="153"/>
        <v>2044011</v>
      </c>
      <c r="CD301" s="13" t="str">
        <f t="shared" si="154"/>
        <v>80级寄灵人橙色-武器</v>
      </c>
      <c r="CE301" s="14">
        <f t="shared" si="155"/>
        <v>1</v>
      </c>
      <c r="CF301" s="14">
        <f t="shared" si="156"/>
        <v>4</v>
      </c>
      <c r="CG301" s="14">
        <f t="shared" si="168"/>
        <v>80</v>
      </c>
      <c r="CH301" s="14">
        <f t="shared" si="169"/>
        <v>80</v>
      </c>
      <c r="CI301" s="14">
        <f t="shared" si="157"/>
        <v>1</v>
      </c>
      <c r="CJ301" s="14" t="str">
        <f t="shared" si="170"/>
        <v/>
      </c>
      <c r="CK301" s="14">
        <f t="shared" si="158"/>
        <v>582</v>
      </c>
      <c r="CL301" s="14">
        <f t="shared" si="159"/>
        <v>0</v>
      </c>
      <c r="CM301" s="14">
        <f t="shared" si="160"/>
        <v>0</v>
      </c>
      <c r="CN301" s="14">
        <f t="shared" si="161"/>
        <v>29.1</v>
      </c>
      <c r="CO301" s="14">
        <f t="shared" si="162"/>
        <v>0</v>
      </c>
      <c r="CP301" s="14">
        <f t="shared" si="163"/>
        <v>0</v>
      </c>
      <c r="CQ301" s="14">
        <f t="shared" si="171"/>
        <v>16</v>
      </c>
      <c r="CR301" s="14">
        <f t="shared" si="172"/>
        <v>4</v>
      </c>
      <c r="CS301" s="14">
        <f t="shared" si="173"/>
        <v>14</v>
      </c>
      <c r="CV301" s="14">
        <f t="shared" si="164"/>
        <v>1</v>
      </c>
      <c r="CW301" s="14">
        <f t="shared" si="165"/>
        <v>0</v>
      </c>
      <c r="CX301" s="14" t="str">
        <f t="shared" si="174"/>
        <v>AtkExt</v>
      </c>
      <c r="CY301" s="14">
        <f t="shared" si="175"/>
        <v>582</v>
      </c>
      <c r="CZ301" s="14">
        <f t="shared" si="176"/>
        <v>29.1</v>
      </c>
      <c r="DA301" s="14" t="str">
        <f t="shared" si="177"/>
        <v/>
      </c>
      <c r="DB301" s="14" t="str">
        <f t="shared" si="178"/>
        <v/>
      </c>
      <c r="DC301" s="14" t="str">
        <f t="shared" si="179"/>
        <v/>
      </c>
      <c r="DD301" s="14">
        <f t="shared" si="180"/>
        <v>16</v>
      </c>
      <c r="DE301" s="14">
        <f t="shared" si="181"/>
        <v>4</v>
      </c>
      <c r="DF301" s="14">
        <f t="shared" si="182"/>
        <v>14</v>
      </c>
      <c r="DG301" s="14">
        <f t="shared" si="183"/>
        <v>300</v>
      </c>
    </row>
    <row r="302" spans="77:111" ht="16.5" x14ac:dyDescent="0.2">
      <c r="BY302" s="13">
        <v>298</v>
      </c>
      <c r="BZ302" s="14">
        <f t="shared" si="166"/>
        <v>41</v>
      </c>
      <c r="CA302" s="14">
        <f t="shared" si="167"/>
        <v>1</v>
      </c>
      <c r="CB302" s="14">
        <f t="shared" si="152"/>
        <v>4</v>
      </c>
      <c r="CC302" s="14">
        <f t="shared" si="153"/>
        <v>2044012</v>
      </c>
      <c r="CD302" s="13" t="str">
        <f t="shared" si="154"/>
        <v>80级寄灵人橙色-头盔</v>
      </c>
      <c r="CE302" s="14">
        <f t="shared" si="155"/>
        <v>1</v>
      </c>
      <c r="CF302" s="14">
        <f t="shared" si="156"/>
        <v>4</v>
      </c>
      <c r="CG302" s="14">
        <f t="shared" si="168"/>
        <v>80</v>
      </c>
      <c r="CH302" s="14">
        <f t="shared" si="169"/>
        <v>80</v>
      </c>
      <c r="CI302" s="14">
        <f t="shared" si="157"/>
        <v>2</v>
      </c>
      <c r="CJ302" s="14" t="str">
        <f t="shared" si="170"/>
        <v/>
      </c>
      <c r="CK302" s="14">
        <f t="shared" si="158"/>
        <v>0</v>
      </c>
      <c r="CL302" s="14">
        <f t="shared" si="159"/>
        <v>143</v>
      </c>
      <c r="CM302" s="14">
        <f t="shared" si="160"/>
        <v>0</v>
      </c>
      <c r="CN302" s="14">
        <f t="shared" si="161"/>
        <v>0</v>
      </c>
      <c r="CO302" s="14">
        <f t="shared" si="162"/>
        <v>7.13</v>
      </c>
      <c r="CP302" s="14">
        <f t="shared" si="163"/>
        <v>0</v>
      </c>
      <c r="CQ302" s="14">
        <f t="shared" si="171"/>
        <v>16</v>
      </c>
      <c r="CR302" s="14">
        <f t="shared" si="172"/>
        <v>4</v>
      </c>
      <c r="CS302" s="14">
        <f t="shared" si="173"/>
        <v>14</v>
      </c>
      <c r="CV302" s="14">
        <f t="shared" si="164"/>
        <v>2</v>
      </c>
      <c r="CW302" s="14">
        <f t="shared" si="165"/>
        <v>0</v>
      </c>
      <c r="CX302" s="14" t="str">
        <f t="shared" si="174"/>
        <v>DefExt</v>
      </c>
      <c r="CY302" s="14">
        <f t="shared" si="175"/>
        <v>143</v>
      </c>
      <c r="CZ302" s="14">
        <f t="shared" si="176"/>
        <v>7.13</v>
      </c>
      <c r="DA302" s="14" t="str">
        <f t="shared" si="177"/>
        <v/>
      </c>
      <c r="DB302" s="14" t="str">
        <f t="shared" si="178"/>
        <v/>
      </c>
      <c r="DC302" s="14" t="str">
        <f t="shared" si="179"/>
        <v/>
      </c>
      <c r="DD302" s="14">
        <f t="shared" si="180"/>
        <v>16</v>
      </c>
      <c r="DE302" s="14">
        <f t="shared" si="181"/>
        <v>4</v>
      </c>
      <c r="DF302" s="14">
        <f t="shared" si="182"/>
        <v>14</v>
      </c>
      <c r="DG302" s="14">
        <f t="shared" si="183"/>
        <v>300</v>
      </c>
    </row>
    <row r="303" spans="77:111" ht="16.5" x14ac:dyDescent="0.2">
      <c r="BY303" s="13">
        <v>299</v>
      </c>
      <c r="BZ303" s="14">
        <f t="shared" si="166"/>
        <v>41</v>
      </c>
      <c r="CA303" s="14">
        <f t="shared" si="167"/>
        <v>1</v>
      </c>
      <c r="CB303" s="14">
        <f t="shared" si="152"/>
        <v>4</v>
      </c>
      <c r="CC303" s="14">
        <f t="shared" si="153"/>
        <v>2044013</v>
      </c>
      <c r="CD303" s="13" t="str">
        <f t="shared" si="154"/>
        <v>80级寄灵人橙色-肩甲</v>
      </c>
      <c r="CE303" s="14">
        <f t="shared" si="155"/>
        <v>1</v>
      </c>
      <c r="CF303" s="14">
        <f t="shared" si="156"/>
        <v>4</v>
      </c>
      <c r="CG303" s="14">
        <f t="shared" si="168"/>
        <v>80</v>
      </c>
      <c r="CH303" s="14">
        <f t="shared" si="169"/>
        <v>80</v>
      </c>
      <c r="CI303" s="14">
        <f t="shared" si="157"/>
        <v>3</v>
      </c>
      <c r="CJ303" s="14" t="str">
        <f t="shared" si="170"/>
        <v/>
      </c>
      <c r="CK303" s="14">
        <f t="shared" si="158"/>
        <v>0</v>
      </c>
      <c r="CL303" s="14">
        <f t="shared" si="159"/>
        <v>71</v>
      </c>
      <c r="CM303" s="14">
        <f t="shared" si="160"/>
        <v>444</v>
      </c>
      <c r="CN303" s="14">
        <f t="shared" si="161"/>
        <v>0</v>
      </c>
      <c r="CO303" s="14">
        <f t="shared" si="162"/>
        <v>3.57</v>
      </c>
      <c r="CP303" s="14">
        <f t="shared" si="163"/>
        <v>22.2</v>
      </c>
      <c r="CQ303" s="14">
        <f t="shared" si="171"/>
        <v>16</v>
      </c>
      <c r="CR303" s="14">
        <f t="shared" si="172"/>
        <v>4</v>
      </c>
      <c r="CS303" s="14">
        <f t="shared" si="173"/>
        <v>14</v>
      </c>
      <c r="CV303" s="14">
        <f t="shared" si="164"/>
        <v>2</v>
      </c>
      <c r="CW303" s="14">
        <f t="shared" si="165"/>
        <v>3</v>
      </c>
      <c r="CX303" s="14" t="str">
        <f t="shared" si="174"/>
        <v>DefExt</v>
      </c>
      <c r="CY303" s="14">
        <f t="shared" si="175"/>
        <v>71</v>
      </c>
      <c r="CZ303" s="14">
        <f t="shared" si="176"/>
        <v>3.57</v>
      </c>
      <c r="DA303" s="14" t="str">
        <f t="shared" si="177"/>
        <v>HPExt</v>
      </c>
      <c r="DB303" s="14">
        <f t="shared" si="178"/>
        <v>444</v>
      </c>
      <c r="DC303" s="14">
        <f t="shared" si="179"/>
        <v>22.2</v>
      </c>
      <c r="DD303" s="14">
        <f t="shared" si="180"/>
        <v>16</v>
      </c>
      <c r="DE303" s="14">
        <f t="shared" si="181"/>
        <v>4</v>
      </c>
      <c r="DF303" s="14">
        <f t="shared" si="182"/>
        <v>14</v>
      </c>
      <c r="DG303" s="14">
        <f t="shared" si="183"/>
        <v>300</v>
      </c>
    </row>
    <row r="304" spans="77:111" ht="16.5" x14ac:dyDescent="0.2">
      <c r="BY304" s="13">
        <v>300</v>
      </c>
      <c r="BZ304" s="14">
        <f t="shared" si="166"/>
        <v>41</v>
      </c>
      <c r="CA304" s="14">
        <f t="shared" si="167"/>
        <v>1</v>
      </c>
      <c r="CB304" s="14">
        <f t="shared" si="152"/>
        <v>4</v>
      </c>
      <c r="CC304" s="14">
        <f t="shared" si="153"/>
        <v>2044014</v>
      </c>
      <c r="CD304" s="13" t="str">
        <f t="shared" si="154"/>
        <v>80级寄灵人橙色-衣服</v>
      </c>
      <c r="CE304" s="14">
        <f t="shared" si="155"/>
        <v>1</v>
      </c>
      <c r="CF304" s="14">
        <f t="shared" si="156"/>
        <v>4</v>
      </c>
      <c r="CG304" s="14">
        <f t="shared" si="168"/>
        <v>80</v>
      </c>
      <c r="CH304" s="14">
        <f t="shared" si="169"/>
        <v>80</v>
      </c>
      <c r="CI304" s="14">
        <f t="shared" si="157"/>
        <v>4</v>
      </c>
      <c r="CJ304" s="14" t="str">
        <f t="shared" si="170"/>
        <v/>
      </c>
      <c r="CK304" s="14">
        <f t="shared" si="158"/>
        <v>0</v>
      </c>
      <c r="CL304" s="14">
        <f t="shared" si="159"/>
        <v>143</v>
      </c>
      <c r="CM304" s="14">
        <f t="shared" si="160"/>
        <v>0</v>
      </c>
      <c r="CN304" s="14">
        <f t="shared" si="161"/>
        <v>0</v>
      </c>
      <c r="CO304" s="14">
        <f t="shared" si="162"/>
        <v>7.13</v>
      </c>
      <c r="CP304" s="14">
        <f t="shared" si="163"/>
        <v>0</v>
      </c>
      <c r="CQ304" s="14">
        <f t="shared" si="171"/>
        <v>16</v>
      </c>
      <c r="CR304" s="14">
        <f t="shared" si="172"/>
        <v>4</v>
      </c>
      <c r="CS304" s="14">
        <f t="shared" si="173"/>
        <v>14</v>
      </c>
      <c r="CV304" s="14">
        <f t="shared" si="164"/>
        <v>2</v>
      </c>
      <c r="CW304" s="14">
        <f t="shared" si="165"/>
        <v>0</v>
      </c>
      <c r="CX304" s="14" t="str">
        <f t="shared" si="174"/>
        <v>DefExt</v>
      </c>
      <c r="CY304" s="14">
        <f t="shared" si="175"/>
        <v>143</v>
      </c>
      <c r="CZ304" s="14">
        <f t="shared" si="176"/>
        <v>7.13</v>
      </c>
      <c r="DA304" s="14" t="str">
        <f t="shared" si="177"/>
        <v/>
      </c>
      <c r="DB304" s="14" t="str">
        <f t="shared" si="178"/>
        <v/>
      </c>
      <c r="DC304" s="14" t="str">
        <f t="shared" si="179"/>
        <v/>
      </c>
      <c r="DD304" s="14">
        <f t="shared" si="180"/>
        <v>16</v>
      </c>
      <c r="DE304" s="14">
        <f t="shared" si="181"/>
        <v>4</v>
      </c>
      <c r="DF304" s="14">
        <f t="shared" si="182"/>
        <v>14</v>
      </c>
      <c r="DG304" s="14">
        <f t="shared" si="183"/>
        <v>300</v>
      </c>
    </row>
    <row r="305" spans="77:111" ht="16.5" x14ac:dyDescent="0.2">
      <c r="BY305" s="13">
        <v>301</v>
      </c>
      <c r="BZ305" s="14">
        <f t="shared" si="166"/>
        <v>41</v>
      </c>
      <c r="CA305" s="14">
        <f t="shared" si="167"/>
        <v>1</v>
      </c>
      <c r="CB305" s="14">
        <f t="shared" si="152"/>
        <v>4</v>
      </c>
      <c r="CC305" s="14">
        <f t="shared" si="153"/>
        <v>2044015</v>
      </c>
      <c r="CD305" s="13" t="str">
        <f t="shared" si="154"/>
        <v>80级寄灵人橙色-鞋子</v>
      </c>
      <c r="CE305" s="14">
        <f t="shared" si="155"/>
        <v>1</v>
      </c>
      <c r="CF305" s="14">
        <f t="shared" si="156"/>
        <v>4</v>
      </c>
      <c r="CG305" s="14">
        <f t="shared" si="168"/>
        <v>80</v>
      </c>
      <c r="CH305" s="14">
        <f t="shared" si="169"/>
        <v>80</v>
      </c>
      <c r="CI305" s="14">
        <f t="shared" si="157"/>
        <v>5</v>
      </c>
      <c r="CJ305" s="14" t="str">
        <f t="shared" si="170"/>
        <v/>
      </c>
      <c r="CK305" s="14">
        <f t="shared" si="158"/>
        <v>0</v>
      </c>
      <c r="CL305" s="14">
        <f t="shared" si="159"/>
        <v>0</v>
      </c>
      <c r="CM305" s="14">
        <f t="shared" si="160"/>
        <v>888</v>
      </c>
      <c r="CN305" s="14">
        <f t="shared" si="161"/>
        <v>0</v>
      </c>
      <c r="CO305" s="14">
        <f t="shared" si="162"/>
        <v>0</v>
      </c>
      <c r="CP305" s="14">
        <f t="shared" si="163"/>
        <v>44.41</v>
      </c>
      <c r="CQ305" s="14">
        <f t="shared" si="171"/>
        <v>16</v>
      </c>
      <c r="CR305" s="14">
        <f t="shared" si="172"/>
        <v>4</v>
      </c>
      <c r="CS305" s="14">
        <f t="shared" si="173"/>
        <v>14</v>
      </c>
      <c r="CV305" s="14">
        <f t="shared" si="164"/>
        <v>3</v>
      </c>
      <c r="CW305" s="14">
        <f t="shared" si="165"/>
        <v>0</v>
      </c>
      <c r="CX305" s="14" t="str">
        <f t="shared" si="174"/>
        <v>HPExt</v>
      </c>
      <c r="CY305" s="14">
        <f t="shared" si="175"/>
        <v>888</v>
      </c>
      <c r="CZ305" s="14">
        <f t="shared" si="176"/>
        <v>44.41</v>
      </c>
      <c r="DA305" s="14" t="str">
        <f t="shared" si="177"/>
        <v/>
      </c>
      <c r="DB305" s="14" t="str">
        <f t="shared" si="178"/>
        <v/>
      </c>
      <c r="DC305" s="14" t="str">
        <f t="shared" si="179"/>
        <v/>
      </c>
      <c r="DD305" s="14">
        <f t="shared" si="180"/>
        <v>16</v>
      </c>
      <c r="DE305" s="14">
        <f t="shared" si="181"/>
        <v>4</v>
      </c>
      <c r="DF305" s="14">
        <f t="shared" si="182"/>
        <v>14</v>
      </c>
      <c r="DG305" s="14">
        <f t="shared" si="183"/>
        <v>300</v>
      </c>
    </row>
    <row r="306" spans="77:111" ht="16.5" x14ac:dyDescent="0.2">
      <c r="BY306" s="13">
        <v>302</v>
      </c>
      <c r="BZ306" s="14">
        <f t="shared" si="166"/>
        <v>41</v>
      </c>
      <c r="CA306" s="14">
        <f t="shared" si="167"/>
        <v>1</v>
      </c>
      <c r="CB306" s="14">
        <f t="shared" si="152"/>
        <v>4</v>
      </c>
      <c r="CC306" s="14">
        <f t="shared" si="153"/>
        <v>2044016</v>
      </c>
      <c r="CD306" s="13" t="str">
        <f t="shared" si="154"/>
        <v>80级寄灵人橙色-护手</v>
      </c>
      <c r="CE306" s="14">
        <f t="shared" si="155"/>
        <v>1</v>
      </c>
      <c r="CF306" s="14">
        <f t="shared" si="156"/>
        <v>4</v>
      </c>
      <c r="CG306" s="14">
        <f t="shared" si="168"/>
        <v>80</v>
      </c>
      <c r="CH306" s="14">
        <f t="shared" si="169"/>
        <v>80</v>
      </c>
      <c r="CI306" s="14">
        <f t="shared" si="157"/>
        <v>6</v>
      </c>
      <c r="CJ306" s="14" t="str">
        <f t="shared" si="170"/>
        <v/>
      </c>
      <c r="CK306" s="14">
        <f t="shared" si="158"/>
        <v>0</v>
      </c>
      <c r="CL306" s="14">
        <f t="shared" si="159"/>
        <v>0</v>
      </c>
      <c r="CM306" s="14">
        <f t="shared" si="160"/>
        <v>888</v>
      </c>
      <c r="CN306" s="14">
        <f t="shared" si="161"/>
        <v>0</v>
      </c>
      <c r="CO306" s="14">
        <f t="shared" si="162"/>
        <v>0</v>
      </c>
      <c r="CP306" s="14">
        <f t="shared" si="163"/>
        <v>44.41</v>
      </c>
      <c r="CQ306" s="14">
        <f t="shared" si="171"/>
        <v>16</v>
      </c>
      <c r="CR306" s="14">
        <f t="shared" si="172"/>
        <v>4</v>
      </c>
      <c r="CS306" s="14">
        <f t="shared" si="173"/>
        <v>14</v>
      </c>
      <c r="CV306" s="14">
        <f t="shared" si="164"/>
        <v>3</v>
      </c>
      <c r="CW306" s="14">
        <f t="shared" si="165"/>
        <v>0</v>
      </c>
      <c r="CX306" s="14" t="str">
        <f t="shared" si="174"/>
        <v>HPExt</v>
      </c>
      <c r="CY306" s="14">
        <f t="shared" si="175"/>
        <v>888</v>
      </c>
      <c r="CZ306" s="14">
        <f t="shared" si="176"/>
        <v>44.41</v>
      </c>
      <c r="DA306" s="14" t="str">
        <f t="shared" si="177"/>
        <v/>
      </c>
      <c r="DB306" s="14" t="str">
        <f t="shared" si="178"/>
        <v/>
      </c>
      <c r="DC306" s="14" t="str">
        <f t="shared" si="179"/>
        <v/>
      </c>
      <c r="DD306" s="14">
        <f t="shared" si="180"/>
        <v>16</v>
      </c>
      <c r="DE306" s="14">
        <f t="shared" si="181"/>
        <v>4</v>
      </c>
      <c r="DF306" s="14">
        <f t="shared" si="182"/>
        <v>14</v>
      </c>
      <c r="DG306" s="14">
        <f t="shared" si="183"/>
        <v>300</v>
      </c>
    </row>
    <row r="307" spans="77:111" ht="16.5" x14ac:dyDescent="0.2">
      <c r="BY307" s="13">
        <v>303</v>
      </c>
      <c r="BZ307" s="14">
        <f t="shared" si="166"/>
        <v>41</v>
      </c>
      <c r="CA307" s="14">
        <f t="shared" si="167"/>
        <v>1</v>
      </c>
      <c r="CB307" s="14">
        <f t="shared" si="152"/>
        <v>4</v>
      </c>
      <c r="CC307" s="14">
        <f t="shared" si="153"/>
        <v>2044017</v>
      </c>
      <c r="CD307" s="13" t="str">
        <f t="shared" si="154"/>
        <v>80级寄灵人橙色-项链</v>
      </c>
      <c r="CE307" s="14">
        <f t="shared" si="155"/>
        <v>1</v>
      </c>
      <c r="CF307" s="14">
        <f t="shared" si="156"/>
        <v>4</v>
      </c>
      <c r="CG307" s="14">
        <f t="shared" si="168"/>
        <v>80</v>
      </c>
      <c r="CH307" s="14">
        <f t="shared" si="169"/>
        <v>80</v>
      </c>
      <c r="CI307" s="14">
        <f t="shared" si="157"/>
        <v>7</v>
      </c>
      <c r="CJ307" s="14" t="str">
        <f t="shared" si="170"/>
        <v/>
      </c>
      <c r="CK307" s="14">
        <f t="shared" si="158"/>
        <v>194</v>
      </c>
      <c r="CL307" s="14">
        <f t="shared" si="159"/>
        <v>119</v>
      </c>
      <c r="CM307" s="14">
        <f t="shared" si="160"/>
        <v>0</v>
      </c>
      <c r="CN307" s="14">
        <f t="shared" si="161"/>
        <v>9.6999999999999993</v>
      </c>
      <c r="CO307" s="14">
        <f t="shared" si="162"/>
        <v>5.94</v>
      </c>
      <c r="CP307" s="14">
        <f t="shared" si="163"/>
        <v>0</v>
      </c>
      <c r="CQ307" s="14">
        <f t="shared" si="171"/>
        <v>16</v>
      </c>
      <c r="CR307" s="14">
        <f t="shared" si="172"/>
        <v>4</v>
      </c>
      <c r="CS307" s="14">
        <f t="shared" si="173"/>
        <v>14</v>
      </c>
      <c r="CV307" s="14">
        <f t="shared" si="164"/>
        <v>1</v>
      </c>
      <c r="CW307" s="14">
        <f t="shared" si="165"/>
        <v>2</v>
      </c>
      <c r="CX307" s="14" t="str">
        <f t="shared" si="174"/>
        <v>AtkExt</v>
      </c>
      <c r="CY307" s="14">
        <f t="shared" si="175"/>
        <v>194</v>
      </c>
      <c r="CZ307" s="14">
        <f t="shared" si="176"/>
        <v>9.6999999999999993</v>
      </c>
      <c r="DA307" s="14" t="str">
        <f t="shared" si="177"/>
        <v>DefExt</v>
      </c>
      <c r="DB307" s="14">
        <f t="shared" si="178"/>
        <v>119</v>
      </c>
      <c r="DC307" s="14">
        <f t="shared" si="179"/>
        <v>5.94</v>
      </c>
      <c r="DD307" s="14">
        <f t="shared" si="180"/>
        <v>16</v>
      </c>
      <c r="DE307" s="14">
        <f t="shared" si="181"/>
        <v>4</v>
      </c>
      <c r="DF307" s="14">
        <f t="shared" si="182"/>
        <v>14</v>
      </c>
      <c r="DG307" s="14">
        <f t="shared" si="183"/>
        <v>300</v>
      </c>
    </row>
    <row r="308" spans="77:111" ht="16.5" x14ac:dyDescent="0.2">
      <c r="BY308" s="13">
        <v>304</v>
      </c>
      <c r="BZ308" s="14">
        <f t="shared" si="166"/>
        <v>41</v>
      </c>
      <c r="CA308" s="14">
        <f t="shared" si="167"/>
        <v>1</v>
      </c>
      <c r="CB308" s="14">
        <f t="shared" si="152"/>
        <v>4</v>
      </c>
      <c r="CC308" s="14">
        <f t="shared" si="153"/>
        <v>2044018</v>
      </c>
      <c r="CD308" s="13" t="str">
        <f t="shared" si="154"/>
        <v>80级寄灵人橙色-戒指</v>
      </c>
      <c r="CE308" s="14">
        <f t="shared" si="155"/>
        <v>1</v>
      </c>
      <c r="CF308" s="14">
        <f t="shared" si="156"/>
        <v>4</v>
      </c>
      <c r="CG308" s="14">
        <f t="shared" si="168"/>
        <v>80</v>
      </c>
      <c r="CH308" s="14">
        <f t="shared" si="169"/>
        <v>80</v>
      </c>
      <c r="CI308" s="14">
        <f t="shared" si="157"/>
        <v>8</v>
      </c>
      <c r="CJ308" s="14" t="str">
        <f t="shared" si="170"/>
        <v/>
      </c>
      <c r="CK308" s="14">
        <f t="shared" si="158"/>
        <v>194</v>
      </c>
      <c r="CL308" s="14">
        <f t="shared" si="159"/>
        <v>0</v>
      </c>
      <c r="CM308" s="14">
        <f t="shared" si="160"/>
        <v>740</v>
      </c>
      <c r="CN308" s="14">
        <f t="shared" si="161"/>
        <v>9.6999999999999993</v>
      </c>
      <c r="CO308" s="14">
        <f t="shared" si="162"/>
        <v>0</v>
      </c>
      <c r="CP308" s="14">
        <f t="shared" si="163"/>
        <v>37.01</v>
      </c>
      <c r="CQ308" s="14">
        <f t="shared" si="171"/>
        <v>16</v>
      </c>
      <c r="CR308" s="14">
        <f t="shared" si="172"/>
        <v>4</v>
      </c>
      <c r="CS308" s="14">
        <f t="shared" si="173"/>
        <v>14</v>
      </c>
      <c r="CV308" s="14">
        <f t="shared" si="164"/>
        <v>1</v>
      </c>
      <c r="CW308" s="14">
        <f t="shared" si="165"/>
        <v>3</v>
      </c>
      <c r="CX308" s="14" t="str">
        <f t="shared" si="174"/>
        <v>AtkExt</v>
      </c>
      <c r="CY308" s="14">
        <f t="shared" si="175"/>
        <v>194</v>
      </c>
      <c r="CZ308" s="14">
        <f t="shared" si="176"/>
        <v>9.6999999999999993</v>
      </c>
      <c r="DA308" s="14" t="str">
        <f t="shared" si="177"/>
        <v>HPExt</v>
      </c>
      <c r="DB308" s="14">
        <f t="shared" si="178"/>
        <v>740</v>
      </c>
      <c r="DC308" s="14">
        <f t="shared" si="179"/>
        <v>37.01</v>
      </c>
      <c r="DD308" s="14">
        <f t="shared" si="180"/>
        <v>16</v>
      </c>
      <c r="DE308" s="14">
        <f t="shared" si="181"/>
        <v>4</v>
      </c>
      <c r="DF308" s="14">
        <f t="shared" si="182"/>
        <v>14</v>
      </c>
      <c r="DG308" s="14">
        <f t="shared" si="183"/>
        <v>300</v>
      </c>
    </row>
    <row r="309" spans="77:111" ht="16.5" x14ac:dyDescent="0.2">
      <c r="BY309" s="13">
        <v>305</v>
      </c>
      <c r="BZ309" s="14">
        <f t="shared" si="166"/>
        <v>42</v>
      </c>
      <c r="CA309" s="14">
        <f t="shared" si="167"/>
        <v>2</v>
      </c>
      <c r="CB309" s="14">
        <f t="shared" si="152"/>
        <v>4</v>
      </c>
      <c r="CC309" s="14">
        <f t="shared" si="153"/>
        <v>2044021</v>
      </c>
      <c r="CD309" s="13" t="str">
        <f t="shared" si="154"/>
        <v>80级守护灵橙色-武器</v>
      </c>
      <c r="CE309" s="14">
        <f t="shared" si="155"/>
        <v>2</v>
      </c>
      <c r="CF309" s="14">
        <f t="shared" si="156"/>
        <v>4</v>
      </c>
      <c r="CG309" s="14">
        <f t="shared" si="168"/>
        <v>80</v>
      </c>
      <c r="CH309" s="14">
        <f t="shared" si="169"/>
        <v>80</v>
      </c>
      <c r="CI309" s="14">
        <f t="shared" si="157"/>
        <v>1</v>
      </c>
      <c r="CJ309" s="14" t="str">
        <f t="shared" si="170"/>
        <v/>
      </c>
      <c r="CK309" s="14">
        <f t="shared" si="158"/>
        <v>616</v>
      </c>
      <c r="CL309" s="14">
        <f t="shared" si="159"/>
        <v>0</v>
      </c>
      <c r="CM309" s="14">
        <f t="shared" si="160"/>
        <v>0</v>
      </c>
      <c r="CN309" s="14">
        <f t="shared" si="161"/>
        <v>30.79</v>
      </c>
      <c r="CO309" s="14">
        <f t="shared" si="162"/>
        <v>0</v>
      </c>
      <c r="CP309" s="14">
        <f t="shared" si="163"/>
        <v>0</v>
      </c>
      <c r="CQ309" s="14">
        <f t="shared" si="171"/>
        <v>16</v>
      </c>
      <c r="CR309" s="14">
        <f t="shared" si="172"/>
        <v>4</v>
      </c>
      <c r="CS309" s="14">
        <f t="shared" si="173"/>
        <v>24</v>
      </c>
      <c r="CV309" s="14">
        <f t="shared" si="164"/>
        <v>1</v>
      </c>
      <c r="CW309" s="14">
        <f t="shared" si="165"/>
        <v>0</v>
      </c>
      <c r="CX309" s="14" t="str">
        <f t="shared" si="174"/>
        <v>AtkExt</v>
      </c>
      <c r="CY309" s="14">
        <f t="shared" si="175"/>
        <v>616</v>
      </c>
      <c r="CZ309" s="14">
        <f t="shared" si="176"/>
        <v>30.79</v>
      </c>
      <c r="DA309" s="14" t="str">
        <f t="shared" si="177"/>
        <v/>
      </c>
      <c r="DB309" s="14" t="str">
        <f t="shared" si="178"/>
        <v/>
      </c>
      <c r="DC309" s="14" t="str">
        <f t="shared" si="179"/>
        <v/>
      </c>
      <c r="DD309" s="14">
        <f t="shared" si="180"/>
        <v>16</v>
      </c>
      <c r="DE309" s="14">
        <f t="shared" si="181"/>
        <v>4</v>
      </c>
      <c r="DF309" s="14">
        <f t="shared" si="182"/>
        <v>24</v>
      </c>
      <c r="DG309" s="14">
        <f t="shared" si="183"/>
        <v>300</v>
      </c>
    </row>
    <row r="310" spans="77:111" ht="16.5" x14ac:dyDescent="0.2">
      <c r="BY310" s="13">
        <v>306</v>
      </c>
      <c r="BZ310" s="14">
        <f t="shared" si="166"/>
        <v>42</v>
      </c>
      <c r="CA310" s="14">
        <f t="shared" si="167"/>
        <v>2</v>
      </c>
      <c r="CB310" s="14">
        <f t="shared" si="152"/>
        <v>4</v>
      </c>
      <c r="CC310" s="14">
        <f t="shared" si="153"/>
        <v>2044022</v>
      </c>
      <c r="CD310" s="13" t="str">
        <f t="shared" si="154"/>
        <v>80级守护灵橙色-头盔</v>
      </c>
      <c r="CE310" s="14">
        <f t="shared" si="155"/>
        <v>2</v>
      </c>
      <c r="CF310" s="14">
        <f t="shared" si="156"/>
        <v>4</v>
      </c>
      <c r="CG310" s="14">
        <f t="shared" si="168"/>
        <v>80</v>
      </c>
      <c r="CH310" s="14">
        <f t="shared" si="169"/>
        <v>80</v>
      </c>
      <c r="CI310" s="14">
        <f t="shared" si="157"/>
        <v>2</v>
      </c>
      <c r="CJ310" s="14" t="str">
        <f t="shared" si="170"/>
        <v/>
      </c>
      <c r="CK310" s="14">
        <f t="shared" si="158"/>
        <v>0</v>
      </c>
      <c r="CL310" s="14">
        <f t="shared" si="159"/>
        <v>150</v>
      </c>
      <c r="CM310" s="14">
        <f t="shared" si="160"/>
        <v>0</v>
      </c>
      <c r="CN310" s="14">
        <f t="shared" si="161"/>
        <v>0</v>
      </c>
      <c r="CO310" s="14">
        <f t="shared" si="162"/>
        <v>7.48</v>
      </c>
      <c r="CP310" s="14">
        <f t="shared" si="163"/>
        <v>0</v>
      </c>
      <c r="CQ310" s="14">
        <f t="shared" si="171"/>
        <v>16</v>
      </c>
      <c r="CR310" s="14">
        <f t="shared" si="172"/>
        <v>4</v>
      </c>
      <c r="CS310" s="14">
        <f t="shared" si="173"/>
        <v>24</v>
      </c>
      <c r="CV310" s="14">
        <f t="shared" si="164"/>
        <v>2</v>
      </c>
      <c r="CW310" s="14">
        <f t="shared" si="165"/>
        <v>0</v>
      </c>
      <c r="CX310" s="14" t="str">
        <f t="shared" si="174"/>
        <v>DefExt</v>
      </c>
      <c r="CY310" s="14">
        <f t="shared" si="175"/>
        <v>150</v>
      </c>
      <c r="CZ310" s="14">
        <f t="shared" si="176"/>
        <v>7.48</v>
      </c>
      <c r="DA310" s="14" t="str">
        <f t="shared" si="177"/>
        <v/>
      </c>
      <c r="DB310" s="14" t="str">
        <f t="shared" si="178"/>
        <v/>
      </c>
      <c r="DC310" s="14" t="str">
        <f t="shared" si="179"/>
        <v/>
      </c>
      <c r="DD310" s="14">
        <f t="shared" si="180"/>
        <v>16</v>
      </c>
      <c r="DE310" s="14">
        <f t="shared" si="181"/>
        <v>4</v>
      </c>
      <c r="DF310" s="14">
        <f t="shared" si="182"/>
        <v>24</v>
      </c>
      <c r="DG310" s="14">
        <f t="shared" si="183"/>
        <v>300</v>
      </c>
    </row>
    <row r="311" spans="77:111" ht="16.5" x14ac:dyDescent="0.2">
      <c r="BY311" s="13">
        <v>307</v>
      </c>
      <c r="BZ311" s="14">
        <f t="shared" si="166"/>
        <v>42</v>
      </c>
      <c r="CA311" s="14">
        <f t="shared" si="167"/>
        <v>2</v>
      </c>
      <c r="CB311" s="14">
        <f t="shared" si="152"/>
        <v>4</v>
      </c>
      <c r="CC311" s="14">
        <f t="shared" si="153"/>
        <v>2044023</v>
      </c>
      <c r="CD311" s="13" t="str">
        <f t="shared" si="154"/>
        <v>80级守护灵橙色-肩甲</v>
      </c>
      <c r="CE311" s="14">
        <f t="shared" si="155"/>
        <v>2</v>
      </c>
      <c r="CF311" s="14">
        <f t="shared" si="156"/>
        <v>4</v>
      </c>
      <c r="CG311" s="14">
        <f t="shared" si="168"/>
        <v>80</v>
      </c>
      <c r="CH311" s="14">
        <f t="shared" si="169"/>
        <v>80</v>
      </c>
      <c r="CI311" s="14">
        <f t="shared" si="157"/>
        <v>3</v>
      </c>
      <c r="CJ311" s="14" t="str">
        <f t="shared" si="170"/>
        <v/>
      </c>
      <c r="CK311" s="14">
        <f t="shared" si="158"/>
        <v>0</v>
      </c>
      <c r="CL311" s="14">
        <f t="shared" si="159"/>
        <v>75</v>
      </c>
      <c r="CM311" s="14">
        <f t="shared" si="160"/>
        <v>794</v>
      </c>
      <c r="CN311" s="14">
        <f t="shared" si="161"/>
        <v>0</v>
      </c>
      <c r="CO311" s="14">
        <f t="shared" si="162"/>
        <v>3.74</v>
      </c>
      <c r="CP311" s="14">
        <f t="shared" si="163"/>
        <v>39.68</v>
      </c>
      <c r="CQ311" s="14">
        <f t="shared" si="171"/>
        <v>16</v>
      </c>
      <c r="CR311" s="14">
        <f t="shared" si="172"/>
        <v>4</v>
      </c>
      <c r="CS311" s="14">
        <f t="shared" si="173"/>
        <v>24</v>
      </c>
      <c r="CV311" s="14">
        <f t="shared" si="164"/>
        <v>2</v>
      </c>
      <c r="CW311" s="14">
        <f t="shared" si="165"/>
        <v>3</v>
      </c>
      <c r="CX311" s="14" t="str">
        <f t="shared" si="174"/>
        <v>DefExt</v>
      </c>
      <c r="CY311" s="14">
        <f t="shared" si="175"/>
        <v>75</v>
      </c>
      <c r="CZ311" s="14">
        <f t="shared" si="176"/>
        <v>3.74</v>
      </c>
      <c r="DA311" s="14" t="str">
        <f t="shared" si="177"/>
        <v>HPExt</v>
      </c>
      <c r="DB311" s="14">
        <f t="shared" si="178"/>
        <v>794</v>
      </c>
      <c r="DC311" s="14">
        <f t="shared" si="179"/>
        <v>39.68</v>
      </c>
      <c r="DD311" s="14">
        <f t="shared" si="180"/>
        <v>16</v>
      </c>
      <c r="DE311" s="14">
        <f t="shared" si="181"/>
        <v>4</v>
      </c>
      <c r="DF311" s="14">
        <f t="shared" si="182"/>
        <v>24</v>
      </c>
      <c r="DG311" s="14">
        <f t="shared" si="183"/>
        <v>300</v>
      </c>
    </row>
    <row r="312" spans="77:111" ht="16.5" x14ac:dyDescent="0.2">
      <c r="BY312" s="13">
        <v>308</v>
      </c>
      <c r="BZ312" s="14">
        <f t="shared" si="166"/>
        <v>42</v>
      </c>
      <c r="CA312" s="14">
        <f t="shared" si="167"/>
        <v>2</v>
      </c>
      <c r="CB312" s="14">
        <f t="shared" si="152"/>
        <v>4</v>
      </c>
      <c r="CC312" s="14">
        <f t="shared" si="153"/>
        <v>2044024</v>
      </c>
      <c r="CD312" s="13" t="str">
        <f t="shared" si="154"/>
        <v>80级守护灵橙色-衣服</v>
      </c>
      <c r="CE312" s="14">
        <f t="shared" si="155"/>
        <v>2</v>
      </c>
      <c r="CF312" s="14">
        <f t="shared" si="156"/>
        <v>4</v>
      </c>
      <c r="CG312" s="14">
        <f t="shared" si="168"/>
        <v>80</v>
      </c>
      <c r="CH312" s="14">
        <f t="shared" si="169"/>
        <v>80</v>
      </c>
      <c r="CI312" s="14">
        <f t="shared" si="157"/>
        <v>4</v>
      </c>
      <c r="CJ312" s="14" t="str">
        <f t="shared" si="170"/>
        <v/>
      </c>
      <c r="CK312" s="14">
        <f t="shared" si="158"/>
        <v>0</v>
      </c>
      <c r="CL312" s="14">
        <f t="shared" si="159"/>
        <v>150</v>
      </c>
      <c r="CM312" s="14">
        <f t="shared" si="160"/>
        <v>0</v>
      </c>
      <c r="CN312" s="14">
        <f t="shared" si="161"/>
        <v>0</v>
      </c>
      <c r="CO312" s="14">
        <f t="shared" si="162"/>
        <v>7.48</v>
      </c>
      <c r="CP312" s="14">
        <f t="shared" si="163"/>
        <v>0</v>
      </c>
      <c r="CQ312" s="14">
        <f t="shared" si="171"/>
        <v>16</v>
      </c>
      <c r="CR312" s="14">
        <f t="shared" si="172"/>
        <v>4</v>
      </c>
      <c r="CS312" s="14">
        <f t="shared" si="173"/>
        <v>24</v>
      </c>
      <c r="CV312" s="14">
        <f t="shared" si="164"/>
        <v>2</v>
      </c>
      <c r="CW312" s="14">
        <f t="shared" si="165"/>
        <v>0</v>
      </c>
      <c r="CX312" s="14" t="str">
        <f t="shared" si="174"/>
        <v>DefExt</v>
      </c>
      <c r="CY312" s="14">
        <f t="shared" si="175"/>
        <v>150</v>
      </c>
      <c r="CZ312" s="14">
        <f t="shared" si="176"/>
        <v>7.48</v>
      </c>
      <c r="DA312" s="14" t="str">
        <f t="shared" si="177"/>
        <v/>
      </c>
      <c r="DB312" s="14" t="str">
        <f t="shared" si="178"/>
        <v/>
      </c>
      <c r="DC312" s="14" t="str">
        <f t="shared" si="179"/>
        <v/>
      </c>
      <c r="DD312" s="14">
        <f t="shared" si="180"/>
        <v>16</v>
      </c>
      <c r="DE312" s="14">
        <f t="shared" si="181"/>
        <v>4</v>
      </c>
      <c r="DF312" s="14">
        <f t="shared" si="182"/>
        <v>24</v>
      </c>
      <c r="DG312" s="14">
        <f t="shared" si="183"/>
        <v>300</v>
      </c>
    </row>
    <row r="313" spans="77:111" ht="16.5" x14ac:dyDescent="0.2">
      <c r="BY313" s="13">
        <v>309</v>
      </c>
      <c r="BZ313" s="14">
        <f t="shared" si="166"/>
        <v>42</v>
      </c>
      <c r="CA313" s="14">
        <f t="shared" si="167"/>
        <v>2</v>
      </c>
      <c r="CB313" s="14">
        <f t="shared" si="152"/>
        <v>4</v>
      </c>
      <c r="CC313" s="14">
        <f t="shared" si="153"/>
        <v>2044025</v>
      </c>
      <c r="CD313" s="13" t="str">
        <f t="shared" si="154"/>
        <v>80级守护灵橙色-鞋子</v>
      </c>
      <c r="CE313" s="14">
        <f t="shared" si="155"/>
        <v>2</v>
      </c>
      <c r="CF313" s="14">
        <f t="shared" si="156"/>
        <v>4</v>
      </c>
      <c r="CG313" s="14">
        <f t="shared" si="168"/>
        <v>80</v>
      </c>
      <c r="CH313" s="14">
        <f t="shared" si="169"/>
        <v>80</v>
      </c>
      <c r="CI313" s="14">
        <f t="shared" si="157"/>
        <v>5</v>
      </c>
      <c r="CJ313" s="14" t="str">
        <f t="shared" si="170"/>
        <v/>
      </c>
      <c r="CK313" s="14">
        <f t="shared" si="158"/>
        <v>0</v>
      </c>
      <c r="CL313" s="14">
        <f t="shared" si="159"/>
        <v>0</v>
      </c>
      <c r="CM313" s="14">
        <f t="shared" si="160"/>
        <v>1587</v>
      </c>
      <c r="CN313" s="14">
        <f t="shared" si="161"/>
        <v>0</v>
      </c>
      <c r="CO313" s="14">
        <f t="shared" si="162"/>
        <v>0</v>
      </c>
      <c r="CP313" s="14">
        <f t="shared" si="163"/>
        <v>79.36</v>
      </c>
      <c r="CQ313" s="14">
        <f t="shared" si="171"/>
        <v>16</v>
      </c>
      <c r="CR313" s="14">
        <f t="shared" si="172"/>
        <v>4</v>
      </c>
      <c r="CS313" s="14">
        <f t="shared" si="173"/>
        <v>24</v>
      </c>
      <c r="CV313" s="14">
        <f t="shared" si="164"/>
        <v>3</v>
      </c>
      <c r="CW313" s="14">
        <f t="shared" si="165"/>
        <v>0</v>
      </c>
      <c r="CX313" s="14" t="str">
        <f t="shared" si="174"/>
        <v>HPExt</v>
      </c>
      <c r="CY313" s="14">
        <f t="shared" si="175"/>
        <v>1587</v>
      </c>
      <c r="CZ313" s="14">
        <f t="shared" si="176"/>
        <v>79.36</v>
      </c>
      <c r="DA313" s="14" t="str">
        <f t="shared" si="177"/>
        <v/>
      </c>
      <c r="DB313" s="14" t="str">
        <f t="shared" si="178"/>
        <v/>
      </c>
      <c r="DC313" s="14" t="str">
        <f t="shared" si="179"/>
        <v/>
      </c>
      <c r="DD313" s="14">
        <f t="shared" si="180"/>
        <v>16</v>
      </c>
      <c r="DE313" s="14">
        <f t="shared" si="181"/>
        <v>4</v>
      </c>
      <c r="DF313" s="14">
        <f t="shared" si="182"/>
        <v>24</v>
      </c>
      <c r="DG313" s="14">
        <f t="shared" si="183"/>
        <v>300</v>
      </c>
    </row>
    <row r="314" spans="77:111" ht="16.5" x14ac:dyDescent="0.2">
      <c r="BY314" s="13">
        <v>310</v>
      </c>
      <c r="BZ314" s="14">
        <f t="shared" si="166"/>
        <v>42</v>
      </c>
      <c r="CA314" s="14">
        <f t="shared" si="167"/>
        <v>2</v>
      </c>
      <c r="CB314" s="14">
        <f t="shared" si="152"/>
        <v>4</v>
      </c>
      <c r="CC314" s="14">
        <f t="shared" si="153"/>
        <v>2044026</v>
      </c>
      <c r="CD314" s="13" t="str">
        <f t="shared" si="154"/>
        <v>80级守护灵橙色-护手</v>
      </c>
      <c r="CE314" s="14">
        <f t="shared" si="155"/>
        <v>2</v>
      </c>
      <c r="CF314" s="14">
        <f t="shared" si="156"/>
        <v>4</v>
      </c>
      <c r="CG314" s="14">
        <f t="shared" si="168"/>
        <v>80</v>
      </c>
      <c r="CH314" s="14">
        <f t="shared" si="169"/>
        <v>80</v>
      </c>
      <c r="CI314" s="14">
        <f t="shared" si="157"/>
        <v>6</v>
      </c>
      <c r="CJ314" s="14" t="str">
        <f t="shared" si="170"/>
        <v/>
      </c>
      <c r="CK314" s="14">
        <f t="shared" si="158"/>
        <v>0</v>
      </c>
      <c r="CL314" s="14">
        <f t="shared" si="159"/>
        <v>0</v>
      </c>
      <c r="CM314" s="14">
        <f t="shared" si="160"/>
        <v>1587</v>
      </c>
      <c r="CN314" s="14">
        <f t="shared" si="161"/>
        <v>0</v>
      </c>
      <c r="CO314" s="14">
        <f t="shared" si="162"/>
        <v>0</v>
      </c>
      <c r="CP314" s="14">
        <f t="shared" si="163"/>
        <v>79.36</v>
      </c>
      <c r="CQ314" s="14">
        <f t="shared" si="171"/>
        <v>16</v>
      </c>
      <c r="CR314" s="14">
        <f t="shared" si="172"/>
        <v>4</v>
      </c>
      <c r="CS314" s="14">
        <f t="shared" si="173"/>
        <v>24</v>
      </c>
      <c r="CV314" s="14">
        <f t="shared" si="164"/>
        <v>3</v>
      </c>
      <c r="CW314" s="14">
        <f t="shared" si="165"/>
        <v>0</v>
      </c>
      <c r="CX314" s="14" t="str">
        <f t="shared" si="174"/>
        <v>HPExt</v>
      </c>
      <c r="CY314" s="14">
        <f t="shared" si="175"/>
        <v>1587</v>
      </c>
      <c r="CZ314" s="14">
        <f t="shared" si="176"/>
        <v>79.36</v>
      </c>
      <c r="DA314" s="14" t="str">
        <f t="shared" si="177"/>
        <v/>
      </c>
      <c r="DB314" s="14" t="str">
        <f t="shared" si="178"/>
        <v/>
      </c>
      <c r="DC314" s="14" t="str">
        <f t="shared" si="179"/>
        <v/>
      </c>
      <c r="DD314" s="14">
        <f t="shared" si="180"/>
        <v>16</v>
      </c>
      <c r="DE314" s="14">
        <f t="shared" si="181"/>
        <v>4</v>
      </c>
      <c r="DF314" s="14">
        <f t="shared" si="182"/>
        <v>24</v>
      </c>
      <c r="DG314" s="14">
        <f t="shared" si="183"/>
        <v>300</v>
      </c>
    </row>
    <row r="315" spans="77:111" ht="16.5" x14ac:dyDescent="0.2">
      <c r="BY315" s="13">
        <v>311</v>
      </c>
      <c r="BZ315" s="14">
        <f t="shared" si="166"/>
        <v>42</v>
      </c>
      <c r="CA315" s="14">
        <f t="shared" si="167"/>
        <v>2</v>
      </c>
      <c r="CB315" s="14">
        <f t="shared" si="152"/>
        <v>4</v>
      </c>
      <c r="CC315" s="14">
        <f t="shared" si="153"/>
        <v>2044027</v>
      </c>
      <c r="CD315" s="13" t="str">
        <f t="shared" si="154"/>
        <v>80级守护灵橙色-项链</v>
      </c>
      <c r="CE315" s="14">
        <f t="shared" si="155"/>
        <v>2</v>
      </c>
      <c r="CF315" s="14">
        <f t="shared" si="156"/>
        <v>4</v>
      </c>
      <c r="CG315" s="14">
        <f t="shared" si="168"/>
        <v>80</v>
      </c>
      <c r="CH315" s="14">
        <f t="shared" si="169"/>
        <v>80</v>
      </c>
      <c r="CI315" s="14">
        <f t="shared" si="157"/>
        <v>7</v>
      </c>
      <c r="CJ315" s="14" t="str">
        <f t="shared" si="170"/>
        <v/>
      </c>
      <c r="CK315" s="14">
        <f t="shared" si="158"/>
        <v>205</v>
      </c>
      <c r="CL315" s="14">
        <f t="shared" si="159"/>
        <v>125</v>
      </c>
      <c r="CM315" s="14">
        <f t="shared" si="160"/>
        <v>0</v>
      </c>
      <c r="CN315" s="14">
        <f t="shared" si="161"/>
        <v>10.26</v>
      </c>
      <c r="CO315" s="14">
        <f t="shared" si="162"/>
        <v>6.24</v>
      </c>
      <c r="CP315" s="14">
        <f t="shared" si="163"/>
        <v>0</v>
      </c>
      <c r="CQ315" s="14">
        <f t="shared" si="171"/>
        <v>16</v>
      </c>
      <c r="CR315" s="14">
        <f t="shared" si="172"/>
        <v>4</v>
      </c>
      <c r="CS315" s="14">
        <f t="shared" si="173"/>
        <v>24</v>
      </c>
      <c r="CV315" s="14">
        <f t="shared" si="164"/>
        <v>1</v>
      </c>
      <c r="CW315" s="14">
        <f t="shared" si="165"/>
        <v>2</v>
      </c>
      <c r="CX315" s="14" t="str">
        <f t="shared" si="174"/>
        <v>AtkExt</v>
      </c>
      <c r="CY315" s="14">
        <f t="shared" si="175"/>
        <v>205</v>
      </c>
      <c r="CZ315" s="14">
        <f t="shared" si="176"/>
        <v>10.26</v>
      </c>
      <c r="DA315" s="14" t="str">
        <f t="shared" si="177"/>
        <v>DefExt</v>
      </c>
      <c r="DB315" s="14">
        <f t="shared" si="178"/>
        <v>125</v>
      </c>
      <c r="DC315" s="14">
        <f t="shared" si="179"/>
        <v>6.24</v>
      </c>
      <c r="DD315" s="14">
        <f t="shared" si="180"/>
        <v>16</v>
      </c>
      <c r="DE315" s="14">
        <f t="shared" si="181"/>
        <v>4</v>
      </c>
      <c r="DF315" s="14">
        <f t="shared" si="182"/>
        <v>24</v>
      </c>
      <c r="DG315" s="14">
        <f t="shared" si="183"/>
        <v>300</v>
      </c>
    </row>
    <row r="316" spans="77:111" ht="16.5" x14ac:dyDescent="0.2">
      <c r="BY316" s="13">
        <v>312</v>
      </c>
      <c r="BZ316" s="14">
        <f t="shared" si="166"/>
        <v>42</v>
      </c>
      <c r="CA316" s="14">
        <f t="shared" si="167"/>
        <v>2</v>
      </c>
      <c r="CB316" s="14">
        <f t="shared" si="152"/>
        <v>4</v>
      </c>
      <c r="CC316" s="14">
        <f t="shared" si="153"/>
        <v>2044028</v>
      </c>
      <c r="CD316" s="13" t="str">
        <f t="shared" si="154"/>
        <v>80级守护灵橙色-戒指</v>
      </c>
      <c r="CE316" s="14">
        <f t="shared" si="155"/>
        <v>2</v>
      </c>
      <c r="CF316" s="14">
        <f t="shared" si="156"/>
        <v>4</v>
      </c>
      <c r="CG316" s="14">
        <f t="shared" si="168"/>
        <v>80</v>
      </c>
      <c r="CH316" s="14">
        <f t="shared" si="169"/>
        <v>80</v>
      </c>
      <c r="CI316" s="14">
        <f t="shared" si="157"/>
        <v>8</v>
      </c>
      <c r="CJ316" s="14" t="str">
        <f t="shared" si="170"/>
        <v/>
      </c>
      <c r="CK316" s="14">
        <f t="shared" si="158"/>
        <v>205</v>
      </c>
      <c r="CL316" s="14">
        <f t="shared" si="159"/>
        <v>0</v>
      </c>
      <c r="CM316" s="14">
        <f t="shared" si="160"/>
        <v>1323</v>
      </c>
      <c r="CN316" s="14">
        <f t="shared" si="161"/>
        <v>10.26</v>
      </c>
      <c r="CO316" s="14">
        <f t="shared" si="162"/>
        <v>0</v>
      </c>
      <c r="CP316" s="14">
        <f t="shared" si="163"/>
        <v>66.13</v>
      </c>
      <c r="CQ316" s="14">
        <f t="shared" si="171"/>
        <v>16</v>
      </c>
      <c r="CR316" s="14">
        <f t="shared" si="172"/>
        <v>4</v>
      </c>
      <c r="CS316" s="14">
        <f t="shared" si="173"/>
        <v>24</v>
      </c>
      <c r="CV316" s="14">
        <f t="shared" si="164"/>
        <v>1</v>
      </c>
      <c r="CW316" s="14">
        <f t="shared" si="165"/>
        <v>3</v>
      </c>
      <c r="CX316" s="14" t="str">
        <f t="shared" si="174"/>
        <v>AtkExt</v>
      </c>
      <c r="CY316" s="14">
        <f t="shared" si="175"/>
        <v>205</v>
      </c>
      <c r="CZ316" s="14">
        <f t="shared" si="176"/>
        <v>10.26</v>
      </c>
      <c r="DA316" s="14" t="str">
        <f t="shared" si="177"/>
        <v>HPExt</v>
      </c>
      <c r="DB316" s="14">
        <f t="shared" si="178"/>
        <v>1323</v>
      </c>
      <c r="DC316" s="14">
        <f t="shared" si="179"/>
        <v>66.13</v>
      </c>
      <c r="DD316" s="14">
        <f t="shared" si="180"/>
        <v>16</v>
      </c>
      <c r="DE316" s="14">
        <f t="shared" si="181"/>
        <v>4</v>
      </c>
      <c r="DF316" s="14">
        <f t="shared" si="182"/>
        <v>24</v>
      </c>
      <c r="DG316" s="14">
        <f t="shared" si="183"/>
        <v>300</v>
      </c>
    </row>
    <row r="317" spans="77:111" ht="16.5" x14ac:dyDescent="0.2">
      <c r="BY317" s="13">
        <v>313</v>
      </c>
      <c r="BZ317" s="14">
        <f t="shared" si="166"/>
        <v>43</v>
      </c>
      <c r="CA317" s="14">
        <f t="shared" si="167"/>
        <v>3</v>
      </c>
      <c r="CB317" s="14">
        <f t="shared" si="152"/>
        <v>4</v>
      </c>
      <c r="CC317" s="14">
        <f t="shared" si="153"/>
        <v>2044031</v>
      </c>
      <c r="CD317" s="13" t="str">
        <f t="shared" si="154"/>
        <v>80级寄灵人橙色套1-武器</v>
      </c>
      <c r="CE317" s="14">
        <f t="shared" si="155"/>
        <v>1</v>
      </c>
      <c r="CF317" s="14">
        <f t="shared" si="156"/>
        <v>4</v>
      </c>
      <c r="CG317" s="14">
        <f t="shared" si="168"/>
        <v>80</v>
      </c>
      <c r="CH317" s="14">
        <f t="shared" si="169"/>
        <v>80</v>
      </c>
      <c r="CI317" s="14">
        <f t="shared" si="157"/>
        <v>1</v>
      </c>
      <c r="CJ317" s="14">
        <f t="shared" si="170"/>
        <v>1041</v>
      </c>
      <c r="CK317" s="14">
        <f t="shared" si="158"/>
        <v>582</v>
      </c>
      <c r="CL317" s="14">
        <f t="shared" si="159"/>
        <v>0</v>
      </c>
      <c r="CM317" s="14">
        <f t="shared" si="160"/>
        <v>0</v>
      </c>
      <c r="CN317" s="14">
        <f t="shared" si="161"/>
        <v>29.1</v>
      </c>
      <c r="CO317" s="14">
        <f t="shared" si="162"/>
        <v>0</v>
      </c>
      <c r="CP317" s="14">
        <f t="shared" si="163"/>
        <v>0</v>
      </c>
      <c r="CQ317" s="14">
        <f t="shared" si="171"/>
        <v>16</v>
      </c>
      <c r="CR317" s="14">
        <f t="shared" si="172"/>
        <v>4</v>
      </c>
      <c r="CS317" s="14">
        <f t="shared" si="173"/>
        <v>14</v>
      </c>
      <c r="CV317" s="14">
        <f t="shared" si="164"/>
        <v>1</v>
      </c>
      <c r="CW317" s="14">
        <f t="shared" si="165"/>
        <v>0</v>
      </c>
      <c r="CX317" s="14" t="str">
        <f t="shared" si="174"/>
        <v>AtkExt</v>
      </c>
      <c r="CY317" s="14">
        <f t="shared" si="175"/>
        <v>582</v>
      </c>
      <c r="CZ317" s="14">
        <f t="shared" si="176"/>
        <v>29.1</v>
      </c>
      <c r="DA317" s="14" t="str">
        <f t="shared" si="177"/>
        <v/>
      </c>
      <c r="DB317" s="14" t="str">
        <f t="shared" si="178"/>
        <v/>
      </c>
      <c r="DC317" s="14" t="str">
        <f t="shared" si="179"/>
        <v/>
      </c>
      <c r="DD317" s="14">
        <f t="shared" si="180"/>
        <v>16</v>
      </c>
      <c r="DE317" s="14">
        <f t="shared" si="181"/>
        <v>4</v>
      </c>
      <c r="DF317" s="14">
        <f t="shared" si="182"/>
        <v>14</v>
      </c>
      <c r="DG317" s="14">
        <f t="shared" si="183"/>
        <v>300</v>
      </c>
    </row>
    <row r="318" spans="77:111" ht="16.5" x14ac:dyDescent="0.2">
      <c r="BY318" s="13">
        <v>314</v>
      </c>
      <c r="BZ318" s="14">
        <f t="shared" si="166"/>
        <v>43</v>
      </c>
      <c r="CA318" s="14">
        <f t="shared" si="167"/>
        <v>3</v>
      </c>
      <c r="CB318" s="14">
        <f t="shared" si="152"/>
        <v>4</v>
      </c>
      <c r="CC318" s="14">
        <f t="shared" si="153"/>
        <v>2044032</v>
      </c>
      <c r="CD318" s="13" t="str">
        <f t="shared" si="154"/>
        <v>80级寄灵人橙色套1-头盔</v>
      </c>
      <c r="CE318" s="14">
        <f t="shared" si="155"/>
        <v>1</v>
      </c>
      <c r="CF318" s="14">
        <f t="shared" si="156"/>
        <v>4</v>
      </c>
      <c r="CG318" s="14">
        <f t="shared" si="168"/>
        <v>80</v>
      </c>
      <c r="CH318" s="14">
        <f t="shared" si="169"/>
        <v>80</v>
      </c>
      <c r="CI318" s="14">
        <f t="shared" si="157"/>
        <v>2</v>
      </c>
      <c r="CJ318" s="14">
        <f t="shared" si="170"/>
        <v>1041</v>
      </c>
      <c r="CK318" s="14">
        <f t="shared" si="158"/>
        <v>0</v>
      </c>
      <c r="CL318" s="14">
        <f t="shared" si="159"/>
        <v>143</v>
      </c>
      <c r="CM318" s="14">
        <f t="shared" si="160"/>
        <v>0</v>
      </c>
      <c r="CN318" s="14">
        <f t="shared" si="161"/>
        <v>0</v>
      </c>
      <c r="CO318" s="14">
        <f t="shared" si="162"/>
        <v>7.13</v>
      </c>
      <c r="CP318" s="14">
        <f t="shared" si="163"/>
        <v>0</v>
      </c>
      <c r="CQ318" s="14">
        <f t="shared" si="171"/>
        <v>16</v>
      </c>
      <c r="CR318" s="14">
        <f t="shared" si="172"/>
        <v>4</v>
      </c>
      <c r="CS318" s="14">
        <f t="shared" si="173"/>
        <v>14</v>
      </c>
      <c r="CV318" s="14">
        <f t="shared" si="164"/>
        <v>2</v>
      </c>
      <c r="CW318" s="14">
        <f t="shared" si="165"/>
        <v>0</v>
      </c>
      <c r="CX318" s="14" t="str">
        <f t="shared" si="174"/>
        <v>DefExt</v>
      </c>
      <c r="CY318" s="14">
        <f t="shared" si="175"/>
        <v>143</v>
      </c>
      <c r="CZ318" s="14">
        <f t="shared" si="176"/>
        <v>7.13</v>
      </c>
      <c r="DA318" s="14" t="str">
        <f t="shared" si="177"/>
        <v/>
      </c>
      <c r="DB318" s="14" t="str">
        <f t="shared" si="178"/>
        <v/>
      </c>
      <c r="DC318" s="14" t="str">
        <f t="shared" si="179"/>
        <v/>
      </c>
      <c r="DD318" s="14">
        <f t="shared" si="180"/>
        <v>16</v>
      </c>
      <c r="DE318" s="14">
        <f t="shared" si="181"/>
        <v>4</v>
      </c>
      <c r="DF318" s="14">
        <f t="shared" si="182"/>
        <v>14</v>
      </c>
      <c r="DG318" s="14">
        <f t="shared" si="183"/>
        <v>300</v>
      </c>
    </row>
    <row r="319" spans="77:111" ht="16.5" x14ac:dyDescent="0.2">
      <c r="BY319" s="13">
        <v>315</v>
      </c>
      <c r="BZ319" s="14">
        <f t="shared" si="166"/>
        <v>43</v>
      </c>
      <c r="CA319" s="14">
        <f t="shared" si="167"/>
        <v>3</v>
      </c>
      <c r="CB319" s="14">
        <f t="shared" si="152"/>
        <v>4</v>
      </c>
      <c r="CC319" s="14">
        <f t="shared" si="153"/>
        <v>2044033</v>
      </c>
      <c r="CD319" s="13" t="str">
        <f t="shared" si="154"/>
        <v>80级寄灵人橙色套1-肩甲</v>
      </c>
      <c r="CE319" s="14">
        <f t="shared" si="155"/>
        <v>1</v>
      </c>
      <c r="CF319" s="14">
        <f t="shared" si="156"/>
        <v>4</v>
      </c>
      <c r="CG319" s="14">
        <f t="shared" si="168"/>
        <v>80</v>
      </c>
      <c r="CH319" s="14">
        <f t="shared" si="169"/>
        <v>80</v>
      </c>
      <c r="CI319" s="14">
        <f t="shared" si="157"/>
        <v>3</v>
      </c>
      <c r="CJ319" s="14">
        <f t="shared" si="170"/>
        <v>1041</v>
      </c>
      <c r="CK319" s="14">
        <f t="shared" si="158"/>
        <v>0</v>
      </c>
      <c r="CL319" s="14">
        <f t="shared" si="159"/>
        <v>71</v>
      </c>
      <c r="CM319" s="14">
        <f t="shared" si="160"/>
        <v>444</v>
      </c>
      <c r="CN319" s="14">
        <f t="shared" si="161"/>
        <v>0</v>
      </c>
      <c r="CO319" s="14">
        <f t="shared" si="162"/>
        <v>3.57</v>
      </c>
      <c r="CP319" s="14">
        <f t="shared" si="163"/>
        <v>22.2</v>
      </c>
      <c r="CQ319" s="14">
        <f t="shared" si="171"/>
        <v>16</v>
      </c>
      <c r="CR319" s="14">
        <f t="shared" si="172"/>
        <v>4</v>
      </c>
      <c r="CS319" s="14">
        <f t="shared" si="173"/>
        <v>14</v>
      </c>
      <c r="CV319" s="14">
        <f t="shared" si="164"/>
        <v>2</v>
      </c>
      <c r="CW319" s="14">
        <f t="shared" si="165"/>
        <v>3</v>
      </c>
      <c r="CX319" s="14" t="str">
        <f t="shared" si="174"/>
        <v>DefExt</v>
      </c>
      <c r="CY319" s="14">
        <f t="shared" si="175"/>
        <v>71</v>
      </c>
      <c r="CZ319" s="14">
        <f t="shared" si="176"/>
        <v>3.57</v>
      </c>
      <c r="DA319" s="14" t="str">
        <f t="shared" si="177"/>
        <v>HPExt</v>
      </c>
      <c r="DB319" s="14">
        <f t="shared" si="178"/>
        <v>444</v>
      </c>
      <c r="DC319" s="14">
        <f t="shared" si="179"/>
        <v>22.2</v>
      </c>
      <c r="DD319" s="14">
        <f t="shared" si="180"/>
        <v>16</v>
      </c>
      <c r="DE319" s="14">
        <f t="shared" si="181"/>
        <v>4</v>
      </c>
      <c r="DF319" s="14">
        <f t="shared" si="182"/>
        <v>14</v>
      </c>
      <c r="DG319" s="14">
        <f t="shared" si="183"/>
        <v>300</v>
      </c>
    </row>
    <row r="320" spans="77:111" ht="16.5" x14ac:dyDescent="0.2">
      <c r="BY320" s="13">
        <v>316</v>
      </c>
      <c r="BZ320" s="14">
        <f t="shared" si="166"/>
        <v>43</v>
      </c>
      <c r="CA320" s="14">
        <f t="shared" si="167"/>
        <v>3</v>
      </c>
      <c r="CB320" s="14">
        <f t="shared" si="152"/>
        <v>4</v>
      </c>
      <c r="CC320" s="14">
        <f t="shared" si="153"/>
        <v>2044034</v>
      </c>
      <c r="CD320" s="13" t="str">
        <f t="shared" si="154"/>
        <v>80级寄灵人橙色套1-衣服</v>
      </c>
      <c r="CE320" s="14">
        <f t="shared" si="155"/>
        <v>1</v>
      </c>
      <c r="CF320" s="14">
        <f t="shared" si="156"/>
        <v>4</v>
      </c>
      <c r="CG320" s="14">
        <f t="shared" si="168"/>
        <v>80</v>
      </c>
      <c r="CH320" s="14">
        <f t="shared" si="169"/>
        <v>80</v>
      </c>
      <c r="CI320" s="14">
        <f t="shared" si="157"/>
        <v>4</v>
      </c>
      <c r="CJ320" s="14">
        <f t="shared" si="170"/>
        <v>1041</v>
      </c>
      <c r="CK320" s="14">
        <f t="shared" si="158"/>
        <v>0</v>
      </c>
      <c r="CL320" s="14">
        <f t="shared" si="159"/>
        <v>143</v>
      </c>
      <c r="CM320" s="14">
        <f t="shared" si="160"/>
        <v>0</v>
      </c>
      <c r="CN320" s="14">
        <f t="shared" si="161"/>
        <v>0</v>
      </c>
      <c r="CO320" s="14">
        <f t="shared" si="162"/>
        <v>7.13</v>
      </c>
      <c r="CP320" s="14">
        <f t="shared" si="163"/>
        <v>0</v>
      </c>
      <c r="CQ320" s="14">
        <f t="shared" si="171"/>
        <v>16</v>
      </c>
      <c r="CR320" s="14">
        <f t="shared" si="172"/>
        <v>4</v>
      </c>
      <c r="CS320" s="14">
        <f t="shared" si="173"/>
        <v>14</v>
      </c>
      <c r="CV320" s="14">
        <f t="shared" si="164"/>
        <v>2</v>
      </c>
      <c r="CW320" s="14">
        <f t="shared" si="165"/>
        <v>0</v>
      </c>
      <c r="CX320" s="14" t="str">
        <f t="shared" si="174"/>
        <v>DefExt</v>
      </c>
      <c r="CY320" s="14">
        <f t="shared" si="175"/>
        <v>143</v>
      </c>
      <c r="CZ320" s="14">
        <f t="shared" si="176"/>
        <v>7.13</v>
      </c>
      <c r="DA320" s="14" t="str">
        <f t="shared" si="177"/>
        <v/>
      </c>
      <c r="DB320" s="14" t="str">
        <f t="shared" si="178"/>
        <v/>
      </c>
      <c r="DC320" s="14" t="str">
        <f t="shared" si="179"/>
        <v/>
      </c>
      <c r="DD320" s="14">
        <f t="shared" si="180"/>
        <v>16</v>
      </c>
      <c r="DE320" s="14">
        <f t="shared" si="181"/>
        <v>4</v>
      </c>
      <c r="DF320" s="14">
        <f t="shared" si="182"/>
        <v>14</v>
      </c>
      <c r="DG320" s="14">
        <f t="shared" si="183"/>
        <v>300</v>
      </c>
    </row>
    <row r="321" spans="77:111" ht="16.5" x14ac:dyDescent="0.2">
      <c r="BY321" s="13">
        <v>317</v>
      </c>
      <c r="BZ321" s="14">
        <f t="shared" si="166"/>
        <v>43</v>
      </c>
      <c r="CA321" s="14">
        <f t="shared" si="167"/>
        <v>3</v>
      </c>
      <c r="CB321" s="14">
        <f t="shared" si="152"/>
        <v>4</v>
      </c>
      <c r="CC321" s="14">
        <f t="shared" si="153"/>
        <v>2044035</v>
      </c>
      <c r="CD321" s="13" t="str">
        <f t="shared" si="154"/>
        <v>80级寄灵人橙色套1-鞋子</v>
      </c>
      <c r="CE321" s="14">
        <f t="shared" si="155"/>
        <v>1</v>
      </c>
      <c r="CF321" s="14">
        <f t="shared" si="156"/>
        <v>4</v>
      </c>
      <c r="CG321" s="14">
        <f t="shared" si="168"/>
        <v>80</v>
      </c>
      <c r="CH321" s="14">
        <f t="shared" si="169"/>
        <v>80</v>
      </c>
      <c r="CI321" s="14">
        <f t="shared" si="157"/>
        <v>5</v>
      </c>
      <c r="CJ321" s="14">
        <f t="shared" si="170"/>
        <v>1041</v>
      </c>
      <c r="CK321" s="14">
        <f t="shared" si="158"/>
        <v>0</v>
      </c>
      <c r="CL321" s="14">
        <f t="shared" si="159"/>
        <v>0</v>
      </c>
      <c r="CM321" s="14">
        <f t="shared" si="160"/>
        <v>888</v>
      </c>
      <c r="CN321" s="14">
        <f t="shared" si="161"/>
        <v>0</v>
      </c>
      <c r="CO321" s="14">
        <f t="shared" si="162"/>
        <v>0</v>
      </c>
      <c r="CP321" s="14">
        <f t="shared" si="163"/>
        <v>44.41</v>
      </c>
      <c r="CQ321" s="14">
        <f t="shared" si="171"/>
        <v>16</v>
      </c>
      <c r="CR321" s="14">
        <f t="shared" si="172"/>
        <v>4</v>
      </c>
      <c r="CS321" s="14">
        <f t="shared" si="173"/>
        <v>14</v>
      </c>
      <c r="CV321" s="14">
        <f t="shared" si="164"/>
        <v>3</v>
      </c>
      <c r="CW321" s="14">
        <f t="shared" si="165"/>
        <v>0</v>
      </c>
      <c r="CX321" s="14" t="str">
        <f t="shared" si="174"/>
        <v>HPExt</v>
      </c>
      <c r="CY321" s="14">
        <f t="shared" si="175"/>
        <v>888</v>
      </c>
      <c r="CZ321" s="14">
        <f t="shared" si="176"/>
        <v>44.41</v>
      </c>
      <c r="DA321" s="14" t="str">
        <f t="shared" si="177"/>
        <v/>
      </c>
      <c r="DB321" s="14" t="str">
        <f t="shared" si="178"/>
        <v/>
      </c>
      <c r="DC321" s="14" t="str">
        <f t="shared" si="179"/>
        <v/>
      </c>
      <c r="DD321" s="14">
        <f t="shared" si="180"/>
        <v>16</v>
      </c>
      <c r="DE321" s="14">
        <f t="shared" si="181"/>
        <v>4</v>
      </c>
      <c r="DF321" s="14">
        <f t="shared" si="182"/>
        <v>14</v>
      </c>
      <c r="DG321" s="14">
        <f t="shared" si="183"/>
        <v>300</v>
      </c>
    </row>
    <row r="322" spans="77:111" ht="16.5" x14ac:dyDescent="0.2">
      <c r="BY322" s="13">
        <v>318</v>
      </c>
      <c r="BZ322" s="14">
        <f t="shared" si="166"/>
        <v>44</v>
      </c>
      <c r="CA322" s="14">
        <f t="shared" si="167"/>
        <v>4</v>
      </c>
      <c r="CB322" s="14">
        <f t="shared" si="152"/>
        <v>4</v>
      </c>
      <c r="CC322" s="14">
        <f t="shared" si="153"/>
        <v>2044041</v>
      </c>
      <c r="CD322" s="13" t="str">
        <f t="shared" si="154"/>
        <v>80级守护灵橙色套1-武器</v>
      </c>
      <c r="CE322" s="14">
        <f t="shared" si="155"/>
        <v>2</v>
      </c>
      <c r="CF322" s="14">
        <f t="shared" si="156"/>
        <v>4</v>
      </c>
      <c r="CG322" s="14">
        <f t="shared" si="168"/>
        <v>80</v>
      </c>
      <c r="CH322" s="14">
        <f t="shared" si="169"/>
        <v>80</v>
      </c>
      <c r="CI322" s="14">
        <f t="shared" si="157"/>
        <v>1</v>
      </c>
      <c r="CJ322" s="14">
        <f t="shared" si="170"/>
        <v>2041</v>
      </c>
      <c r="CK322" s="14">
        <f t="shared" si="158"/>
        <v>616</v>
      </c>
      <c r="CL322" s="14">
        <f t="shared" si="159"/>
        <v>0</v>
      </c>
      <c r="CM322" s="14">
        <f t="shared" si="160"/>
        <v>0</v>
      </c>
      <c r="CN322" s="14">
        <f t="shared" si="161"/>
        <v>30.79</v>
      </c>
      <c r="CO322" s="14">
        <f t="shared" si="162"/>
        <v>0</v>
      </c>
      <c r="CP322" s="14">
        <f t="shared" si="163"/>
        <v>0</v>
      </c>
      <c r="CQ322" s="14">
        <f t="shared" si="171"/>
        <v>16</v>
      </c>
      <c r="CR322" s="14">
        <f t="shared" si="172"/>
        <v>4</v>
      </c>
      <c r="CS322" s="14">
        <f t="shared" si="173"/>
        <v>24</v>
      </c>
      <c r="CV322" s="14">
        <f t="shared" si="164"/>
        <v>1</v>
      </c>
      <c r="CW322" s="14">
        <f t="shared" si="165"/>
        <v>0</v>
      </c>
      <c r="CX322" s="14" t="str">
        <f t="shared" si="174"/>
        <v>AtkExt</v>
      </c>
      <c r="CY322" s="14">
        <f t="shared" si="175"/>
        <v>616</v>
      </c>
      <c r="CZ322" s="14">
        <f t="shared" si="176"/>
        <v>30.79</v>
      </c>
      <c r="DA322" s="14" t="str">
        <f t="shared" si="177"/>
        <v/>
      </c>
      <c r="DB322" s="14" t="str">
        <f t="shared" si="178"/>
        <v/>
      </c>
      <c r="DC322" s="14" t="str">
        <f t="shared" si="179"/>
        <v/>
      </c>
      <c r="DD322" s="14">
        <f t="shared" si="180"/>
        <v>16</v>
      </c>
      <c r="DE322" s="14">
        <f t="shared" si="181"/>
        <v>4</v>
      </c>
      <c r="DF322" s="14">
        <f t="shared" si="182"/>
        <v>24</v>
      </c>
      <c r="DG322" s="14">
        <f t="shared" si="183"/>
        <v>300</v>
      </c>
    </row>
    <row r="323" spans="77:111" ht="16.5" x14ac:dyDescent="0.2">
      <c r="BY323" s="13">
        <v>319</v>
      </c>
      <c r="BZ323" s="14">
        <f t="shared" si="166"/>
        <v>44</v>
      </c>
      <c r="CA323" s="14">
        <f t="shared" si="167"/>
        <v>4</v>
      </c>
      <c r="CB323" s="14">
        <f t="shared" si="152"/>
        <v>4</v>
      </c>
      <c r="CC323" s="14">
        <f t="shared" si="153"/>
        <v>2044042</v>
      </c>
      <c r="CD323" s="13" t="str">
        <f t="shared" si="154"/>
        <v>80级守护灵橙色套1-头盔</v>
      </c>
      <c r="CE323" s="14">
        <f t="shared" si="155"/>
        <v>2</v>
      </c>
      <c r="CF323" s="14">
        <f t="shared" si="156"/>
        <v>4</v>
      </c>
      <c r="CG323" s="14">
        <f t="shared" si="168"/>
        <v>80</v>
      </c>
      <c r="CH323" s="14">
        <f t="shared" si="169"/>
        <v>80</v>
      </c>
      <c r="CI323" s="14">
        <f t="shared" si="157"/>
        <v>2</v>
      </c>
      <c r="CJ323" s="14">
        <f t="shared" si="170"/>
        <v>2041</v>
      </c>
      <c r="CK323" s="14">
        <f t="shared" si="158"/>
        <v>0</v>
      </c>
      <c r="CL323" s="14">
        <f t="shared" si="159"/>
        <v>150</v>
      </c>
      <c r="CM323" s="14">
        <f t="shared" si="160"/>
        <v>0</v>
      </c>
      <c r="CN323" s="14">
        <f t="shared" si="161"/>
        <v>0</v>
      </c>
      <c r="CO323" s="14">
        <f t="shared" si="162"/>
        <v>7.48</v>
      </c>
      <c r="CP323" s="14">
        <f t="shared" si="163"/>
        <v>0</v>
      </c>
      <c r="CQ323" s="14">
        <f t="shared" si="171"/>
        <v>16</v>
      </c>
      <c r="CR323" s="14">
        <f t="shared" si="172"/>
        <v>4</v>
      </c>
      <c r="CS323" s="14">
        <f t="shared" si="173"/>
        <v>24</v>
      </c>
      <c r="CV323" s="14">
        <f t="shared" si="164"/>
        <v>2</v>
      </c>
      <c r="CW323" s="14">
        <f t="shared" si="165"/>
        <v>0</v>
      </c>
      <c r="CX323" s="14" t="str">
        <f t="shared" si="174"/>
        <v>DefExt</v>
      </c>
      <c r="CY323" s="14">
        <f t="shared" si="175"/>
        <v>150</v>
      </c>
      <c r="CZ323" s="14">
        <f t="shared" si="176"/>
        <v>7.48</v>
      </c>
      <c r="DA323" s="14" t="str">
        <f t="shared" si="177"/>
        <v/>
      </c>
      <c r="DB323" s="14" t="str">
        <f t="shared" si="178"/>
        <v/>
      </c>
      <c r="DC323" s="14" t="str">
        <f t="shared" si="179"/>
        <v/>
      </c>
      <c r="DD323" s="14">
        <f t="shared" si="180"/>
        <v>16</v>
      </c>
      <c r="DE323" s="14">
        <f t="shared" si="181"/>
        <v>4</v>
      </c>
      <c r="DF323" s="14">
        <f t="shared" si="182"/>
        <v>24</v>
      </c>
      <c r="DG323" s="14">
        <f t="shared" si="183"/>
        <v>300</v>
      </c>
    </row>
    <row r="324" spans="77:111" ht="16.5" x14ac:dyDescent="0.2">
      <c r="BY324" s="13">
        <v>320</v>
      </c>
      <c r="BZ324" s="14">
        <f t="shared" si="166"/>
        <v>44</v>
      </c>
      <c r="CA324" s="14">
        <f t="shared" si="167"/>
        <v>4</v>
      </c>
      <c r="CB324" s="14">
        <f t="shared" si="152"/>
        <v>4</v>
      </c>
      <c r="CC324" s="14">
        <f t="shared" si="153"/>
        <v>2044043</v>
      </c>
      <c r="CD324" s="13" t="str">
        <f t="shared" si="154"/>
        <v>80级守护灵橙色套1-肩甲</v>
      </c>
      <c r="CE324" s="14">
        <f t="shared" si="155"/>
        <v>2</v>
      </c>
      <c r="CF324" s="14">
        <f t="shared" si="156"/>
        <v>4</v>
      </c>
      <c r="CG324" s="14">
        <f t="shared" si="168"/>
        <v>80</v>
      </c>
      <c r="CH324" s="14">
        <f t="shared" si="169"/>
        <v>80</v>
      </c>
      <c r="CI324" s="14">
        <f t="shared" si="157"/>
        <v>3</v>
      </c>
      <c r="CJ324" s="14">
        <f t="shared" si="170"/>
        <v>2041</v>
      </c>
      <c r="CK324" s="14">
        <f t="shared" si="158"/>
        <v>0</v>
      </c>
      <c r="CL324" s="14">
        <f t="shared" si="159"/>
        <v>75</v>
      </c>
      <c r="CM324" s="14">
        <f t="shared" si="160"/>
        <v>794</v>
      </c>
      <c r="CN324" s="14">
        <f t="shared" si="161"/>
        <v>0</v>
      </c>
      <c r="CO324" s="14">
        <f t="shared" si="162"/>
        <v>3.74</v>
      </c>
      <c r="CP324" s="14">
        <f t="shared" si="163"/>
        <v>39.68</v>
      </c>
      <c r="CQ324" s="14">
        <f t="shared" si="171"/>
        <v>16</v>
      </c>
      <c r="CR324" s="14">
        <f t="shared" si="172"/>
        <v>4</v>
      </c>
      <c r="CS324" s="14">
        <f t="shared" si="173"/>
        <v>24</v>
      </c>
      <c r="CV324" s="14">
        <f t="shared" si="164"/>
        <v>2</v>
      </c>
      <c r="CW324" s="14">
        <f t="shared" si="165"/>
        <v>3</v>
      </c>
      <c r="CX324" s="14" t="str">
        <f t="shared" si="174"/>
        <v>DefExt</v>
      </c>
      <c r="CY324" s="14">
        <f t="shared" si="175"/>
        <v>75</v>
      </c>
      <c r="CZ324" s="14">
        <f t="shared" si="176"/>
        <v>3.74</v>
      </c>
      <c r="DA324" s="14" t="str">
        <f t="shared" si="177"/>
        <v>HPExt</v>
      </c>
      <c r="DB324" s="14">
        <f t="shared" si="178"/>
        <v>794</v>
      </c>
      <c r="DC324" s="14">
        <f t="shared" si="179"/>
        <v>39.68</v>
      </c>
      <c r="DD324" s="14">
        <f t="shared" si="180"/>
        <v>16</v>
      </c>
      <c r="DE324" s="14">
        <f t="shared" si="181"/>
        <v>4</v>
      </c>
      <c r="DF324" s="14">
        <f t="shared" si="182"/>
        <v>24</v>
      </c>
      <c r="DG324" s="14">
        <f t="shared" si="183"/>
        <v>300</v>
      </c>
    </row>
    <row r="325" spans="77:111" ht="16.5" x14ac:dyDescent="0.2">
      <c r="BY325" s="13">
        <v>321</v>
      </c>
      <c r="BZ325" s="14">
        <f t="shared" si="166"/>
        <v>44</v>
      </c>
      <c r="CA325" s="14">
        <f t="shared" si="167"/>
        <v>4</v>
      </c>
      <c r="CB325" s="14">
        <f t="shared" ref="CB325:CB388" si="184">INDEX($BE$6:$BE$81,BZ325)</f>
        <v>4</v>
      </c>
      <c r="CC325" s="14">
        <f t="shared" ref="CC325:CC388" si="185">INDEX($BJ$6:$BJ$81,BZ325)+CI325</f>
        <v>2044044</v>
      </c>
      <c r="CD325" s="13" t="str">
        <f t="shared" ref="CD325:CD388" si="186">INDEX($BK$6:$BK$81,BZ325)&amp;"-"&amp;INDEX($BO$3:$BV$3,CI325)</f>
        <v>80级守护灵橙色套1-衣服</v>
      </c>
      <c r="CE325" s="14">
        <f t="shared" ref="CE325:CE388" si="187">INDEX($BH$6:$BH$81,BZ325)</f>
        <v>2</v>
      </c>
      <c r="CF325" s="14">
        <f t="shared" ref="CF325:CF388" si="188">INDEX($BG$6:$BG$81,BZ325)</f>
        <v>4</v>
      </c>
      <c r="CG325" s="14">
        <f t="shared" si="168"/>
        <v>80</v>
      </c>
      <c r="CH325" s="14">
        <f t="shared" si="169"/>
        <v>80</v>
      </c>
      <c r="CI325" s="14">
        <f t="shared" ref="CI325:CI388" si="189">BY325-INDEX($BN$5:$BN$81,BZ325)</f>
        <v>4</v>
      </c>
      <c r="CJ325" s="14">
        <f t="shared" si="170"/>
        <v>2041</v>
      </c>
      <c r="CK325" s="14">
        <f t="shared" ref="CK325:CK388" si="190">ROUND(INDEX(I$5:I$16,($CE325-1)*6+$CB325)*INDEX(W$5:W$12,$CI325)*INDEX($AF$5:$AF$8,$CF325),0)</f>
        <v>0</v>
      </c>
      <c r="CL325" s="14">
        <f t="shared" ref="CL325:CL388" si="191">ROUND(INDEX(J$5:J$16,($CE325-1)*6+$CB325)*INDEX(X$5:X$12,$CI325)*INDEX($AF$5:$AF$8,$CF325),0)</f>
        <v>150</v>
      </c>
      <c r="CM325" s="14">
        <f t="shared" ref="CM325:CM388" si="192">ROUND(INDEX(K$5:K$16,($CE325-1)*6+$CB325)*INDEX(Y$5:Y$12,$CI325)*INDEX($AF$5:$AF$8,$CF325),0)</f>
        <v>0</v>
      </c>
      <c r="CN325" s="14">
        <f t="shared" ref="CN325:CN388" si="193">ROUND(INDEX(E$5:E$16,($CE325-1)*6+$CB325)*INDEX(W$5:W$12,$CI325),2)</f>
        <v>0</v>
      </c>
      <c r="CO325" s="14">
        <f t="shared" ref="CO325:CO388" si="194">ROUND(INDEX(F$5:F$16,($CE325-1)*6+$CB325)*INDEX(X$5:X$12,$CI325),2)</f>
        <v>7.48</v>
      </c>
      <c r="CP325" s="14">
        <f t="shared" ref="CP325:CP388" si="195">ROUND(INDEX(G$5:G$16,($CE325-1)*6+$CB325)*INDEX(Y$5:Y$12,$CI325),2)</f>
        <v>0</v>
      </c>
      <c r="CQ325" s="14">
        <f t="shared" si="171"/>
        <v>16</v>
      </c>
      <c r="CR325" s="14">
        <f t="shared" si="172"/>
        <v>4</v>
      </c>
      <c r="CS325" s="14">
        <f t="shared" si="173"/>
        <v>24</v>
      </c>
      <c r="CV325" s="14">
        <f t="shared" ref="CV325:CV388" si="196">INDEX(Z$5:Z$12,$CI325)</f>
        <v>2</v>
      </c>
      <c r="CW325" s="14">
        <f t="shared" ref="CW325:CW388" si="197">INDEX(AA$5:AA$12,$CI325)</f>
        <v>0</v>
      </c>
      <c r="CX325" s="14" t="str">
        <f t="shared" si="174"/>
        <v>DefExt</v>
      </c>
      <c r="CY325" s="14">
        <f t="shared" si="175"/>
        <v>150</v>
      </c>
      <c r="CZ325" s="14">
        <f t="shared" si="176"/>
        <v>7.48</v>
      </c>
      <c r="DA325" s="14" t="str">
        <f t="shared" si="177"/>
        <v/>
      </c>
      <c r="DB325" s="14" t="str">
        <f t="shared" si="178"/>
        <v/>
      </c>
      <c r="DC325" s="14" t="str">
        <f t="shared" si="179"/>
        <v/>
      </c>
      <c r="DD325" s="14">
        <f t="shared" si="180"/>
        <v>16</v>
      </c>
      <c r="DE325" s="14">
        <f t="shared" si="181"/>
        <v>4</v>
      </c>
      <c r="DF325" s="14">
        <f t="shared" si="182"/>
        <v>24</v>
      </c>
      <c r="DG325" s="14">
        <f t="shared" si="183"/>
        <v>300</v>
      </c>
    </row>
    <row r="326" spans="77:111" ht="16.5" x14ac:dyDescent="0.2">
      <c r="BY326" s="13">
        <v>322</v>
      </c>
      <c r="BZ326" s="14">
        <f t="shared" ref="BZ326:BZ389" si="198">MATCH(BY326-1,$BN$5:$BN$81,1)</f>
        <v>44</v>
      </c>
      <c r="CA326" s="14">
        <f t="shared" ref="CA326:CA389" si="199">INDEX($BI$6:$BI$81,BZ326)</f>
        <v>4</v>
      </c>
      <c r="CB326" s="14">
        <f t="shared" si="184"/>
        <v>4</v>
      </c>
      <c r="CC326" s="14">
        <f t="shared" si="185"/>
        <v>2044045</v>
      </c>
      <c r="CD326" s="13" t="str">
        <f t="shared" si="186"/>
        <v>80级守护灵橙色套1-鞋子</v>
      </c>
      <c r="CE326" s="14">
        <f t="shared" si="187"/>
        <v>2</v>
      </c>
      <c r="CF326" s="14">
        <f t="shared" si="188"/>
        <v>4</v>
      </c>
      <c r="CG326" s="14">
        <f t="shared" ref="CG326:CG389" si="200">INDEX($D$5:$D$16,(CE326-1)*6+CB326)</f>
        <v>80</v>
      </c>
      <c r="CH326" s="14">
        <f t="shared" ref="CH326:CH389" si="201">INDEX($D$5:$D$16,(CE326-1)*6+CB326)</f>
        <v>80</v>
      </c>
      <c r="CI326" s="14">
        <f t="shared" si="189"/>
        <v>5</v>
      </c>
      <c r="CJ326" s="14">
        <f t="shared" ref="CJ326:CJ389" si="202">IF(INDEX($BL$6:$BL$81,BZ326)&gt;0,INDEX($BL$6:$BL$81,BZ326),"")</f>
        <v>2041</v>
      </c>
      <c r="CK326" s="14">
        <f t="shared" si="190"/>
        <v>0</v>
      </c>
      <c r="CL326" s="14">
        <f t="shared" si="191"/>
        <v>0</v>
      </c>
      <c r="CM326" s="14">
        <f t="shared" si="192"/>
        <v>1587</v>
      </c>
      <c r="CN326" s="14">
        <f t="shared" si="193"/>
        <v>0</v>
      </c>
      <c r="CO326" s="14">
        <f t="shared" si="194"/>
        <v>0</v>
      </c>
      <c r="CP326" s="14">
        <f t="shared" si="195"/>
        <v>79.36</v>
      </c>
      <c r="CQ326" s="14">
        <f t="shared" ref="CQ326:CQ389" si="203">(CB326-1)*4+CF326</f>
        <v>16</v>
      </c>
      <c r="CR326" s="14">
        <f t="shared" ref="CR326:CR389" si="204">INDEX($AY$5:$BB$16,CB326,CF326)</f>
        <v>4</v>
      </c>
      <c r="CS326" s="14">
        <f t="shared" ref="CS326:CS389" si="205">CE326*10+CB326</f>
        <v>24</v>
      </c>
      <c r="CV326" s="14">
        <f t="shared" si="196"/>
        <v>3</v>
      </c>
      <c r="CW326" s="14">
        <f t="shared" si="197"/>
        <v>0</v>
      </c>
      <c r="CX326" s="14" t="str">
        <f t="shared" ref="CX326:CX389" si="206">INDEX($U$3:$W$3,CV326)</f>
        <v>HPExt</v>
      </c>
      <c r="CY326" s="14">
        <f t="shared" ref="CY326:CY389" si="207">INDEX(CK326:CM326,CV326)</f>
        <v>1587</v>
      </c>
      <c r="CZ326" s="14">
        <f t="shared" ref="CZ326:CZ389" si="208">INDEX(CN326:CP326,CV326)</f>
        <v>79.36</v>
      </c>
      <c r="DA326" s="14" t="str">
        <f t="shared" ref="DA326:DA389" si="209">IF(CW326&gt;0,INDEX($U$3:$W$3,CW326),"")</f>
        <v/>
      </c>
      <c r="DB326" s="14" t="str">
        <f t="shared" ref="DB326:DB389" si="210">IF(CW326&gt;0,INDEX(CK326:CM326,CW326),"")</f>
        <v/>
      </c>
      <c r="DC326" s="14" t="str">
        <f t="shared" ref="DC326:DC389" si="211">IF(CW326&gt;0,INDEX(CN326:CP326,CW326),"")</f>
        <v/>
      </c>
      <c r="DD326" s="14">
        <f t="shared" ref="DD326:DD389" si="212">(CB326-1)*4+CF326</f>
        <v>16</v>
      </c>
      <c r="DE326" s="14">
        <f t="shared" ref="DE326:DE389" si="213">INDEX($AY$5:$BB$16,CB326,CF326)</f>
        <v>4</v>
      </c>
      <c r="DF326" s="14">
        <f t="shared" ref="DF326:DF389" si="214">CE326*10+CB326</f>
        <v>24</v>
      </c>
      <c r="DG326" s="14">
        <f t="shared" ref="DG326:DG389" si="215">INDEX($N$5:$S$8,CF326,CB326)</f>
        <v>300</v>
      </c>
    </row>
    <row r="327" spans="77:111" ht="16.5" x14ac:dyDescent="0.2">
      <c r="BY327" s="13">
        <v>323</v>
      </c>
      <c r="BZ327" s="14">
        <f t="shared" si="198"/>
        <v>45</v>
      </c>
      <c r="CA327" s="14">
        <f t="shared" si="199"/>
        <v>5</v>
      </c>
      <c r="CB327" s="14">
        <f t="shared" si="184"/>
        <v>4</v>
      </c>
      <c r="CC327" s="14">
        <f t="shared" si="185"/>
        <v>2044051</v>
      </c>
      <c r="CD327" s="13" t="str">
        <f t="shared" si="186"/>
        <v>80级寄灵人橙色套2-武器</v>
      </c>
      <c r="CE327" s="14">
        <f t="shared" si="187"/>
        <v>1</v>
      </c>
      <c r="CF327" s="14">
        <f t="shared" si="188"/>
        <v>4</v>
      </c>
      <c r="CG327" s="14">
        <f t="shared" si="200"/>
        <v>80</v>
      </c>
      <c r="CH327" s="14">
        <f t="shared" si="201"/>
        <v>80</v>
      </c>
      <c r="CI327" s="14">
        <f t="shared" si="189"/>
        <v>1</v>
      </c>
      <c r="CJ327" s="14">
        <f t="shared" si="202"/>
        <v>1042</v>
      </c>
      <c r="CK327" s="14">
        <f t="shared" si="190"/>
        <v>582</v>
      </c>
      <c r="CL327" s="14">
        <f t="shared" si="191"/>
        <v>0</v>
      </c>
      <c r="CM327" s="14">
        <f t="shared" si="192"/>
        <v>0</v>
      </c>
      <c r="CN327" s="14">
        <f t="shared" si="193"/>
        <v>29.1</v>
      </c>
      <c r="CO327" s="14">
        <f t="shared" si="194"/>
        <v>0</v>
      </c>
      <c r="CP327" s="14">
        <f t="shared" si="195"/>
        <v>0</v>
      </c>
      <c r="CQ327" s="14">
        <f t="shared" si="203"/>
        <v>16</v>
      </c>
      <c r="CR327" s="14">
        <f t="shared" si="204"/>
        <v>4</v>
      </c>
      <c r="CS327" s="14">
        <f t="shared" si="205"/>
        <v>14</v>
      </c>
      <c r="CV327" s="14">
        <f t="shared" si="196"/>
        <v>1</v>
      </c>
      <c r="CW327" s="14">
        <f t="shared" si="197"/>
        <v>0</v>
      </c>
      <c r="CX327" s="14" t="str">
        <f t="shared" si="206"/>
        <v>AtkExt</v>
      </c>
      <c r="CY327" s="14">
        <f t="shared" si="207"/>
        <v>582</v>
      </c>
      <c r="CZ327" s="14">
        <f t="shared" si="208"/>
        <v>29.1</v>
      </c>
      <c r="DA327" s="14" t="str">
        <f t="shared" si="209"/>
        <v/>
      </c>
      <c r="DB327" s="14" t="str">
        <f t="shared" si="210"/>
        <v/>
      </c>
      <c r="DC327" s="14" t="str">
        <f t="shared" si="211"/>
        <v/>
      </c>
      <c r="DD327" s="14">
        <f t="shared" si="212"/>
        <v>16</v>
      </c>
      <c r="DE327" s="14">
        <f t="shared" si="213"/>
        <v>4</v>
      </c>
      <c r="DF327" s="14">
        <f t="shared" si="214"/>
        <v>14</v>
      </c>
      <c r="DG327" s="14">
        <f t="shared" si="215"/>
        <v>300</v>
      </c>
    </row>
    <row r="328" spans="77:111" ht="16.5" x14ac:dyDescent="0.2">
      <c r="BY328" s="13">
        <v>324</v>
      </c>
      <c r="BZ328" s="14">
        <f t="shared" si="198"/>
        <v>45</v>
      </c>
      <c r="CA328" s="14">
        <f t="shared" si="199"/>
        <v>5</v>
      </c>
      <c r="CB328" s="14">
        <f t="shared" si="184"/>
        <v>4</v>
      </c>
      <c r="CC328" s="14">
        <f t="shared" si="185"/>
        <v>2044052</v>
      </c>
      <c r="CD328" s="13" t="str">
        <f t="shared" si="186"/>
        <v>80级寄灵人橙色套2-头盔</v>
      </c>
      <c r="CE328" s="14">
        <f t="shared" si="187"/>
        <v>1</v>
      </c>
      <c r="CF328" s="14">
        <f t="shared" si="188"/>
        <v>4</v>
      </c>
      <c r="CG328" s="14">
        <f t="shared" si="200"/>
        <v>80</v>
      </c>
      <c r="CH328" s="14">
        <f t="shared" si="201"/>
        <v>80</v>
      </c>
      <c r="CI328" s="14">
        <f t="shared" si="189"/>
        <v>2</v>
      </c>
      <c r="CJ328" s="14">
        <f t="shared" si="202"/>
        <v>1042</v>
      </c>
      <c r="CK328" s="14">
        <f t="shared" si="190"/>
        <v>0</v>
      </c>
      <c r="CL328" s="14">
        <f t="shared" si="191"/>
        <v>143</v>
      </c>
      <c r="CM328" s="14">
        <f t="shared" si="192"/>
        <v>0</v>
      </c>
      <c r="CN328" s="14">
        <f t="shared" si="193"/>
        <v>0</v>
      </c>
      <c r="CO328" s="14">
        <f t="shared" si="194"/>
        <v>7.13</v>
      </c>
      <c r="CP328" s="14">
        <f t="shared" si="195"/>
        <v>0</v>
      </c>
      <c r="CQ328" s="14">
        <f t="shared" si="203"/>
        <v>16</v>
      </c>
      <c r="CR328" s="14">
        <f t="shared" si="204"/>
        <v>4</v>
      </c>
      <c r="CS328" s="14">
        <f t="shared" si="205"/>
        <v>14</v>
      </c>
      <c r="CV328" s="14">
        <f t="shared" si="196"/>
        <v>2</v>
      </c>
      <c r="CW328" s="14">
        <f t="shared" si="197"/>
        <v>0</v>
      </c>
      <c r="CX328" s="14" t="str">
        <f t="shared" si="206"/>
        <v>DefExt</v>
      </c>
      <c r="CY328" s="14">
        <f t="shared" si="207"/>
        <v>143</v>
      </c>
      <c r="CZ328" s="14">
        <f t="shared" si="208"/>
        <v>7.13</v>
      </c>
      <c r="DA328" s="14" t="str">
        <f t="shared" si="209"/>
        <v/>
      </c>
      <c r="DB328" s="14" t="str">
        <f t="shared" si="210"/>
        <v/>
      </c>
      <c r="DC328" s="14" t="str">
        <f t="shared" si="211"/>
        <v/>
      </c>
      <c r="DD328" s="14">
        <f t="shared" si="212"/>
        <v>16</v>
      </c>
      <c r="DE328" s="14">
        <f t="shared" si="213"/>
        <v>4</v>
      </c>
      <c r="DF328" s="14">
        <f t="shared" si="214"/>
        <v>14</v>
      </c>
      <c r="DG328" s="14">
        <f t="shared" si="215"/>
        <v>300</v>
      </c>
    </row>
    <row r="329" spans="77:111" ht="16.5" x14ac:dyDescent="0.2">
      <c r="BY329" s="13">
        <v>325</v>
      </c>
      <c r="BZ329" s="14">
        <f t="shared" si="198"/>
        <v>45</v>
      </c>
      <c r="CA329" s="14">
        <f t="shared" si="199"/>
        <v>5</v>
      </c>
      <c r="CB329" s="14">
        <f t="shared" si="184"/>
        <v>4</v>
      </c>
      <c r="CC329" s="14">
        <f t="shared" si="185"/>
        <v>2044053</v>
      </c>
      <c r="CD329" s="13" t="str">
        <f t="shared" si="186"/>
        <v>80级寄灵人橙色套2-肩甲</v>
      </c>
      <c r="CE329" s="14">
        <f t="shared" si="187"/>
        <v>1</v>
      </c>
      <c r="CF329" s="14">
        <f t="shared" si="188"/>
        <v>4</v>
      </c>
      <c r="CG329" s="14">
        <f t="shared" si="200"/>
        <v>80</v>
      </c>
      <c r="CH329" s="14">
        <f t="shared" si="201"/>
        <v>80</v>
      </c>
      <c r="CI329" s="14">
        <f t="shared" si="189"/>
        <v>3</v>
      </c>
      <c r="CJ329" s="14">
        <f t="shared" si="202"/>
        <v>1042</v>
      </c>
      <c r="CK329" s="14">
        <f t="shared" si="190"/>
        <v>0</v>
      </c>
      <c r="CL329" s="14">
        <f t="shared" si="191"/>
        <v>71</v>
      </c>
      <c r="CM329" s="14">
        <f t="shared" si="192"/>
        <v>444</v>
      </c>
      <c r="CN329" s="14">
        <f t="shared" si="193"/>
        <v>0</v>
      </c>
      <c r="CO329" s="14">
        <f t="shared" si="194"/>
        <v>3.57</v>
      </c>
      <c r="CP329" s="14">
        <f t="shared" si="195"/>
        <v>22.2</v>
      </c>
      <c r="CQ329" s="14">
        <f t="shared" si="203"/>
        <v>16</v>
      </c>
      <c r="CR329" s="14">
        <f t="shared" si="204"/>
        <v>4</v>
      </c>
      <c r="CS329" s="14">
        <f t="shared" si="205"/>
        <v>14</v>
      </c>
      <c r="CV329" s="14">
        <f t="shared" si="196"/>
        <v>2</v>
      </c>
      <c r="CW329" s="14">
        <f t="shared" si="197"/>
        <v>3</v>
      </c>
      <c r="CX329" s="14" t="str">
        <f t="shared" si="206"/>
        <v>DefExt</v>
      </c>
      <c r="CY329" s="14">
        <f t="shared" si="207"/>
        <v>71</v>
      </c>
      <c r="CZ329" s="14">
        <f t="shared" si="208"/>
        <v>3.57</v>
      </c>
      <c r="DA329" s="14" t="str">
        <f t="shared" si="209"/>
        <v>HPExt</v>
      </c>
      <c r="DB329" s="14">
        <f t="shared" si="210"/>
        <v>444</v>
      </c>
      <c r="DC329" s="14">
        <f t="shared" si="211"/>
        <v>22.2</v>
      </c>
      <c r="DD329" s="14">
        <f t="shared" si="212"/>
        <v>16</v>
      </c>
      <c r="DE329" s="14">
        <f t="shared" si="213"/>
        <v>4</v>
      </c>
      <c r="DF329" s="14">
        <f t="shared" si="214"/>
        <v>14</v>
      </c>
      <c r="DG329" s="14">
        <f t="shared" si="215"/>
        <v>300</v>
      </c>
    </row>
    <row r="330" spans="77:111" ht="16.5" x14ac:dyDescent="0.2">
      <c r="BY330" s="13">
        <v>326</v>
      </c>
      <c r="BZ330" s="14">
        <f t="shared" si="198"/>
        <v>45</v>
      </c>
      <c r="CA330" s="14">
        <f t="shared" si="199"/>
        <v>5</v>
      </c>
      <c r="CB330" s="14">
        <f t="shared" si="184"/>
        <v>4</v>
      </c>
      <c r="CC330" s="14">
        <f t="shared" si="185"/>
        <v>2044054</v>
      </c>
      <c r="CD330" s="13" t="str">
        <f t="shared" si="186"/>
        <v>80级寄灵人橙色套2-衣服</v>
      </c>
      <c r="CE330" s="14">
        <f t="shared" si="187"/>
        <v>1</v>
      </c>
      <c r="CF330" s="14">
        <f t="shared" si="188"/>
        <v>4</v>
      </c>
      <c r="CG330" s="14">
        <f t="shared" si="200"/>
        <v>80</v>
      </c>
      <c r="CH330" s="14">
        <f t="shared" si="201"/>
        <v>80</v>
      </c>
      <c r="CI330" s="14">
        <f t="shared" si="189"/>
        <v>4</v>
      </c>
      <c r="CJ330" s="14">
        <f t="shared" si="202"/>
        <v>1042</v>
      </c>
      <c r="CK330" s="14">
        <f t="shared" si="190"/>
        <v>0</v>
      </c>
      <c r="CL330" s="14">
        <f t="shared" si="191"/>
        <v>143</v>
      </c>
      <c r="CM330" s="14">
        <f t="shared" si="192"/>
        <v>0</v>
      </c>
      <c r="CN330" s="14">
        <f t="shared" si="193"/>
        <v>0</v>
      </c>
      <c r="CO330" s="14">
        <f t="shared" si="194"/>
        <v>7.13</v>
      </c>
      <c r="CP330" s="14">
        <f t="shared" si="195"/>
        <v>0</v>
      </c>
      <c r="CQ330" s="14">
        <f t="shared" si="203"/>
        <v>16</v>
      </c>
      <c r="CR330" s="14">
        <f t="shared" si="204"/>
        <v>4</v>
      </c>
      <c r="CS330" s="14">
        <f t="shared" si="205"/>
        <v>14</v>
      </c>
      <c r="CV330" s="14">
        <f t="shared" si="196"/>
        <v>2</v>
      </c>
      <c r="CW330" s="14">
        <f t="shared" si="197"/>
        <v>0</v>
      </c>
      <c r="CX330" s="14" t="str">
        <f t="shared" si="206"/>
        <v>DefExt</v>
      </c>
      <c r="CY330" s="14">
        <f t="shared" si="207"/>
        <v>143</v>
      </c>
      <c r="CZ330" s="14">
        <f t="shared" si="208"/>
        <v>7.13</v>
      </c>
      <c r="DA330" s="14" t="str">
        <f t="shared" si="209"/>
        <v/>
      </c>
      <c r="DB330" s="14" t="str">
        <f t="shared" si="210"/>
        <v/>
      </c>
      <c r="DC330" s="14" t="str">
        <f t="shared" si="211"/>
        <v/>
      </c>
      <c r="DD330" s="14">
        <f t="shared" si="212"/>
        <v>16</v>
      </c>
      <c r="DE330" s="14">
        <f t="shared" si="213"/>
        <v>4</v>
      </c>
      <c r="DF330" s="14">
        <f t="shared" si="214"/>
        <v>14</v>
      </c>
      <c r="DG330" s="14">
        <f t="shared" si="215"/>
        <v>300</v>
      </c>
    </row>
    <row r="331" spans="77:111" ht="16.5" x14ac:dyDescent="0.2">
      <c r="BY331" s="13">
        <v>327</v>
      </c>
      <c r="BZ331" s="14">
        <f t="shared" si="198"/>
        <v>45</v>
      </c>
      <c r="CA331" s="14">
        <f t="shared" si="199"/>
        <v>5</v>
      </c>
      <c r="CB331" s="14">
        <f t="shared" si="184"/>
        <v>4</v>
      </c>
      <c r="CC331" s="14">
        <f t="shared" si="185"/>
        <v>2044055</v>
      </c>
      <c r="CD331" s="13" t="str">
        <f t="shared" si="186"/>
        <v>80级寄灵人橙色套2-鞋子</v>
      </c>
      <c r="CE331" s="14">
        <f t="shared" si="187"/>
        <v>1</v>
      </c>
      <c r="CF331" s="14">
        <f t="shared" si="188"/>
        <v>4</v>
      </c>
      <c r="CG331" s="14">
        <f t="shared" si="200"/>
        <v>80</v>
      </c>
      <c r="CH331" s="14">
        <f t="shared" si="201"/>
        <v>80</v>
      </c>
      <c r="CI331" s="14">
        <f t="shared" si="189"/>
        <v>5</v>
      </c>
      <c r="CJ331" s="14">
        <f t="shared" si="202"/>
        <v>1042</v>
      </c>
      <c r="CK331" s="14">
        <f t="shared" si="190"/>
        <v>0</v>
      </c>
      <c r="CL331" s="14">
        <f t="shared" si="191"/>
        <v>0</v>
      </c>
      <c r="CM331" s="14">
        <f t="shared" si="192"/>
        <v>888</v>
      </c>
      <c r="CN331" s="14">
        <f t="shared" si="193"/>
        <v>0</v>
      </c>
      <c r="CO331" s="14">
        <f t="shared" si="194"/>
        <v>0</v>
      </c>
      <c r="CP331" s="14">
        <f t="shared" si="195"/>
        <v>44.41</v>
      </c>
      <c r="CQ331" s="14">
        <f t="shared" si="203"/>
        <v>16</v>
      </c>
      <c r="CR331" s="14">
        <f t="shared" si="204"/>
        <v>4</v>
      </c>
      <c r="CS331" s="14">
        <f t="shared" si="205"/>
        <v>14</v>
      </c>
      <c r="CV331" s="14">
        <f t="shared" si="196"/>
        <v>3</v>
      </c>
      <c r="CW331" s="14">
        <f t="shared" si="197"/>
        <v>0</v>
      </c>
      <c r="CX331" s="14" t="str">
        <f t="shared" si="206"/>
        <v>HPExt</v>
      </c>
      <c r="CY331" s="14">
        <f t="shared" si="207"/>
        <v>888</v>
      </c>
      <c r="CZ331" s="14">
        <f t="shared" si="208"/>
        <v>44.41</v>
      </c>
      <c r="DA331" s="14" t="str">
        <f t="shared" si="209"/>
        <v/>
      </c>
      <c r="DB331" s="14" t="str">
        <f t="shared" si="210"/>
        <v/>
      </c>
      <c r="DC331" s="14" t="str">
        <f t="shared" si="211"/>
        <v/>
      </c>
      <c r="DD331" s="14">
        <f t="shared" si="212"/>
        <v>16</v>
      </c>
      <c r="DE331" s="14">
        <f t="shared" si="213"/>
        <v>4</v>
      </c>
      <c r="DF331" s="14">
        <f t="shared" si="214"/>
        <v>14</v>
      </c>
      <c r="DG331" s="14">
        <f t="shared" si="215"/>
        <v>300</v>
      </c>
    </row>
    <row r="332" spans="77:111" ht="16.5" x14ac:dyDescent="0.2">
      <c r="BY332" s="13">
        <v>328</v>
      </c>
      <c r="BZ332" s="14">
        <f t="shared" si="198"/>
        <v>45</v>
      </c>
      <c r="CA332" s="14">
        <f t="shared" si="199"/>
        <v>5</v>
      </c>
      <c r="CB332" s="14">
        <f t="shared" si="184"/>
        <v>4</v>
      </c>
      <c r="CC332" s="14">
        <f t="shared" si="185"/>
        <v>2044056</v>
      </c>
      <c r="CD332" s="13" t="str">
        <f t="shared" si="186"/>
        <v>80级寄灵人橙色套2-护手</v>
      </c>
      <c r="CE332" s="14">
        <f t="shared" si="187"/>
        <v>1</v>
      </c>
      <c r="CF332" s="14">
        <f t="shared" si="188"/>
        <v>4</v>
      </c>
      <c r="CG332" s="14">
        <f t="shared" si="200"/>
        <v>80</v>
      </c>
      <c r="CH332" s="14">
        <f t="shared" si="201"/>
        <v>80</v>
      </c>
      <c r="CI332" s="14">
        <f t="shared" si="189"/>
        <v>6</v>
      </c>
      <c r="CJ332" s="14">
        <f t="shared" si="202"/>
        <v>1042</v>
      </c>
      <c r="CK332" s="14">
        <f t="shared" si="190"/>
        <v>0</v>
      </c>
      <c r="CL332" s="14">
        <f t="shared" si="191"/>
        <v>0</v>
      </c>
      <c r="CM332" s="14">
        <f t="shared" si="192"/>
        <v>888</v>
      </c>
      <c r="CN332" s="14">
        <f t="shared" si="193"/>
        <v>0</v>
      </c>
      <c r="CO332" s="14">
        <f t="shared" si="194"/>
        <v>0</v>
      </c>
      <c r="CP332" s="14">
        <f t="shared" si="195"/>
        <v>44.41</v>
      </c>
      <c r="CQ332" s="14">
        <f t="shared" si="203"/>
        <v>16</v>
      </c>
      <c r="CR332" s="14">
        <f t="shared" si="204"/>
        <v>4</v>
      </c>
      <c r="CS332" s="14">
        <f t="shared" si="205"/>
        <v>14</v>
      </c>
      <c r="CV332" s="14">
        <f t="shared" si="196"/>
        <v>3</v>
      </c>
      <c r="CW332" s="14">
        <f t="shared" si="197"/>
        <v>0</v>
      </c>
      <c r="CX332" s="14" t="str">
        <f t="shared" si="206"/>
        <v>HPExt</v>
      </c>
      <c r="CY332" s="14">
        <f t="shared" si="207"/>
        <v>888</v>
      </c>
      <c r="CZ332" s="14">
        <f t="shared" si="208"/>
        <v>44.41</v>
      </c>
      <c r="DA332" s="14" t="str">
        <f t="shared" si="209"/>
        <v/>
      </c>
      <c r="DB332" s="14" t="str">
        <f t="shared" si="210"/>
        <v/>
      </c>
      <c r="DC332" s="14" t="str">
        <f t="shared" si="211"/>
        <v/>
      </c>
      <c r="DD332" s="14">
        <f t="shared" si="212"/>
        <v>16</v>
      </c>
      <c r="DE332" s="14">
        <f t="shared" si="213"/>
        <v>4</v>
      </c>
      <c r="DF332" s="14">
        <f t="shared" si="214"/>
        <v>14</v>
      </c>
      <c r="DG332" s="14">
        <f t="shared" si="215"/>
        <v>300</v>
      </c>
    </row>
    <row r="333" spans="77:111" ht="16.5" x14ac:dyDescent="0.2">
      <c r="BY333" s="13">
        <v>329</v>
      </c>
      <c r="BZ333" s="14">
        <f t="shared" si="198"/>
        <v>46</v>
      </c>
      <c r="CA333" s="14">
        <f t="shared" si="199"/>
        <v>6</v>
      </c>
      <c r="CB333" s="14">
        <f t="shared" si="184"/>
        <v>4</v>
      </c>
      <c r="CC333" s="14">
        <f t="shared" si="185"/>
        <v>2044061</v>
      </c>
      <c r="CD333" s="13" t="str">
        <f t="shared" si="186"/>
        <v>80级守护灵橙色套2-武器</v>
      </c>
      <c r="CE333" s="14">
        <f t="shared" si="187"/>
        <v>2</v>
      </c>
      <c r="CF333" s="14">
        <f t="shared" si="188"/>
        <v>4</v>
      </c>
      <c r="CG333" s="14">
        <f t="shared" si="200"/>
        <v>80</v>
      </c>
      <c r="CH333" s="14">
        <f t="shared" si="201"/>
        <v>80</v>
      </c>
      <c r="CI333" s="14">
        <f t="shared" si="189"/>
        <v>1</v>
      </c>
      <c r="CJ333" s="14">
        <f t="shared" si="202"/>
        <v>2042</v>
      </c>
      <c r="CK333" s="14">
        <f t="shared" si="190"/>
        <v>616</v>
      </c>
      <c r="CL333" s="14">
        <f t="shared" si="191"/>
        <v>0</v>
      </c>
      <c r="CM333" s="14">
        <f t="shared" si="192"/>
        <v>0</v>
      </c>
      <c r="CN333" s="14">
        <f t="shared" si="193"/>
        <v>30.79</v>
      </c>
      <c r="CO333" s="14">
        <f t="shared" si="194"/>
        <v>0</v>
      </c>
      <c r="CP333" s="14">
        <f t="shared" si="195"/>
        <v>0</v>
      </c>
      <c r="CQ333" s="14">
        <f t="shared" si="203"/>
        <v>16</v>
      </c>
      <c r="CR333" s="14">
        <f t="shared" si="204"/>
        <v>4</v>
      </c>
      <c r="CS333" s="14">
        <f t="shared" si="205"/>
        <v>24</v>
      </c>
      <c r="CV333" s="14">
        <f t="shared" si="196"/>
        <v>1</v>
      </c>
      <c r="CW333" s="14">
        <f t="shared" si="197"/>
        <v>0</v>
      </c>
      <c r="CX333" s="14" t="str">
        <f t="shared" si="206"/>
        <v>AtkExt</v>
      </c>
      <c r="CY333" s="14">
        <f t="shared" si="207"/>
        <v>616</v>
      </c>
      <c r="CZ333" s="14">
        <f t="shared" si="208"/>
        <v>30.79</v>
      </c>
      <c r="DA333" s="14" t="str">
        <f t="shared" si="209"/>
        <v/>
      </c>
      <c r="DB333" s="14" t="str">
        <f t="shared" si="210"/>
        <v/>
      </c>
      <c r="DC333" s="14" t="str">
        <f t="shared" si="211"/>
        <v/>
      </c>
      <c r="DD333" s="14">
        <f t="shared" si="212"/>
        <v>16</v>
      </c>
      <c r="DE333" s="14">
        <f t="shared" si="213"/>
        <v>4</v>
      </c>
      <c r="DF333" s="14">
        <f t="shared" si="214"/>
        <v>24</v>
      </c>
      <c r="DG333" s="14">
        <f t="shared" si="215"/>
        <v>300</v>
      </c>
    </row>
    <row r="334" spans="77:111" ht="16.5" x14ac:dyDescent="0.2">
      <c r="BY334" s="13">
        <v>330</v>
      </c>
      <c r="BZ334" s="14">
        <f t="shared" si="198"/>
        <v>46</v>
      </c>
      <c r="CA334" s="14">
        <f t="shared" si="199"/>
        <v>6</v>
      </c>
      <c r="CB334" s="14">
        <f t="shared" si="184"/>
        <v>4</v>
      </c>
      <c r="CC334" s="14">
        <f t="shared" si="185"/>
        <v>2044062</v>
      </c>
      <c r="CD334" s="13" t="str">
        <f t="shared" si="186"/>
        <v>80级守护灵橙色套2-头盔</v>
      </c>
      <c r="CE334" s="14">
        <f t="shared" si="187"/>
        <v>2</v>
      </c>
      <c r="CF334" s="14">
        <f t="shared" si="188"/>
        <v>4</v>
      </c>
      <c r="CG334" s="14">
        <f t="shared" si="200"/>
        <v>80</v>
      </c>
      <c r="CH334" s="14">
        <f t="shared" si="201"/>
        <v>80</v>
      </c>
      <c r="CI334" s="14">
        <f t="shared" si="189"/>
        <v>2</v>
      </c>
      <c r="CJ334" s="14">
        <f t="shared" si="202"/>
        <v>2042</v>
      </c>
      <c r="CK334" s="14">
        <f t="shared" si="190"/>
        <v>0</v>
      </c>
      <c r="CL334" s="14">
        <f t="shared" si="191"/>
        <v>150</v>
      </c>
      <c r="CM334" s="14">
        <f t="shared" si="192"/>
        <v>0</v>
      </c>
      <c r="CN334" s="14">
        <f t="shared" si="193"/>
        <v>0</v>
      </c>
      <c r="CO334" s="14">
        <f t="shared" si="194"/>
        <v>7.48</v>
      </c>
      <c r="CP334" s="14">
        <f t="shared" si="195"/>
        <v>0</v>
      </c>
      <c r="CQ334" s="14">
        <f t="shared" si="203"/>
        <v>16</v>
      </c>
      <c r="CR334" s="14">
        <f t="shared" si="204"/>
        <v>4</v>
      </c>
      <c r="CS334" s="14">
        <f t="shared" si="205"/>
        <v>24</v>
      </c>
      <c r="CV334" s="14">
        <f t="shared" si="196"/>
        <v>2</v>
      </c>
      <c r="CW334" s="14">
        <f t="shared" si="197"/>
        <v>0</v>
      </c>
      <c r="CX334" s="14" t="str">
        <f t="shared" si="206"/>
        <v>DefExt</v>
      </c>
      <c r="CY334" s="14">
        <f t="shared" si="207"/>
        <v>150</v>
      </c>
      <c r="CZ334" s="14">
        <f t="shared" si="208"/>
        <v>7.48</v>
      </c>
      <c r="DA334" s="14" t="str">
        <f t="shared" si="209"/>
        <v/>
      </c>
      <c r="DB334" s="14" t="str">
        <f t="shared" si="210"/>
        <v/>
      </c>
      <c r="DC334" s="14" t="str">
        <f t="shared" si="211"/>
        <v/>
      </c>
      <c r="DD334" s="14">
        <f t="shared" si="212"/>
        <v>16</v>
      </c>
      <c r="DE334" s="14">
        <f t="shared" si="213"/>
        <v>4</v>
      </c>
      <c r="DF334" s="14">
        <f t="shared" si="214"/>
        <v>24</v>
      </c>
      <c r="DG334" s="14">
        <f t="shared" si="215"/>
        <v>300</v>
      </c>
    </row>
    <row r="335" spans="77:111" ht="16.5" x14ac:dyDescent="0.2">
      <c r="BY335" s="13">
        <v>331</v>
      </c>
      <c r="BZ335" s="14">
        <f t="shared" si="198"/>
        <v>46</v>
      </c>
      <c r="CA335" s="14">
        <f t="shared" si="199"/>
        <v>6</v>
      </c>
      <c r="CB335" s="14">
        <f t="shared" si="184"/>
        <v>4</v>
      </c>
      <c r="CC335" s="14">
        <f t="shared" si="185"/>
        <v>2044063</v>
      </c>
      <c r="CD335" s="13" t="str">
        <f t="shared" si="186"/>
        <v>80级守护灵橙色套2-肩甲</v>
      </c>
      <c r="CE335" s="14">
        <f t="shared" si="187"/>
        <v>2</v>
      </c>
      <c r="CF335" s="14">
        <f t="shared" si="188"/>
        <v>4</v>
      </c>
      <c r="CG335" s="14">
        <f t="shared" si="200"/>
        <v>80</v>
      </c>
      <c r="CH335" s="14">
        <f t="shared" si="201"/>
        <v>80</v>
      </c>
      <c r="CI335" s="14">
        <f t="shared" si="189"/>
        <v>3</v>
      </c>
      <c r="CJ335" s="14">
        <f t="shared" si="202"/>
        <v>2042</v>
      </c>
      <c r="CK335" s="14">
        <f t="shared" si="190"/>
        <v>0</v>
      </c>
      <c r="CL335" s="14">
        <f t="shared" si="191"/>
        <v>75</v>
      </c>
      <c r="CM335" s="14">
        <f t="shared" si="192"/>
        <v>794</v>
      </c>
      <c r="CN335" s="14">
        <f t="shared" si="193"/>
        <v>0</v>
      </c>
      <c r="CO335" s="14">
        <f t="shared" si="194"/>
        <v>3.74</v>
      </c>
      <c r="CP335" s="14">
        <f t="shared" si="195"/>
        <v>39.68</v>
      </c>
      <c r="CQ335" s="14">
        <f t="shared" si="203"/>
        <v>16</v>
      </c>
      <c r="CR335" s="14">
        <f t="shared" si="204"/>
        <v>4</v>
      </c>
      <c r="CS335" s="14">
        <f t="shared" si="205"/>
        <v>24</v>
      </c>
      <c r="CV335" s="14">
        <f t="shared" si="196"/>
        <v>2</v>
      </c>
      <c r="CW335" s="14">
        <f t="shared" si="197"/>
        <v>3</v>
      </c>
      <c r="CX335" s="14" t="str">
        <f t="shared" si="206"/>
        <v>DefExt</v>
      </c>
      <c r="CY335" s="14">
        <f t="shared" si="207"/>
        <v>75</v>
      </c>
      <c r="CZ335" s="14">
        <f t="shared" si="208"/>
        <v>3.74</v>
      </c>
      <c r="DA335" s="14" t="str">
        <f t="shared" si="209"/>
        <v>HPExt</v>
      </c>
      <c r="DB335" s="14">
        <f t="shared" si="210"/>
        <v>794</v>
      </c>
      <c r="DC335" s="14">
        <f t="shared" si="211"/>
        <v>39.68</v>
      </c>
      <c r="DD335" s="14">
        <f t="shared" si="212"/>
        <v>16</v>
      </c>
      <c r="DE335" s="14">
        <f t="shared" si="213"/>
        <v>4</v>
      </c>
      <c r="DF335" s="14">
        <f t="shared" si="214"/>
        <v>24</v>
      </c>
      <c r="DG335" s="14">
        <f t="shared" si="215"/>
        <v>300</v>
      </c>
    </row>
    <row r="336" spans="77:111" ht="16.5" x14ac:dyDescent="0.2">
      <c r="BY336" s="13">
        <v>332</v>
      </c>
      <c r="BZ336" s="14">
        <f t="shared" si="198"/>
        <v>46</v>
      </c>
      <c r="CA336" s="14">
        <f t="shared" si="199"/>
        <v>6</v>
      </c>
      <c r="CB336" s="14">
        <f t="shared" si="184"/>
        <v>4</v>
      </c>
      <c r="CC336" s="14">
        <f t="shared" si="185"/>
        <v>2044064</v>
      </c>
      <c r="CD336" s="13" t="str">
        <f t="shared" si="186"/>
        <v>80级守护灵橙色套2-衣服</v>
      </c>
      <c r="CE336" s="14">
        <f t="shared" si="187"/>
        <v>2</v>
      </c>
      <c r="CF336" s="14">
        <f t="shared" si="188"/>
        <v>4</v>
      </c>
      <c r="CG336" s="14">
        <f t="shared" si="200"/>
        <v>80</v>
      </c>
      <c r="CH336" s="14">
        <f t="shared" si="201"/>
        <v>80</v>
      </c>
      <c r="CI336" s="14">
        <f t="shared" si="189"/>
        <v>4</v>
      </c>
      <c r="CJ336" s="14">
        <f t="shared" si="202"/>
        <v>2042</v>
      </c>
      <c r="CK336" s="14">
        <f t="shared" si="190"/>
        <v>0</v>
      </c>
      <c r="CL336" s="14">
        <f t="shared" si="191"/>
        <v>150</v>
      </c>
      <c r="CM336" s="14">
        <f t="shared" si="192"/>
        <v>0</v>
      </c>
      <c r="CN336" s="14">
        <f t="shared" si="193"/>
        <v>0</v>
      </c>
      <c r="CO336" s="14">
        <f t="shared" si="194"/>
        <v>7.48</v>
      </c>
      <c r="CP336" s="14">
        <f t="shared" si="195"/>
        <v>0</v>
      </c>
      <c r="CQ336" s="14">
        <f t="shared" si="203"/>
        <v>16</v>
      </c>
      <c r="CR336" s="14">
        <f t="shared" si="204"/>
        <v>4</v>
      </c>
      <c r="CS336" s="14">
        <f t="shared" si="205"/>
        <v>24</v>
      </c>
      <c r="CV336" s="14">
        <f t="shared" si="196"/>
        <v>2</v>
      </c>
      <c r="CW336" s="14">
        <f t="shared" si="197"/>
        <v>0</v>
      </c>
      <c r="CX336" s="14" t="str">
        <f t="shared" si="206"/>
        <v>DefExt</v>
      </c>
      <c r="CY336" s="14">
        <f t="shared" si="207"/>
        <v>150</v>
      </c>
      <c r="CZ336" s="14">
        <f t="shared" si="208"/>
        <v>7.48</v>
      </c>
      <c r="DA336" s="14" t="str">
        <f t="shared" si="209"/>
        <v/>
      </c>
      <c r="DB336" s="14" t="str">
        <f t="shared" si="210"/>
        <v/>
      </c>
      <c r="DC336" s="14" t="str">
        <f t="shared" si="211"/>
        <v/>
      </c>
      <c r="DD336" s="14">
        <f t="shared" si="212"/>
        <v>16</v>
      </c>
      <c r="DE336" s="14">
        <f t="shared" si="213"/>
        <v>4</v>
      </c>
      <c r="DF336" s="14">
        <f t="shared" si="214"/>
        <v>24</v>
      </c>
      <c r="DG336" s="14">
        <f t="shared" si="215"/>
        <v>300</v>
      </c>
    </row>
    <row r="337" spans="77:111" ht="16.5" x14ac:dyDescent="0.2">
      <c r="BY337" s="13">
        <v>333</v>
      </c>
      <c r="BZ337" s="14">
        <f t="shared" si="198"/>
        <v>46</v>
      </c>
      <c r="CA337" s="14">
        <f t="shared" si="199"/>
        <v>6</v>
      </c>
      <c r="CB337" s="14">
        <f t="shared" si="184"/>
        <v>4</v>
      </c>
      <c r="CC337" s="14">
        <f t="shared" si="185"/>
        <v>2044065</v>
      </c>
      <c r="CD337" s="13" t="str">
        <f t="shared" si="186"/>
        <v>80级守护灵橙色套2-鞋子</v>
      </c>
      <c r="CE337" s="14">
        <f t="shared" si="187"/>
        <v>2</v>
      </c>
      <c r="CF337" s="14">
        <f t="shared" si="188"/>
        <v>4</v>
      </c>
      <c r="CG337" s="14">
        <f t="shared" si="200"/>
        <v>80</v>
      </c>
      <c r="CH337" s="14">
        <f t="shared" si="201"/>
        <v>80</v>
      </c>
      <c r="CI337" s="14">
        <f t="shared" si="189"/>
        <v>5</v>
      </c>
      <c r="CJ337" s="14">
        <f t="shared" si="202"/>
        <v>2042</v>
      </c>
      <c r="CK337" s="14">
        <f t="shared" si="190"/>
        <v>0</v>
      </c>
      <c r="CL337" s="14">
        <f t="shared" si="191"/>
        <v>0</v>
      </c>
      <c r="CM337" s="14">
        <f t="shared" si="192"/>
        <v>1587</v>
      </c>
      <c r="CN337" s="14">
        <f t="shared" si="193"/>
        <v>0</v>
      </c>
      <c r="CO337" s="14">
        <f t="shared" si="194"/>
        <v>0</v>
      </c>
      <c r="CP337" s="14">
        <f t="shared" si="195"/>
        <v>79.36</v>
      </c>
      <c r="CQ337" s="14">
        <f t="shared" si="203"/>
        <v>16</v>
      </c>
      <c r="CR337" s="14">
        <f t="shared" si="204"/>
        <v>4</v>
      </c>
      <c r="CS337" s="14">
        <f t="shared" si="205"/>
        <v>24</v>
      </c>
      <c r="CV337" s="14">
        <f t="shared" si="196"/>
        <v>3</v>
      </c>
      <c r="CW337" s="14">
        <f t="shared" si="197"/>
        <v>0</v>
      </c>
      <c r="CX337" s="14" t="str">
        <f t="shared" si="206"/>
        <v>HPExt</v>
      </c>
      <c r="CY337" s="14">
        <f t="shared" si="207"/>
        <v>1587</v>
      </c>
      <c r="CZ337" s="14">
        <f t="shared" si="208"/>
        <v>79.36</v>
      </c>
      <c r="DA337" s="14" t="str">
        <f t="shared" si="209"/>
        <v/>
      </c>
      <c r="DB337" s="14" t="str">
        <f t="shared" si="210"/>
        <v/>
      </c>
      <c r="DC337" s="14" t="str">
        <f t="shared" si="211"/>
        <v/>
      </c>
      <c r="DD337" s="14">
        <f t="shared" si="212"/>
        <v>16</v>
      </c>
      <c r="DE337" s="14">
        <f t="shared" si="213"/>
        <v>4</v>
      </c>
      <c r="DF337" s="14">
        <f t="shared" si="214"/>
        <v>24</v>
      </c>
      <c r="DG337" s="14">
        <f t="shared" si="215"/>
        <v>300</v>
      </c>
    </row>
    <row r="338" spans="77:111" ht="16.5" x14ac:dyDescent="0.2">
      <c r="BY338" s="13">
        <v>334</v>
      </c>
      <c r="BZ338" s="14">
        <f t="shared" si="198"/>
        <v>46</v>
      </c>
      <c r="CA338" s="14">
        <f t="shared" si="199"/>
        <v>6</v>
      </c>
      <c r="CB338" s="14">
        <f t="shared" si="184"/>
        <v>4</v>
      </c>
      <c r="CC338" s="14">
        <f t="shared" si="185"/>
        <v>2044066</v>
      </c>
      <c r="CD338" s="13" t="str">
        <f t="shared" si="186"/>
        <v>80级守护灵橙色套2-护手</v>
      </c>
      <c r="CE338" s="14">
        <f t="shared" si="187"/>
        <v>2</v>
      </c>
      <c r="CF338" s="14">
        <f t="shared" si="188"/>
        <v>4</v>
      </c>
      <c r="CG338" s="14">
        <f t="shared" si="200"/>
        <v>80</v>
      </c>
      <c r="CH338" s="14">
        <f t="shared" si="201"/>
        <v>80</v>
      </c>
      <c r="CI338" s="14">
        <f t="shared" si="189"/>
        <v>6</v>
      </c>
      <c r="CJ338" s="14">
        <f t="shared" si="202"/>
        <v>2042</v>
      </c>
      <c r="CK338" s="14">
        <f t="shared" si="190"/>
        <v>0</v>
      </c>
      <c r="CL338" s="14">
        <f t="shared" si="191"/>
        <v>0</v>
      </c>
      <c r="CM338" s="14">
        <f t="shared" si="192"/>
        <v>1587</v>
      </c>
      <c r="CN338" s="14">
        <f t="shared" si="193"/>
        <v>0</v>
      </c>
      <c r="CO338" s="14">
        <f t="shared" si="194"/>
        <v>0</v>
      </c>
      <c r="CP338" s="14">
        <f t="shared" si="195"/>
        <v>79.36</v>
      </c>
      <c r="CQ338" s="14">
        <f t="shared" si="203"/>
        <v>16</v>
      </c>
      <c r="CR338" s="14">
        <f t="shared" si="204"/>
        <v>4</v>
      </c>
      <c r="CS338" s="14">
        <f t="shared" si="205"/>
        <v>24</v>
      </c>
      <c r="CV338" s="14">
        <f t="shared" si="196"/>
        <v>3</v>
      </c>
      <c r="CW338" s="14">
        <f t="shared" si="197"/>
        <v>0</v>
      </c>
      <c r="CX338" s="14" t="str">
        <f t="shared" si="206"/>
        <v>HPExt</v>
      </c>
      <c r="CY338" s="14">
        <f t="shared" si="207"/>
        <v>1587</v>
      </c>
      <c r="CZ338" s="14">
        <f t="shared" si="208"/>
        <v>79.36</v>
      </c>
      <c r="DA338" s="14" t="str">
        <f t="shared" si="209"/>
        <v/>
      </c>
      <c r="DB338" s="14" t="str">
        <f t="shared" si="210"/>
        <v/>
      </c>
      <c r="DC338" s="14" t="str">
        <f t="shared" si="211"/>
        <v/>
      </c>
      <c r="DD338" s="14">
        <f t="shared" si="212"/>
        <v>16</v>
      </c>
      <c r="DE338" s="14">
        <f t="shared" si="213"/>
        <v>4</v>
      </c>
      <c r="DF338" s="14">
        <f t="shared" si="214"/>
        <v>24</v>
      </c>
      <c r="DG338" s="14">
        <f t="shared" si="215"/>
        <v>300</v>
      </c>
    </row>
    <row r="339" spans="77:111" ht="16.5" x14ac:dyDescent="0.2">
      <c r="BY339" s="13">
        <v>335</v>
      </c>
      <c r="BZ339" s="14">
        <f t="shared" si="198"/>
        <v>47</v>
      </c>
      <c r="CA339" s="14">
        <f t="shared" si="199"/>
        <v>7</v>
      </c>
      <c r="CB339" s="14">
        <f t="shared" si="184"/>
        <v>4</v>
      </c>
      <c r="CC339" s="14">
        <f t="shared" si="185"/>
        <v>2044071</v>
      </c>
      <c r="CD339" s="13" t="str">
        <f t="shared" si="186"/>
        <v>80级寄灵人橙色套3-武器</v>
      </c>
      <c r="CE339" s="14">
        <f t="shared" si="187"/>
        <v>1</v>
      </c>
      <c r="CF339" s="14">
        <f t="shared" si="188"/>
        <v>4</v>
      </c>
      <c r="CG339" s="14">
        <f t="shared" si="200"/>
        <v>80</v>
      </c>
      <c r="CH339" s="14">
        <f t="shared" si="201"/>
        <v>80</v>
      </c>
      <c r="CI339" s="14">
        <f t="shared" si="189"/>
        <v>1</v>
      </c>
      <c r="CJ339" s="14">
        <f t="shared" si="202"/>
        <v>1043</v>
      </c>
      <c r="CK339" s="14">
        <f t="shared" si="190"/>
        <v>582</v>
      </c>
      <c r="CL339" s="14">
        <f t="shared" si="191"/>
        <v>0</v>
      </c>
      <c r="CM339" s="14">
        <f t="shared" si="192"/>
        <v>0</v>
      </c>
      <c r="CN339" s="14">
        <f t="shared" si="193"/>
        <v>29.1</v>
      </c>
      <c r="CO339" s="14">
        <f t="shared" si="194"/>
        <v>0</v>
      </c>
      <c r="CP339" s="14">
        <f t="shared" si="195"/>
        <v>0</v>
      </c>
      <c r="CQ339" s="14">
        <f t="shared" si="203"/>
        <v>16</v>
      </c>
      <c r="CR339" s="14">
        <f t="shared" si="204"/>
        <v>4</v>
      </c>
      <c r="CS339" s="14">
        <f t="shared" si="205"/>
        <v>14</v>
      </c>
      <c r="CV339" s="14">
        <f t="shared" si="196"/>
        <v>1</v>
      </c>
      <c r="CW339" s="14">
        <f t="shared" si="197"/>
        <v>0</v>
      </c>
      <c r="CX339" s="14" t="str">
        <f t="shared" si="206"/>
        <v>AtkExt</v>
      </c>
      <c r="CY339" s="14">
        <f t="shared" si="207"/>
        <v>582</v>
      </c>
      <c r="CZ339" s="14">
        <f t="shared" si="208"/>
        <v>29.1</v>
      </c>
      <c r="DA339" s="14" t="str">
        <f t="shared" si="209"/>
        <v/>
      </c>
      <c r="DB339" s="14" t="str">
        <f t="shared" si="210"/>
        <v/>
      </c>
      <c r="DC339" s="14" t="str">
        <f t="shared" si="211"/>
        <v/>
      </c>
      <c r="DD339" s="14">
        <f t="shared" si="212"/>
        <v>16</v>
      </c>
      <c r="DE339" s="14">
        <f t="shared" si="213"/>
        <v>4</v>
      </c>
      <c r="DF339" s="14">
        <f t="shared" si="214"/>
        <v>14</v>
      </c>
      <c r="DG339" s="14">
        <f t="shared" si="215"/>
        <v>300</v>
      </c>
    </row>
    <row r="340" spans="77:111" ht="16.5" x14ac:dyDescent="0.2">
      <c r="BY340" s="13">
        <v>336</v>
      </c>
      <c r="BZ340" s="14">
        <f t="shared" si="198"/>
        <v>47</v>
      </c>
      <c r="CA340" s="14">
        <f t="shared" si="199"/>
        <v>7</v>
      </c>
      <c r="CB340" s="14">
        <f t="shared" si="184"/>
        <v>4</v>
      </c>
      <c r="CC340" s="14">
        <f t="shared" si="185"/>
        <v>2044072</v>
      </c>
      <c r="CD340" s="13" t="str">
        <f t="shared" si="186"/>
        <v>80级寄灵人橙色套3-头盔</v>
      </c>
      <c r="CE340" s="14">
        <f t="shared" si="187"/>
        <v>1</v>
      </c>
      <c r="CF340" s="14">
        <f t="shared" si="188"/>
        <v>4</v>
      </c>
      <c r="CG340" s="14">
        <f t="shared" si="200"/>
        <v>80</v>
      </c>
      <c r="CH340" s="14">
        <f t="shared" si="201"/>
        <v>80</v>
      </c>
      <c r="CI340" s="14">
        <f t="shared" si="189"/>
        <v>2</v>
      </c>
      <c r="CJ340" s="14">
        <f t="shared" si="202"/>
        <v>1043</v>
      </c>
      <c r="CK340" s="14">
        <f t="shared" si="190"/>
        <v>0</v>
      </c>
      <c r="CL340" s="14">
        <f t="shared" si="191"/>
        <v>143</v>
      </c>
      <c r="CM340" s="14">
        <f t="shared" si="192"/>
        <v>0</v>
      </c>
      <c r="CN340" s="14">
        <f t="shared" si="193"/>
        <v>0</v>
      </c>
      <c r="CO340" s="14">
        <f t="shared" si="194"/>
        <v>7.13</v>
      </c>
      <c r="CP340" s="14">
        <f t="shared" si="195"/>
        <v>0</v>
      </c>
      <c r="CQ340" s="14">
        <f t="shared" si="203"/>
        <v>16</v>
      </c>
      <c r="CR340" s="14">
        <f t="shared" si="204"/>
        <v>4</v>
      </c>
      <c r="CS340" s="14">
        <f t="shared" si="205"/>
        <v>14</v>
      </c>
      <c r="CV340" s="14">
        <f t="shared" si="196"/>
        <v>2</v>
      </c>
      <c r="CW340" s="14">
        <f t="shared" si="197"/>
        <v>0</v>
      </c>
      <c r="CX340" s="14" t="str">
        <f t="shared" si="206"/>
        <v>DefExt</v>
      </c>
      <c r="CY340" s="14">
        <f t="shared" si="207"/>
        <v>143</v>
      </c>
      <c r="CZ340" s="14">
        <f t="shared" si="208"/>
        <v>7.13</v>
      </c>
      <c r="DA340" s="14" t="str">
        <f t="shared" si="209"/>
        <v/>
      </c>
      <c r="DB340" s="14" t="str">
        <f t="shared" si="210"/>
        <v/>
      </c>
      <c r="DC340" s="14" t="str">
        <f t="shared" si="211"/>
        <v/>
      </c>
      <c r="DD340" s="14">
        <f t="shared" si="212"/>
        <v>16</v>
      </c>
      <c r="DE340" s="14">
        <f t="shared" si="213"/>
        <v>4</v>
      </c>
      <c r="DF340" s="14">
        <f t="shared" si="214"/>
        <v>14</v>
      </c>
      <c r="DG340" s="14">
        <f t="shared" si="215"/>
        <v>300</v>
      </c>
    </row>
    <row r="341" spans="77:111" ht="16.5" x14ac:dyDescent="0.2">
      <c r="BY341" s="13">
        <v>337</v>
      </c>
      <c r="BZ341" s="14">
        <f t="shared" si="198"/>
        <v>47</v>
      </c>
      <c r="CA341" s="14">
        <f t="shared" si="199"/>
        <v>7</v>
      </c>
      <c r="CB341" s="14">
        <f t="shared" si="184"/>
        <v>4</v>
      </c>
      <c r="CC341" s="14">
        <f t="shared" si="185"/>
        <v>2044073</v>
      </c>
      <c r="CD341" s="13" t="str">
        <f t="shared" si="186"/>
        <v>80级寄灵人橙色套3-肩甲</v>
      </c>
      <c r="CE341" s="14">
        <f t="shared" si="187"/>
        <v>1</v>
      </c>
      <c r="CF341" s="14">
        <f t="shared" si="188"/>
        <v>4</v>
      </c>
      <c r="CG341" s="14">
        <f t="shared" si="200"/>
        <v>80</v>
      </c>
      <c r="CH341" s="14">
        <f t="shared" si="201"/>
        <v>80</v>
      </c>
      <c r="CI341" s="14">
        <f t="shared" si="189"/>
        <v>3</v>
      </c>
      <c r="CJ341" s="14">
        <f t="shared" si="202"/>
        <v>1043</v>
      </c>
      <c r="CK341" s="14">
        <f t="shared" si="190"/>
        <v>0</v>
      </c>
      <c r="CL341" s="14">
        <f t="shared" si="191"/>
        <v>71</v>
      </c>
      <c r="CM341" s="14">
        <f t="shared" si="192"/>
        <v>444</v>
      </c>
      <c r="CN341" s="14">
        <f t="shared" si="193"/>
        <v>0</v>
      </c>
      <c r="CO341" s="14">
        <f t="shared" si="194"/>
        <v>3.57</v>
      </c>
      <c r="CP341" s="14">
        <f t="shared" si="195"/>
        <v>22.2</v>
      </c>
      <c r="CQ341" s="14">
        <f t="shared" si="203"/>
        <v>16</v>
      </c>
      <c r="CR341" s="14">
        <f t="shared" si="204"/>
        <v>4</v>
      </c>
      <c r="CS341" s="14">
        <f t="shared" si="205"/>
        <v>14</v>
      </c>
      <c r="CV341" s="14">
        <f t="shared" si="196"/>
        <v>2</v>
      </c>
      <c r="CW341" s="14">
        <f t="shared" si="197"/>
        <v>3</v>
      </c>
      <c r="CX341" s="14" t="str">
        <f t="shared" si="206"/>
        <v>DefExt</v>
      </c>
      <c r="CY341" s="14">
        <f t="shared" si="207"/>
        <v>71</v>
      </c>
      <c r="CZ341" s="14">
        <f t="shared" si="208"/>
        <v>3.57</v>
      </c>
      <c r="DA341" s="14" t="str">
        <f t="shared" si="209"/>
        <v>HPExt</v>
      </c>
      <c r="DB341" s="14">
        <f t="shared" si="210"/>
        <v>444</v>
      </c>
      <c r="DC341" s="14">
        <f t="shared" si="211"/>
        <v>22.2</v>
      </c>
      <c r="DD341" s="14">
        <f t="shared" si="212"/>
        <v>16</v>
      </c>
      <c r="DE341" s="14">
        <f t="shared" si="213"/>
        <v>4</v>
      </c>
      <c r="DF341" s="14">
        <f t="shared" si="214"/>
        <v>14</v>
      </c>
      <c r="DG341" s="14">
        <f t="shared" si="215"/>
        <v>300</v>
      </c>
    </row>
    <row r="342" spans="77:111" ht="16.5" x14ac:dyDescent="0.2">
      <c r="BY342" s="13">
        <v>338</v>
      </c>
      <c r="BZ342" s="14">
        <f t="shared" si="198"/>
        <v>47</v>
      </c>
      <c r="CA342" s="14">
        <f t="shared" si="199"/>
        <v>7</v>
      </c>
      <c r="CB342" s="14">
        <f t="shared" si="184"/>
        <v>4</v>
      </c>
      <c r="CC342" s="14">
        <f t="shared" si="185"/>
        <v>2044074</v>
      </c>
      <c r="CD342" s="13" t="str">
        <f t="shared" si="186"/>
        <v>80级寄灵人橙色套3-衣服</v>
      </c>
      <c r="CE342" s="14">
        <f t="shared" si="187"/>
        <v>1</v>
      </c>
      <c r="CF342" s="14">
        <f t="shared" si="188"/>
        <v>4</v>
      </c>
      <c r="CG342" s="14">
        <f t="shared" si="200"/>
        <v>80</v>
      </c>
      <c r="CH342" s="14">
        <f t="shared" si="201"/>
        <v>80</v>
      </c>
      <c r="CI342" s="14">
        <f t="shared" si="189"/>
        <v>4</v>
      </c>
      <c r="CJ342" s="14">
        <f t="shared" si="202"/>
        <v>1043</v>
      </c>
      <c r="CK342" s="14">
        <f t="shared" si="190"/>
        <v>0</v>
      </c>
      <c r="CL342" s="14">
        <f t="shared" si="191"/>
        <v>143</v>
      </c>
      <c r="CM342" s="14">
        <f t="shared" si="192"/>
        <v>0</v>
      </c>
      <c r="CN342" s="14">
        <f t="shared" si="193"/>
        <v>0</v>
      </c>
      <c r="CO342" s="14">
        <f t="shared" si="194"/>
        <v>7.13</v>
      </c>
      <c r="CP342" s="14">
        <f t="shared" si="195"/>
        <v>0</v>
      </c>
      <c r="CQ342" s="14">
        <f t="shared" si="203"/>
        <v>16</v>
      </c>
      <c r="CR342" s="14">
        <f t="shared" si="204"/>
        <v>4</v>
      </c>
      <c r="CS342" s="14">
        <f t="shared" si="205"/>
        <v>14</v>
      </c>
      <c r="CV342" s="14">
        <f t="shared" si="196"/>
        <v>2</v>
      </c>
      <c r="CW342" s="14">
        <f t="shared" si="197"/>
        <v>0</v>
      </c>
      <c r="CX342" s="14" t="str">
        <f t="shared" si="206"/>
        <v>DefExt</v>
      </c>
      <c r="CY342" s="14">
        <f t="shared" si="207"/>
        <v>143</v>
      </c>
      <c r="CZ342" s="14">
        <f t="shared" si="208"/>
        <v>7.13</v>
      </c>
      <c r="DA342" s="14" t="str">
        <f t="shared" si="209"/>
        <v/>
      </c>
      <c r="DB342" s="14" t="str">
        <f t="shared" si="210"/>
        <v/>
      </c>
      <c r="DC342" s="14" t="str">
        <f t="shared" si="211"/>
        <v/>
      </c>
      <c r="DD342" s="14">
        <f t="shared" si="212"/>
        <v>16</v>
      </c>
      <c r="DE342" s="14">
        <f t="shared" si="213"/>
        <v>4</v>
      </c>
      <c r="DF342" s="14">
        <f t="shared" si="214"/>
        <v>14</v>
      </c>
      <c r="DG342" s="14">
        <f t="shared" si="215"/>
        <v>300</v>
      </c>
    </row>
    <row r="343" spans="77:111" ht="16.5" x14ac:dyDescent="0.2">
      <c r="BY343" s="13">
        <v>339</v>
      </c>
      <c r="BZ343" s="14">
        <f t="shared" si="198"/>
        <v>47</v>
      </c>
      <c r="CA343" s="14">
        <f t="shared" si="199"/>
        <v>7</v>
      </c>
      <c r="CB343" s="14">
        <f t="shared" si="184"/>
        <v>4</v>
      </c>
      <c r="CC343" s="14">
        <f t="shared" si="185"/>
        <v>2044075</v>
      </c>
      <c r="CD343" s="13" t="str">
        <f t="shared" si="186"/>
        <v>80级寄灵人橙色套3-鞋子</v>
      </c>
      <c r="CE343" s="14">
        <f t="shared" si="187"/>
        <v>1</v>
      </c>
      <c r="CF343" s="14">
        <f t="shared" si="188"/>
        <v>4</v>
      </c>
      <c r="CG343" s="14">
        <f t="shared" si="200"/>
        <v>80</v>
      </c>
      <c r="CH343" s="14">
        <f t="shared" si="201"/>
        <v>80</v>
      </c>
      <c r="CI343" s="14">
        <f t="shared" si="189"/>
        <v>5</v>
      </c>
      <c r="CJ343" s="14">
        <f t="shared" si="202"/>
        <v>1043</v>
      </c>
      <c r="CK343" s="14">
        <f t="shared" si="190"/>
        <v>0</v>
      </c>
      <c r="CL343" s="14">
        <f t="shared" si="191"/>
        <v>0</v>
      </c>
      <c r="CM343" s="14">
        <f t="shared" si="192"/>
        <v>888</v>
      </c>
      <c r="CN343" s="14">
        <f t="shared" si="193"/>
        <v>0</v>
      </c>
      <c r="CO343" s="14">
        <f t="shared" si="194"/>
        <v>0</v>
      </c>
      <c r="CP343" s="14">
        <f t="shared" si="195"/>
        <v>44.41</v>
      </c>
      <c r="CQ343" s="14">
        <f t="shared" si="203"/>
        <v>16</v>
      </c>
      <c r="CR343" s="14">
        <f t="shared" si="204"/>
        <v>4</v>
      </c>
      <c r="CS343" s="14">
        <f t="shared" si="205"/>
        <v>14</v>
      </c>
      <c r="CV343" s="14">
        <f t="shared" si="196"/>
        <v>3</v>
      </c>
      <c r="CW343" s="14">
        <f t="shared" si="197"/>
        <v>0</v>
      </c>
      <c r="CX343" s="14" t="str">
        <f t="shared" si="206"/>
        <v>HPExt</v>
      </c>
      <c r="CY343" s="14">
        <f t="shared" si="207"/>
        <v>888</v>
      </c>
      <c r="CZ343" s="14">
        <f t="shared" si="208"/>
        <v>44.41</v>
      </c>
      <c r="DA343" s="14" t="str">
        <f t="shared" si="209"/>
        <v/>
      </c>
      <c r="DB343" s="14" t="str">
        <f t="shared" si="210"/>
        <v/>
      </c>
      <c r="DC343" s="14" t="str">
        <f t="shared" si="211"/>
        <v/>
      </c>
      <c r="DD343" s="14">
        <f t="shared" si="212"/>
        <v>16</v>
      </c>
      <c r="DE343" s="14">
        <f t="shared" si="213"/>
        <v>4</v>
      </c>
      <c r="DF343" s="14">
        <f t="shared" si="214"/>
        <v>14</v>
      </c>
      <c r="DG343" s="14">
        <f t="shared" si="215"/>
        <v>300</v>
      </c>
    </row>
    <row r="344" spans="77:111" ht="16.5" x14ac:dyDescent="0.2">
      <c r="BY344" s="13">
        <v>340</v>
      </c>
      <c r="BZ344" s="14">
        <f t="shared" si="198"/>
        <v>47</v>
      </c>
      <c r="CA344" s="14">
        <f t="shared" si="199"/>
        <v>7</v>
      </c>
      <c r="CB344" s="14">
        <f t="shared" si="184"/>
        <v>4</v>
      </c>
      <c r="CC344" s="14">
        <f t="shared" si="185"/>
        <v>2044076</v>
      </c>
      <c r="CD344" s="13" t="str">
        <f t="shared" si="186"/>
        <v>80级寄灵人橙色套3-护手</v>
      </c>
      <c r="CE344" s="14">
        <f t="shared" si="187"/>
        <v>1</v>
      </c>
      <c r="CF344" s="14">
        <f t="shared" si="188"/>
        <v>4</v>
      </c>
      <c r="CG344" s="14">
        <f t="shared" si="200"/>
        <v>80</v>
      </c>
      <c r="CH344" s="14">
        <f t="shared" si="201"/>
        <v>80</v>
      </c>
      <c r="CI344" s="14">
        <f t="shared" si="189"/>
        <v>6</v>
      </c>
      <c r="CJ344" s="14">
        <f t="shared" si="202"/>
        <v>1043</v>
      </c>
      <c r="CK344" s="14">
        <f t="shared" si="190"/>
        <v>0</v>
      </c>
      <c r="CL344" s="14">
        <f t="shared" si="191"/>
        <v>0</v>
      </c>
      <c r="CM344" s="14">
        <f t="shared" si="192"/>
        <v>888</v>
      </c>
      <c r="CN344" s="14">
        <f t="shared" si="193"/>
        <v>0</v>
      </c>
      <c r="CO344" s="14">
        <f t="shared" si="194"/>
        <v>0</v>
      </c>
      <c r="CP344" s="14">
        <f t="shared" si="195"/>
        <v>44.41</v>
      </c>
      <c r="CQ344" s="14">
        <f t="shared" si="203"/>
        <v>16</v>
      </c>
      <c r="CR344" s="14">
        <f t="shared" si="204"/>
        <v>4</v>
      </c>
      <c r="CS344" s="14">
        <f t="shared" si="205"/>
        <v>14</v>
      </c>
      <c r="CV344" s="14">
        <f t="shared" si="196"/>
        <v>3</v>
      </c>
      <c r="CW344" s="14">
        <f t="shared" si="197"/>
        <v>0</v>
      </c>
      <c r="CX344" s="14" t="str">
        <f t="shared" si="206"/>
        <v>HPExt</v>
      </c>
      <c r="CY344" s="14">
        <f t="shared" si="207"/>
        <v>888</v>
      </c>
      <c r="CZ344" s="14">
        <f t="shared" si="208"/>
        <v>44.41</v>
      </c>
      <c r="DA344" s="14" t="str">
        <f t="shared" si="209"/>
        <v/>
      </c>
      <c r="DB344" s="14" t="str">
        <f t="shared" si="210"/>
        <v/>
      </c>
      <c r="DC344" s="14" t="str">
        <f t="shared" si="211"/>
        <v/>
      </c>
      <c r="DD344" s="14">
        <f t="shared" si="212"/>
        <v>16</v>
      </c>
      <c r="DE344" s="14">
        <f t="shared" si="213"/>
        <v>4</v>
      </c>
      <c r="DF344" s="14">
        <f t="shared" si="214"/>
        <v>14</v>
      </c>
      <c r="DG344" s="14">
        <f t="shared" si="215"/>
        <v>300</v>
      </c>
    </row>
    <row r="345" spans="77:111" ht="16.5" x14ac:dyDescent="0.2">
      <c r="BY345" s="13">
        <v>341</v>
      </c>
      <c r="BZ345" s="14">
        <f t="shared" si="198"/>
        <v>48</v>
      </c>
      <c r="CA345" s="14">
        <f t="shared" si="199"/>
        <v>8</v>
      </c>
      <c r="CB345" s="14">
        <f t="shared" si="184"/>
        <v>4</v>
      </c>
      <c r="CC345" s="14">
        <f t="shared" si="185"/>
        <v>2044081</v>
      </c>
      <c r="CD345" s="13" t="str">
        <f t="shared" si="186"/>
        <v>80级守护灵橙色套3-武器</v>
      </c>
      <c r="CE345" s="14">
        <f t="shared" si="187"/>
        <v>2</v>
      </c>
      <c r="CF345" s="14">
        <f t="shared" si="188"/>
        <v>4</v>
      </c>
      <c r="CG345" s="14">
        <f t="shared" si="200"/>
        <v>80</v>
      </c>
      <c r="CH345" s="14">
        <f t="shared" si="201"/>
        <v>80</v>
      </c>
      <c r="CI345" s="14">
        <f t="shared" si="189"/>
        <v>1</v>
      </c>
      <c r="CJ345" s="14">
        <f t="shared" si="202"/>
        <v>2043</v>
      </c>
      <c r="CK345" s="14">
        <f t="shared" si="190"/>
        <v>616</v>
      </c>
      <c r="CL345" s="14">
        <f t="shared" si="191"/>
        <v>0</v>
      </c>
      <c r="CM345" s="14">
        <f t="shared" si="192"/>
        <v>0</v>
      </c>
      <c r="CN345" s="14">
        <f t="shared" si="193"/>
        <v>30.79</v>
      </c>
      <c r="CO345" s="14">
        <f t="shared" si="194"/>
        <v>0</v>
      </c>
      <c r="CP345" s="14">
        <f t="shared" si="195"/>
        <v>0</v>
      </c>
      <c r="CQ345" s="14">
        <f t="shared" si="203"/>
        <v>16</v>
      </c>
      <c r="CR345" s="14">
        <f t="shared" si="204"/>
        <v>4</v>
      </c>
      <c r="CS345" s="14">
        <f t="shared" si="205"/>
        <v>24</v>
      </c>
      <c r="CV345" s="14">
        <f t="shared" si="196"/>
        <v>1</v>
      </c>
      <c r="CW345" s="14">
        <f t="shared" si="197"/>
        <v>0</v>
      </c>
      <c r="CX345" s="14" t="str">
        <f t="shared" si="206"/>
        <v>AtkExt</v>
      </c>
      <c r="CY345" s="14">
        <f t="shared" si="207"/>
        <v>616</v>
      </c>
      <c r="CZ345" s="14">
        <f t="shared" si="208"/>
        <v>30.79</v>
      </c>
      <c r="DA345" s="14" t="str">
        <f t="shared" si="209"/>
        <v/>
      </c>
      <c r="DB345" s="14" t="str">
        <f t="shared" si="210"/>
        <v/>
      </c>
      <c r="DC345" s="14" t="str">
        <f t="shared" si="211"/>
        <v/>
      </c>
      <c r="DD345" s="14">
        <f t="shared" si="212"/>
        <v>16</v>
      </c>
      <c r="DE345" s="14">
        <f t="shared" si="213"/>
        <v>4</v>
      </c>
      <c r="DF345" s="14">
        <f t="shared" si="214"/>
        <v>24</v>
      </c>
      <c r="DG345" s="14">
        <f t="shared" si="215"/>
        <v>300</v>
      </c>
    </row>
    <row r="346" spans="77:111" ht="16.5" x14ac:dyDescent="0.2">
      <c r="BY346" s="13">
        <v>342</v>
      </c>
      <c r="BZ346" s="14">
        <f t="shared" si="198"/>
        <v>48</v>
      </c>
      <c r="CA346" s="14">
        <f t="shared" si="199"/>
        <v>8</v>
      </c>
      <c r="CB346" s="14">
        <f t="shared" si="184"/>
        <v>4</v>
      </c>
      <c r="CC346" s="14">
        <f t="shared" si="185"/>
        <v>2044082</v>
      </c>
      <c r="CD346" s="13" t="str">
        <f t="shared" si="186"/>
        <v>80级守护灵橙色套3-头盔</v>
      </c>
      <c r="CE346" s="14">
        <f t="shared" si="187"/>
        <v>2</v>
      </c>
      <c r="CF346" s="14">
        <f t="shared" si="188"/>
        <v>4</v>
      </c>
      <c r="CG346" s="14">
        <f t="shared" si="200"/>
        <v>80</v>
      </c>
      <c r="CH346" s="14">
        <f t="shared" si="201"/>
        <v>80</v>
      </c>
      <c r="CI346" s="14">
        <f t="shared" si="189"/>
        <v>2</v>
      </c>
      <c r="CJ346" s="14">
        <f t="shared" si="202"/>
        <v>2043</v>
      </c>
      <c r="CK346" s="14">
        <f t="shared" si="190"/>
        <v>0</v>
      </c>
      <c r="CL346" s="14">
        <f t="shared" si="191"/>
        <v>150</v>
      </c>
      <c r="CM346" s="14">
        <f t="shared" si="192"/>
        <v>0</v>
      </c>
      <c r="CN346" s="14">
        <f t="shared" si="193"/>
        <v>0</v>
      </c>
      <c r="CO346" s="14">
        <f t="shared" si="194"/>
        <v>7.48</v>
      </c>
      <c r="CP346" s="14">
        <f t="shared" si="195"/>
        <v>0</v>
      </c>
      <c r="CQ346" s="14">
        <f t="shared" si="203"/>
        <v>16</v>
      </c>
      <c r="CR346" s="14">
        <f t="shared" si="204"/>
        <v>4</v>
      </c>
      <c r="CS346" s="14">
        <f t="shared" si="205"/>
        <v>24</v>
      </c>
      <c r="CV346" s="14">
        <f t="shared" si="196"/>
        <v>2</v>
      </c>
      <c r="CW346" s="14">
        <f t="shared" si="197"/>
        <v>0</v>
      </c>
      <c r="CX346" s="14" t="str">
        <f t="shared" si="206"/>
        <v>DefExt</v>
      </c>
      <c r="CY346" s="14">
        <f t="shared" si="207"/>
        <v>150</v>
      </c>
      <c r="CZ346" s="14">
        <f t="shared" si="208"/>
        <v>7.48</v>
      </c>
      <c r="DA346" s="14" t="str">
        <f t="shared" si="209"/>
        <v/>
      </c>
      <c r="DB346" s="14" t="str">
        <f t="shared" si="210"/>
        <v/>
      </c>
      <c r="DC346" s="14" t="str">
        <f t="shared" si="211"/>
        <v/>
      </c>
      <c r="DD346" s="14">
        <f t="shared" si="212"/>
        <v>16</v>
      </c>
      <c r="DE346" s="14">
        <f t="shared" si="213"/>
        <v>4</v>
      </c>
      <c r="DF346" s="14">
        <f t="shared" si="214"/>
        <v>24</v>
      </c>
      <c r="DG346" s="14">
        <f t="shared" si="215"/>
        <v>300</v>
      </c>
    </row>
    <row r="347" spans="77:111" ht="16.5" x14ac:dyDescent="0.2">
      <c r="BY347" s="13">
        <v>343</v>
      </c>
      <c r="BZ347" s="14">
        <f t="shared" si="198"/>
        <v>48</v>
      </c>
      <c r="CA347" s="14">
        <f t="shared" si="199"/>
        <v>8</v>
      </c>
      <c r="CB347" s="14">
        <f t="shared" si="184"/>
        <v>4</v>
      </c>
      <c r="CC347" s="14">
        <f t="shared" si="185"/>
        <v>2044083</v>
      </c>
      <c r="CD347" s="13" t="str">
        <f t="shared" si="186"/>
        <v>80级守护灵橙色套3-肩甲</v>
      </c>
      <c r="CE347" s="14">
        <f t="shared" si="187"/>
        <v>2</v>
      </c>
      <c r="CF347" s="14">
        <f t="shared" si="188"/>
        <v>4</v>
      </c>
      <c r="CG347" s="14">
        <f t="shared" si="200"/>
        <v>80</v>
      </c>
      <c r="CH347" s="14">
        <f t="shared" si="201"/>
        <v>80</v>
      </c>
      <c r="CI347" s="14">
        <f t="shared" si="189"/>
        <v>3</v>
      </c>
      <c r="CJ347" s="14">
        <f t="shared" si="202"/>
        <v>2043</v>
      </c>
      <c r="CK347" s="14">
        <f t="shared" si="190"/>
        <v>0</v>
      </c>
      <c r="CL347" s="14">
        <f t="shared" si="191"/>
        <v>75</v>
      </c>
      <c r="CM347" s="14">
        <f t="shared" si="192"/>
        <v>794</v>
      </c>
      <c r="CN347" s="14">
        <f t="shared" si="193"/>
        <v>0</v>
      </c>
      <c r="CO347" s="14">
        <f t="shared" si="194"/>
        <v>3.74</v>
      </c>
      <c r="CP347" s="14">
        <f t="shared" si="195"/>
        <v>39.68</v>
      </c>
      <c r="CQ347" s="14">
        <f t="shared" si="203"/>
        <v>16</v>
      </c>
      <c r="CR347" s="14">
        <f t="shared" si="204"/>
        <v>4</v>
      </c>
      <c r="CS347" s="14">
        <f t="shared" si="205"/>
        <v>24</v>
      </c>
      <c r="CV347" s="14">
        <f t="shared" si="196"/>
        <v>2</v>
      </c>
      <c r="CW347" s="14">
        <f t="shared" si="197"/>
        <v>3</v>
      </c>
      <c r="CX347" s="14" t="str">
        <f t="shared" si="206"/>
        <v>DefExt</v>
      </c>
      <c r="CY347" s="14">
        <f t="shared" si="207"/>
        <v>75</v>
      </c>
      <c r="CZ347" s="14">
        <f t="shared" si="208"/>
        <v>3.74</v>
      </c>
      <c r="DA347" s="14" t="str">
        <f t="shared" si="209"/>
        <v>HPExt</v>
      </c>
      <c r="DB347" s="14">
        <f t="shared" si="210"/>
        <v>794</v>
      </c>
      <c r="DC347" s="14">
        <f t="shared" si="211"/>
        <v>39.68</v>
      </c>
      <c r="DD347" s="14">
        <f t="shared" si="212"/>
        <v>16</v>
      </c>
      <c r="DE347" s="14">
        <f t="shared" si="213"/>
        <v>4</v>
      </c>
      <c r="DF347" s="14">
        <f t="shared" si="214"/>
        <v>24</v>
      </c>
      <c r="DG347" s="14">
        <f t="shared" si="215"/>
        <v>300</v>
      </c>
    </row>
    <row r="348" spans="77:111" ht="16.5" x14ac:dyDescent="0.2">
      <c r="BY348" s="13">
        <v>344</v>
      </c>
      <c r="BZ348" s="14">
        <f t="shared" si="198"/>
        <v>48</v>
      </c>
      <c r="CA348" s="14">
        <f t="shared" si="199"/>
        <v>8</v>
      </c>
      <c r="CB348" s="14">
        <f t="shared" si="184"/>
        <v>4</v>
      </c>
      <c r="CC348" s="14">
        <f t="shared" si="185"/>
        <v>2044084</v>
      </c>
      <c r="CD348" s="13" t="str">
        <f t="shared" si="186"/>
        <v>80级守护灵橙色套3-衣服</v>
      </c>
      <c r="CE348" s="14">
        <f t="shared" si="187"/>
        <v>2</v>
      </c>
      <c r="CF348" s="14">
        <f t="shared" si="188"/>
        <v>4</v>
      </c>
      <c r="CG348" s="14">
        <f t="shared" si="200"/>
        <v>80</v>
      </c>
      <c r="CH348" s="14">
        <f t="shared" si="201"/>
        <v>80</v>
      </c>
      <c r="CI348" s="14">
        <f t="shared" si="189"/>
        <v>4</v>
      </c>
      <c r="CJ348" s="14">
        <f t="shared" si="202"/>
        <v>2043</v>
      </c>
      <c r="CK348" s="14">
        <f t="shared" si="190"/>
        <v>0</v>
      </c>
      <c r="CL348" s="14">
        <f t="shared" si="191"/>
        <v>150</v>
      </c>
      <c r="CM348" s="14">
        <f t="shared" si="192"/>
        <v>0</v>
      </c>
      <c r="CN348" s="14">
        <f t="shared" si="193"/>
        <v>0</v>
      </c>
      <c r="CO348" s="14">
        <f t="shared" si="194"/>
        <v>7.48</v>
      </c>
      <c r="CP348" s="14">
        <f t="shared" si="195"/>
        <v>0</v>
      </c>
      <c r="CQ348" s="14">
        <f t="shared" si="203"/>
        <v>16</v>
      </c>
      <c r="CR348" s="14">
        <f t="shared" si="204"/>
        <v>4</v>
      </c>
      <c r="CS348" s="14">
        <f t="shared" si="205"/>
        <v>24</v>
      </c>
      <c r="CV348" s="14">
        <f t="shared" si="196"/>
        <v>2</v>
      </c>
      <c r="CW348" s="14">
        <f t="shared" si="197"/>
        <v>0</v>
      </c>
      <c r="CX348" s="14" t="str">
        <f t="shared" si="206"/>
        <v>DefExt</v>
      </c>
      <c r="CY348" s="14">
        <f t="shared" si="207"/>
        <v>150</v>
      </c>
      <c r="CZ348" s="14">
        <f t="shared" si="208"/>
        <v>7.48</v>
      </c>
      <c r="DA348" s="14" t="str">
        <f t="shared" si="209"/>
        <v/>
      </c>
      <c r="DB348" s="14" t="str">
        <f t="shared" si="210"/>
        <v/>
      </c>
      <c r="DC348" s="14" t="str">
        <f t="shared" si="211"/>
        <v/>
      </c>
      <c r="DD348" s="14">
        <f t="shared" si="212"/>
        <v>16</v>
      </c>
      <c r="DE348" s="14">
        <f t="shared" si="213"/>
        <v>4</v>
      </c>
      <c r="DF348" s="14">
        <f t="shared" si="214"/>
        <v>24</v>
      </c>
      <c r="DG348" s="14">
        <f t="shared" si="215"/>
        <v>300</v>
      </c>
    </row>
    <row r="349" spans="77:111" ht="16.5" x14ac:dyDescent="0.2">
      <c r="BY349" s="13">
        <v>345</v>
      </c>
      <c r="BZ349" s="14">
        <f t="shared" si="198"/>
        <v>48</v>
      </c>
      <c r="CA349" s="14">
        <f t="shared" si="199"/>
        <v>8</v>
      </c>
      <c r="CB349" s="14">
        <f t="shared" si="184"/>
        <v>4</v>
      </c>
      <c r="CC349" s="14">
        <f t="shared" si="185"/>
        <v>2044085</v>
      </c>
      <c r="CD349" s="13" t="str">
        <f t="shared" si="186"/>
        <v>80级守护灵橙色套3-鞋子</v>
      </c>
      <c r="CE349" s="14">
        <f t="shared" si="187"/>
        <v>2</v>
      </c>
      <c r="CF349" s="14">
        <f t="shared" si="188"/>
        <v>4</v>
      </c>
      <c r="CG349" s="14">
        <f t="shared" si="200"/>
        <v>80</v>
      </c>
      <c r="CH349" s="14">
        <f t="shared" si="201"/>
        <v>80</v>
      </c>
      <c r="CI349" s="14">
        <f t="shared" si="189"/>
        <v>5</v>
      </c>
      <c r="CJ349" s="14">
        <f t="shared" si="202"/>
        <v>2043</v>
      </c>
      <c r="CK349" s="14">
        <f t="shared" si="190"/>
        <v>0</v>
      </c>
      <c r="CL349" s="14">
        <f t="shared" si="191"/>
        <v>0</v>
      </c>
      <c r="CM349" s="14">
        <f t="shared" si="192"/>
        <v>1587</v>
      </c>
      <c r="CN349" s="14">
        <f t="shared" si="193"/>
        <v>0</v>
      </c>
      <c r="CO349" s="14">
        <f t="shared" si="194"/>
        <v>0</v>
      </c>
      <c r="CP349" s="14">
        <f t="shared" si="195"/>
        <v>79.36</v>
      </c>
      <c r="CQ349" s="14">
        <f t="shared" si="203"/>
        <v>16</v>
      </c>
      <c r="CR349" s="14">
        <f t="shared" si="204"/>
        <v>4</v>
      </c>
      <c r="CS349" s="14">
        <f t="shared" si="205"/>
        <v>24</v>
      </c>
      <c r="CV349" s="14">
        <f t="shared" si="196"/>
        <v>3</v>
      </c>
      <c r="CW349" s="14">
        <f t="shared" si="197"/>
        <v>0</v>
      </c>
      <c r="CX349" s="14" t="str">
        <f t="shared" si="206"/>
        <v>HPExt</v>
      </c>
      <c r="CY349" s="14">
        <f t="shared" si="207"/>
        <v>1587</v>
      </c>
      <c r="CZ349" s="14">
        <f t="shared" si="208"/>
        <v>79.36</v>
      </c>
      <c r="DA349" s="14" t="str">
        <f t="shared" si="209"/>
        <v/>
      </c>
      <c r="DB349" s="14" t="str">
        <f t="shared" si="210"/>
        <v/>
      </c>
      <c r="DC349" s="14" t="str">
        <f t="shared" si="211"/>
        <v/>
      </c>
      <c r="DD349" s="14">
        <f t="shared" si="212"/>
        <v>16</v>
      </c>
      <c r="DE349" s="14">
        <f t="shared" si="213"/>
        <v>4</v>
      </c>
      <c r="DF349" s="14">
        <f t="shared" si="214"/>
        <v>24</v>
      </c>
      <c r="DG349" s="14">
        <f t="shared" si="215"/>
        <v>300</v>
      </c>
    </row>
    <row r="350" spans="77:111" ht="16.5" x14ac:dyDescent="0.2">
      <c r="BY350" s="13">
        <v>346</v>
      </c>
      <c r="BZ350" s="14">
        <f t="shared" si="198"/>
        <v>48</v>
      </c>
      <c r="CA350" s="14">
        <f t="shared" si="199"/>
        <v>8</v>
      </c>
      <c r="CB350" s="14">
        <f t="shared" si="184"/>
        <v>4</v>
      </c>
      <c r="CC350" s="14">
        <f t="shared" si="185"/>
        <v>2044086</v>
      </c>
      <c r="CD350" s="13" t="str">
        <f t="shared" si="186"/>
        <v>80级守护灵橙色套3-护手</v>
      </c>
      <c r="CE350" s="14">
        <f t="shared" si="187"/>
        <v>2</v>
      </c>
      <c r="CF350" s="14">
        <f t="shared" si="188"/>
        <v>4</v>
      </c>
      <c r="CG350" s="14">
        <f t="shared" si="200"/>
        <v>80</v>
      </c>
      <c r="CH350" s="14">
        <f t="shared" si="201"/>
        <v>80</v>
      </c>
      <c r="CI350" s="14">
        <f t="shared" si="189"/>
        <v>6</v>
      </c>
      <c r="CJ350" s="14">
        <f t="shared" si="202"/>
        <v>2043</v>
      </c>
      <c r="CK350" s="14">
        <f t="shared" si="190"/>
        <v>0</v>
      </c>
      <c r="CL350" s="14">
        <f t="shared" si="191"/>
        <v>0</v>
      </c>
      <c r="CM350" s="14">
        <f t="shared" si="192"/>
        <v>1587</v>
      </c>
      <c r="CN350" s="14">
        <f t="shared" si="193"/>
        <v>0</v>
      </c>
      <c r="CO350" s="14">
        <f t="shared" si="194"/>
        <v>0</v>
      </c>
      <c r="CP350" s="14">
        <f t="shared" si="195"/>
        <v>79.36</v>
      </c>
      <c r="CQ350" s="14">
        <f t="shared" si="203"/>
        <v>16</v>
      </c>
      <c r="CR350" s="14">
        <f t="shared" si="204"/>
        <v>4</v>
      </c>
      <c r="CS350" s="14">
        <f t="shared" si="205"/>
        <v>24</v>
      </c>
      <c r="CV350" s="14">
        <f t="shared" si="196"/>
        <v>3</v>
      </c>
      <c r="CW350" s="14">
        <f t="shared" si="197"/>
        <v>0</v>
      </c>
      <c r="CX350" s="14" t="str">
        <f t="shared" si="206"/>
        <v>HPExt</v>
      </c>
      <c r="CY350" s="14">
        <f t="shared" si="207"/>
        <v>1587</v>
      </c>
      <c r="CZ350" s="14">
        <f t="shared" si="208"/>
        <v>79.36</v>
      </c>
      <c r="DA350" s="14" t="str">
        <f t="shared" si="209"/>
        <v/>
      </c>
      <c r="DB350" s="14" t="str">
        <f t="shared" si="210"/>
        <v/>
      </c>
      <c r="DC350" s="14" t="str">
        <f t="shared" si="211"/>
        <v/>
      </c>
      <c r="DD350" s="14">
        <f t="shared" si="212"/>
        <v>16</v>
      </c>
      <c r="DE350" s="14">
        <f t="shared" si="213"/>
        <v>4</v>
      </c>
      <c r="DF350" s="14">
        <f t="shared" si="214"/>
        <v>24</v>
      </c>
      <c r="DG350" s="14">
        <f t="shared" si="215"/>
        <v>300</v>
      </c>
    </row>
    <row r="351" spans="77:111" ht="16.5" x14ac:dyDescent="0.2">
      <c r="BY351" s="13">
        <v>347</v>
      </c>
      <c r="BZ351" s="14">
        <f t="shared" si="198"/>
        <v>49</v>
      </c>
      <c r="CA351" s="14">
        <f t="shared" si="199"/>
        <v>1</v>
      </c>
      <c r="CB351" s="14">
        <f t="shared" si="184"/>
        <v>5</v>
      </c>
      <c r="CC351" s="14">
        <f t="shared" si="185"/>
        <v>2051011</v>
      </c>
      <c r="CD351" s="13" t="str">
        <f t="shared" si="186"/>
        <v>100级寄灵人绿色-武器</v>
      </c>
      <c r="CE351" s="14">
        <f t="shared" si="187"/>
        <v>1</v>
      </c>
      <c r="CF351" s="14">
        <f t="shared" si="188"/>
        <v>1</v>
      </c>
      <c r="CG351" s="14">
        <f t="shared" si="200"/>
        <v>100</v>
      </c>
      <c r="CH351" s="14">
        <f t="shared" si="201"/>
        <v>100</v>
      </c>
      <c r="CI351" s="14">
        <f t="shared" si="189"/>
        <v>1</v>
      </c>
      <c r="CJ351" s="14" t="str">
        <f t="shared" si="202"/>
        <v/>
      </c>
      <c r="CK351" s="14">
        <f t="shared" si="190"/>
        <v>418</v>
      </c>
      <c r="CL351" s="14">
        <f t="shared" si="191"/>
        <v>0</v>
      </c>
      <c r="CM351" s="14">
        <f t="shared" si="192"/>
        <v>0</v>
      </c>
      <c r="CN351" s="14">
        <f t="shared" si="193"/>
        <v>41.75</v>
      </c>
      <c r="CO351" s="14">
        <f t="shared" si="194"/>
        <v>0</v>
      </c>
      <c r="CP351" s="14">
        <f t="shared" si="195"/>
        <v>0</v>
      </c>
      <c r="CQ351" s="14">
        <f t="shared" si="203"/>
        <v>17</v>
      </c>
      <c r="CR351" s="14">
        <f t="shared" si="204"/>
        <v>0</v>
      </c>
      <c r="CS351" s="14">
        <f t="shared" si="205"/>
        <v>15</v>
      </c>
      <c r="CV351" s="14">
        <f t="shared" si="196"/>
        <v>1</v>
      </c>
      <c r="CW351" s="14">
        <f t="shared" si="197"/>
        <v>0</v>
      </c>
      <c r="CX351" s="14" t="str">
        <f t="shared" si="206"/>
        <v>AtkExt</v>
      </c>
      <c r="CY351" s="14">
        <f t="shared" si="207"/>
        <v>418</v>
      </c>
      <c r="CZ351" s="14">
        <f t="shared" si="208"/>
        <v>41.75</v>
      </c>
      <c r="DA351" s="14" t="str">
        <f t="shared" si="209"/>
        <v/>
      </c>
      <c r="DB351" s="14" t="str">
        <f t="shared" si="210"/>
        <v/>
      </c>
      <c r="DC351" s="14" t="str">
        <f t="shared" si="211"/>
        <v/>
      </c>
      <c r="DD351" s="14">
        <f t="shared" si="212"/>
        <v>17</v>
      </c>
      <c r="DE351" s="14">
        <f t="shared" si="213"/>
        <v>0</v>
      </c>
      <c r="DF351" s="14">
        <f t="shared" si="214"/>
        <v>15</v>
      </c>
      <c r="DG351" s="14">
        <f t="shared" si="215"/>
        <v>45</v>
      </c>
    </row>
    <row r="352" spans="77:111" ht="16.5" x14ac:dyDescent="0.2">
      <c r="BY352" s="13">
        <v>348</v>
      </c>
      <c r="BZ352" s="14">
        <f t="shared" si="198"/>
        <v>49</v>
      </c>
      <c r="CA352" s="14">
        <f t="shared" si="199"/>
        <v>1</v>
      </c>
      <c r="CB352" s="14">
        <f t="shared" si="184"/>
        <v>5</v>
      </c>
      <c r="CC352" s="14">
        <f t="shared" si="185"/>
        <v>2051012</v>
      </c>
      <c r="CD352" s="13" t="str">
        <f t="shared" si="186"/>
        <v>100级寄灵人绿色-头盔</v>
      </c>
      <c r="CE352" s="14">
        <f t="shared" si="187"/>
        <v>1</v>
      </c>
      <c r="CF352" s="14">
        <f t="shared" si="188"/>
        <v>1</v>
      </c>
      <c r="CG352" s="14">
        <f t="shared" si="200"/>
        <v>100</v>
      </c>
      <c r="CH352" s="14">
        <f t="shared" si="201"/>
        <v>100</v>
      </c>
      <c r="CI352" s="14">
        <f t="shared" si="189"/>
        <v>2</v>
      </c>
      <c r="CJ352" s="14" t="str">
        <f t="shared" si="202"/>
        <v/>
      </c>
      <c r="CK352" s="14">
        <f t="shared" si="190"/>
        <v>0</v>
      </c>
      <c r="CL352" s="14">
        <f t="shared" si="191"/>
        <v>103</v>
      </c>
      <c r="CM352" s="14">
        <f t="shared" si="192"/>
        <v>0</v>
      </c>
      <c r="CN352" s="14">
        <f t="shared" si="193"/>
        <v>0</v>
      </c>
      <c r="CO352" s="14">
        <f t="shared" si="194"/>
        <v>10.33</v>
      </c>
      <c r="CP352" s="14">
        <f t="shared" si="195"/>
        <v>0</v>
      </c>
      <c r="CQ352" s="14">
        <f t="shared" si="203"/>
        <v>17</v>
      </c>
      <c r="CR352" s="14">
        <f t="shared" si="204"/>
        <v>0</v>
      </c>
      <c r="CS352" s="14">
        <f t="shared" si="205"/>
        <v>15</v>
      </c>
      <c r="CV352" s="14">
        <f t="shared" si="196"/>
        <v>2</v>
      </c>
      <c r="CW352" s="14">
        <f t="shared" si="197"/>
        <v>0</v>
      </c>
      <c r="CX352" s="14" t="str">
        <f t="shared" si="206"/>
        <v>DefExt</v>
      </c>
      <c r="CY352" s="14">
        <f t="shared" si="207"/>
        <v>103</v>
      </c>
      <c r="CZ352" s="14">
        <f t="shared" si="208"/>
        <v>10.33</v>
      </c>
      <c r="DA352" s="14" t="str">
        <f t="shared" si="209"/>
        <v/>
      </c>
      <c r="DB352" s="14" t="str">
        <f t="shared" si="210"/>
        <v/>
      </c>
      <c r="DC352" s="14" t="str">
        <f t="shared" si="211"/>
        <v/>
      </c>
      <c r="DD352" s="14">
        <f t="shared" si="212"/>
        <v>17</v>
      </c>
      <c r="DE352" s="14">
        <f t="shared" si="213"/>
        <v>0</v>
      </c>
      <c r="DF352" s="14">
        <f t="shared" si="214"/>
        <v>15</v>
      </c>
      <c r="DG352" s="14">
        <f t="shared" si="215"/>
        <v>45</v>
      </c>
    </row>
    <row r="353" spans="77:111" ht="16.5" x14ac:dyDescent="0.2">
      <c r="BY353" s="13">
        <v>349</v>
      </c>
      <c r="BZ353" s="14">
        <f t="shared" si="198"/>
        <v>49</v>
      </c>
      <c r="CA353" s="14">
        <f t="shared" si="199"/>
        <v>1</v>
      </c>
      <c r="CB353" s="14">
        <f t="shared" si="184"/>
        <v>5</v>
      </c>
      <c r="CC353" s="14">
        <f t="shared" si="185"/>
        <v>2051013</v>
      </c>
      <c r="CD353" s="13" t="str">
        <f t="shared" si="186"/>
        <v>100级寄灵人绿色-肩甲</v>
      </c>
      <c r="CE353" s="14">
        <f t="shared" si="187"/>
        <v>1</v>
      </c>
      <c r="CF353" s="14">
        <f t="shared" si="188"/>
        <v>1</v>
      </c>
      <c r="CG353" s="14">
        <f t="shared" si="200"/>
        <v>100</v>
      </c>
      <c r="CH353" s="14">
        <f t="shared" si="201"/>
        <v>100</v>
      </c>
      <c r="CI353" s="14">
        <f t="shared" si="189"/>
        <v>3</v>
      </c>
      <c r="CJ353" s="14" t="str">
        <f t="shared" si="202"/>
        <v/>
      </c>
      <c r="CK353" s="14">
        <f t="shared" si="190"/>
        <v>0</v>
      </c>
      <c r="CL353" s="14">
        <f t="shared" si="191"/>
        <v>52</v>
      </c>
      <c r="CM353" s="14">
        <f t="shared" si="192"/>
        <v>316</v>
      </c>
      <c r="CN353" s="14">
        <f t="shared" si="193"/>
        <v>0</v>
      </c>
      <c r="CO353" s="14">
        <f t="shared" si="194"/>
        <v>5.16</v>
      </c>
      <c r="CP353" s="14">
        <f t="shared" si="195"/>
        <v>31.62</v>
      </c>
      <c r="CQ353" s="14">
        <f t="shared" si="203"/>
        <v>17</v>
      </c>
      <c r="CR353" s="14">
        <f t="shared" si="204"/>
        <v>0</v>
      </c>
      <c r="CS353" s="14">
        <f t="shared" si="205"/>
        <v>15</v>
      </c>
      <c r="CV353" s="14">
        <f t="shared" si="196"/>
        <v>2</v>
      </c>
      <c r="CW353" s="14">
        <f t="shared" si="197"/>
        <v>3</v>
      </c>
      <c r="CX353" s="14" t="str">
        <f t="shared" si="206"/>
        <v>DefExt</v>
      </c>
      <c r="CY353" s="14">
        <f t="shared" si="207"/>
        <v>52</v>
      </c>
      <c r="CZ353" s="14">
        <f t="shared" si="208"/>
        <v>5.16</v>
      </c>
      <c r="DA353" s="14" t="str">
        <f t="shared" si="209"/>
        <v>HPExt</v>
      </c>
      <c r="DB353" s="14">
        <f t="shared" si="210"/>
        <v>316</v>
      </c>
      <c r="DC353" s="14">
        <f t="shared" si="211"/>
        <v>31.62</v>
      </c>
      <c r="DD353" s="14">
        <f t="shared" si="212"/>
        <v>17</v>
      </c>
      <c r="DE353" s="14">
        <f t="shared" si="213"/>
        <v>0</v>
      </c>
      <c r="DF353" s="14">
        <f t="shared" si="214"/>
        <v>15</v>
      </c>
      <c r="DG353" s="14">
        <f t="shared" si="215"/>
        <v>45</v>
      </c>
    </row>
    <row r="354" spans="77:111" ht="16.5" x14ac:dyDescent="0.2">
      <c r="BY354" s="13">
        <v>350</v>
      </c>
      <c r="BZ354" s="14">
        <f t="shared" si="198"/>
        <v>49</v>
      </c>
      <c r="CA354" s="14">
        <f t="shared" si="199"/>
        <v>1</v>
      </c>
      <c r="CB354" s="14">
        <f t="shared" si="184"/>
        <v>5</v>
      </c>
      <c r="CC354" s="14">
        <f t="shared" si="185"/>
        <v>2051014</v>
      </c>
      <c r="CD354" s="13" t="str">
        <f t="shared" si="186"/>
        <v>100级寄灵人绿色-衣服</v>
      </c>
      <c r="CE354" s="14">
        <f t="shared" si="187"/>
        <v>1</v>
      </c>
      <c r="CF354" s="14">
        <f t="shared" si="188"/>
        <v>1</v>
      </c>
      <c r="CG354" s="14">
        <f t="shared" si="200"/>
        <v>100</v>
      </c>
      <c r="CH354" s="14">
        <f t="shared" si="201"/>
        <v>100</v>
      </c>
      <c r="CI354" s="14">
        <f t="shared" si="189"/>
        <v>4</v>
      </c>
      <c r="CJ354" s="14" t="str">
        <f t="shared" si="202"/>
        <v/>
      </c>
      <c r="CK354" s="14">
        <f t="shared" si="190"/>
        <v>0</v>
      </c>
      <c r="CL354" s="14">
        <f t="shared" si="191"/>
        <v>103</v>
      </c>
      <c r="CM354" s="14">
        <f t="shared" si="192"/>
        <v>0</v>
      </c>
      <c r="CN354" s="14">
        <f t="shared" si="193"/>
        <v>0</v>
      </c>
      <c r="CO354" s="14">
        <f t="shared" si="194"/>
        <v>10.33</v>
      </c>
      <c r="CP354" s="14">
        <f t="shared" si="195"/>
        <v>0</v>
      </c>
      <c r="CQ354" s="14">
        <f t="shared" si="203"/>
        <v>17</v>
      </c>
      <c r="CR354" s="14">
        <f t="shared" si="204"/>
        <v>0</v>
      </c>
      <c r="CS354" s="14">
        <f t="shared" si="205"/>
        <v>15</v>
      </c>
      <c r="CV354" s="14">
        <f t="shared" si="196"/>
        <v>2</v>
      </c>
      <c r="CW354" s="14">
        <f t="shared" si="197"/>
        <v>0</v>
      </c>
      <c r="CX354" s="14" t="str">
        <f t="shared" si="206"/>
        <v>DefExt</v>
      </c>
      <c r="CY354" s="14">
        <f t="shared" si="207"/>
        <v>103</v>
      </c>
      <c r="CZ354" s="14">
        <f t="shared" si="208"/>
        <v>10.33</v>
      </c>
      <c r="DA354" s="14" t="str">
        <f t="shared" si="209"/>
        <v/>
      </c>
      <c r="DB354" s="14" t="str">
        <f t="shared" si="210"/>
        <v/>
      </c>
      <c r="DC354" s="14" t="str">
        <f t="shared" si="211"/>
        <v/>
      </c>
      <c r="DD354" s="14">
        <f t="shared" si="212"/>
        <v>17</v>
      </c>
      <c r="DE354" s="14">
        <f t="shared" si="213"/>
        <v>0</v>
      </c>
      <c r="DF354" s="14">
        <f t="shared" si="214"/>
        <v>15</v>
      </c>
      <c r="DG354" s="14">
        <f t="shared" si="215"/>
        <v>45</v>
      </c>
    </row>
    <row r="355" spans="77:111" ht="16.5" x14ac:dyDescent="0.2">
      <c r="BY355" s="13">
        <v>351</v>
      </c>
      <c r="BZ355" s="14">
        <f t="shared" si="198"/>
        <v>49</v>
      </c>
      <c r="CA355" s="14">
        <f t="shared" si="199"/>
        <v>1</v>
      </c>
      <c r="CB355" s="14">
        <f t="shared" si="184"/>
        <v>5</v>
      </c>
      <c r="CC355" s="14">
        <f t="shared" si="185"/>
        <v>2051015</v>
      </c>
      <c r="CD355" s="13" t="str">
        <f t="shared" si="186"/>
        <v>100级寄灵人绿色-鞋子</v>
      </c>
      <c r="CE355" s="14">
        <f t="shared" si="187"/>
        <v>1</v>
      </c>
      <c r="CF355" s="14">
        <f t="shared" si="188"/>
        <v>1</v>
      </c>
      <c r="CG355" s="14">
        <f t="shared" si="200"/>
        <v>100</v>
      </c>
      <c r="CH355" s="14">
        <f t="shared" si="201"/>
        <v>100</v>
      </c>
      <c r="CI355" s="14">
        <f t="shared" si="189"/>
        <v>5</v>
      </c>
      <c r="CJ355" s="14" t="str">
        <f t="shared" si="202"/>
        <v/>
      </c>
      <c r="CK355" s="14">
        <f t="shared" si="190"/>
        <v>0</v>
      </c>
      <c r="CL355" s="14">
        <f t="shared" si="191"/>
        <v>0</v>
      </c>
      <c r="CM355" s="14">
        <f t="shared" si="192"/>
        <v>632</v>
      </c>
      <c r="CN355" s="14">
        <f t="shared" si="193"/>
        <v>0</v>
      </c>
      <c r="CO355" s="14">
        <f t="shared" si="194"/>
        <v>0</v>
      </c>
      <c r="CP355" s="14">
        <f t="shared" si="195"/>
        <v>63.23</v>
      </c>
      <c r="CQ355" s="14">
        <f t="shared" si="203"/>
        <v>17</v>
      </c>
      <c r="CR355" s="14">
        <f t="shared" si="204"/>
        <v>0</v>
      </c>
      <c r="CS355" s="14">
        <f t="shared" si="205"/>
        <v>15</v>
      </c>
      <c r="CV355" s="14">
        <f t="shared" si="196"/>
        <v>3</v>
      </c>
      <c r="CW355" s="14">
        <f t="shared" si="197"/>
        <v>0</v>
      </c>
      <c r="CX355" s="14" t="str">
        <f t="shared" si="206"/>
        <v>HPExt</v>
      </c>
      <c r="CY355" s="14">
        <f t="shared" si="207"/>
        <v>632</v>
      </c>
      <c r="CZ355" s="14">
        <f t="shared" si="208"/>
        <v>63.23</v>
      </c>
      <c r="DA355" s="14" t="str">
        <f t="shared" si="209"/>
        <v/>
      </c>
      <c r="DB355" s="14" t="str">
        <f t="shared" si="210"/>
        <v/>
      </c>
      <c r="DC355" s="14" t="str">
        <f t="shared" si="211"/>
        <v/>
      </c>
      <c r="DD355" s="14">
        <f t="shared" si="212"/>
        <v>17</v>
      </c>
      <c r="DE355" s="14">
        <f t="shared" si="213"/>
        <v>0</v>
      </c>
      <c r="DF355" s="14">
        <f t="shared" si="214"/>
        <v>15</v>
      </c>
      <c r="DG355" s="14">
        <f t="shared" si="215"/>
        <v>45</v>
      </c>
    </row>
    <row r="356" spans="77:111" ht="16.5" x14ac:dyDescent="0.2">
      <c r="BY356" s="13">
        <v>352</v>
      </c>
      <c r="BZ356" s="14">
        <f t="shared" si="198"/>
        <v>49</v>
      </c>
      <c r="CA356" s="14">
        <f t="shared" si="199"/>
        <v>1</v>
      </c>
      <c r="CB356" s="14">
        <f t="shared" si="184"/>
        <v>5</v>
      </c>
      <c r="CC356" s="14">
        <f t="shared" si="185"/>
        <v>2051016</v>
      </c>
      <c r="CD356" s="13" t="str">
        <f t="shared" si="186"/>
        <v>100级寄灵人绿色-护手</v>
      </c>
      <c r="CE356" s="14">
        <f t="shared" si="187"/>
        <v>1</v>
      </c>
      <c r="CF356" s="14">
        <f t="shared" si="188"/>
        <v>1</v>
      </c>
      <c r="CG356" s="14">
        <f t="shared" si="200"/>
        <v>100</v>
      </c>
      <c r="CH356" s="14">
        <f t="shared" si="201"/>
        <v>100</v>
      </c>
      <c r="CI356" s="14">
        <f t="shared" si="189"/>
        <v>6</v>
      </c>
      <c r="CJ356" s="14" t="str">
        <f t="shared" si="202"/>
        <v/>
      </c>
      <c r="CK356" s="14">
        <f t="shared" si="190"/>
        <v>0</v>
      </c>
      <c r="CL356" s="14">
        <f t="shared" si="191"/>
        <v>0</v>
      </c>
      <c r="CM356" s="14">
        <f t="shared" si="192"/>
        <v>632</v>
      </c>
      <c r="CN356" s="14">
        <f t="shared" si="193"/>
        <v>0</v>
      </c>
      <c r="CO356" s="14">
        <f t="shared" si="194"/>
        <v>0</v>
      </c>
      <c r="CP356" s="14">
        <f t="shared" si="195"/>
        <v>63.23</v>
      </c>
      <c r="CQ356" s="14">
        <f t="shared" si="203"/>
        <v>17</v>
      </c>
      <c r="CR356" s="14">
        <f t="shared" si="204"/>
        <v>0</v>
      </c>
      <c r="CS356" s="14">
        <f t="shared" si="205"/>
        <v>15</v>
      </c>
      <c r="CV356" s="14">
        <f t="shared" si="196"/>
        <v>3</v>
      </c>
      <c r="CW356" s="14">
        <f t="shared" si="197"/>
        <v>0</v>
      </c>
      <c r="CX356" s="14" t="str">
        <f t="shared" si="206"/>
        <v>HPExt</v>
      </c>
      <c r="CY356" s="14">
        <f t="shared" si="207"/>
        <v>632</v>
      </c>
      <c r="CZ356" s="14">
        <f t="shared" si="208"/>
        <v>63.23</v>
      </c>
      <c r="DA356" s="14" t="str">
        <f t="shared" si="209"/>
        <v/>
      </c>
      <c r="DB356" s="14" t="str">
        <f t="shared" si="210"/>
        <v/>
      </c>
      <c r="DC356" s="14" t="str">
        <f t="shared" si="211"/>
        <v/>
      </c>
      <c r="DD356" s="14">
        <f t="shared" si="212"/>
        <v>17</v>
      </c>
      <c r="DE356" s="14">
        <f t="shared" si="213"/>
        <v>0</v>
      </c>
      <c r="DF356" s="14">
        <f t="shared" si="214"/>
        <v>15</v>
      </c>
      <c r="DG356" s="14">
        <f t="shared" si="215"/>
        <v>45</v>
      </c>
    </row>
    <row r="357" spans="77:111" ht="16.5" x14ac:dyDescent="0.2">
      <c r="BY357" s="13">
        <v>353</v>
      </c>
      <c r="BZ357" s="14">
        <f t="shared" si="198"/>
        <v>49</v>
      </c>
      <c r="CA357" s="14">
        <f t="shared" si="199"/>
        <v>1</v>
      </c>
      <c r="CB357" s="14">
        <f t="shared" si="184"/>
        <v>5</v>
      </c>
      <c r="CC357" s="14">
        <f t="shared" si="185"/>
        <v>2051017</v>
      </c>
      <c r="CD357" s="13" t="str">
        <f t="shared" si="186"/>
        <v>100级寄灵人绿色-项链</v>
      </c>
      <c r="CE357" s="14">
        <f t="shared" si="187"/>
        <v>1</v>
      </c>
      <c r="CF357" s="14">
        <f t="shared" si="188"/>
        <v>1</v>
      </c>
      <c r="CG357" s="14">
        <f t="shared" si="200"/>
        <v>100</v>
      </c>
      <c r="CH357" s="14">
        <f t="shared" si="201"/>
        <v>100</v>
      </c>
      <c r="CI357" s="14">
        <f t="shared" si="189"/>
        <v>7</v>
      </c>
      <c r="CJ357" s="14" t="str">
        <f t="shared" si="202"/>
        <v/>
      </c>
      <c r="CK357" s="14">
        <f t="shared" si="190"/>
        <v>139</v>
      </c>
      <c r="CL357" s="14">
        <f t="shared" si="191"/>
        <v>86</v>
      </c>
      <c r="CM357" s="14">
        <f t="shared" si="192"/>
        <v>0</v>
      </c>
      <c r="CN357" s="14">
        <f t="shared" si="193"/>
        <v>13.92</v>
      </c>
      <c r="CO357" s="14">
        <f t="shared" si="194"/>
        <v>8.6</v>
      </c>
      <c r="CP357" s="14">
        <f t="shared" si="195"/>
        <v>0</v>
      </c>
      <c r="CQ357" s="14">
        <f t="shared" si="203"/>
        <v>17</v>
      </c>
      <c r="CR357" s="14">
        <f t="shared" si="204"/>
        <v>0</v>
      </c>
      <c r="CS357" s="14">
        <f t="shared" si="205"/>
        <v>15</v>
      </c>
      <c r="CV357" s="14">
        <f t="shared" si="196"/>
        <v>1</v>
      </c>
      <c r="CW357" s="14">
        <f t="shared" si="197"/>
        <v>2</v>
      </c>
      <c r="CX357" s="14" t="str">
        <f t="shared" si="206"/>
        <v>AtkExt</v>
      </c>
      <c r="CY357" s="14">
        <f t="shared" si="207"/>
        <v>139</v>
      </c>
      <c r="CZ357" s="14">
        <f t="shared" si="208"/>
        <v>13.92</v>
      </c>
      <c r="DA357" s="14" t="str">
        <f t="shared" si="209"/>
        <v>DefExt</v>
      </c>
      <c r="DB357" s="14">
        <f t="shared" si="210"/>
        <v>86</v>
      </c>
      <c r="DC357" s="14">
        <f t="shared" si="211"/>
        <v>8.6</v>
      </c>
      <c r="DD357" s="14">
        <f t="shared" si="212"/>
        <v>17</v>
      </c>
      <c r="DE357" s="14">
        <f t="shared" si="213"/>
        <v>0</v>
      </c>
      <c r="DF357" s="14">
        <f t="shared" si="214"/>
        <v>15</v>
      </c>
      <c r="DG357" s="14">
        <f t="shared" si="215"/>
        <v>45</v>
      </c>
    </row>
    <row r="358" spans="77:111" ht="16.5" x14ac:dyDescent="0.2">
      <c r="BY358" s="13">
        <v>354</v>
      </c>
      <c r="BZ358" s="14">
        <f t="shared" si="198"/>
        <v>49</v>
      </c>
      <c r="CA358" s="14">
        <f t="shared" si="199"/>
        <v>1</v>
      </c>
      <c r="CB358" s="14">
        <f t="shared" si="184"/>
        <v>5</v>
      </c>
      <c r="CC358" s="14">
        <f t="shared" si="185"/>
        <v>2051018</v>
      </c>
      <c r="CD358" s="13" t="str">
        <f t="shared" si="186"/>
        <v>100级寄灵人绿色-戒指</v>
      </c>
      <c r="CE358" s="14">
        <f t="shared" si="187"/>
        <v>1</v>
      </c>
      <c r="CF358" s="14">
        <f t="shared" si="188"/>
        <v>1</v>
      </c>
      <c r="CG358" s="14">
        <f t="shared" si="200"/>
        <v>100</v>
      </c>
      <c r="CH358" s="14">
        <f t="shared" si="201"/>
        <v>100</v>
      </c>
      <c r="CI358" s="14">
        <f t="shared" si="189"/>
        <v>8</v>
      </c>
      <c r="CJ358" s="14" t="str">
        <f t="shared" si="202"/>
        <v/>
      </c>
      <c r="CK358" s="14">
        <f t="shared" si="190"/>
        <v>139</v>
      </c>
      <c r="CL358" s="14">
        <f t="shared" si="191"/>
        <v>0</v>
      </c>
      <c r="CM358" s="14">
        <f t="shared" si="192"/>
        <v>527</v>
      </c>
      <c r="CN358" s="14">
        <f t="shared" si="193"/>
        <v>13.92</v>
      </c>
      <c r="CO358" s="14">
        <f t="shared" si="194"/>
        <v>0</v>
      </c>
      <c r="CP358" s="14">
        <f t="shared" si="195"/>
        <v>52.69</v>
      </c>
      <c r="CQ358" s="14">
        <f t="shared" si="203"/>
        <v>17</v>
      </c>
      <c r="CR358" s="14">
        <f t="shared" si="204"/>
        <v>0</v>
      </c>
      <c r="CS358" s="14">
        <f t="shared" si="205"/>
        <v>15</v>
      </c>
      <c r="CV358" s="14">
        <f t="shared" si="196"/>
        <v>1</v>
      </c>
      <c r="CW358" s="14">
        <f t="shared" si="197"/>
        <v>3</v>
      </c>
      <c r="CX358" s="14" t="str">
        <f t="shared" si="206"/>
        <v>AtkExt</v>
      </c>
      <c r="CY358" s="14">
        <f t="shared" si="207"/>
        <v>139</v>
      </c>
      <c r="CZ358" s="14">
        <f t="shared" si="208"/>
        <v>13.92</v>
      </c>
      <c r="DA358" s="14" t="str">
        <f t="shared" si="209"/>
        <v>HPExt</v>
      </c>
      <c r="DB358" s="14">
        <f t="shared" si="210"/>
        <v>527</v>
      </c>
      <c r="DC358" s="14">
        <f t="shared" si="211"/>
        <v>52.69</v>
      </c>
      <c r="DD358" s="14">
        <f t="shared" si="212"/>
        <v>17</v>
      </c>
      <c r="DE358" s="14">
        <f t="shared" si="213"/>
        <v>0</v>
      </c>
      <c r="DF358" s="14">
        <f t="shared" si="214"/>
        <v>15</v>
      </c>
      <c r="DG358" s="14">
        <f t="shared" si="215"/>
        <v>45</v>
      </c>
    </row>
    <row r="359" spans="77:111" ht="16.5" x14ac:dyDescent="0.2">
      <c r="BY359" s="13">
        <v>355</v>
      </c>
      <c r="BZ359" s="14">
        <f t="shared" si="198"/>
        <v>50</v>
      </c>
      <c r="CA359" s="14">
        <f t="shared" si="199"/>
        <v>2</v>
      </c>
      <c r="CB359" s="14">
        <f t="shared" si="184"/>
        <v>5</v>
      </c>
      <c r="CC359" s="14">
        <f t="shared" si="185"/>
        <v>2051021</v>
      </c>
      <c r="CD359" s="13" t="str">
        <f t="shared" si="186"/>
        <v>100级守护灵绿色-武器</v>
      </c>
      <c r="CE359" s="14">
        <f t="shared" si="187"/>
        <v>2</v>
      </c>
      <c r="CF359" s="14">
        <f t="shared" si="188"/>
        <v>1</v>
      </c>
      <c r="CG359" s="14">
        <f t="shared" si="200"/>
        <v>100</v>
      </c>
      <c r="CH359" s="14">
        <f t="shared" si="201"/>
        <v>100</v>
      </c>
      <c r="CI359" s="14">
        <f t="shared" si="189"/>
        <v>1</v>
      </c>
      <c r="CJ359" s="14" t="str">
        <f t="shared" si="202"/>
        <v/>
      </c>
      <c r="CK359" s="14">
        <f t="shared" si="190"/>
        <v>431</v>
      </c>
      <c r="CL359" s="14">
        <f t="shared" si="191"/>
        <v>0</v>
      </c>
      <c r="CM359" s="14">
        <f t="shared" si="192"/>
        <v>0</v>
      </c>
      <c r="CN359" s="14">
        <f t="shared" si="193"/>
        <v>43.1</v>
      </c>
      <c r="CO359" s="14">
        <f t="shared" si="194"/>
        <v>0</v>
      </c>
      <c r="CP359" s="14">
        <f t="shared" si="195"/>
        <v>0</v>
      </c>
      <c r="CQ359" s="14">
        <f t="shared" si="203"/>
        <v>17</v>
      </c>
      <c r="CR359" s="14">
        <f t="shared" si="204"/>
        <v>0</v>
      </c>
      <c r="CS359" s="14">
        <f t="shared" si="205"/>
        <v>25</v>
      </c>
      <c r="CV359" s="14">
        <f t="shared" si="196"/>
        <v>1</v>
      </c>
      <c r="CW359" s="14">
        <f t="shared" si="197"/>
        <v>0</v>
      </c>
      <c r="CX359" s="14" t="str">
        <f t="shared" si="206"/>
        <v>AtkExt</v>
      </c>
      <c r="CY359" s="14">
        <f t="shared" si="207"/>
        <v>431</v>
      </c>
      <c r="CZ359" s="14">
        <f t="shared" si="208"/>
        <v>43.1</v>
      </c>
      <c r="DA359" s="14" t="str">
        <f t="shared" si="209"/>
        <v/>
      </c>
      <c r="DB359" s="14" t="str">
        <f t="shared" si="210"/>
        <v/>
      </c>
      <c r="DC359" s="14" t="str">
        <f t="shared" si="211"/>
        <v/>
      </c>
      <c r="DD359" s="14">
        <f t="shared" si="212"/>
        <v>17</v>
      </c>
      <c r="DE359" s="14">
        <f t="shared" si="213"/>
        <v>0</v>
      </c>
      <c r="DF359" s="14">
        <f t="shared" si="214"/>
        <v>25</v>
      </c>
      <c r="DG359" s="14">
        <f t="shared" si="215"/>
        <v>45</v>
      </c>
    </row>
    <row r="360" spans="77:111" ht="16.5" x14ac:dyDescent="0.2">
      <c r="BY360" s="13">
        <v>356</v>
      </c>
      <c r="BZ360" s="14">
        <f t="shared" si="198"/>
        <v>50</v>
      </c>
      <c r="CA360" s="14">
        <f t="shared" si="199"/>
        <v>2</v>
      </c>
      <c r="CB360" s="14">
        <f t="shared" si="184"/>
        <v>5</v>
      </c>
      <c r="CC360" s="14">
        <f t="shared" si="185"/>
        <v>2051022</v>
      </c>
      <c r="CD360" s="13" t="str">
        <f t="shared" si="186"/>
        <v>100级守护灵绿色-头盔</v>
      </c>
      <c r="CE360" s="14">
        <f t="shared" si="187"/>
        <v>2</v>
      </c>
      <c r="CF360" s="14">
        <f t="shared" si="188"/>
        <v>1</v>
      </c>
      <c r="CG360" s="14">
        <f t="shared" si="200"/>
        <v>100</v>
      </c>
      <c r="CH360" s="14">
        <f t="shared" si="201"/>
        <v>100</v>
      </c>
      <c r="CI360" s="14">
        <f t="shared" si="189"/>
        <v>2</v>
      </c>
      <c r="CJ360" s="14" t="str">
        <f t="shared" si="202"/>
        <v/>
      </c>
      <c r="CK360" s="14">
        <f t="shared" si="190"/>
        <v>0</v>
      </c>
      <c r="CL360" s="14">
        <f t="shared" si="191"/>
        <v>106</v>
      </c>
      <c r="CM360" s="14">
        <f t="shared" si="192"/>
        <v>0</v>
      </c>
      <c r="CN360" s="14">
        <f t="shared" si="193"/>
        <v>0</v>
      </c>
      <c r="CO360" s="14">
        <f t="shared" si="194"/>
        <v>10.6</v>
      </c>
      <c r="CP360" s="14">
        <f t="shared" si="195"/>
        <v>0</v>
      </c>
      <c r="CQ360" s="14">
        <f t="shared" si="203"/>
        <v>17</v>
      </c>
      <c r="CR360" s="14">
        <f t="shared" si="204"/>
        <v>0</v>
      </c>
      <c r="CS360" s="14">
        <f t="shared" si="205"/>
        <v>25</v>
      </c>
      <c r="CV360" s="14">
        <f t="shared" si="196"/>
        <v>2</v>
      </c>
      <c r="CW360" s="14">
        <f t="shared" si="197"/>
        <v>0</v>
      </c>
      <c r="CX360" s="14" t="str">
        <f t="shared" si="206"/>
        <v>DefExt</v>
      </c>
      <c r="CY360" s="14">
        <f t="shared" si="207"/>
        <v>106</v>
      </c>
      <c r="CZ360" s="14">
        <f t="shared" si="208"/>
        <v>10.6</v>
      </c>
      <c r="DA360" s="14" t="str">
        <f t="shared" si="209"/>
        <v/>
      </c>
      <c r="DB360" s="14" t="str">
        <f t="shared" si="210"/>
        <v/>
      </c>
      <c r="DC360" s="14" t="str">
        <f t="shared" si="211"/>
        <v/>
      </c>
      <c r="DD360" s="14">
        <f t="shared" si="212"/>
        <v>17</v>
      </c>
      <c r="DE360" s="14">
        <f t="shared" si="213"/>
        <v>0</v>
      </c>
      <c r="DF360" s="14">
        <f t="shared" si="214"/>
        <v>25</v>
      </c>
      <c r="DG360" s="14">
        <f t="shared" si="215"/>
        <v>45</v>
      </c>
    </row>
    <row r="361" spans="77:111" ht="16.5" x14ac:dyDescent="0.2">
      <c r="BY361" s="13">
        <v>357</v>
      </c>
      <c r="BZ361" s="14">
        <f t="shared" si="198"/>
        <v>50</v>
      </c>
      <c r="CA361" s="14">
        <f t="shared" si="199"/>
        <v>2</v>
      </c>
      <c r="CB361" s="14">
        <f t="shared" si="184"/>
        <v>5</v>
      </c>
      <c r="CC361" s="14">
        <f t="shared" si="185"/>
        <v>2051023</v>
      </c>
      <c r="CD361" s="13" t="str">
        <f t="shared" si="186"/>
        <v>100级守护灵绿色-肩甲</v>
      </c>
      <c r="CE361" s="14">
        <f t="shared" si="187"/>
        <v>2</v>
      </c>
      <c r="CF361" s="14">
        <f t="shared" si="188"/>
        <v>1</v>
      </c>
      <c r="CG361" s="14">
        <f t="shared" si="200"/>
        <v>100</v>
      </c>
      <c r="CH361" s="14">
        <f t="shared" si="201"/>
        <v>100</v>
      </c>
      <c r="CI361" s="14">
        <f t="shared" si="189"/>
        <v>3</v>
      </c>
      <c r="CJ361" s="14" t="str">
        <f t="shared" si="202"/>
        <v/>
      </c>
      <c r="CK361" s="14">
        <f t="shared" si="190"/>
        <v>0</v>
      </c>
      <c r="CL361" s="14">
        <f t="shared" si="191"/>
        <v>53</v>
      </c>
      <c r="CM361" s="14">
        <f t="shared" si="192"/>
        <v>567</v>
      </c>
      <c r="CN361" s="14">
        <f t="shared" si="193"/>
        <v>0</v>
      </c>
      <c r="CO361" s="14">
        <f t="shared" si="194"/>
        <v>5.3</v>
      </c>
      <c r="CP361" s="14">
        <f t="shared" si="195"/>
        <v>56.67</v>
      </c>
      <c r="CQ361" s="14">
        <f t="shared" si="203"/>
        <v>17</v>
      </c>
      <c r="CR361" s="14">
        <f t="shared" si="204"/>
        <v>0</v>
      </c>
      <c r="CS361" s="14">
        <f t="shared" si="205"/>
        <v>25</v>
      </c>
      <c r="CV361" s="14">
        <f t="shared" si="196"/>
        <v>2</v>
      </c>
      <c r="CW361" s="14">
        <f t="shared" si="197"/>
        <v>3</v>
      </c>
      <c r="CX361" s="14" t="str">
        <f t="shared" si="206"/>
        <v>DefExt</v>
      </c>
      <c r="CY361" s="14">
        <f t="shared" si="207"/>
        <v>53</v>
      </c>
      <c r="CZ361" s="14">
        <f t="shared" si="208"/>
        <v>5.3</v>
      </c>
      <c r="DA361" s="14" t="str">
        <f t="shared" si="209"/>
        <v>HPExt</v>
      </c>
      <c r="DB361" s="14">
        <f t="shared" si="210"/>
        <v>567</v>
      </c>
      <c r="DC361" s="14">
        <f t="shared" si="211"/>
        <v>56.67</v>
      </c>
      <c r="DD361" s="14">
        <f t="shared" si="212"/>
        <v>17</v>
      </c>
      <c r="DE361" s="14">
        <f t="shared" si="213"/>
        <v>0</v>
      </c>
      <c r="DF361" s="14">
        <f t="shared" si="214"/>
        <v>25</v>
      </c>
      <c r="DG361" s="14">
        <f t="shared" si="215"/>
        <v>45</v>
      </c>
    </row>
    <row r="362" spans="77:111" ht="16.5" x14ac:dyDescent="0.2">
      <c r="BY362" s="13">
        <v>358</v>
      </c>
      <c r="BZ362" s="14">
        <f t="shared" si="198"/>
        <v>50</v>
      </c>
      <c r="CA362" s="14">
        <f t="shared" si="199"/>
        <v>2</v>
      </c>
      <c r="CB362" s="14">
        <f t="shared" si="184"/>
        <v>5</v>
      </c>
      <c r="CC362" s="14">
        <f t="shared" si="185"/>
        <v>2051024</v>
      </c>
      <c r="CD362" s="13" t="str">
        <f t="shared" si="186"/>
        <v>100级守护灵绿色-衣服</v>
      </c>
      <c r="CE362" s="14">
        <f t="shared" si="187"/>
        <v>2</v>
      </c>
      <c r="CF362" s="14">
        <f t="shared" si="188"/>
        <v>1</v>
      </c>
      <c r="CG362" s="14">
        <f t="shared" si="200"/>
        <v>100</v>
      </c>
      <c r="CH362" s="14">
        <f t="shared" si="201"/>
        <v>100</v>
      </c>
      <c r="CI362" s="14">
        <f t="shared" si="189"/>
        <v>4</v>
      </c>
      <c r="CJ362" s="14" t="str">
        <f t="shared" si="202"/>
        <v/>
      </c>
      <c r="CK362" s="14">
        <f t="shared" si="190"/>
        <v>0</v>
      </c>
      <c r="CL362" s="14">
        <f t="shared" si="191"/>
        <v>106</v>
      </c>
      <c r="CM362" s="14">
        <f t="shared" si="192"/>
        <v>0</v>
      </c>
      <c r="CN362" s="14">
        <f t="shared" si="193"/>
        <v>0</v>
      </c>
      <c r="CO362" s="14">
        <f t="shared" si="194"/>
        <v>10.6</v>
      </c>
      <c r="CP362" s="14">
        <f t="shared" si="195"/>
        <v>0</v>
      </c>
      <c r="CQ362" s="14">
        <f t="shared" si="203"/>
        <v>17</v>
      </c>
      <c r="CR362" s="14">
        <f t="shared" si="204"/>
        <v>0</v>
      </c>
      <c r="CS362" s="14">
        <f t="shared" si="205"/>
        <v>25</v>
      </c>
      <c r="CV362" s="14">
        <f t="shared" si="196"/>
        <v>2</v>
      </c>
      <c r="CW362" s="14">
        <f t="shared" si="197"/>
        <v>0</v>
      </c>
      <c r="CX362" s="14" t="str">
        <f t="shared" si="206"/>
        <v>DefExt</v>
      </c>
      <c r="CY362" s="14">
        <f t="shared" si="207"/>
        <v>106</v>
      </c>
      <c r="CZ362" s="14">
        <f t="shared" si="208"/>
        <v>10.6</v>
      </c>
      <c r="DA362" s="14" t="str">
        <f t="shared" si="209"/>
        <v/>
      </c>
      <c r="DB362" s="14" t="str">
        <f t="shared" si="210"/>
        <v/>
      </c>
      <c r="DC362" s="14" t="str">
        <f t="shared" si="211"/>
        <v/>
      </c>
      <c r="DD362" s="14">
        <f t="shared" si="212"/>
        <v>17</v>
      </c>
      <c r="DE362" s="14">
        <f t="shared" si="213"/>
        <v>0</v>
      </c>
      <c r="DF362" s="14">
        <f t="shared" si="214"/>
        <v>25</v>
      </c>
      <c r="DG362" s="14">
        <f t="shared" si="215"/>
        <v>45</v>
      </c>
    </row>
    <row r="363" spans="77:111" ht="16.5" x14ac:dyDescent="0.2">
      <c r="BY363" s="13">
        <v>359</v>
      </c>
      <c r="BZ363" s="14">
        <f t="shared" si="198"/>
        <v>50</v>
      </c>
      <c r="CA363" s="14">
        <f t="shared" si="199"/>
        <v>2</v>
      </c>
      <c r="CB363" s="14">
        <f t="shared" si="184"/>
        <v>5</v>
      </c>
      <c r="CC363" s="14">
        <f t="shared" si="185"/>
        <v>2051025</v>
      </c>
      <c r="CD363" s="13" t="str">
        <f t="shared" si="186"/>
        <v>100级守护灵绿色-鞋子</v>
      </c>
      <c r="CE363" s="14">
        <f t="shared" si="187"/>
        <v>2</v>
      </c>
      <c r="CF363" s="14">
        <f t="shared" si="188"/>
        <v>1</v>
      </c>
      <c r="CG363" s="14">
        <f t="shared" si="200"/>
        <v>100</v>
      </c>
      <c r="CH363" s="14">
        <f t="shared" si="201"/>
        <v>100</v>
      </c>
      <c r="CI363" s="14">
        <f t="shared" si="189"/>
        <v>5</v>
      </c>
      <c r="CJ363" s="14" t="str">
        <f t="shared" si="202"/>
        <v/>
      </c>
      <c r="CK363" s="14">
        <f t="shared" si="190"/>
        <v>0</v>
      </c>
      <c r="CL363" s="14">
        <f t="shared" si="191"/>
        <v>0</v>
      </c>
      <c r="CM363" s="14">
        <f t="shared" si="192"/>
        <v>1133</v>
      </c>
      <c r="CN363" s="14">
        <f t="shared" si="193"/>
        <v>0</v>
      </c>
      <c r="CO363" s="14">
        <f t="shared" si="194"/>
        <v>0</v>
      </c>
      <c r="CP363" s="14">
        <f t="shared" si="195"/>
        <v>113.33</v>
      </c>
      <c r="CQ363" s="14">
        <f t="shared" si="203"/>
        <v>17</v>
      </c>
      <c r="CR363" s="14">
        <f t="shared" si="204"/>
        <v>0</v>
      </c>
      <c r="CS363" s="14">
        <f t="shared" si="205"/>
        <v>25</v>
      </c>
      <c r="CV363" s="14">
        <f t="shared" si="196"/>
        <v>3</v>
      </c>
      <c r="CW363" s="14">
        <f t="shared" si="197"/>
        <v>0</v>
      </c>
      <c r="CX363" s="14" t="str">
        <f t="shared" si="206"/>
        <v>HPExt</v>
      </c>
      <c r="CY363" s="14">
        <f t="shared" si="207"/>
        <v>1133</v>
      </c>
      <c r="CZ363" s="14">
        <f t="shared" si="208"/>
        <v>113.33</v>
      </c>
      <c r="DA363" s="14" t="str">
        <f t="shared" si="209"/>
        <v/>
      </c>
      <c r="DB363" s="14" t="str">
        <f t="shared" si="210"/>
        <v/>
      </c>
      <c r="DC363" s="14" t="str">
        <f t="shared" si="211"/>
        <v/>
      </c>
      <c r="DD363" s="14">
        <f t="shared" si="212"/>
        <v>17</v>
      </c>
      <c r="DE363" s="14">
        <f t="shared" si="213"/>
        <v>0</v>
      </c>
      <c r="DF363" s="14">
        <f t="shared" si="214"/>
        <v>25</v>
      </c>
      <c r="DG363" s="14">
        <f t="shared" si="215"/>
        <v>45</v>
      </c>
    </row>
    <row r="364" spans="77:111" ht="16.5" x14ac:dyDescent="0.2">
      <c r="BY364" s="13">
        <v>360</v>
      </c>
      <c r="BZ364" s="14">
        <f t="shared" si="198"/>
        <v>50</v>
      </c>
      <c r="CA364" s="14">
        <f t="shared" si="199"/>
        <v>2</v>
      </c>
      <c r="CB364" s="14">
        <f t="shared" si="184"/>
        <v>5</v>
      </c>
      <c r="CC364" s="14">
        <f t="shared" si="185"/>
        <v>2051026</v>
      </c>
      <c r="CD364" s="13" t="str">
        <f t="shared" si="186"/>
        <v>100级守护灵绿色-护手</v>
      </c>
      <c r="CE364" s="14">
        <f t="shared" si="187"/>
        <v>2</v>
      </c>
      <c r="CF364" s="14">
        <f t="shared" si="188"/>
        <v>1</v>
      </c>
      <c r="CG364" s="14">
        <f t="shared" si="200"/>
        <v>100</v>
      </c>
      <c r="CH364" s="14">
        <f t="shared" si="201"/>
        <v>100</v>
      </c>
      <c r="CI364" s="14">
        <f t="shared" si="189"/>
        <v>6</v>
      </c>
      <c r="CJ364" s="14" t="str">
        <f t="shared" si="202"/>
        <v/>
      </c>
      <c r="CK364" s="14">
        <f t="shared" si="190"/>
        <v>0</v>
      </c>
      <c r="CL364" s="14">
        <f t="shared" si="191"/>
        <v>0</v>
      </c>
      <c r="CM364" s="14">
        <f t="shared" si="192"/>
        <v>1133</v>
      </c>
      <c r="CN364" s="14">
        <f t="shared" si="193"/>
        <v>0</v>
      </c>
      <c r="CO364" s="14">
        <f t="shared" si="194"/>
        <v>0</v>
      </c>
      <c r="CP364" s="14">
        <f t="shared" si="195"/>
        <v>113.33</v>
      </c>
      <c r="CQ364" s="14">
        <f t="shared" si="203"/>
        <v>17</v>
      </c>
      <c r="CR364" s="14">
        <f t="shared" si="204"/>
        <v>0</v>
      </c>
      <c r="CS364" s="14">
        <f t="shared" si="205"/>
        <v>25</v>
      </c>
      <c r="CV364" s="14">
        <f t="shared" si="196"/>
        <v>3</v>
      </c>
      <c r="CW364" s="14">
        <f t="shared" si="197"/>
        <v>0</v>
      </c>
      <c r="CX364" s="14" t="str">
        <f t="shared" si="206"/>
        <v>HPExt</v>
      </c>
      <c r="CY364" s="14">
        <f t="shared" si="207"/>
        <v>1133</v>
      </c>
      <c r="CZ364" s="14">
        <f t="shared" si="208"/>
        <v>113.33</v>
      </c>
      <c r="DA364" s="14" t="str">
        <f t="shared" si="209"/>
        <v/>
      </c>
      <c r="DB364" s="14" t="str">
        <f t="shared" si="210"/>
        <v/>
      </c>
      <c r="DC364" s="14" t="str">
        <f t="shared" si="211"/>
        <v/>
      </c>
      <c r="DD364" s="14">
        <f t="shared" si="212"/>
        <v>17</v>
      </c>
      <c r="DE364" s="14">
        <f t="shared" si="213"/>
        <v>0</v>
      </c>
      <c r="DF364" s="14">
        <f t="shared" si="214"/>
        <v>25</v>
      </c>
      <c r="DG364" s="14">
        <f t="shared" si="215"/>
        <v>45</v>
      </c>
    </row>
    <row r="365" spans="77:111" ht="16.5" x14ac:dyDescent="0.2">
      <c r="BY365" s="13">
        <v>361</v>
      </c>
      <c r="BZ365" s="14">
        <f t="shared" si="198"/>
        <v>50</v>
      </c>
      <c r="CA365" s="14">
        <f t="shared" si="199"/>
        <v>2</v>
      </c>
      <c r="CB365" s="14">
        <f t="shared" si="184"/>
        <v>5</v>
      </c>
      <c r="CC365" s="14">
        <f t="shared" si="185"/>
        <v>2051027</v>
      </c>
      <c r="CD365" s="13" t="str">
        <f t="shared" si="186"/>
        <v>100级守护灵绿色-项链</v>
      </c>
      <c r="CE365" s="14">
        <f t="shared" si="187"/>
        <v>2</v>
      </c>
      <c r="CF365" s="14">
        <f t="shared" si="188"/>
        <v>1</v>
      </c>
      <c r="CG365" s="14">
        <f t="shared" si="200"/>
        <v>100</v>
      </c>
      <c r="CH365" s="14">
        <f t="shared" si="201"/>
        <v>100</v>
      </c>
      <c r="CI365" s="14">
        <f t="shared" si="189"/>
        <v>7</v>
      </c>
      <c r="CJ365" s="14" t="str">
        <f t="shared" si="202"/>
        <v/>
      </c>
      <c r="CK365" s="14">
        <f t="shared" si="190"/>
        <v>144</v>
      </c>
      <c r="CL365" s="14">
        <f t="shared" si="191"/>
        <v>88</v>
      </c>
      <c r="CM365" s="14">
        <f t="shared" si="192"/>
        <v>0</v>
      </c>
      <c r="CN365" s="14">
        <f t="shared" si="193"/>
        <v>14.37</v>
      </c>
      <c r="CO365" s="14">
        <f t="shared" si="194"/>
        <v>8.84</v>
      </c>
      <c r="CP365" s="14">
        <f t="shared" si="195"/>
        <v>0</v>
      </c>
      <c r="CQ365" s="14">
        <f t="shared" si="203"/>
        <v>17</v>
      </c>
      <c r="CR365" s="14">
        <f t="shared" si="204"/>
        <v>0</v>
      </c>
      <c r="CS365" s="14">
        <f t="shared" si="205"/>
        <v>25</v>
      </c>
      <c r="CV365" s="14">
        <f t="shared" si="196"/>
        <v>1</v>
      </c>
      <c r="CW365" s="14">
        <f t="shared" si="197"/>
        <v>2</v>
      </c>
      <c r="CX365" s="14" t="str">
        <f t="shared" si="206"/>
        <v>AtkExt</v>
      </c>
      <c r="CY365" s="14">
        <f t="shared" si="207"/>
        <v>144</v>
      </c>
      <c r="CZ365" s="14">
        <f t="shared" si="208"/>
        <v>14.37</v>
      </c>
      <c r="DA365" s="14" t="str">
        <f t="shared" si="209"/>
        <v>DefExt</v>
      </c>
      <c r="DB365" s="14">
        <f t="shared" si="210"/>
        <v>88</v>
      </c>
      <c r="DC365" s="14">
        <f t="shared" si="211"/>
        <v>8.84</v>
      </c>
      <c r="DD365" s="14">
        <f t="shared" si="212"/>
        <v>17</v>
      </c>
      <c r="DE365" s="14">
        <f t="shared" si="213"/>
        <v>0</v>
      </c>
      <c r="DF365" s="14">
        <f t="shared" si="214"/>
        <v>25</v>
      </c>
      <c r="DG365" s="14">
        <f t="shared" si="215"/>
        <v>45</v>
      </c>
    </row>
    <row r="366" spans="77:111" ht="16.5" x14ac:dyDescent="0.2">
      <c r="BY366" s="13">
        <v>362</v>
      </c>
      <c r="BZ366" s="14">
        <f t="shared" si="198"/>
        <v>50</v>
      </c>
      <c r="CA366" s="14">
        <f t="shared" si="199"/>
        <v>2</v>
      </c>
      <c r="CB366" s="14">
        <f t="shared" si="184"/>
        <v>5</v>
      </c>
      <c r="CC366" s="14">
        <f t="shared" si="185"/>
        <v>2051028</v>
      </c>
      <c r="CD366" s="13" t="str">
        <f t="shared" si="186"/>
        <v>100级守护灵绿色-戒指</v>
      </c>
      <c r="CE366" s="14">
        <f t="shared" si="187"/>
        <v>2</v>
      </c>
      <c r="CF366" s="14">
        <f t="shared" si="188"/>
        <v>1</v>
      </c>
      <c r="CG366" s="14">
        <f t="shared" si="200"/>
        <v>100</v>
      </c>
      <c r="CH366" s="14">
        <f t="shared" si="201"/>
        <v>100</v>
      </c>
      <c r="CI366" s="14">
        <f t="shared" si="189"/>
        <v>8</v>
      </c>
      <c r="CJ366" s="14" t="str">
        <f t="shared" si="202"/>
        <v/>
      </c>
      <c r="CK366" s="14">
        <f t="shared" si="190"/>
        <v>144</v>
      </c>
      <c r="CL366" s="14">
        <f t="shared" si="191"/>
        <v>0</v>
      </c>
      <c r="CM366" s="14">
        <f t="shared" si="192"/>
        <v>944</v>
      </c>
      <c r="CN366" s="14">
        <f t="shared" si="193"/>
        <v>14.37</v>
      </c>
      <c r="CO366" s="14">
        <f t="shared" si="194"/>
        <v>0</v>
      </c>
      <c r="CP366" s="14">
        <f t="shared" si="195"/>
        <v>94.44</v>
      </c>
      <c r="CQ366" s="14">
        <f t="shared" si="203"/>
        <v>17</v>
      </c>
      <c r="CR366" s="14">
        <f t="shared" si="204"/>
        <v>0</v>
      </c>
      <c r="CS366" s="14">
        <f t="shared" si="205"/>
        <v>25</v>
      </c>
      <c r="CV366" s="14">
        <f t="shared" si="196"/>
        <v>1</v>
      </c>
      <c r="CW366" s="14">
        <f t="shared" si="197"/>
        <v>3</v>
      </c>
      <c r="CX366" s="14" t="str">
        <f t="shared" si="206"/>
        <v>AtkExt</v>
      </c>
      <c r="CY366" s="14">
        <f t="shared" si="207"/>
        <v>144</v>
      </c>
      <c r="CZ366" s="14">
        <f t="shared" si="208"/>
        <v>14.37</v>
      </c>
      <c r="DA366" s="14" t="str">
        <f t="shared" si="209"/>
        <v>HPExt</v>
      </c>
      <c r="DB366" s="14">
        <f t="shared" si="210"/>
        <v>944</v>
      </c>
      <c r="DC366" s="14">
        <f t="shared" si="211"/>
        <v>94.44</v>
      </c>
      <c r="DD366" s="14">
        <f t="shared" si="212"/>
        <v>17</v>
      </c>
      <c r="DE366" s="14">
        <f t="shared" si="213"/>
        <v>0</v>
      </c>
      <c r="DF366" s="14">
        <f t="shared" si="214"/>
        <v>25</v>
      </c>
      <c r="DG366" s="14">
        <f t="shared" si="215"/>
        <v>45</v>
      </c>
    </row>
    <row r="367" spans="77:111" ht="16.5" x14ac:dyDescent="0.2">
      <c r="BY367" s="13">
        <v>363</v>
      </c>
      <c r="BZ367" s="14">
        <f t="shared" si="198"/>
        <v>51</v>
      </c>
      <c r="CA367" s="14">
        <f t="shared" si="199"/>
        <v>1</v>
      </c>
      <c r="CB367" s="14">
        <f t="shared" si="184"/>
        <v>5</v>
      </c>
      <c r="CC367" s="14">
        <f t="shared" si="185"/>
        <v>2052011</v>
      </c>
      <c r="CD367" s="13" t="str">
        <f t="shared" si="186"/>
        <v>100级寄灵人蓝色-武器</v>
      </c>
      <c r="CE367" s="14">
        <f t="shared" si="187"/>
        <v>1</v>
      </c>
      <c r="CF367" s="14">
        <f t="shared" si="188"/>
        <v>2</v>
      </c>
      <c r="CG367" s="14">
        <f t="shared" si="200"/>
        <v>100</v>
      </c>
      <c r="CH367" s="14">
        <f t="shared" si="201"/>
        <v>100</v>
      </c>
      <c r="CI367" s="14">
        <f t="shared" si="189"/>
        <v>1</v>
      </c>
      <c r="CJ367" s="14" t="str">
        <f t="shared" si="202"/>
        <v/>
      </c>
      <c r="CK367" s="14">
        <f t="shared" si="190"/>
        <v>626</v>
      </c>
      <c r="CL367" s="14">
        <f t="shared" si="191"/>
        <v>0</v>
      </c>
      <c r="CM367" s="14">
        <f t="shared" si="192"/>
        <v>0</v>
      </c>
      <c r="CN367" s="14">
        <f t="shared" si="193"/>
        <v>41.75</v>
      </c>
      <c r="CO367" s="14">
        <f t="shared" si="194"/>
        <v>0</v>
      </c>
      <c r="CP367" s="14">
        <f t="shared" si="195"/>
        <v>0</v>
      </c>
      <c r="CQ367" s="14">
        <f t="shared" si="203"/>
        <v>18</v>
      </c>
      <c r="CR367" s="14">
        <f t="shared" si="204"/>
        <v>0</v>
      </c>
      <c r="CS367" s="14">
        <f t="shared" si="205"/>
        <v>15</v>
      </c>
      <c r="CV367" s="14">
        <f t="shared" si="196"/>
        <v>1</v>
      </c>
      <c r="CW367" s="14">
        <f t="shared" si="197"/>
        <v>0</v>
      </c>
      <c r="CX367" s="14" t="str">
        <f t="shared" si="206"/>
        <v>AtkExt</v>
      </c>
      <c r="CY367" s="14">
        <f t="shared" si="207"/>
        <v>626</v>
      </c>
      <c r="CZ367" s="14">
        <f t="shared" si="208"/>
        <v>41.75</v>
      </c>
      <c r="DA367" s="14" t="str">
        <f t="shared" si="209"/>
        <v/>
      </c>
      <c r="DB367" s="14" t="str">
        <f t="shared" si="210"/>
        <v/>
      </c>
      <c r="DC367" s="14" t="str">
        <f t="shared" si="211"/>
        <v/>
      </c>
      <c r="DD367" s="14">
        <f t="shared" si="212"/>
        <v>18</v>
      </c>
      <c r="DE367" s="14">
        <f t="shared" si="213"/>
        <v>0</v>
      </c>
      <c r="DF367" s="14">
        <f t="shared" si="214"/>
        <v>15</v>
      </c>
      <c r="DG367" s="14">
        <f t="shared" si="215"/>
        <v>135</v>
      </c>
    </row>
    <row r="368" spans="77:111" ht="16.5" x14ac:dyDescent="0.2">
      <c r="BY368" s="13">
        <v>364</v>
      </c>
      <c r="BZ368" s="14">
        <f t="shared" si="198"/>
        <v>51</v>
      </c>
      <c r="CA368" s="14">
        <f t="shared" si="199"/>
        <v>1</v>
      </c>
      <c r="CB368" s="14">
        <f t="shared" si="184"/>
        <v>5</v>
      </c>
      <c r="CC368" s="14">
        <f t="shared" si="185"/>
        <v>2052012</v>
      </c>
      <c r="CD368" s="13" t="str">
        <f t="shared" si="186"/>
        <v>100级寄灵人蓝色-头盔</v>
      </c>
      <c r="CE368" s="14">
        <f t="shared" si="187"/>
        <v>1</v>
      </c>
      <c r="CF368" s="14">
        <f t="shared" si="188"/>
        <v>2</v>
      </c>
      <c r="CG368" s="14">
        <f t="shared" si="200"/>
        <v>100</v>
      </c>
      <c r="CH368" s="14">
        <f t="shared" si="201"/>
        <v>100</v>
      </c>
      <c r="CI368" s="14">
        <f t="shared" si="189"/>
        <v>2</v>
      </c>
      <c r="CJ368" s="14" t="str">
        <f t="shared" si="202"/>
        <v/>
      </c>
      <c r="CK368" s="14">
        <f t="shared" si="190"/>
        <v>0</v>
      </c>
      <c r="CL368" s="14">
        <f t="shared" si="191"/>
        <v>155</v>
      </c>
      <c r="CM368" s="14">
        <f t="shared" si="192"/>
        <v>0</v>
      </c>
      <c r="CN368" s="14">
        <f t="shared" si="193"/>
        <v>0</v>
      </c>
      <c r="CO368" s="14">
        <f t="shared" si="194"/>
        <v>10.33</v>
      </c>
      <c r="CP368" s="14">
        <f t="shared" si="195"/>
        <v>0</v>
      </c>
      <c r="CQ368" s="14">
        <f t="shared" si="203"/>
        <v>18</v>
      </c>
      <c r="CR368" s="14">
        <f t="shared" si="204"/>
        <v>0</v>
      </c>
      <c r="CS368" s="14">
        <f t="shared" si="205"/>
        <v>15</v>
      </c>
      <c r="CV368" s="14">
        <f t="shared" si="196"/>
        <v>2</v>
      </c>
      <c r="CW368" s="14">
        <f t="shared" si="197"/>
        <v>0</v>
      </c>
      <c r="CX368" s="14" t="str">
        <f t="shared" si="206"/>
        <v>DefExt</v>
      </c>
      <c r="CY368" s="14">
        <f t="shared" si="207"/>
        <v>155</v>
      </c>
      <c r="CZ368" s="14">
        <f t="shared" si="208"/>
        <v>10.33</v>
      </c>
      <c r="DA368" s="14" t="str">
        <f t="shared" si="209"/>
        <v/>
      </c>
      <c r="DB368" s="14" t="str">
        <f t="shared" si="210"/>
        <v/>
      </c>
      <c r="DC368" s="14" t="str">
        <f t="shared" si="211"/>
        <v/>
      </c>
      <c r="DD368" s="14">
        <f t="shared" si="212"/>
        <v>18</v>
      </c>
      <c r="DE368" s="14">
        <f t="shared" si="213"/>
        <v>0</v>
      </c>
      <c r="DF368" s="14">
        <f t="shared" si="214"/>
        <v>15</v>
      </c>
      <c r="DG368" s="14">
        <f t="shared" si="215"/>
        <v>135</v>
      </c>
    </row>
    <row r="369" spans="77:111" ht="16.5" x14ac:dyDescent="0.2">
      <c r="BY369" s="13">
        <v>365</v>
      </c>
      <c r="BZ369" s="14">
        <f t="shared" si="198"/>
        <v>51</v>
      </c>
      <c r="CA369" s="14">
        <f t="shared" si="199"/>
        <v>1</v>
      </c>
      <c r="CB369" s="14">
        <f t="shared" si="184"/>
        <v>5</v>
      </c>
      <c r="CC369" s="14">
        <f t="shared" si="185"/>
        <v>2052013</v>
      </c>
      <c r="CD369" s="13" t="str">
        <f t="shared" si="186"/>
        <v>100级寄灵人蓝色-肩甲</v>
      </c>
      <c r="CE369" s="14">
        <f t="shared" si="187"/>
        <v>1</v>
      </c>
      <c r="CF369" s="14">
        <f t="shared" si="188"/>
        <v>2</v>
      </c>
      <c r="CG369" s="14">
        <f t="shared" si="200"/>
        <v>100</v>
      </c>
      <c r="CH369" s="14">
        <f t="shared" si="201"/>
        <v>100</v>
      </c>
      <c r="CI369" s="14">
        <f t="shared" si="189"/>
        <v>3</v>
      </c>
      <c r="CJ369" s="14" t="str">
        <f t="shared" si="202"/>
        <v/>
      </c>
      <c r="CK369" s="14">
        <f t="shared" si="190"/>
        <v>0</v>
      </c>
      <c r="CL369" s="14">
        <f t="shared" si="191"/>
        <v>77</v>
      </c>
      <c r="CM369" s="14">
        <f t="shared" si="192"/>
        <v>474</v>
      </c>
      <c r="CN369" s="14">
        <f t="shared" si="193"/>
        <v>0</v>
      </c>
      <c r="CO369" s="14">
        <f t="shared" si="194"/>
        <v>5.16</v>
      </c>
      <c r="CP369" s="14">
        <f t="shared" si="195"/>
        <v>31.62</v>
      </c>
      <c r="CQ369" s="14">
        <f t="shared" si="203"/>
        <v>18</v>
      </c>
      <c r="CR369" s="14">
        <f t="shared" si="204"/>
        <v>0</v>
      </c>
      <c r="CS369" s="14">
        <f t="shared" si="205"/>
        <v>15</v>
      </c>
      <c r="CV369" s="14">
        <f t="shared" si="196"/>
        <v>2</v>
      </c>
      <c r="CW369" s="14">
        <f t="shared" si="197"/>
        <v>3</v>
      </c>
      <c r="CX369" s="14" t="str">
        <f t="shared" si="206"/>
        <v>DefExt</v>
      </c>
      <c r="CY369" s="14">
        <f t="shared" si="207"/>
        <v>77</v>
      </c>
      <c r="CZ369" s="14">
        <f t="shared" si="208"/>
        <v>5.16</v>
      </c>
      <c r="DA369" s="14" t="str">
        <f t="shared" si="209"/>
        <v>HPExt</v>
      </c>
      <c r="DB369" s="14">
        <f t="shared" si="210"/>
        <v>474</v>
      </c>
      <c r="DC369" s="14">
        <f t="shared" si="211"/>
        <v>31.62</v>
      </c>
      <c r="DD369" s="14">
        <f t="shared" si="212"/>
        <v>18</v>
      </c>
      <c r="DE369" s="14">
        <f t="shared" si="213"/>
        <v>0</v>
      </c>
      <c r="DF369" s="14">
        <f t="shared" si="214"/>
        <v>15</v>
      </c>
      <c r="DG369" s="14">
        <f t="shared" si="215"/>
        <v>135</v>
      </c>
    </row>
    <row r="370" spans="77:111" ht="16.5" x14ac:dyDescent="0.2">
      <c r="BY370" s="13">
        <v>366</v>
      </c>
      <c r="BZ370" s="14">
        <f t="shared" si="198"/>
        <v>51</v>
      </c>
      <c r="CA370" s="14">
        <f t="shared" si="199"/>
        <v>1</v>
      </c>
      <c r="CB370" s="14">
        <f t="shared" si="184"/>
        <v>5</v>
      </c>
      <c r="CC370" s="14">
        <f t="shared" si="185"/>
        <v>2052014</v>
      </c>
      <c r="CD370" s="13" t="str">
        <f t="shared" si="186"/>
        <v>100级寄灵人蓝色-衣服</v>
      </c>
      <c r="CE370" s="14">
        <f t="shared" si="187"/>
        <v>1</v>
      </c>
      <c r="CF370" s="14">
        <f t="shared" si="188"/>
        <v>2</v>
      </c>
      <c r="CG370" s="14">
        <f t="shared" si="200"/>
        <v>100</v>
      </c>
      <c r="CH370" s="14">
        <f t="shared" si="201"/>
        <v>100</v>
      </c>
      <c r="CI370" s="14">
        <f t="shared" si="189"/>
        <v>4</v>
      </c>
      <c r="CJ370" s="14" t="str">
        <f t="shared" si="202"/>
        <v/>
      </c>
      <c r="CK370" s="14">
        <f t="shared" si="190"/>
        <v>0</v>
      </c>
      <c r="CL370" s="14">
        <f t="shared" si="191"/>
        <v>155</v>
      </c>
      <c r="CM370" s="14">
        <f t="shared" si="192"/>
        <v>0</v>
      </c>
      <c r="CN370" s="14">
        <f t="shared" si="193"/>
        <v>0</v>
      </c>
      <c r="CO370" s="14">
        <f t="shared" si="194"/>
        <v>10.33</v>
      </c>
      <c r="CP370" s="14">
        <f t="shared" si="195"/>
        <v>0</v>
      </c>
      <c r="CQ370" s="14">
        <f t="shared" si="203"/>
        <v>18</v>
      </c>
      <c r="CR370" s="14">
        <f t="shared" si="204"/>
        <v>0</v>
      </c>
      <c r="CS370" s="14">
        <f t="shared" si="205"/>
        <v>15</v>
      </c>
      <c r="CV370" s="14">
        <f t="shared" si="196"/>
        <v>2</v>
      </c>
      <c r="CW370" s="14">
        <f t="shared" si="197"/>
        <v>0</v>
      </c>
      <c r="CX370" s="14" t="str">
        <f t="shared" si="206"/>
        <v>DefExt</v>
      </c>
      <c r="CY370" s="14">
        <f t="shared" si="207"/>
        <v>155</v>
      </c>
      <c r="CZ370" s="14">
        <f t="shared" si="208"/>
        <v>10.33</v>
      </c>
      <c r="DA370" s="14" t="str">
        <f t="shared" si="209"/>
        <v/>
      </c>
      <c r="DB370" s="14" t="str">
        <f t="shared" si="210"/>
        <v/>
      </c>
      <c r="DC370" s="14" t="str">
        <f t="shared" si="211"/>
        <v/>
      </c>
      <c r="DD370" s="14">
        <f t="shared" si="212"/>
        <v>18</v>
      </c>
      <c r="DE370" s="14">
        <f t="shared" si="213"/>
        <v>0</v>
      </c>
      <c r="DF370" s="14">
        <f t="shared" si="214"/>
        <v>15</v>
      </c>
      <c r="DG370" s="14">
        <f t="shared" si="215"/>
        <v>135</v>
      </c>
    </row>
    <row r="371" spans="77:111" ht="16.5" x14ac:dyDescent="0.2">
      <c r="BY371" s="13">
        <v>367</v>
      </c>
      <c r="BZ371" s="14">
        <f t="shared" si="198"/>
        <v>51</v>
      </c>
      <c r="CA371" s="14">
        <f t="shared" si="199"/>
        <v>1</v>
      </c>
      <c r="CB371" s="14">
        <f t="shared" si="184"/>
        <v>5</v>
      </c>
      <c r="CC371" s="14">
        <f t="shared" si="185"/>
        <v>2052015</v>
      </c>
      <c r="CD371" s="13" t="str">
        <f t="shared" si="186"/>
        <v>100级寄灵人蓝色-鞋子</v>
      </c>
      <c r="CE371" s="14">
        <f t="shared" si="187"/>
        <v>1</v>
      </c>
      <c r="CF371" s="14">
        <f t="shared" si="188"/>
        <v>2</v>
      </c>
      <c r="CG371" s="14">
        <f t="shared" si="200"/>
        <v>100</v>
      </c>
      <c r="CH371" s="14">
        <f t="shared" si="201"/>
        <v>100</v>
      </c>
      <c r="CI371" s="14">
        <f t="shared" si="189"/>
        <v>5</v>
      </c>
      <c r="CJ371" s="14" t="str">
        <f t="shared" si="202"/>
        <v/>
      </c>
      <c r="CK371" s="14">
        <f t="shared" si="190"/>
        <v>0</v>
      </c>
      <c r="CL371" s="14">
        <f t="shared" si="191"/>
        <v>0</v>
      </c>
      <c r="CM371" s="14">
        <f t="shared" si="192"/>
        <v>948</v>
      </c>
      <c r="CN371" s="14">
        <f t="shared" si="193"/>
        <v>0</v>
      </c>
      <c r="CO371" s="14">
        <f t="shared" si="194"/>
        <v>0</v>
      </c>
      <c r="CP371" s="14">
        <f t="shared" si="195"/>
        <v>63.23</v>
      </c>
      <c r="CQ371" s="14">
        <f t="shared" si="203"/>
        <v>18</v>
      </c>
      <c r="CR371" s="14">
        <f t="shared" si="204"/>
        <v>0</v>
      </c>
      <c r="CS371" s="14">
        <f t="shared" si="205"/>
        <v>15</v>
      </c>
      <c r="CV371" s="14">
        <f t="shared" si="196"/>
        <v>3</v>
      </c>
      <c r="CW371" s="14">
        <f t="shared" si="197"/>
        <v>0</v>
      </c>
      <c r="CX371" s="14" t="str">
        <f t="shared" si="206"/>
        <v>HPExt</v>
      </c>
      <c r="CY371" s="14">
        <f t="shared" si="207"/>
        <v>948</v>
      </c>
      <c r="CZ371" s="14">
        <f t="shared" si="208"/>
        <v>63.23</v>
      </c>
      <c r="DA371" s="14" t="str">
        <f t="shared" si="209"/>
        <v/>
      </c>
      <c r="DB371" s="14" t="str">
        <f t="shared" si="210"/>
        <v/>
      </c>
      <c r="DC371" s="14" t="str">
        <f t="shared" si="211"/>
        <v/>
      </c>
      <c r="DD371" s="14">
        <f t="shared" si="212"/>
        <v>18</v>
      </c>
      <c r="DE371" s="14">
        <f t="shared" si="213"/>
        <v>0</v>
      </c>
      <c r="DF371" s="14">
        <f t="shared" si="214"/>
        <v>15</v>
      </c>
      <c r="DG371" s="14">
        <f t="shared" si="215"/>
        <v>135</v>
      </c>
    </row>
    <row r="372" spans="77:111" ht="16.5" x14ac:dyDescent="0.2">
      <c r="BY372" s="13">
        <v>368</v>
      </c>
      <c r="BZ372" s="14">
        <f t="shared" si="198"/>
        <v>51</v>
      </c>
      <c r="CA372" s="14">
        <f t="shared" si="199"/>
        <v>1</v>
      </c>
      <c r="CB372" s="14">
        <f t="shared" si="184"/>
        <v>5</v>
      </c>
      <c r="CC372" s="14">
        <f t="shared" si="185"/>
        <v>2052016</v>
      </c>
      <c r="CD372" s="13" t="str">
        <f t="shared" si="186"/>
        <v>100级寄灵人蓝色-护手</v>
      </c>
      <c r="CE372" s="14">
        <f t="shared" si="187"/>
        <v>1</v>
      </c>
      <c r="CF372" s="14">
        <f t="shared" si="188"/>
        <v>2</v>
      </c>
      <c r="CG372" s="14">
        <f t="shared" si="200"/>
        <v>100</v>
      </c>
      <c r="CH372" s="14">
        <f t="shared" si="201"/>
        <v>100</v>
      </c>
      <c r="CI372" s="14">
        <f t="shared" si="189"/>
        <v>6</v>
      </c>
      <c r="CJ372" s="14" t="str">
        <f t="shared" si="202"/>
        <v/>
      </c>
      <c r="CK372" s="14">
        <f t="shared" si="190"/>
        <v>0</v>
      </c>
      <c r="CL372" s="14">
        <f t="shared" si="191"/>
        <v>0</v>
      </c>
      <c r="CM372" s="14">
        <f t="shared" si="192"/>
        <v>948</v>
      </c>
      <c r="CN372" s="14">
        <f t="shared" si="193"/>
        <v>0</v>
      </c>
      <c r="CO372" s="14">
        <f t="shared" si="194"/>
        <v>0</v>
      </c>
      <c r="CP372" s="14">
        <f t="shared" si="195"/>
        <v>63.23</v>
      </c>
      <c r="CQ372" s="14">
        <f t="shared" si="203"/>
        <v>18</v>
      </c>
      <c r="CR372" s="14">
        <f t="shared" si="204"/>
        <v>0</v>
      </c>
      <c r="CS372" s="14">
        <f t="shared" si="205"/>
        <v>15</v>
      </c>
      <c r="CV372" s="14">
        <f t="shared" si="196"/>
        <v>3</v>
      </c>
      <c r="CW372" s="14">
        <f t="shared" si="197"/>
        <v>0</v>
      </c>
      <c r="CX372" s="14" t="str">
        <f t="shared" si="206"/>
        <v>HPExt</v>
      </c>
      <c r="CY372" s="14">
        <f t="shared" si="207"/>
        <v>948</v>
      </c>
      <c r="CZ372" s="14">
        <f t="shared" si="208"/>
        <v>63.23</v>
      </c>
      <c r="DA372" s="14" t="str">
        <f t="shared" si="209"/>
        <v/>
      </c>
      <c r="DB372" s="14" t="str">
        <f t="shared" si="210"/>
        <v/>
      </c>
      <c r="DC372" s="14" t="str">
        <f t="shared" si="211"/>
        <v/>
      </c>
      <c r="DD372" s="14">
        <f t="shared" si="212"/>
        <v>18</v>
      </c>
      <c r="DE372" s="14">
        <f t="shared" si="213"/>
        <v>0</v>
      </c>
      <c r="DF372" s="14">
        <f t="shared" si="214"/>
        <v>15</v>
      </c>
      <c r="DG372" s="14">
        <f t="shared" si="215"/>
        <v>135</v>
      </c>
    </row>
    <row r="373" spans="77:111" ht="16.5" x14ac:dyDescent="0.2">
      <c r="BY373" s="13">
        <v>369</v>
      </c>
      <c r="BZ373" s="14">
        <f t="shared" si="198"/>
        <v>51</v>
      </c>
      <c r="CA373" s="14">
        <f t="shared" si="199"/>
        <v>1</v>
      </c>
      <c r="CB373" s="14">
        <f t="shared" si="184"/>
        <v>5</v>
      </c>
      <c r="CC373" s="14">
        <f t="shared" si="185"/>
        <v>2052017</v>
      </c>
      <c r="CD373" s="13" t="str">
        <f t="shared" si="186"/>
        <v>100级寄灵人蓝色-项链</v>
      </c>
      <c r="CE373" s="14">
        <f t="shared" si="187"/>
        <v>1</v>
      </c>
      <c r="CF373" s="14">
        <f t="shared" si="188"/>
        <v>2</v>
      </c>
      <c r="CG373" s="14">
        <f t="shared" si="200"/>
        <v>100</v>
      </c>
      <c r="CH373" s="14">
        <f t="shared" si="201"/>
        <v>100</v>
      </c>
      <c r="CI373" s="14">
        <f t="shared" si="189"/>
        <v>7</v>
      </c>
      <c r="CJ373" s="14" t="str">
        <f t="shared" si="202"/>
        <v/>
      </c>
      <c r="CK373" s="14">
        <f t="shared" si="190"/>
        <v>209</v>
      </c>
      <c r="CL373" s="14">
        <f t="shared" si="191"/>
        <v>129</v>
      </c>
      <c r="CM373" s="14">
        <f t="shared" si="192"/>
        <v>0</v>
      </c>
      <c r="CN373" s="14">
        <f t="shared" si="193"/>
        <v>13.92</v>
      </c>
      <c r="CO373" s="14">
        <f t="shared" si="194"/>
        <v>8.6</v>
      </c>
      <c r="CP373" s="14">
        <f t="shared" si="195"/>
        <v>0</v>
      </c>
      <c r="CQ373" s="14">
        <f t="shared" si="203"/>
        <v>18</v>
      </c>
      <c r="CR373" s="14">
        <f t="shared" si="204"/>
        <v>0</v>
      </c>
      <c r="CS373" s="14">
        <f t="shared" si="205"/>
        <v>15</v>
      </c>
      <c r="CV373" s="14">
        <f t="shared" si="196"/>
        <v>1</v>
      </c>
      <c r="CW373" s="14">
        <f t="shared" si="197"/>
        <v>2</v>
      </c>
      <c r="CX373" s="14" t="str">
        <f t="shared" si="206"/>
        <v>AtkExt</v>
      </c>
      <c r="CY373" s="14">
        <f t="shared" si="207"/>
        <v>209</v>
      </c>
      <c r="CZ373" s="14">
        <f t="shared" si="208"/>
        <v>13.92</v>
      </c>
      <c r="DA373" s="14" t="str">
        <f t="shared" si="209"/>
        <v>DefExt</v>
      </c>
      <c r="DB373" s="14">
        <f t="shared" si="210"/>
        <v>129</v>
      </c>
      <c r="DC373" s="14">
        <f t="shared" si="211"/>
        <v>8.6</v>
      </c>
      <c r="DD373" s="14">
        <f t="shared" si="212"/>
        <v>18</v>
      </c>
      <c r="DE373" s="14">
        <f t="shared" si="213"/>
        <v>0</v>
      </c>
      <c r="DF373" s="14">
        <f t="shared" si="214"/>
        <v>15</v>
      </c>
      <c r="DG373" s="14">
        <f t="shared" si="215"/>
        <v>135</v>
      </c>
    </row>
    <row r="374" spans="77:111" ht="16.5" x14ac:dyDescent="0.2">
      <c r="BY374" s="13">
        <v>370</v>
      </c>
      <c r="BZ374" s="14">
        <f t="shared" si="198"/>
        <v>51</v>
      </c>
      <c r="CA374" s="14">
        <f t="shared" si="199"/>
        <v>1</v>
      </c>
      <c r="CB374" s="14">
        <f t="shared" si="184"/>
        <v>5</v>
      </c>
      <c r="CC374" s="14">
        <f t="shared" si="185"/>
        <v>2052018</v>
      </c>
      <c r="CD374" s="13" t="str">
        <f t="shared" si="186"/>
        <v>100级寄灵人蓝色-戒指</v>
      </c>
      <c r="CE374" s="14">
        <f t="shared" si="187"/>
        <v>1</v>
      </c>
      <c r="CF374" s="14">
        <f t="shared" si="188"/>
        <v>2</v>
      </c>
      <c r="CG374" s="14">
        <f t="shared" si="200"/>
        <v>100</v>
      </c>
      <c r="CH374" s="14">
        <f t="shared" si="201"/>
        <v>100</v>
      </c>
      <c r="CI374" s="14">
        <f t="shared" si="189"/>
        <v>8</v>
      </c>
      <c r="CJ374" s="14" t="str">
        <f t="shared" si="202"/>
        <v/>
      </c>
      <c r="CK374" s="14">
        <f t="shared" si="190"/>
        <v>209</v>
      </c>
      <c r="CL374" s="14">
        <f t="shared" si="191"/>
        <v>0</v>
      </c>
      <c r="CM374" s="14">
        <f t="shared" si="192"/>
        <v>790</v>
      </c>
      <c r="CN374" s="14">
        <f t="shared" si="193"/>
        <v>13.92</v>
      </c>
      <c r="CO374" s="14">
        <f t="shared" si="194"/>
        <v>0</v>
      </c>
      <c r="CP374" s="14">
        <f t="shared" si="195"/>
        <v>52.69</v>
      </c>
      <c r="CQ374" s="14">
        <f t="shared" si="203"/>
        <v>18</v>
      </c>
      <c r="CR374" s="14">
        <f t="shared" si="204"/>
        <v>0</v>
      </c>
      <c r="CS374" s="14">
        <f t="shared" si="205"/>
        <v>15</v>
      </c>
      <c r="CV374" s="14">
        <f t="shared" si="196"/>
        <v>1</v>
      </c>
      <c r="CW374" s="14">
        <f t="shared" si="197"/>
        <v>3</v>
      </c>
      <c r="CX374" s="14" t="str">
        <f t="shared" si="206"/>
        <v>AtkExt</v>
      </c>
      <c r="CY374" s="14">
        <f t="shared" si="207"/>
        <v>209</v>
      </c>
      <c r="CZ374" s="14">
        <f t="shared" si="208"/>
        <v>13.92</v>
      </c>
      <c r="DA374" s="14" t="str">
        <f t="shared" si="209"/>
        <v>HPExt</v>
      </c>
      <c r="DB374" s="14">
        <f t="shared" si="210"/>
        <v>790</v>
      </c>
      <c r="DC374" s="14">
        <f t="shared" si="211"/>
        <v>52.69</v>
      </c>
      <c r="DD374" s="14">
        <f t="shared" si="212"/>
        <v>18</v>
      </c>
      <c r="DE374" s="14">
        <f t="shared" si="213"/>
        <v>0</v>
      </c>
      <c r="DF374" s="14">
        <f t="shared" si="214"/>
        <v>15</v>
      </c>
      <c r="DG374" s="14">
        <f t="shared" si="215"/>
        <v>135</v>
      </c>
    </row>
    <row r="375" spans="77:111" ht="16.5" x14ac:dyDescent="0.2">
      <c r="BY375" s="13">
        <v>371</v>
      </c>
      <c r="BZ375" s="14">
        <f t="shared" si="198"/>
        <v>52</v>
      </c>
      <c r="CA375" s="14">
        <f t="shared" si="199"/>
        <v>2</v>
      </c>
      <c r="CB375" s="14">
        <f t="shared" si="184"/>
        <v>5</v>
      </c>
      <c r="CC375" s="14">
        <f t="shared" si="185"/>
        <v>2052021</v>
      </c>
      <c r="CD375" s="13" t="str">
        <f t="shared" si="186"/>
        <v>100级守护灵蓝色-武器</v>
      </c>
      <c r="CE375" s="14">
        <f t="shared" si="187"/>
        <v>2</v>
      </c>
      <c r="CF375" s="14">
        <f t="shared" si="188"/>
        <v>2</v>
      </c>
      <c r="CG375" s="14">
        <f t="shared" si="200"/>
        <v>100</v>
      </c>
      <c r="CH375" s="14">
        <f t="shared" si="201"/>
        <v>100</v>
      </c>
      <c r="CI375" s="14">
        <f t="shared" si="189"/>
        <v>1</v>
      </c>
      <c r="CJ375" s="14" t="str">
        <f t="shared" si="202"/>
        <v/>
      </c>
      <c r="CK375" s="14">
        <f t="shared" si="190"/>
        <v>647</v>
      </c>
      <c r="CL375" s="14">
        <f t="shared" si="191"/>
        <v>0</v>
      </c>
      <c r="CM375" s="14">
        <f t="shared" si="192"/>
        <v>0</v>
      </c>
      <c r="CN375" s="14">
        <f t="shared" si="193"/>
        <v>43.1</v>
      </c>
      <c r="CO375" s="14">
        <f t="shared" si="194"/>
        <v>0</v>
      </c>
      <c r="CP375" s="14">
        <f t="shared" si="195"/>
        <v>0</v>
      </c>
      <c r="CQ375" s="14">
        <f t="shared" si="203"/>
        <v>18</v>
      </c>
      <c r="CR375" s="14">
        <f t="shared" si="204"/>
        <v>0</v>
      </c>
      <c r="CS375" s="14">
        <f t="shared" si="205"/>
        <v>25</v>
      </c>
      <c r="CV375" s="14">
        <f t="shared" si="196"/>
        <v>1</v>
      </c>
      <c r="CW375" s="14">
        <f t="shared" si="197"/>
        <v>0</v>
      </c>
      <c r="CX375" s="14" t="str">
        <f t="shared" si="206"/>
        <v>AtkExt</v>
      </c>
      <c r="CY375" s="14">
        <f t="shared" si="207"/>
        <v>647</v>
      </c>
      <c r="CZ375" s="14">
        <f t="shared" si="208"/>
        <v>43.1</v>
      </c>
      <c r="DA375" s="14" t="str">
        <f t="shared" si="209"/>
        <v/>
      </c>
      <c r="DB375" s="14" t="str">
        <f t="shared" si="210"/>
        <v/>
      </c>
      <c r="DC375" s="14" t="str">
        <f t="shared" si="211"/>
        <v/>
      </c>
      <c r="DD375" s="14">
        <f t="shared" si="212"/>
        <v>18</v>
      </c>
      <c r="DE375" s="14">
        <f t="shared" si="213"/>
        <v>0</v>
      </c>
      <c r="DF375" s="14">
        <f t="shared" si="214"/>
        <v>25</v>
      </c>
      <c r="DG375" s="14">
        <f t="shared" si="215"/>
        <v>135</v>
      </c>
    </row>
    <row r="376" spans="77:111" ht="16.5" x14ac:dyDescent="0.2">
      <c r="BY376" s="13">
        <v>372</v>
      </c>
      <c r="BZ376" s="14">
        <f t="shared" si="198"/>
        <v>52</v>
      </c>
      <c r="CA376" s="14">
        <f t="shared" si="199"/>
        <v>2</v>
      </c>
      <c r="CB376" s="14">
        <f t="shared" si="184"/>
        <v>5</v>
      </c>
      <c r="CC376" s="14">
        <f t="shared" si="185"/>
        <v>2052022</v>
      </c>
      <c r="CD376" s="13" t="str">
        <f t="shared" si="186"/>
        <v>100级守护灵蓝色-头盔</v>
      </c>
      <c r="CE376" s="14">
        <f t="shared" si="187"/>
        <v>2</v>
      </c>
      <c r="CF376" s="14">
        <f t="shared" si="188"/>
        <v>2</v>
      </c>
      <c r="CG376" s="14">
        <f t="shared" si="200"/>
        <v>100</v>
      </c>
      <c r="CH376" s="14">
        <f t="shared" si="201"/>
        <v>100</v>
      </c>
      <c r="CI376" s="14">
        <f t="shared" si="189"/>
        <v>2</v>
      </c>
      <c r="CJ376" s="14" t="str">
        <f t="shared" si="202"/>
        <v/>
      </c>
      <c r="CK376" s="14">
        <f t="shared" si="190"/>
        <v>0</v>
      </c>
      <c r="CL376" s="14">
        <f t="shared" si="191"/>
        <v>159</v>
      </c>
      <c r="CM376" s="14">
        <f t="shared" si="192"/>
        <v>0</v>
      </c>
      <c r="CN376" s="14">
        <f t="shared" si="193"/>
        <v>0</v>
      </c>
      <c r="CO376" s="14">
        <f t="shared" si="194"/>
        <v>10.6</v>
      </c>
      <c r="CP376" s="14">
        <f t="shared" si="195"/>
        <v>0</v>
      </c>
      <c r="CQ376" s="14">
        <f t="shared" si="203"/>
        <v>18</v>
      </c>
      <c r="CR376" s="14">
        <f t="shared" si="204"/>
        <v>0</v>
      </c>
      <c r="CS376" s="14">
        <f t="shared" si="205"/>
        <v>25</v>
      </c>
      <c r="CV376" s="14">
        <f t="shared" si="196"/>
        <v>2</v>
      </c>
      <c r="CW376" s="14">
        <f t="shared" si="197"/>
        <v>0</v>
      </c>
      <c r="CX376" s="14" t="str">
        <f t="shared" si="206"/>
        <v>DefExt</v>
      </c>
      <c r="CY376" s="14">
        <f t="shared" si="207"/>
        <v>159</v>
      </c>
      <c r="CZ376" s="14">
        <f t="shared" si="208"/>
        <v>10.6</v>
      </c>
      <c r="DA376" s="14" t="str">
        <f t="shared" si="209"/>
        <v/>
      </c>
      <c r="DB376" s="14" t="str">
        <f t="shared" si="210"/>
        <v/>
      </c>
      <c r="DC376" s="14" t="str">
        <f t="shared" si="211"/>
        <v/>
      </c>
      <c r="DD376" s="14">
        <f t="shared" si="212"/>
        <v>18</v>
      </c>
      <c r="DE376" s="14">
        <f t="shared" si="213"/>
        <v>0</v>
      </c>
      <c r="DF376" s="14">
        <f t="shared" si="214"/>
        <v>25</v>
      </c>
      <c r="DG376" s="14">
        <f t="shared" si="215"/>
        <v>135</v>
      </c>
    </row>
    <row r="377" spans="77:111" ht="16.5" x14ac:dyDescent="0.2">
      <c r="BY377" s="13">
        <v>373</v>
      </c>
      <c r="BZ377" s="14">
        <f t="shared" si="198"/>
        <v>52</v>
      </c>
      <c r="CA377" s="14">
        <f t="shared" si="199"/>
        <v>2</v>
      </c>
      <c r="CB377" s="14">
        <f t="shared" si="184"/>
        <v>5</v>
      </c>
      <c r="CC377" s="14">
        <f t="shared" si="185"/>
        <v>2052023</v>
      </c>
      <c r="CD377" s="13" t="str">
        <f t="shared" si="186"/>
        <v>100级守护灵蓝色-肩甲</v>
      </c>
      <c r="CE377" s="14">
        <f t="shared" si="187"/>
        <v>2</v>
      </c>
      <c r="CF377" s="14">
        <f t="shared" si="188"/>
        <v>2</v>
      </c>
      <c r="CG377" s="14">
        <f t="shared" si="200"/>
        <v>100</v>
      </c>
      <c r="CH377" s="14">
        <f t="shared" si="201"/>
        <v>100</v>
      </c>
      <c r="CI377" s="14">
        <f t="shared" si="189"/>
        <v>3</v>
      </c>
      <c r="CJ377" s="14" t="str">
        <f t="shared" si="202"/>
        <v/>
      </c>
      <c r="CK377" s="14">
        <f t="shared" si="190"/>
        <v>0</v>
      </c>
      <c r="CL377" s="14">
        <f t="shared" si="191"/>
        <v>80</v>
      </c>
      <c r="CM377" s="14">
        <f t="shared" si="192"/>
        <v>850</v>
      </c>
      <c r="CN377" s="14">
        <f t="shared" si="193"/>
        <v>0</v>
      </c>
      <c r="CO377" s="14">
        <f t="shared" si="194"/>
        <v>5.3</v>
      </c>
      <c r="CP377" s="14">
        <f t="shared" si="195"/>
        <v>56.67</v>
      </c>
      <c r="CQ377" s="14">
        <f t="shared" si="203"/>
        <v>18</v>
      </c>
      <c r="CR377" s="14">
        <f t="shared" si="204"/>
        <v>0</v>
      </c>
      <c r="CS377" s="14">
        <f t="shared" si="205"/>
        <v>25</v>
      </c>
      <c r="CV377" s="14">
        <f t="shared" si="196"/>
        <v>2</v>
      </c>
      <c r="CW377" s="14">
        <f t="shared" si="197"/>
        <v>3</v>
      </c>
      <c r="CX377" s="14" t="str">
        <f t="shared" si="206"/>
        <v>DefExt</v>
      </c>
      <c r="CY377" s="14">
        <f t="shared" si="207"/>
        <v>80</v>
      </c>
      <c r="CZ377" s="14">
        <f t="shared" si="208"/>
        <v>5.3</v>
      </c>
      <c r="DA377" s="14" t="str">
        <f t="shared" si="209"/>
        <v>HPExt</v>
      </c>
      <c r="DB377" s="14">
        <f t="shared" si="210"/>
        <v>850</v>
      </c>
      <c r="DC377" s="14">
        <f t="shared" si="211"/>
        <v>56.67</v>
      </c>
      <c r="DD377" s="14">
        <f t="shared" si="212"/>
        <v>18</v>
      </c>
      <c r="DE377" s="14">
        <f t="shared" si="213"/>
        <v>0</v>
      </c>
      <c r="DF377" s="14">
        <f t="shared" si="214"/>
        <v>25</v>
      </c>
      <c r="DG377" s="14">
        <f t="shared" si="215"/>
        <v>135</v>
      </c>
    </row>
    <row r="378" spans="77:111" ht="16.5" x14ac:dyDescent="0.2">
      <c r="BY378" s="13">
        <v>374</v>
      </c>
      <c r="BZ378" s="14">
        <f t="shared" si="198"/>
        <v>52</v>
      </c>
      <c r="CA378" s="14">
        <f t="shared" si="199"/>
        <v>2</v>
      </c>
      <c r="CB378" s="14">
        <f t="shared" si="184"/>
        <v>5</v>
      </c>
      <c r="CC378" s="14">
        <f t="shared" si="185"/>
        <v>2052024</v>
      </c>
      <c r="CD378" s="13" t="str">
        <f t="shared" si="186"/>
        <v>100级守护灵蓝色-衣服</v>
      </c>
      <c r="CE378" s="14">
        <f t="shared" si="187"/>
        <v>2</v>
      </c>
      <c r="CF378" s="14">
        <f t="shared" si="188"/>
        <v>2</v>
      </c>
      <c r="CG378" s="14">
        <f t="shared" si="200"/>
        <v>100</v>
      </c>
      <c r="CH378" s="14">
        <f t="shared" si="201"/>
        <v>100</v>
      </c>
      <c r="CI378" s="14">
        <f t="shared" si="189"/>
        <v>4</v>
      </c>
      <c r="CJ378" s="14" t="str">
        <f t="shared" si="202"/>
        <v/>
      </c>
      <c r="CK378" s="14">
        <f t="shared" si="190"/>
        <v>0</v>
      </c>
      <c r="CL378" s="14">
        <f t="shared" si="191"/>
        <v>159</v>
      </c>
      <c r="CM378" s="14">
        <f t="shared" si="192"/>
        <v>0</v>
      </c>
      <c r="CN378" s="14">
        <f t="shared" si="193"/>
        <v>0</v>
      </c>
      <c r="CO378" s="14">
        <f t="shared" si="194"/>
        <v>10.6</v>
      </c>
      <c r="CP378" s="14">
        <f t="shared" si="195"/>
        <v>0</v>
      </c>
      <c r="CQ378" s="14">
        <f t="shared" si="203"/>
        <v>18</v>
      </c>
      <c r="CR378" s="14">
        <f t="shared" si="204"/>
        <v>0</v>
      </c>
      <c r="CS378" s="14">
        <f t="shared" si="205"/>
        <v>25</v>
      </c>
      <c r="CV378" s="14">
        <f t="shared" si="196"/>
        <v>2</v>
      </c>
      <c r="CW378" s="14">
        <f t="shared" si="197"/>
        <v>0</v>
      </c>
      <c r="CX378" s="14" t="str">
        <f t="shared" si="206"/>
        <v>DefExt</v>
      </c>
      <c r="CY378" s="14">
        <f t="shared" si="207"/>
        <v>159</v>
      </c>
      <c r="CZ378" s="14">
        <f t="shared" si="208"/>
        <v>10.6</v>
      </c>
      <c r="DA378" s="14" t="str">
        <f t="shared" si="209"/>
        <v/>
      </c>
      <c r="DB378" s="14" t="str">
        <f t="shared" si="210"/>
        <v/>
      </c>
      <c r="DC378" s="14" t="str">
        <f t="shared" si="211"/>
        <v/>
      </c>
      <c r="DD378" s="14">
        <f t="shared" si="212"/>
        <v>18</v>
      </c>
      <c r="DE378" s="14">
        <f t="shared" si="213"/>
        <v>0</v>
      </c>
      <c r="DF378" s="14">
        <f t="shared" si="214"/>
        <v>25</v>
      </c>
      <c r="DG378" s="14">
        <f t="shared" si="215"/>
        <v>135</v>
      </c>
    </row>
    <row r="379" spans="77:111" ht="16.5" x14ac:dyDescent="0.2">
      <c r="BY379" s="13">
        <v>375</v>
      </c>
      <c r="BZ379" s="14">
        <f t="shared" si="198"/>
        <v>52</v>
      </c>
      <c r="CA379" s="14">
        <f t="shared" si="199"/>
        <v>2</v>
      </c>
      <c r="CB379" s="14">
        <f t="shared" si="184"/>
        <v>5</v>
      </c>
      <c r="CC379" s="14">
        <f t="shared" si="185"/>
        <v>2052025</v>
      </c>
      <c r="CD379" s="13" t="str">
        <f t="shared" si="186"/>
        <v>100级守护灵蓝色-鞋子</v>
      </c>
      <c r="CE379" s="14">
        <f t="shared" si="187"/>
        <v>2</v>
      </c>
      <c r="CF379" s="14">
        <f t="shared" si="188"/>
        <v>2</v>
      </c>
      <c r="CG379" s="14">
        <f t="shared" si="200"/>
        <v>100</v>
      </c>
      <c r="CH379" s="14">
        <f t="shared" si="201"/>
        <v>100</v>
      </c>
      <c r="CI379" s="14">
        <f t="shared" si="189"/>
        <v>5</v>
      </c>
      <c r="CJ379" s="14" t="str">
        <f t="shared" si="202"/>
        <v/>
      </c>
      <c r="CK379" s="14">
        <f t="shared" si="190"/>
        <v>0</v>
      </c>
      <c r="CL379" s="14">
        <f t="shared" si="191"/>
        <v>0</v>
      </c>
      <c r="CM379" s="14">
        <f t="shared" si="192"/>
        <v>1700</v>
      </c>
      <c r="CN379" s="14">
        <f t="shared" si="193"/>
        <v>0</v>
      </c>
      <c r="CO379" s="14">
        <f t="shared" si="194"/>
        <v>0</v>
      </c>
      <c r="CP379" s="14">
        <f t="shared" si="195"/>
        <v>113.33</v>
      </c>
      <c r="CQ379" s="14">
        <f t="shared" si="203"/>
        <v>18</v>
      </c>
      <c r="CR379" s="14">
        <f t="shared" si="204"/>
        <v>0</v>
      </c>
      <c r="CS379" s="14">
        <f t="shared" si="205"/>
        <v>25</v>
      </c>
      <c r="CV379" s="14">
        <f t="shared" si="196"/>
        <v>3</v>
      </c>
      <c r="CW379" s="14">
        <f t="shared" si="197"/>
        <v>0</v>
      </c>
      <c r="CX379" s="14" t="str">
        <f t="shared" si="206"/>
        <v>HPExt</v>
      </c>
      <c r="CY379" s="14">
        <f t="shared" si="207"/>
        <v>1700</v>
      </c>
      <c r="CZ379" s="14">
        <f t="shared" si="208"/>
        <v>113.33</v>
      </c>
      <c r="DA379" s="14" t="str">
        <f t="shared" si="209"/>
        <v/>
      </c>
      <c r="DB379" s="14" t="str">
        <f t="shared" si="210"/>
        <v/>
      </c>
      <c r="DC379" s="14" t="str">
        <f t="shared" si="211"/>
        <v/>
      </c>
      <c r="DD379" s="14">
        <f t="shared" si="212"/>
        <v>18</v>
      </c>
      <c r="DE379" s="14">
        <f t="shared" si="213"/>
        <v>0</v>
      </c>
      <c r="DF379" s="14">
        <f t="shared" si="214"/>
        <v>25</v>
      </c>
      <c r="DG379" s="14">
        <f t="shared" si="215"/>
        <v>135</v>
      </c>
    </row>
    <row r="380" spans="77:111" ht="16.5" x14ac:dyDescent="0.2">
      <c r="BY380" s="13">
        <v>376</v>
      </c>
      <c r="BZ380" s="14">
        <f t="shared" si="198"/>
        <v>52</v>
      </c>
      <c r="CA380" s="14">
        <f t="shared" si="199"/>
        <v>2</v>
      </c>
      <c r="CB380" s="14">
        <f t="shared" si="184"/>
        <v>5</v>
      </c>
      <c r="CC380" s="14">
        <f t="shared" si="185"/>
        <v>2052026</v>
      </c>
      <c r="CD380" s="13" t="str">
        <f t="shared" si="186"/>
        <v>100级守护灵蓝色-护手</v>
      </c>
      <c r="CE380" s="14">
        <f t="shared" si="187"/>
        <v>2</v>
      </c>
      <c r="CF380" s="14">
        <f t="shared" si="188"/>
        <v>2</v>
      </c>
      <c r="CG380" s="14">
        <f t="shared" si="200"/>
        <v>100</v>
      </c>
      <c r="CH380" s="14">
        <f t="shared" si="201"/>
        <v>100</v>
      </c>
      <c r="CI380" s="14">
        <f t="shared" si="189"/>
        <v>6</v>
      </c>
      <c r="CJ380" s="14" t="str">
        <f t="shared" si="202"/>
        <v/>
      </c>
      <c r="CK380" s="14">
        <f t="shared" si="190"/>
        <v>0</v>
      </c>
      <c r="CL380" s="14">
        <f t="shared" si="191"/>
        <v>0</v>
      </c>
      <c r="CM380" s="14">
        <f t="shared" si="192"/>
        <v>1700</v>
      </c>
      <c r="CN380" s="14">
        <f t="shared" si="193"/>
        <v>0</v>
      </c>
      <c r="CO380" s="14">
        <f t="shared" si="194"/>
        <v>0</v>
      </c>
      <c r="CP380" s="14">
        <f t="shared" si="195"/>
        <v>113.33</v>
      </c>
      <c r="CQ380" s="14">
        <f t="shared" si="203"/>
        <v>18</v>
      </c>
      <c r="CR380" s="14">
        <f t="shared" si="204"/>
        <v>0</v>
      </c>
      <c r="CS380" s="14">
        <f t="shared" si="205"/>
        <v>25</v>
      </c>
      <c r="CV380" s="14">
        <f t="shared" si="196"/>
        <v>3</v>
      </c>
      <c r="CW380" s="14">
        <f t="shared" si="197"/>
        <v>0</v>
      </c>
      <c r="CX380" s="14" t="str">
        <f t="shared" si="206"/>
        <v>HPExt</v>
      </c>
      <c r="CY380" s="14">
        <f t="shared" si="207"/>
        <v>1700</v>
      </c>
      <c r="CZ380" s="14">
        <f t="shared" si="208"/>
        <v>113.33</v>
      </c>
      <c r="DA380" s="14" t="str">
        <f t="shared" si="209"/>
        <v/>
      </c>
      <c r="DB380" s="14" t="str">
        <f t="shared" si="210"/>
        <v/>
      </c>
      <c r="DC380" s="14" t="str">
        <f t="shared" si="211"/>
        <v/>
      </c>
      <c r="DD380" s="14">
        <f t="shared" si="212"/>
        <v>18</v>
      </c>
      <c r="DE380" s="14">
        <f t="shared" si="213"/>
        <v>0</v>
      </c>
      <c r="DF380" s="14">
        <f t="shared" si="214"/>
        <v>25</v>
      </c>
      <c r="DG380" s="14">
        <f t="shared" si="215"/>
        <v>135</v>
      </c>
    </row>
    <row r="381" spans="77:111" ht="16.5" x14ac:dyDescent="0.2">
      <c r="BY381" s="13">
        <v>377</v>
      </c>
      <c r="BZ381" s="14">
        <f t="shared" si="198"/>
        <v>52</v>
      </c>
      <c r="CA381" s="14">
        <f t="shared" si="199"/>
        <v>2</v>
      </c>
      <c r="CB381" s="14">
        <f t="shared" si="184"/>
        <v>5</v>
      </c>
      <c r="CC381" s="14">
        <f t="shared" si="185"/>
        <v>2052027</v>
      </c>
      <c r="CD381" s="13" t="str">
        <f t="shared" si="186"/>
        <v>100级守护灵蓝色-项链</v>
      </c>
      <c r="CE381" s="14">
        <f t="shared" si="187"/>
        <v>2</v>
      </c>
      <c r="CF381" s="14">
        <f t="shared" si="188"/>
        <v>2</v>
      </c>
      <c r="CG381" s="14">
        <f t="shared" si="200"/>
        <v>100</v>
      </c>
      <c r="CH381" s="14">
        <f t="shared" si="201"/>
        <v>100</v>
      </c>
      <c r="CI381" s="14">
        <f t="shared" si="189"/>
        <v>7</v>
      </c>
      <c r="CJ381" s="14" t="str">
        <f t="shared" si="202"/>
        <v/>
      </c>
      <c r="CK381" s="14">
        <f t="shared" si="190"/>
        <v>216</v>
      </c>
      <c r="CL381" s="14">
        <f t="shared" si="191"/>
        <v>133</v>
      </c>
      <c r="CM381" s="14">
        <f t="shared" si="192"/>
        <v>0</v>
      </c>
      <c r="CN381" s="14">
        <f t="shared" si="193"/>
        <v>14.37</v>
      </c>
      <c r="CO381" s="14">
        <f t="shared" si="194"/>
        <v>8.84</v>
      </c>
      <c r="CP381" s="14">
        <f t="shared" si="195"/>
        <v>0</v>
      </c>
      <c r="CQ381" s="14">
        <f t="shared" si="203"/>
        <v>18</v>
      </c>
      <c r="CR381" s="14">
        <f t="shared" si="204"/>
        <v>0</v>
      </c>
      <c r="CS381" s="14">
        <f t="shared" si="205"/>
        <v>25</v>
      </c>
      <c r="CV381" s="14">
        <f t="shared" si="196"/>
        <v>1</v>
      </c>
      <c r="CW381" s="14">
        <f t="shared" si="197"/>
        <v>2</v>
      </c>
      <c r="CX381" s="14" t="str">
        <f t="shared" si="206"/>
        <v>AtkExt</v>
      </c>
      <c r="CY381" s="14">
        <f t="shared" si="207"/>
        <v>216</v>
      </c>
      <c r="CZ381" s="14">
        <f t="shared" si="208"/>
        <v>14.37</v>
      </c>
      <c r="DA381" s="14" t="str">
        <f t="shared" si="209"/>
        <v>DefExt</v>
      </c>
      <c r="DB381" s="14">
        <f t="shared" si="210"/>
        <v>133</v>
      </c>
      <c r="DC381" s="14">
        <f t="shared" si="211"/>
        <v>8.84</v>
      </c>
      <c r="DD381" s="14">
        <f t="shared" si="212"/>
        <v>18</v>
      </c>
      <c r="DE381" s="14">
        <f t="shared" si="213"/>
        <v>0</v>
      </c>
      <c r="DF381" s="14">
        <f t="shared" si="214"/>
        <v>25</v>
      </c>
      <c r="DG381" s="14">
        <f t="shared" si="215"/>
        <v>135</v>
      </c>
    </row>
    <row r="382" spans="77:111" ht="16.5" x14ac:dyDescent="0.2">
      <c r="BY382" s="13">
        <v>378</v>
      </c>
      <c r="BZ382" s="14">
        <f t="shared" si="198"/>
        <v>52</v>
      </c>
      <c r="CA382" s="14">
        <f t="shared" si="199"/>
        <v>2</v>
      </c>
      <c r="CB382" s="14">
        <f t="shared" si="184"/>
        <v>5</v>
      </c>
      <c r="CC382" s="14">
        <f t="shared" si="185"/>
        <v>2052028</v>
      </c>
      <c r="CD382" s="13" t="str">
        <f t="shared" si="186"/>
        <v>100级守护灵蓝色-戒指</v>
      </c>
      <c r="CE382" s="14">
        <f t="shared" si="187"/>
        <v>2</v>
      </c>
      <c r="CF382" s="14">
        <f t="shared" si="188"/>
        <v>2</v>
      </c>
      <c r="CG382" s="14">
        <f t="shared" si="200"/>
        <v>100</v>
      </c>
      <c r="CH382" s="14">
        <f t="shared" si="201"/>
        <v>100</v>
      </c>
      <c r="CI382" s="14">
        <f t="shared" si="189"/>
        <v>8</v>
      </c>
      <c r="CJ382" s="14" t="str">
        <f t="shared" si="202"/>
        <v/>
      </c>
      <c r="CK382" s="14">
        <f t="shared" si="190"/>
        <v>216</v>
      </c>
      <c r="CL382" s="14">
        <f t="shared" si="191"/>
        <v>0</v>
      </c>
      <c r="CM382" s="14">
        <f t="shared" si="192"/>
        <v>1417</v>
      </c>
      <c r="CN382" s="14">
        <f t="shared" si="193"/>
        <v>14.37</v>
      </c>
      <c r="CO382" s="14">
        <f t="shared" si="194"/>
        <v>0</v>
      </c>
      <c r="CP382" s="14">
        <f t="shared" si="195"/>
        <v>94.44</v>
      </c>
      <c r="CQ382" s="14">
        <f t="shared" si="203"/>
        <v>18</v>
      </c>
      <c r="CR382" s="14">
        <f t="shared" si="204"/>
        <v>0</v>
      </c>
      <c r="CS382" s="14">
        <f t="shared" si="205"/>
        <v>25</v>
      </c>
      <c r="CV382" s="14">
        <f t="shared" si="196"/>
        <v>1</v>
      </c>
      <c r="CW382" s="14">
        <f t="shared" si="197"/>
        <v>3</v>
      </c>
      <c r="CX382" s="14" t="str">
        <f t="shared" si="206"/>
        <v>AtkExt</v>
      </c>
      <c r="CY382" s="14">
        <f t="shared" si="207"/>
        <v>216</v>
      </c>
      <c r="CZ382" s="14">
        <f t="shared" si="208"/>
        <v>14.37</v>
      </c>
      <c r="DA382" s="14" t="str">
        <f t="shared" si="209"/>
        <v>HPExt</v>
      </c>
      <c r="DB382" s="14">
        <f t="shared" si="210"/>
        <v>1417</v>
      </c>
      <c r="DC382" s="14">
        <f t="shared" si="211"/>
        <v>94.44</v>
      </c>
      <c r="DD382" s="14">
        <f t="shared" si="212"/>
        <v>18</v>
      </c>
      <c r="DE382" s="14">
        <f t="shared" si="213"/>
        <v>0</v>
      </c>
      <c r="DF382" s="14">
        <f t="shared" si="214"/>
        <v>25</v>
      </c>
      <c r="DG382" s="14">
        <f t="shared" si="215"/>
        <v>135</v>
      </c>
    </row>
    <row r="383" spans="77:111" ht="16.5" x14ac:dyDescent="0.2">
      <c r="BY383" s="13">
        <v>379</v>
      </c>
      <c r="BZ383" s="14">
        <f t="shared" si="198"/>
        <v>53</v>
      </c>
      <c r="CA383" s="14">
        <f t="shared" si="199"/>
        <v>1</v>
      </c>
      <c r="CB383" s="14">
        <f t="shared" si="184"/>
        <v>5</v>
      </c>
      <c r="CC383" s="14">
        <f t="shared" si="185"/>
        <v>2053011</v>
      </c>
      <c r="CD383" s="13" t="str">
        <f t="shared" si="186"/>
        <v>100级寄灵人紫色-武器</v>
      </c>
      <c r="CE383" s="14">
        <f t="shared" si="187"/>
        <v>1</v>
      </c>
      <c r="CF383" s="14">
        <f t="shared" si="188"/>
        <v>3</v>
      </c>
      <c r="CG383" s="14">
        <f t="shared" si="200"/>
        <v>100</v>
      </c>
      <c r="CH383" s="14">
        <f t="shared" si="201"/>
        <v>100</v>
      </c>
      <c r="CI383" s="14">
        <f t="shared" si="189"/>
        <v>1</v>
      </c>
      <c r="CJ383" s="14" t="str">
        <f t="shared" si="202"/>
        <v/>
      </c>
      <c r="CK383" s="14">
        <f t="shared" si="190"/>
        <v>668</v>
      </c>
      <c r="CL383" s="14">
        <f t="shared" si="191"/>
        <v>0</v>
      </c>
      <c r="CM383" s="14">
        <f t="shared" si="192"/>
        <v>0</v>
      </c>
      <c r="CN383" s="14">
        <f t="shared" si="193"/>
        <v>41.75</v>
      </c>
      <c r="CO383" s="14">
        <f t="shared" si="194"/>
        <v>0</v>
      </c>
      <c r="CP383" s="14">
        <f t="shared" si="195"/>
        <v>0</v>
      </c>
      <c r="CQ383" s="14">
        <f t="shared" si="203"/>
        <v>19</v>
      </c>
      <c r="CR383" s="14">
        <f t="shared" si="204"/>
        <v>3</v>
      </c>
      <c r="CS383" s="14">
        <f t="shared" si="205"/>
        <v>15</v>
      </c>
      <c r="CV383" s="14">
        <f t="shared" si="196"/>
        <v>1</v>
      </c>
      <c r="CW383" s="14">
        <f t="shared" si="197"/>
        <v>0</v>
      </c>
      <c r="CX383" s="14" t="str">
        <f t="shared" si="206"/>
        <v>AtkExt</v>
      </c>
      <c r="CY383" s="14">
        <f t="shared" si="207"/>
        <v>668</v>
      </c>
      <c r="CZ383" s="14">
        <f t="shared" si="208"/>
        <v>41.75</v>
      </c>
      <c r="DA383" s="14" t="str">
        <f t="shared" si="209"/>
        <v/>
      </c>
      <c r="DB383" s="14" t="str">
        <f t="shared" si="210"/>
        <v/>
      </c>
      <c r="DC383" s="14" t="str">
        <f t="shared" si="211"/>
        <v/>
      </c>
      <c r="DD383" s="14">
        <f t="shared" si="212"/>
        <v>19</v>
      </c>
      <c r="DE383" s="14">
        <f t="shared" si="213"/>
        <v>3</v>
      </c>
      <c r="DF383" s="14">
        <f t="shared" si="214"/>
        <v>15</v>
      </c>
      <c r="DG383" s="14">
        <f t="shared" si="215"/>
        <v>225</v>
      </c>
    </row>
    <row r="384" spans="77:111" ht="16.5" x14ac:dyDescent="0.2">
      <c r="BY384" s="13">
        <v>380</v>
      </c>
      <c r="BZ384" s="14">
        <f t="shared" si="198"/>
        <v>53</v>
      </c>
      <c r="CA384" s="14">
        <f t="shared" si="199"/>
        <v>1</v>
      </c>
      <c r="CB384" s="14">
        <f t="shared" si="184"/>
        <v>5</v>
      </c>
      <c r="CC384" s="14">
        <f t="shared" si="185"/>
        <v>2053012</v>
      </c>
      <c r="CD384" s="13" t="str">
        <f t="shared" si="186"/>
        <v>100级寄灵人紫色-头盔</v>
      </c>
      <c r="CE384" s="14">
        <f t="shared" si="187"/>
        <v>1</v>
      </c>
      <c r="CF384" s="14">
        <f t="shared" si="188"/>
        <v>3</v>
      </c>
      <c r="CG384" s="14">
        <f t="shared" si="200"/>
        <v>100</v>
      </c>
      <c r="CH384" s="14">
        <f t="shared" si="201"/>
        <v>100</v>
      </c>
      <c r="CI384" s="14">
        <f t="shared" si="189"/>
        <v>2</v>
      </c>
      <c r="CJ384" s="14" t="str">
        <f t="shared" si="202"/>
        <v/>
      </c>
      <c r="CK384" s="14">
        <f t="shared" si="190"/>
        <v>0</v>
      </c>
      <c r="CL384" s="14">
        <f t="shared" si="191"/>
        <v>165</v>
      </c>
      <c r="CM384" s="14">
        <f t="shared" si="192"/>
        <v>0</v>
      </c>
      <c r="CN384" s="14">
        <f t="shared" si="193"/>
        <v>0</v>
      </c>
      <c r="CO384" s="14">
        <f t="shared" si="194"/>
        <v>10.33</v>
      </c>
      <c r="CP384" s="14">
        <f t="shared" si="195"/>
        <v>0</v>
      </c>
      <c r="CQ384" s="14">
        <f t="shared" si="203"/>
        <v>19</v>
      </c>
      <c r="CR384" s="14">
        <f t="shared" si="204"/>
        <v>3</v>
      </c>
      <c r="CS384" s="14">
        <f t="shared" si="205"/>
        <v>15</v>
      </c>
      <c r="CV384" s="14">
        <f t="shared" si="196"/>
        <v>2</v>
      </c>
      <c r="CW384" s="14">
        <f t="shared" si="197"/>
        <v>0</v>
      </c>
      <c r="CX384" s="14" t="str">
        <f t="shared" si="206"/>
        <v>DefExt</v>
      </c>
      <c r="CY384" s="14">
        <f t="shared" si="207"/>
        <v>165</v>
      </c>
      <c r="CZ384" s="14">
        <f t="shared" si="208"/>
        <v>10.33</v>
      </c>
      <c r="DA384" s="14" t="str">
        <f t="shared" si="209"/>
        <v/>
      </c>
      <c r="DB384" s="14" t="str">
        <f t="shared" si="210"/>
        <v/>
      </c>
      <c r="DC384" s="14" t="str">
        <f t="shared" si="211"/>
        <v/>
      </c>
      <c r="DD384" s="14">
        <f t="shared" si="212"/>
        <v>19</v>
      </c>
      <c r="DE384" s="14">
        <f t="shared" si="213"/>
        <v>3</v>
      </c>
      <c r="DF384" s="14">
        <f t="shared" si="214"/>
        <v>15</v>
      </c>
      <c r="DG384" s="14">
        <f t="shared" si="215"/>
        <v>225</v>
      </c>
    </row>
    <row r="385" spans="77:111" ht="16.5" x14ac:dyDescent="0.2">
      <c r="BY385" s="13">
        <v>381</v>
      </c>
      <c r="BZ385" s="14">
        <f t="shared" si="198"/>
        <v>53</v>
      </c>
      <c r="CA385" s="14">
        <f t="shared" si="199"/>
        <v>1</v>
      </c>
      <c r="CB385" s="14">
        <f t="shared" si="184"/>
        <v>5</v>
      </c>
      <c r="CC385" s="14">
        <f t="shared" si="185"/>
        <v>2053013</v>
      </c>
      <c r="CD385" s="13" t="str">
        <f t="shared" si="186"/>
        <v>100级寄灵人紫色-肩甲</v>
      </c>
      <c r="CE385" s="14">
        <f t="shared" si="187"/>
        <v>1</v>
      </c>
      <c r="CF385" s="14">
        <f t="shared" si="188"/>
        <v>3</v>
      </c>
      <c r="CG385" s="14">
        <f t="shared" si="200"/>
        <v>100</v>
      </c>
      <c r="CH385" s="14">
        <f t="shared" si="201"/>
        <v>100</v>
      </c>
      <c r="CI385" s="14">
        <f t="shared" si="189"/>
        <v>3</v>
      </c>
      <c r="CJ385" s="14" t="str">
        <f t="shared" si="202"/>
        <v/>
      </c>
      <c r="CK385" s="14">
        <f t="shared" si="190"/>
        <v>0</v>
      </c>
      <c r="CL385" s="14">
        <f t="shared" si="191"/>
        <v>83</v>
      </c>
      <c r="CM385" s="14">
        <f t="shared" si="192"/>
        <v>506</v>
      </c>
      <c r="CN385" s="14">
        <f t="shared" si="193"/>
        <v>0</v>
      </c>
      <c r="CO385" s="14">
        <f t="shared" si="194"/>
        <v>5.16</v>
      </c>
      <c r="CP385" s="14">
        <f t="shared" si="195"/>
        <v>31.62</v>
      </c>
      <c r="CQ385" s="14">
        <f t="shared" si="203"/>
        <v>19</v>
      </c>
      <c r="CR385" s="14">
        <f t="shared" si="204"/>
        <v>3</v>
      </c>
      <c r="CS385" s="14">
        <f t="shared" si="205"/>
        <v>15</v>
      </c>
      <c r="CV385" s="14">
        <f t="shared" si="196"/>
        <v>2</v>
      </c>
      <c r="CW385" s="14">
        <f t="shared" si="197"/>
        <v>3</v>
      </c>
      <c r="CX385" s="14" t="str">
        <f t="shared" si="206"/>
        <v>DefExt</v>
      </c>
      <c r="CY385" s="14">
        <f t="shared" si="207"/>
        <v>83</v>
      </c>
      <c r="CZ385" s="14">
        <f t="shared" si="208"/>
        <v>5.16</v>
      </c>
      <c r="DA385" s="14" t="str">
        <f t="shared" si="209"/>
        <v>HPExt</v>
      </c>
      <c r="DB385" s="14">
        <f t="shared" si="210"/>
        <v>506</v>
      </c>
      <c r="DC385" s="14">
        <f t="shared" si="211"/>
        <v>31.62</v>
      </c>
      <c r="DD385" s="14">
        <f t="shared" si="212"/>
        <v>19</v>
      </c>
      <c r="DE385" s="14">
        <f t="shared" si="213"/>
        <v>3</v>
      </c>
      <c r="DF385" s="14">
        <f t="shared" si="214"/>
        <v>15</v>
      </c>
      <c r="DG385" s="14">
        <f t="shared" si="215"/>
        <v>225</v>
      </c>
    </row>
    <row r="386" spans="77:111" ht="16.5" x14ac:dyDescent="0.2">
      <c r="BY386" s="13">
        <v>382</v>
      </c>
      <c r="BZ386" s="14">
        <f t="shared" si="198"/>
        <v>53</v>
      </c>
      <c r="CA386" s="14">
        <f t="shared" si="199"/>
        <v>1</v>
      </c>
      <c r="CB386" s="14">
        <f t="shared" si="184"/>
        <v>5</v>
      </c>
      <c r="CC386" s="14">
        <f t="shared" si="185"/>
        <v>2053014</v>
      </c>
      <c r="CD386" s="13" t="str">
        <f t="shared" si="186"/>
        <v>100级寄灵人紫色-衣服</v>
      </c>
      <c r="CE386" s="14">
        <f t="shared" si="187"/>
        <v>1</v>
      </c>
      <c r="CF386" s="14">
        <f t="shared" si="188"/>
        <v>3</v>
      </c>
      <c r="CG386" s="14">
        <f t="shared" si="200"/>
        <v>100</v>
      </c>
      <c r="CH386" s="14">
        <f t="shared" si="201"/>
        <v>100</v>
      </c>
      <c r="CI386" s="14">
        <f t="shared" si="189"/>
        <v>4</v>
      </c>
      <c r="CJ386" s="14" t="str">
        <f t="shared" si="202"/>
        <v/>
      </c>
      <c r="CK386" s="14">
        <f t="shared" si="190"/>
        <v>0</v>
      </c>
      <c r="CL386" s="14">
        <f t="shared" si="191"/>
        <v>165</v>
      </c>
      <c r="CM386" s="14">
        <f t="shared" si="192"/>
        <v>0</v>
      </c>
      <c r="CN386" s="14">
        <f t="shared" si="193"/>
        <v>0</v>
      </c>
      <c r="CO386" s="14">
        <f t="shared" si="194"/>
        <v>10.33</v>
      </c>
      <c r="CP386" s="14">
        <f t="shared" si="195"/>
        <v>0</v>
      </c>
      <c r="CQ386" s="14">
        <f t="shared" si="203"/>
        <v>19</v>
      </c>
      <c r="CR386" s="14">
        <f t="shared" si="204"/>
        <v>3</v>
      </c>
      <c r="CS386" s="14">
        <f t="shared" si="205"/>
        <v>15</v>
      </c>
      <c r="CV386" s="14">
        <f t="shared" si="196"/>
        <v>2</v>
      </c>
      <c r="CW386" s="14">
        <f t="shared" si="197"/>
        <v>0</v>
      </c>
      <c r="CX386" s="14" t="str">
        <f t="shared" si="206"/>
        <v>DefExt</v>
      </c>
      <c r="CY386" s="14">
        <f t="shared" si="207"/>
        <v>165</v>
      </c>
      <c r="CZ386" s="14">
        <f t="shared" si="208"/>
        <v>10.33</v>
      </c>
      <c r="DA386" s="14" t="str">
        <f t="shared" si="209"/>
        <v/>
      </c>
      <c r="DB386" s="14" t="str">
        <f t="shared" si="210"/>
        <v/>
      </c>
      <c r="DC386" s="14" t="str">
        <f t="shared" si="211"/>
        <v/>
      </c>
      <c r="DD386" s="14">
        <f t="shared" si="212"/>
        <v>19</v>
      </c>
      <c r="DE386" s="14">
        <f t="shared" si="213"/>
        <v>3</v>
      </c>
      <c r="DF386" s="14">
        <f t="shared" si="214"/>
        <v>15</v>
      </c>
      <c r="DG386" s="14">
        <f t="shared" si="215"/>
        <v>225</v>
      </c>
    </row>
    <row r="387" spans="77:111" ht="16.5" x14ac:dyDescent="0.2">
      <c r="BY387" s="13">
        <v>383</v>
      </c>
      <c r="BZ387" s="14">
        <f t="shared" si="198"/>
        <v>53</v>
      </c>
      <c r="CA387" s="14">
        <f t="shared" si="199"/>
        <v>1</v>
      </c>
      <c r="CB387" s="14">
        <f t="shared" si="184"/>
        <v>5</v>
      </c>
      <c r="CC387" s="14">
        <f t="shared" si="185"/>
        <v>2053015</v>
      </c>
      <c r="CD387" s="13" t="str">
        <f t="shared" si="186"/>
        <v>100级寄灵人紫色-鞋子</v>
      </c>
      <c r="CE387" s="14">
        <f t="shared" si="187"/>
        <v>1</v>
      </c>
      <c r="CF387" s="14">
        <f t="shared" si="188"/>
        <v>3</v>
      </c>
      <c r="CG387" s="14">
        <f t="shared" si="200"/>
        <v>100</v>
      </c>
      <c r="CH387" s="14">
        <f t="shared" si="201"/>
        <v>100</v>
      </c>
      <c r="CI387" s="14">
        <f t="shared" si="189"/>
        <v>5</v>
      </c>
      <c r="CJ387" s="14" t="str">
        <f t="shared" si="202"/>
        <v/>
      </c>
      <c r="CK387" s="14">
        <f t="shared" si="190"/>
        <v>0</v>
      </c>
      <c r="CL387" s="14">
        <f t="shared" si="191"/>
        <v>0</v>
      </c>
      <c r="CM387" s="14">
        <f t="shared" si="192"/>
        <v>1012</v>
      </c>
      <c r="CN387" s="14">
        <f t="shared" si="193"/>
        <v>0</v>
      </c>
      <c r="CO387" s="14">
        <f t="shared" si="194"/>
        <v>0</v>
      </c>
      <c r="CP387" s="14">
        <f t="shared" si="195"/>
        <v>63.23</v>
      </c>
      <c r="CQ387" s="14">
        <f t="shared" si="203"/>
        <v>19</v>
      </c>
      <c r="CR387" s="14">
        <f t="shared" si="204"/>
        <v>3</v>
      </c>
      <c r="CS387" s="14">
        <f t="shared" si="205"/>
        <v>15</v>
      </c>
      <c r="CV387" s="14">
        <f t="shared" si="196"/>
        <v>3</v>
      </c>
      <c r="CW387" s="14">
        <f t="shared" si="197"/>
        <v>0</v>
      </c>
      <c r="CX387" s="14" t="str">
        <f t="shared" si="206"/>
        <v>HPExt</v>
      </c>
      <c r="CY387" s="14">
        <f t="shared" si="207"/>
        <v>1012</v>
      </c>
      <c r="CZ387" s="14">
        <f t="shared" si="208"/>
        <v>63.23</v>
      </c>
      <c r="DA387" s="14" t="str">
        <f t="shared" si="209"/>
        <v/>
      </c>
      <c r="DB387" s="14" t="str">
        <f t="shared" si="210"/>
        <v/>
      </c>
      <c r="DC387" s="14" t="str">
        <f t="shared" si="211"/>
        <v/>
      </c>
      <c r="DD387" s="14">
        <f t="shared" si="212"/>
        <v>19</v>
      </c>
      <c r="DE387" s="14">
        <f t="shared" si="213"/>
        <v>3</v>
      </c>
      <c r="DF387" s="14">
        <f t="shared" si="214"/>
        <v>15</v>
      </c>
      <c r="DG387" s="14">
        <f t="shared" si="215"/>
        <v>225</v>
      </c>
    </row>
    <row r="388" spans="77:111" ht="16.5" x14ac:dyDescent="0.2">
      <c r="BY388" s="13">
        <v>384</v>
      </c>
      <c r="BZ388" s="14">
        <f t="shared" si="198"/>
        <v>53</v>
      </c>
      <c r="CA388" s="14">
        <f t="shared" si="199"/>
        <v>1</v>
      </c>
      <c r="CB388" s="14">
        <f t="shared" si="184"/>
        <v>5</v>
      </c>
      <c r="CC388" s="14">
        <f t="shared" si="185"/>
        <v>2053016</v>
      </c>
      <c r="CD388" s="13" t="str">
        <f t="shared" si="186"/>
        <v>100级寄灵人紫色-护手</v>
      </c>
      <c r="CE388" s="14">
        <f t="shared" si="187"/>
        <v>1</v>
      </c>
      <c r="CF388" s="14">
        <f t="shared" si="188"/>
        <v>3</v>
      </c>
      <c r="CG388" s="14">
        <f t="shared" si="200"/>
        <v>100</v>
      </c>
      <c r="CH388" s="14">
        <f t="shared" si="201"/>
        <v>100</v>
      </c>
      <c r="CI388" s="14">
        <f t="shared" si="189"/>
        <v>6</v>
      </c>
      <c r="CJ388" s="14" t="str">
        <f t="shared" si="202"/>
        <v/>
      </c>
      <c r="CK388" s="14">
        <f t="shared" si="190"/>
        <v>0</v>
      </c>
      <c r="CL388" s="14">
        <f t="shared" si="191"/>
        <v>0</v>
      </c>
      <c r="CM388" s="14">
        <f t="shared" si="192"/>
        <v>1012</v>
      </c>
      <c r="CN388" s="14">
        <f t="shared" si="193"/>
        <v>0</v>
      </c>
      <c r="CO388" s="14">
        <f t="shared" si="194"/>
        <v>0</v>
      </c>
      <c r="CP388" s="14">
        <f t="shared" si="195"/>
        <v>63.23</v>
      </c>
      <c r="CQ388" s="14">
        <f t="shared" si="203"/>
        <v>19</v>
      </c>
      <c r="CR388" s="14">
        <f t="shared" si="204"/>
        <v>3</v>
      </c>
      <c r="CS388" s="14">
        <f t="shared" si="205"/>
        <v>15</v>
      </c>
      <c r="CV388" s="14">
        <f t="shared" si="196"/>
        <v>3</v>
      </c>
      <c r="CW388" s="14">
        <f t="shared" si="197"/>
        <v>0</v>
      </c>
      <c r="CX388" s="14" t="str">
        <f t="shared" si="206"/>
        <v>HPExt</v>
      </c>
      <c r="CY388" s="14">
        <f t="shared" si="207"/>
        <v>1012</v>
      </c>
      <c r="CZ388" s="14">
        <f t="shared" si="208"/>
        <v>63.23</v>
      </c>
      <c r="DA388" s="14" t="str">
        <f t="shared" si="209"/>
        <v/>
      </c>
      <c r="DB388" s="14" t="str">
        <f t="shared" si="210"/>
        <v/>
      </c>
      <c r="DC388" s="14" t="str">
        <f t="shared" si="211"/>
        <v/>
      </c>
      <c r="DD388" s="14">
        <f t="shared" si="212"/>
        <v>19</v>
      </c>
      <c r="DE388" s="14">
        <f t="shared" si="213"/>
        <v>3</v>
      </c>
      <c r="DF388" s="14">
        <f t="shared" si="214"/>
        <v>15</v>
      </c>
      <c r="DG388" s="14">
        <f t="shared" si="215"/>
        <v>225</v>
      </c>
    </row>
    <row r="389" spans="77:111" ht="16.5" x14ac:dyDescent="0.2">
      <c r="BY389" s="13">
        <v>385</v>
      </c>
      <c r="BZ389" s="14">
        <f t="shared" si="198"/>
        <v>53</v>
      </c>
      <c r="CA389" s="14">
        <f t="shared" si="199"/>
        <v>1</v>
      </c>
      <c r="CB389" s="14">
        <f t="shared" ref="CB389:CB452" si="216">INDEX($BE$6:$BE$81,BZ389)</f>
        <v>5</v>
      </c>
      <c r="CC389" s="14">
        <f t="shared" ref="CC389:CC452" si="217">INDEX($BJ$6:$BJ$81,BZ389)+CI389</f>
        <v>2053017</v>
      </c>
      <c r="CD389" s="13" t="str">
        <f t="shared" ref="CD389:CD452" si="218">INDEX($BK$6:$BK$81,BZ389)&amp;"-"&amp;INDEX($BO$3:$BV$3,CI389)</f>
        <v>100级寄灵人紫色-项链</v>
      </c>
      <c r="CE389" s="14">
        <f t="shared" ref="CE389:CE452" si="219">INDEX($BH$6:$BH$81,BZ389)</f>
        <v>1</v>
      </c>
      <c r="CF389" s="14">
        <f t="shared" ref="CF389:CF452" si="220">INDEX($BG$6:$BG$81,BZ389)</f>
        <v>3</v>
      </c>
      <c r="CG389" s="14">
        <f t="shared" si="200"/>
        <v>100</v>
      </c>
      <c r="CH389" s="14">
        <f t="shared" si="201"/>
        <v>100</v>
      </c>
      <c r="CI389" s="14">
        <f t="shared" ref="CI389:CI452" si="221">BY389-INDEX($BN$5:$BN$81,BZ389)</f>
        <v>7</v>
      </c>
      <c r="CJ389" s="14" t="str">
        <f t="shared" si="202"/>
        <v/>
      </c>
      <c r="CK389" s="14">
        <f t="shared" ref="CK389:CK452" si="222">ROUND(INDEX(I$5:I$16,($CE389-1)*6+$CB389)*INDEX(W$5:W$12,$CI389)*INDEX($AF$5:$AF$8,$CF389),0)</f>
        <v>223</v>
      </c>
      <c r="CL389" s="14">
        <f t="shared" ref="CL389:CL452" si="223">ROUND(INDEX(J$5:J$16,($CE389-1)*6+$CB389)*INDEX(X$5:X$12,$CI389)*INDEX($AF$5:$AF$8,$CF389),0)</f>
        <v>138</v>
      </c>
      <c r="CM389" s="14">
        <f t="shared" ref="CM389:CM452" si="224">ROUND(INDEX(K$5:K$16,($CE389-1)*6+$CB389)*INDEX(Y$5:Y$12,$CI389)*INDEX($AF$5:$AF$8,$CF389),0)</f>
        <v>0</v>
      </c>
      <c r="CN389" s="14">
        <f t="shared" ref="CN389:CN452" si="225">ROUND(INDEX(E$5:E$16,($CE389-1)*6+$CB389)*INDEX(W$5:W$12,$CI389),2)</f>
        <v>13.92</v>
      </c>
      <c r="CO389" s="14">
        <f t="shared" ref="CO389:CO452" si="226">ROUND(INDEX(F$5:F$16,($CE389-1)*6+$CB389)*INDEX(X$5:X$12,$CI389),2)</f>
        <v>8.6</v>
      </c>
      <c r="CP389" s="14">
        <f t="shared" ref="CP389:CP452" si="227">ROUND(INDEX(G$5:G$16,($CE389-1)*6+$CB389)*INDEX(Y$5:Y$12,$CI389),2)</f>
        <v>0</v>
      </c>
      <c r="CQ389" s="14">
        <f t="shared" si="203"/>
        <v>19</v>
      </c>
      <c r="CR389" s="14">
        <f t="shared" si="204"/>
        <v>3</v>
      </c>
      <c r="CS389" s="14">
        <f t="shared" si="205"/>
        <v>15</v>
      </c>
      <c r="CV389" s="14">
        <f t="shared" ref="CV389:CV452" si="228">INDEX(Z$5:Z$12,$CI389)</f>
        <v>1</v>
      </c>
      <c r="CW389" s="14">
        <f t="shared" ref="CW389:CW452" si="229">INDEX(AA$5:AA$12,$CI389)</f>
        <v>2</v>
      </c>
      <c r="CX389" s="14" t="str">
        <f t="shared" si="206"/>
        <v>AtkExt</v>
      </c>
      <c r="CY389" s="14">
        <f t="shared" si="207"/>
        <v>223</v>
      </c>
      <c r="CZ389" s="14">
        <f t="shared" si="208"/>
        <v>13.92</v>
      </c>
      <c r="DA389" s="14" t="str">
        <f t="shared" si="209"/>
        <v>DefExt</v>
      </c>
      <c r="DB389" s="14">
        <f t="shared" si="210"/>
        <v>138</v>
      </c>
      <c r="DC389" s="14">
        <f t="shared" si="211"/>
        <v>8.6</v>
      </c>
      <c r="DD389" s="14">
        <f t="shared" si="212"/>
        <v>19</v>
      </c>
      <c r="DE389" s="14">
        <f t="shared" si="213"/>
        <v>3</v>
      </c>
      <c r="DF389" s="14">
        <f t="shared" si="214"/>
        <v>15</v>
      </c>
      <c r="DG389" s="14">
        <f t="shared" si="215"/>
        <v>225</v>
      </c>
    </row>
    <row r="390" spans="77:111" ht="16.5" x14ac:dyDescent="0.2">
      <c r="BY390" s="13">
        <v>386</v>
      </c>
      <c r="BZ390" s="14">
        <f t="shared" ref="BZ390:BZ453" si="230">MATCH(BY390-1,$BN$5:$BN$81,1)</f>
        <v>53</v>
      </c>
      <c r="CA390" s="14">
        <f t="shared" ref="CA390:CA453" si="231">INDEX($BI$6:$BI$81,BZ390)</f>
        <v>1</v>
      </c>
      <c r="CB390" s="14">
        <f t="shared" si="216"/>
        <v>5</v>
      </c>
      <c r="CC390" s="14">
        <f t="shared" si="217"/>
        <v>2053018</v>
      </c>
      <c r="CD390" s="13" t="str">
        <f t="shared" si="218"/>
        <v>100级寄灵人紫色-戒指</v>
      </c>
      <c r="CE390" s="14">
        <f t="shared" si="219"/>
        <v>1</v>
      </c>
      <c r="CF390" s="14">
        <f t="shared" si="220"/>
        <v>3</v>
      </c>
      <c r="CG390" s="14">
        <f t="shared" ref="CG390:CG453" si="232">INDEX($D$5:$D$16,(CE390-1)*6+CB390)</f>
        <v>100</v>
      </c>
      <c r="CH390" s="14">
        <f t="shared" ref="CH390:CH453" si="233">INDEX($D$5:$D$16,(CE390-1)*6+CB390)</f>
        <v>100</v>
      </c>
      <c r="CI390" s="14">
        <f t="shared" si="221"/>
        <v>8</v>
      </c>
      <c r="CJ390" s="14" t="str">
        <f t="shared" ref="CJ390:CJ453" si="234">IF(INDEX($BL$6:$BL$81,BZ390)&gt;0,INDEX($BL$6:$BL$81,BZ390),"")</f>
        <v/>
      </c>
      <c r="CK390" s="14">
        <f t="shared" si="222"/>
        <v>223</v>
      </c>
      <c r="CL390" s="14">
        <f t="shared" si="223"/>
        <v>0</v>
      </c>
      <c r="CM390" s="14">
        <f t="shared" si="224"/>
        <v>843</v>
      </c>
      <c r="CN390" s="14">
        <f t="shared" si="225"/>
        <v>13.92</v>
      </c>
      <c r="CO390" s="14">
        <f t="shared" si="226"/>
        <v>0</v>
      </c>
      <c r="CP390" s="14">
        <f t="shared" si="227"/>
        <v>52.69</v>
      </c>
      <c r="CQ390" s="14">
        <f t="shared" ref="CQ390:CQ453" si="235">(CB390-1)*4+CF390</f>
        <v>19</v>
      </c>
      <c r="CR390" s="14">
        <f t="shared" ref="CR390:CR453" si="236">INDEX($AY$5:$BB$16,CB390,CF390)</f>
        <v>3</v>
      </c>
      <c r="CS390" s="14">
        <f t="shared" ref="CS390:CS453" si="237">CE390*10+CB390</f>
        <v>15</v>
      </c>
      <c r="CV390" s="14">
        <f t="shared" si="228"/>
        <v>1</v>
      </c>
      <c r="CW390" s="14">
        <f t="shared" si="229"/>
        <v>3</v>
      </c>
      <c r="CX390" s="14" t="str">
        <f t="shared" ref="CX390:CX453" si="238">INDEX($U$3:$W$3,CV390)</f>
        <v>AtkExt</v>
      </c>
      <c r="CY390" s="14">
        <f t="shared" ref="CY390:CY453" si="239">INDEX(CK390:CM390,CV390)</f>
        <v>223</v>
      </c>
      <c r="CZ390" s="14">
        <f t="shared" ref="CZ390:CZ453" si="240">INDEX(CN390:CP390,CV390)</f>
        <v>13.92</v>
      </c>
      <c r="DA390" s="14" t="str">
        <f t="shared" ref="DA390:DA453" si="241">IF(CW390&gt;0,INDEX($U$3:$W$3,CW390),"")</f>
        <v>HPExt</v>
      </c>
      <c r="DB390" s="14">
        <f t="shared" ref="DB390:DB453" si="242">IF(CW390&gt;0,INDEX(CK390:CM390,CW390),"")</f>
        <v>843</v>
      </c>
      <c r="DC390" s="14">
        <f t="shared" ref="DC390:DC453" si="243">IF(CW390&gt;0,INDEX(CN390:CP390,CW390),"")</f>
        <v>52.69</v>
      </c>
      <c r="DD390" s="14">
        <f t="shared" ref="DD390:DD453" si="244">(CB390-1)*4+CF390</f>
        <v>19</v>
      </c>
      <c r="DE390" s="14">
        <f t="shared" ref="DE390:DE453" si="245">INDEX($AY$5:$BB$16,CB390,CF390)</f>
        <v>3</v>
      </c>
      <c r="DF390" s="14">
        <f t="shared" ref="DF390:DF453" si="246">CE390*10+CB390</f>
        <v>15</v>
      </c>
      <c r="DG390" s="14">
        <f t="shared" ref="DG390:DG453" si="247">INDEX($N$5:$S$8,CF390,CB390)</f>
        <v>225</v>
      </c>
    </row>
    <row r="391" spans="77:111" ht="16.5" x14ac:dyDescent="0.2">
      <c r="BY391" s="13">
        <v>387</v>
      </c>
      <c r="BZ391" s="14">
        <f t="shared" si="230"/>
        <v>54</v>
      </c>
      <c r="CA391" s="14">
        <f t="shared" si="231"/>
        <v>2</v>
      </c>
      <c r="CB391" s="14">
        <f t="shared" si="216"/>
        <v>5</v>
      </c>
      <c r="CC391" s="14">
        <f t="shared" si="217"/>
        <v>2053021</v>
      </c>
      <c r="CD391" s="13" t="str">
        <f t="shared" si="218"/>
        <v>100级守护灵紫色-武器</v>
      </c>
      <c r="CE391" s="14">
        <f t="shared" si="219"/>
        <v>2</v>
      </c>
      <c r="CF391" s="14">
        <f t="shared" si="220"/>
        <v>3</v>
      </c>
      <c r="CG391" s="14">
        <f t="shared" si="232"/>
        <v>100</v>
      </c>
      <c r="CH391" s="14">
        <f t="shared" si="233"/>
        <v>100</v>
      </c>
      <c r="CI391" s="14">
        <f t="shared" si="221"/>
        <v>1</v>
      </c>
      <c r="CJ391" s="14" t="str">
        <f t="shared" si="234"/>
        <v/>
      </c>
      <c r="CK391" s="14">
        <f t="shared" si="222"/>
        <v>690</v>
      </c>
      <c r="CL391" s="14">
        <f t="shared" si="223"/>
        <v>0</v>
      </c>
      <c r="CM391" s="14">
        <f t="shared" si="224"/>
        <v>0</v>
      </c>
      <c r="CN391" s="14">
        <f t="shared" si="225"/>
        <v>43.1</v>
      </c>
      <c r="CO391" s="14">
        <f t="shared" si="226"/>
        <v>0</v>
      </c>
      <c r="CP391" s="14">
        <f t="shared" si="227"/>
        <v>0</v>
      </c>
      <c r="CQ391" s="14">
        <f t="shared" si="235"/>
        <v>19</v>
      </c>
      <c r="CR391" s="14">
        <f t="shared" si="236"/>
        <v>3</v>
      </c>
      <c r="CS391" s="14">
        <f t="shared" si="237"/>
        <v>25</v>
      </c>
      <c r="CV391" s="14">
        <f t="shared" si="228"/>
        <v>1</v>
      </c>
      <c r="CW391" s="14">
        <f t="shared" si="229"/>
        <v>0</v>
      </c>
      <c r="CX391" s="14" t="str">
        <f t="shared" si="238"/>
        <v>AtkExt</v>
      </c>
      <c r="CY391" s="14">
        <f t="shared" si="239"/>
        <v>690</v>
      </c>
      <c r="CZ391" s="14">
        <f t="shared" si="240"/>
        <v>43.1</v>
      </c>
      <c r="DA391" s="14" t="str">
        <f t="shared" si="241"/>
        <v/>
      </c>
      <c r="DB391" s="14" t="str">
        <f t="shared" si="242"/>
        <v/>
      </c>
      <c r="DC391" s="14" t="str">
        <f t="shared" si="243"/>
        <v/>
      </c>
      <c r="DD391" s="14">
        <f t="shared" si="244"/>
        <v>19</v>
      </c>
      <c r="DE391" s="14">
        <f t="shared" si="245"/>
        <v>3</v>
      </c>
      <c r="DF391" s="14">
        <f t="shared" si="246"/>
        <v>25</v>
      </c>
      <c r="DG391" s="14">
        <f t="shared" si="247"/>
        <v>225</v>
      </c>
    </row>
    <row r="392" spans="77:111" ht="16.5" x14ac:dyDescent="0.2">
      <c r="BY392" s="13">
        <v>388</v>
      </c>
      <c r="BZ392" s="14">
        <f t="shared" si="230"/>
        <v>54</v>
      </c>
      <c r="CA392" s="14">
        <f t="shared" si="231"/>
        <v>2</v>
      </c>
      <c r="CB392" s="14">
        <f t="shared" si="216"/>
        <v>5</v>
      </c>
      <c r="CC392" s="14">
        <f t="shared" si="217"/>
        <v>2053022</v>
      </c>
      <c r="CD392" s="13" t="str">
        <f t="shared" si="218"/>
        <v>100级守护灵紫色-头盔</v>
      </c>
      <c r="CE392" s="14">
        <f t="shared" si="219"/>
        <v>2</v>
      </c>
      <c r="CF392" s="14">
        <f t="shared" si="220"/>
        <v>3</v>
      </c>
      <c r="CG392" s="14">
        <f t="shared" si="232"/>
        <v>100</v>
      </c>
      <c r="CH392" s="14">
        <f t="shared" si="233"/>
        <v>100</v>
      </c>
      <c r="CI392" s="14">
        <f t="shared" si="221"/>
        <v>2</v>
      </c>
      <c r="CJ392" s="14" t="str">
        <f t="shared" si="234"/>
        <v/>
      </c>
      <c r="CK392" s="14">
        <f t="shared" si="222"/>
        <v>0</v>
      </c>
      <c r="CL392" s="14">
        <f t="shared" si="223"/>
        <v>170</v>
      </c>
      <c r="CM392" s="14">
        <f t="shared" si="224"/>
        <v>0</v>
      </c>
      <c r="CN392" s="14">
        <f t="shared" si="225"/>
        <v>0</v>
      </c>
      <c r="CO392" s="14">
        <f t="shared" si="226"/>
        <v>10.6</v>
      </c>
      <c r="CP392" s="14">
        <f t="shared" si="227"/>
        <v>0</v>
      </c>
      <c r="CQ392" s="14">
        <f t="shared" si="235"/>
        <v>19</v>
      </c>
      <c r="CR392" s="14">
        <f t="shared" si="236"/>
        <v>3</v>
      </c>
      <c r="CS392" s="14">
        <f t="shared" si="237"/>
        <v>25</v>
      </c>
      <c r="CV392" s="14">
        <f t="shared" si="228"/>
        <v>2</v>
      </c>
      <c r="CW392" s="14">
        <f t="shared" si="229"/>
        <v>0</v>
      </c>
      <c r="CX392" s="14" t="str">
        <f t="shared" si="238"/>
        <v>DefExt</v>
      </c>
      <c r="CY392" s="14">
        <f t="shared" si="239"/>
        <v>170</v>
      </c>
      <c r="CZ392" s="14">
        <f t="shared" si="240"/>
        <v>10.6</v>
      </c>
      <c r="DA392" s="14" t="str">
        <f t="shared" si="241"/>
        <v/>
      </c>
      <c r="DB392" s="14" t="str">
        <f t="shared" si="242"/>
        <v/>
      </c>
      <c r="DC392" s="14" t="str">
        <f t="shared" si="243"/>
        <v/>
      </c>
      <c r="DD392" s="14">
        <f t="shared" si="244"/>
        <v>19</v>
      </c>
      <c r="DE392" s="14">
        <f t="shared" si="245"/>
        <v>3</v>
      </c>
      <c r="DF392" s="14">
        <f t="shared" si="246"/>
        <v>25</v>
      </c>
      <c r="DG392" s="14">
        <f t="shared" si="247"/>
        <v>225</v>
      </c>
    </row>
    <row r="393" spans="77:111" ht="16.5" x14ac:dyDescent="0.2">
      <c r="BY393" s="13">
        <v>389</v>
      </c>
      <c r="BZ393" s="14">
        <f t="shared" si="230"/>
        <v>54</v>
      </c>
      <c r="CA393" s="14">
        <f t="shared" si="231"/>
        <v>2</v>
      </c>
      <c r="CB393" s="14">
        <f t="shared" si="216"/>
        <v>5</v>
      </c>
      <c r="CC393" s="14">
        <f t="shared" si="217"/>
        <v>2053023</v>
      </c>
      <c r="CD393" s="13" t="str">
        <f t="shared" si="218"/>
        <v>100级守护灵紫色-肩甲</v>
      </c>
      <c r="CE393" s="14">
        <f t="shared" si="219"/>
        <v>2</v>
      </c>
      <c r="CF393" s="14">
        <f t="shared" si="220"/>
        <v>3</v>
      </c>
      <c r="CG393" s="14">
        <f t="shared" si="232"/>
        <v>100</v>
      </c>
      <c r="CH393" s="14">
        <f t="shared" si="233"/>
        <v>100</v>
      </c>
      <c r="CI393" s="14">
        <f t="shared" si="221"/>
        <v>3</v>
      </c>
      <c r="CJ393" s="14" t="str">
        <f t="shared" si="234"/>
        <v/>
      </c>
      <c r="CK393" s="14">
        <f t="shared" si="222"/>
        <v>0</v>
      </c>
      <c r="CL393" s="14">
        <f t="shared" si="223"/>
        <v>85</v>
      </c>
      <c r="CM393" s="14">
        <f t="shared" si="224"/>
        <v>907</v>
      </c>
      <c r="CN393" s="14">
        <f t="shared" si="225"/>
        <v>0</v>
      </c>
      <c r="CO393" s="14">
        <f t="shared" si="226"/>
        <v>5.3</v>
      </c>
      <c r="CP393" s="14">
        <f t="shared" si="227"/>
        <v>56.67</v>
      </c>
      <c r="CQ393" s="14">
        <f t="shared" si="235"/>
        <v>19</v>
      </c>
      <c r="CR393" s="14">
        <f t="shared" si="236"/>
        <v>3</v>
      </c>
      <c r="CS393" s="14">
        <f t="shared" si="237"/>
        <v>25</v>
      </c>
      <c r="CV393" s="14">
        <f t="shared" si="228"/>
        <v>2</v>
      </c>
      <c r="CW393" s="14">
        <f t="shared" si="229"/>
        <v>3</v>
      </c>
      <c r="CX393" s="14" t="str">
        <f t="shared" si="238"/>
        <v>DefExt</v>
      </c>
      <c r="CY393" s="14">
        <f t="shared" si="239"/>
        <v>85</v>
      </c>
      <c r="CZ393" s="14">
        <f t="shared" si="240"/>
        <v>5.3</v>
      </c>
      <c r="DA393" s="14" t="str">
        <f t="shared" si="241"/>
        <v>HPExt</v>
      </c>
      <c r="DB393" s="14">
        <f t="shared" si="242"/>
        <v>907</v>
      </c>
      <c r="DC393" s="14">
        <f t="shared" si="243"/>
        <v>56.67</v>
      </c>
      <c r="DD393" s="14">
        <f t="shared" si="244"/>
        <v>19</v>
      </c>
      <c r="DE393" s="14">
        <f t="shared" si="245"/>
        <v>3</v>
      </c>
      <c r="DF393" s="14">
        <f t="shared" si="246"/>
        <v>25</v>
      </c>
      <c r="DG393" s="14">
        <f t="shared" si="247"/>
        <v>225</v>
      </c>
    </row>
    <row r="394" spans="77:111" ht="16.5" x14ac:dyDescent="0.2">
      <c r="BY394" s="13">
        <v>390</v>
      </c>
      <c r="BZ394" s="14">
        <f t="shared" si="230"/>
        <v>54</v>
      </c>
      <c r="CA394" s="14">
        <f t="shared" si="231"/>
        <v>2</v>
      </c>
      <c r="CB394" s="14">
        <f t="shared" si="216"/>
        <v>5</v>
      </c>
      <c r="CC394" s="14">
        <f t="shared" si="217"/>
        <v>2053024</v>
      </c>
      <c r="CD394" s="13" t="str">
        <f t="shared" si="218"/>
        <v>100级守护灵紫色-衣服</v>
      </c>
      <c r="CE394" s="14">
        <f t="shared" si="219"/>
        <v>2</v>
      </c>
      <c r="CF394" s="14">
        <f t="shared" si="220"/>
        <v>3</v>
      </c>
      <c r="CG394" s="14">
        <f t="shared" si="232"/>
        <v>100</v>
      </c>
      <c r="CH394" s="14">
        <f t="shared" si="233"/>
        <v>100</v>
      </c>
      <c r="CI394" s="14">
        <f t="shared" si="221"/>
        <v>4</v>
      </c>
      <c r="CJ394" s="14" t="str">
        <f t="shared" si="234"/>
        <v/>
      </c>
      <c r="CK394" s="14">
        <f t="shared" si="222"/>
        <v>0</v>
      </c>
      <c r="CL394" s="14">
        <f t="shared" si="223"/>
        <v>170</v>
      </c>
      <c r="CM394" s="14">
        <f t="shared" si="224"/>
        <v>0</v>
      </c>
      <c r="CN394" s="14">
        <f t="shared" si="225"/>
        <v>0</v>
      </c>
      <c r="CO394" s="14">
        <f t="shared" si="226"/>
        <v>10.6</v>
      </c>
      <c r="CP394" s="14">
        <f t="shared" si="227"/>
        <v>0</v>
      </c>
      <c r="CQ394" s="14">
        <f t="shared" si="235"/>
        <v>19</v>
      </c>
      <c r="CR394" s="14">
        <f t="shared" si="236"/>
        <v>3</v>
      </c>
      <c r="CS394" s="14">
        <f t="shared" si="237"/>
        <v>25</v>
      </c>
      <c r="CV394" s="14">
        <f t="shared" si="228"/>
        <v>2</v>
      </c>
      <c r="CW394" s="14">
        <f t="shared" si="229"/>
        <v>0</v>
      </c>
      <c r="CX394" s="14" t="str">
        <f t="shared" si="238"/>
        <v>DefExt</v>
      </c>
      <c r="CY394" s="14">
        <f t="shared" si="239"/>
        <v>170</v>
      </c>
      <c r="CZ394" s="14">
        <f t="shared" si="240"/>
        <v>10.6</v>
      </c>
      <c r="DA394" s="14" t="str">
        <f t="shared" si="241"/>
        <v/>
      </c>
      <c r="DB394" s="14" t="str">
        <f t="shared" si="242"/>
        <v/>
      </c>
      <c r="DC394" s="14" t="str">
        <f t="shared" si="243"/>
        <v/>
      </c>
      <c r="DD394" s="14">
        <f t="shared" si="244"/>
        <v>19</v>
      </c>
      <c r="DE394" s="14">
        <f t="shared" si="245"/>
        <v>3</v>
      </c>
      <c r="DF394" s="14">
        <f t="shared" si="246"/>
        <v>25</v>
      </c>
      <c r="DG394" s="14">
        <f t="shared" si="247"/>
        <v>225</v>
      </c>
    </row>
    <row r="395" spans="77:111" ht="16.5" x14ac:dyDescent="0.2">
      <c r="BY395" s="13">
        <v>391</v>
      </c>
      <c r="BZ395" s="14">
        <f t="shared" si="230"/>
        <v>54</v>
      </c>
      <c r="CA395" s="14">
        <f t="shared" si="231"/>
        <v>2</v>
      </c>
      <c r="CB395" s="14">
        <f t="shared" si="216"/>
        <v>5</v>
      </c>
      <c r="CC395" s="14">
        <f t="shared" si="217"/>
        <v>2053025</v>
      </c>
      <c r="CD395" s="13" t="str">
        <f t="shared" si="218"/>
        <v>100级守护灵紫色-鞋子</v>
      </c>
      <c r="CE395" s="14">
        <f t="shared" si="219"/>
        <v>2</v>
      </c>
      <c r="CF395" s="14">
        <f t="shared" si="220"/>
        <v>3</v>
      </c>
      <c r="CG395" s="14">
        <f t="shared" si="232"/>
        <v>100</v>
      </c>
      <c r="CH395" s="14">
        <f t="shared" si="233"/>
        <v>100</v>
      </c>
      <c r="CI395" s="14">
        <f t="shared" si="221"/>
        <v>5</v>
      </c>
      <c r="CJ395" s="14" t="str">
        <f t="shared" si="234"/>
        <v/>
      </c>
      <c r="CK395" s="14">
        <f t="shared" si="222"/>
        <v>0</v>
      </c>
      <c r="CL395" s="14">
        <f t="shared" si="223"/>
        <v>0</v>
      </c>
      <c r="CM395" s="14">
        <f t="shared" si="224"/>
        <v>1813</v>
      </c>
      <c r="CN395" s="14">
        <f t="shared" si="225"/>
        <v>0</v>
      </c>
      <c r="CO395" s="14">
        <f t="shared" si="226"/>
        <v>0</v>
      </c>
      <c r="CP395" s="14">
        <f t="shared" si="227"/>
        <v>113.33</v>
      </c>
      <c r="CQ395" s="14">
        <f t="shared" si="235"/>
        <v>19</v>
      </c>
      <c r="CR395" s="14">
        <f t="shared" si="236"/>
        <v>3</v>
      </c>
      <c r="CS395" s="14">
        <f t="shared" si="237"/>
        <v>25</v>
      </c>
      <c r="CV395" s="14">
        <f t="shared" si="228"/>
        <v>3</v>
      </c>
      <c r="CW395" s="14">
        <f t="shared" si="229"/>
        <v>0</v>
      </c>
      <c r="CX395" s="14" t="str">
        <f t="shared" si="238"/>
        <v>HPExt</v>
      </c>
      <c r="CY395" s="14">
        <f t="shared" si="239"/>
        <v>1813</v>
      </c>
      <c r="CZ395" s="14">
        <f t="shared" si="240"/>
        <v>113.33</v>
      </c>
      <c r="DA395" s="14" t="str">
        <f t="shared" si="241"/>
        <v/>
      </c>
      <c r="DB395" s="14" t="str">
        <f t="shared" si="242"/>
        <v/>
      </c>
      <c r="DC395" s="14" t="str">
        <f t="shared" si="243"/>
        <v/>
      </c>
      <c r="DD395" s="14">
        <f t="shared" si="244"/>
        <v>19</v>
      </c>
      <c r="DE395" s="14">
        <f t="shared" si="245"/>
        <v>3</v>
      </c>
      <c r="DF395" s="14">
        <f t="shared" si="246"/>
        <v>25</v>
      </c>
      <c r="DG395" s="14">
        <f t="shared" si="247"/>
        <v>225</v>
      </c>
    </row>
    <row r="396" spans="77:111" ht="16.5" x14ac:dyDescent="0.2">
      <c r="BY396" s="13">
        <v>392</v>
      </c>
      <c r="BZ396" s="14">
        <f t="shared" si="230"/>
        <v>54</v>
      </c>
      <c r="CA396" s="14">
        <f t="shared" si="231"/>
        <v>2</v>
      </c>
      <c r="CB396" s="14">
        <f t="shared" si="216"/>
        <v>5</v>
      </c>
      <c r="CC396" s="14">
        <f t="shared" si="217"/>
        <v>2053026</v>
      </c>
      <c r="CD396" s="13" t="str">
        <f t="shared" si="218"/>
        <v>100级守护灵紫色-护手</v>
      </c>
      <c r="CE396" s="14">
        <f t="shared" si="219"/>
        <v>2</v>
      </c>
      <c r="CF396" s="14">
        <f t="shared" si="220"/>
        <v>3</v>
      </c>
      <c r="CG396" s="14">
        <f t="shared" si="232"/>
        <v>100</v>
      </c>
      <c r="CH396" s="14">
        <f t="shared" si="233"/>
        <v>100</v>
      </c>
      <c r="CI396" s="14">
        <f t="shared" si="221"/>
        <v>6</v>
      </c>
      <c r="CJ396" s="14" t="str">
        <f t="shared" si="234"/>
        <v/>
      </c>
      <c r="CK396" s="14">
        <f t="shared" si="222"/>
        <v>0</v>
      </c>
      <c r="CL396" s="14">
        <f t="shared" si="223"/>
        <v>0</v>
      </c>
      <c r="CM396" s="14">
        <f t="shared" si="224"/>
        <v>1813</v>
      </c>
      <c r="CN396" s="14">
        <f t="shared" si="225"/>
        <v>0</v>
      </c>
      <c r="CO396" s="14">
        <f t="shared" si="226"/>
        <v>0</v>
      </c>
      <c r="CP396" s="14">
        <f t="shared" si="227"/>
        <v>113.33</v>
      </c>
      <c r="CQ396" s="14">
        <f t="shared" si="235"/>
        <v>19</v>
      </c>
      <c r="CR396" s="14">
        <f t="shared" si="236"/>
        <v>3</v>
      </c>
      <c r="CS396" s="14">
        <f t="shared" si="237"/>
        <v>25</v>
      </c>
      <c r="CV396" s="14">
        <f t="shared" si="228"/>
        <v>3</v>
      </c>
      <c r="CW396" s="14">
        <f t="shared" si="229"/>
        <v>0</v>
      </c>
      <c r="CX396" s="14" t="str">
        <f t="shared" si="238"/>
        <v>HPExt</v>
      </c>
      <c r="CY396" s="14">
        <f t="shared" si="239"/>
        <v>1813</v>
      </c>
      <c r="CZ396" s="14">
        <f t="shared" si="240"/>
        <v>113.33</v>
      </c>
      <c r="DA396" s="14" t="str">
        <f t="shared" si="241"/>
        <v/>
      </c>
      <c r="DB396" s="14" t="str">
        <f t="shared" si="242"/>
        <v/>
      </c>
      <c r="DC396" s="14" t="str">
        <f t="shared" si="243"/>
        <v/>
      </c>
      <c r="DD396" s="14">
        <f t="shared" si="244"/>
        <v>19</v>
      </c>
      <c r="DE396" s="14">
        <f t="shared" si="245"/>
        <v>3</v>
      </c>
      <c r="DF396" s="14">
        <f t="shared" si="246"/>
        <v>25</v>
      </c>
      <c r="DG396" s="14">
        <f t="shared" si="247"/>
        <v>225</v>
      </c>
    </row>
    <row r="397" spans="77:111" ht="16.5" x14ac:dyDescent="0.2">
      <c r="BY397" s="13">
        <v>393</v>
      </c>
      <c r="BZ397" s="14">
        <f t="shared" si="230"/>
        <v>54</v>
      </c>
      <c r="CA397" s="14">
        <f t="shared" si="231"/>
        <v>2</v>
      </c>
      <c r="CB397" s="14">
        <f t="shared" si="216"/>
        <v>5</v>
      </c>
      <c r="CC397" s="14">
        <f t="shared" si="217"/>
        <v>2053027</v>
      </c>
      <c r="CD397" s="13" t="str">
        <f t="shared" si="218"/>
        <v>100级守护灵紫色-项链</v>
      </c>
      <c r="CE397" s="14">
        <f t="shared" si="219"/>
        <v>2</v>
      </c>
      <c r="CF397" s="14">
        <f t="shared" si="220"/>
        <v>3</v>
      </c>
      <c r="CG397" s="14">
        <f t="shared" si="232"/>
        <v>100</v>
      </c>
      <c r="CH397" s="14">
        <f t="shared" si="233"/>
        <v>100</v>
      </c>
      <c r="CI397" s="14">
        <f t="shared" si="221"/>
        <v>7</v>
      </c>
      <c r="CJ397" s="14" t="str">
        <f t="shared" si="234"/>
        <v/>
      </c>
      <c r="CK397" s="14">
        <f t="shared" si="222"/>
        <v>230</v>
      </c>
      <c r="CL397" s="14">
        <f t="shared" si="223"/>
        <v>141</v>
      </c>
      <c r="CM397" s="14">
        <f t="shared" si="224"/>
        <v>0</v>
      </c>
      <c r="CN397" s="14">
        <f t="shared" si="225"/>
        <v>14.37</v>
      </c>
      <c r="CO397" s="14">
        <f t="shared" si="226"/>
        <v>8.84</v>
      </c>
      <c r="CP397" s="14">
        <f t="shared" si="227"/>
        <v>0</v>
      </c>
      <c r="CQ397" s="14">
        <f t="shared" si="235"/>
        <v>19</v>
      </c>
      <c r="CR397" s="14">
        <f t="shared" si="236"/>
        <v>3</v>
      </c>
      <c r="CS397" s="14">
        <f t="shared" si="237"/>
        <v>25</v>
      </c>
      <c r="CV397" s="14">
        <f t="shared" si="228"/>
        <v>1</v>
      </c>
      <c r="CW397" s="14">
        <f t="shared" si="229"/>
        <v>2</v>
      </c>
      <c r="CX397" s="14" t="str">
        <f t="shared" si="238"/>
        <v>AtkExt</v>
      </c>
      <c r="CY397" s="14">
        <f t="shared" si="239"/>
        <v>230</v>
      </c>
      <c r="CZ397" s="14">
        <f t="shared" si="240"/>
        <v>14.37</v>
      </c>
      <c r="DA397" s="14" t="str">
        <f t="shared" si="241"/>
        <v>DefExt</v>
      </c>
      <c r="DB397" s="14">
        <f t="shared" si="242"/>
        <v>141</v>
      </c>
      <c r="DC397" s="14">
        <f t="shared" si="243"/>
        <v>8.84</v>
      </c>
      <c r="DD397" s="14">
        <f t="shared" si="244"/>
        <v>19</v>
      </c>
      <c r="DE397" s="14">
        <f t="shared" si="245"/>
        <v>3</v>
      </c>
      <c r="DF397" s="14">
        <f t="shared" si="246"/>
        <v>25</v>
      </c>
      <c r="DG397" s="14">
        <f t="shared" si="247"/>
        <v>225</v>
      </c>
    </row>
    <row r="398" spans="77:111" ht="16.5" x14ac:dyDescent="0.2">
      <c r="BY398" s="13">
        <v>394</v>
      </c>
      <c r="BZ398" s="14">
        <f t="shared" si="230"/>
        <v>54</v>
      </c>
      <c r="CA398" s="14">
        <f t="shared" si="231"/>
        <v>2</v>
      </c>
      <c r="CB398" s="14">
        <f t="shared" si="216"/>
        <v>5</v>
      </c>
      <c r="CC398" s="14">
        <f t="shared" si="217"/>
        <v>2053028</v>
      </c>
      <c r="CD398" s="13" t="str">
        <f t="shared" si="218"/>
        <v>100级守护灵紫色-戒指</v>
      </c>
      <c r="CE398" s="14">
        <f t="shared" si="219"/>
        <v>2</v>
      </c>
      <c r="CF398" s="14">
        <f t="shared" si="220"/>
        <v>3</v>
      </c>
      <c r="CG398" s="14">
        <f t="shared" si="232"/>
        <v>100</v>
      </c>
      <c r="CH398" s="14">
        <f t="shared" si="233"/>
        <v>100</v>
      </c>
      <c r="CI398" s="14">
        <f t="shared" si="221"/>
        <v>8</v>
      </c>
      <c r="CJ398" s="14" t="str">
        <f t="shared" si="234"/>
        <v/>
      </c>
      <c r="CK398" s="14">
        <f t="shared" si="222"/>
        <v>230</v>
      </c>
      <c r="CL398" s="14">
        <f t="shared" si="223"/>
        <v>0</v>
      </c>
      <c r="CM398" s="14">
        <f t="shared" si="224"/>
        <v>1511</v>
      </c>
      <c r="CN398" s="14">
        <f t="shared" si="225"/>
        <v>14.37</v>
      </c>
      <c r="CO398" s="14">
        <f t="shared" si="226"/>
        <v>0</v>
      </c>
      <c r="CP398" s="14">
        <f t="shared" si="227"/>
        <v>94.44</v>
      </c>
      <c r="CQ398" s="14">
        <f t="shared" si="235"/>
        <v>19</v>
      </c>
      <c r="CR398" s="14">
        <f t="shared" si="236"/>
        <v>3</v>
      </c>
      <c r="CS398" s="14">
        <f t="shared" si="237"/>
        <v>25</v>
      </c>
      <c r="CV398" s="14">
        <f t="shared" si="228"/>
        <v>1</v>
      </c>
      <c r="CW398" s="14">
        <f t="shared" si="229"/>
        <v>3</v>
      </c>
      <c r="CX398" s="14" t="str">
        <f t="shared" si="238"/>
        <v>AtkExt</v>
      </c>
      <c r="CY398" s="14">
        <f t="shared" si="239"/>
        <v>230</v>
      </c>
      <c r="CZ398" s="14">
        <f t="shared" si="240"/>
        <v>14.37</v>
      </c>
      <c r="DA398" s="14" t="str">
        <f t="shared" si="241"/>
        <v>HPExt</v>
      </c>
      <c r="DB398" s="14">
        <f t="shared" si="242"/>
        <v>1511</v>
      </c>
      <c r="DC398" s="14">
        <f t="shared" si="243"/>
        <v>94.44</v>
      </c>
      <c r="DD398" s="14">
        <f t="shared" si="244"/>
        <v>19</v>
      </c>
      <c r="DE398" s="14">
        <f t="shared" si="245"/>
        <v>3</v>
      </c>
      <c r="DF398" s="14">
        <f t="shared" si="246"/>
        <v>25</v>
      </c>
      <c r="DG398" s="14">
        <f t="shared" si="247"/>
        <v>225</v>
      </c>
    </row>
    <row r="399" spans="77:111" ht="16.5" x14ac:dyDescent="0.2">
      <c r="BY399" s="13">
        <v>395</v>
      </c>
      <c r="BZ399" s="14">
        <f t="shared" si="230"/>
        <v>55</v>
      </c>
      <c r="CA399" s="14">
        <f t="shared" si="231"/>
        <v>1</v>
      </c>
      <c r="CB399" s="14">
        <f t="shared" si="216"/>
        <v>5</v>
      </c>
      <c r="CC399" s="14">
        <f t="shared" si="217"/>
        <v>2054011</v>
      </c>
      <c r="CD399" s="13" t="str">
        <f t="shared" si="218"/>
        <v>100级寄灵人橙色-武器</v>
      </c>
      <c r="CE399" s="14">
        <f t="shared" si="219"/>
        <v>1</v>
      </c>
      <c r="CF399" s="14">
        <f t="shared" si="220"/>
        <v>4</v>
      </c>
      <c r="CG399" s="14">
        <f t="shared" si="232"/>
        <v>100</v>
      </c>
      <c r="CH399" s="14">
        <f t="shared" si="233"/>
        <v>100</v>
      </c>
      <c r="CI399" s="14">
        <f t="shared" si="221"/>
        <v>1</v>
      </c>
      <c r="CJ399" s="14" t="str">
        <f t="shared" si="234"/>
        <v/>
      </c>
      <c r="CK399" s="14">
        <f t="shared" si="222"/>
        <v>835</v>
      </c>
      <c r="CL399" s="14">
        <f t="shared" si="223"/>
        <v>0</v>
      </c>
      <c r="CM399" s="14">
        <f t="shared" si="224"/>
        <v>0</v>
      </c>
      <c r="CN399" s="14">
        <f t="shared" si="225"/>
        <v>41.75</v>
      </c>
      <c r="CO399" s="14">
        <f t="shared" si="226"/>
        <v>0</v>
      </c>
      <c r="CP399" s="14">
        <f t="shared" si="227"/>
        <v>0</v>
      </c>
      <c r="CQ399" s="14">
        <f t="shared" si="235"/>
        <v>20</v>
      </c>
      <c r="CR399" s="14">
        <f t="shared" si="236"/>
        <v>4</v>
      </c>
      <c r="CS399" s="14">
        <f t="shared" si="237"/>
        <v>15</v>
      </c>
      <c r="CV399" s="14">
        <f t="shared" si="228"/>
        <v>1</v>
      </c>
      <c r="CW399" s="14">
        <f t="shared" si="229"/>
        <v>0</v>
      </c>
      <c r="CX399" s="14" t="str">
        <f t="shared" si="238"/>
        <v>AtkExt</v>
      </c>
      <c r="CY399" s="14">
        <f t="shared" si="239"/>
        <v>835</v>
      </c>
      <c r="CZ399" s="14">
        <f t="shared" si="240"/>
        <v>41.75</v>
      </c>
      <c r="DA399" s="14" t="str">
        <f t="shared" si="241"/>
        <v/>
      </c>
      <c r="DB399" s="14" t="str">
        <f t="shared" si="242"/>
        <v/>
      </c>
      <c r="DC399" s="14" t="str">
        <f t="shared" si="243"/>
        <v/>
      </c>
      <c r="DD399" s="14">
        <f t="shared" si="244"/>
        <v>20</v>
      </c>
      <c r="DE399" s="14">
        <f t="shared" si="245"/>
        <v>4</v>
      </c>
      <c r="DF399" s="14">
        <f t="shared" si="246"/>
        <v>15</v>
      </c>
      <c r="DG399" s="14">
        <f t="shared" si="247"/>
        <v>450</v>
      </c>
    </row>
    <row r="400" spans="77:111" ht="16.5" x14ac:dyDescent="0.2">
      <c r="BY400" s="13">
        <v>396</v>
      </c>
      <c r="BZ400" s="14">
        <f t="shared" si="230"/>
        <v>55</v>
      </c>
      <c r="CA400" s="14">
        <f t="shared" si="231"/>
        <v>1</v>
      </c>
      <c r="CB400" s="14">
        <f t="shared" si="216"/>
        <v>5</v>
      </c>
      <c r="CC400" s="14">
        <f t="shared" si="217"/>
        <v>2054012</v>
      </c>
      <c r="CD400" s="13" t="str">
        <f t="shared" si="218"/>
        <v>100级寄灵人橙色-头盔</v>
      </c>
      <c r="CE400" s="14">
        <f t="shared" si="219"/>
        <v>1</v>
      </c>
      <c r="CF400" s="14">
        <f t="shared" si="220"/>
        <v>4</v>
      </c>
      <c r="CG400" s="14">
        <f t="shared" si="232"/>
        <v>100</v>
      </c>
      <c r="CH400" s="14">
        <f t="shared" si="233"/>
        <v>100</v>
      </c>
      <c r="CI400" s="14">
        <f t="shared" si="221"/>
        <v>2</v>
      </c>
      <c r="CJ400" s="14" t="str">
        <f t="shared" si="234"/>
        <v/>
      </c>
      <c r="CK400" s="14">
        <f t="shared" si="222"/>
        <v>0</v>
      </c>
      <c r="CL400" s="14">
        <f t="shared" si="223"/>
        <v>207</v>
      </c>
      <c r="CM400" s="14">
        <f t="shared" si="224"/>
        <v>0</v>
      </c>
      <c r="CN400" s="14">
        <f t="shared" si="225"/>
        <v>0</v>
      </c>
      <c r="CO400" s="14">
        <f t="shared" si="226"/>
        <v>10.33</v>
      </c>
      <c r="CP400" s="14">
        <f t="shared" si="227"/>
        <v>0</v>
      </c>
      <c r="CQ400" s="14">
        <f t="shared" si="235"/>
        <v>20</v>
      </c>
      <c r="CR400" s="14">
        <f t="shared" si="236"/>
        <v>4</v>
      </c>
      <c r="CS400" s="14">
        <f t="shared" si="237"/>
        <v>15</v>
      </c>
      <c r="CV400" s="14">
        <f t="shared" si="228"/>
        <v>2</v>
      </c>
      <c r="CW400" s="14">
        <f t="shared" si="229"/>
        <v>0</v>
      </c>
      <c r="CX400" s="14" t="str">
        <f t="shared" si="238"/>
        <v>DefExt</v>
      </c>
      <c r="CY400" s="14">
        <f t="shared" si="239"/>
        <v>207</v>
      </c>
      <c r="CZ400" s="14">
        <f t="shared" si="240"/>
        <v>10.33</v>
      </c>
      <c r="DA400" s="14" t="str">
        <f t="shared" si="241"/>
        <v/>
      </c>
      <c r="DB400" s="14" t="str">
        <f t="shared" si="242"/>
        <v/>
      </c>
      <c r="DC400" s="14" t="str">
        <f t="shared" si="243"/>
        <v/>
      </c>
      <c r="DD400" s="14">
        <f t="shared" si="244"/>
        <v>20</v>
      </c>
      <c r="DE400" s="14">
        <f t="shared" si="245"/>
        <v>4</v>
      </c>
      <c r="DF400" s="14">
        <f t="shared" si="246"/>
        <v>15</v>
      </c>
      <c r="DG400" s="14">
        <f t="shared" si="247"/>
        <v>450</v>
      </c>
    </row>
    <row r="401" spans="77:111" ht="16.5" x14ac:dyDescent="0.2">
      <c r="BY401" s="13">
        <v>397</v>
      </c>
      <c r="BZ401" s="14">
        <f t="shared" si="230"/>
        <v>55</v>
      </c>
      <c r="CA401" s="14">
        <f t="shared" si="231"/>
        <v>1</v>
      </c>
      <c r="CB401" s="14">
        <f t="shared" si="216"/>
        <v>5</v>
      </c>
      <c r="CC401" s="14">
        <f t="shared" si="217"/>
        <v>2054013</v>
      </c>
      <c r="CD401" s="13" t="str">
        <f t="shared" si="218"/>
        <v>100级寄灵人橙色-肩甲</v>
      </c>
      <c r="CE401" s="14">
        <f t="shared" si="219"/>
        <v>1</v>
      </c>
      <c r="CF401" s="14">
        <f t="shared" si="220"/>
        <v>4</v>
      </c>
      <c r="CG401" s="14">
        <f t="shared" si="232"/>
        <v>100</v>
      </c>
      <c r="CH401" s="14">
        <f t="shared" si="233"/>
        <v>100</v>
      </c>
      <c r="CI401" s="14">
        <f t="shared" si="221"/>
        <v>3</v>
      </c>
      <c r="CJ401" s="14" t="str">
        <f t="shared" si="234"/>
        <v/>
      </c>
      <c r="CK401" s="14">
        <f t="shared" si="222"/>
        <v>0</v>
      </c>
      <c r="CL401" s="14">
        <f t="shared" si="223"/>
        <v>103</v>
      </c>
      <c r="CM401" s="14">
        <f t="shared" si="224"/>
        <v>632</v>
      </c>
      <c r="CN401" s="14">
        <f t="shared" si="225"/>
        <v>0</v>
      </c>
      <c r="CO401" s="14">
        <f t="shared" si="226"/>
        <v>5.16</v>
      </c>
      <c r="CP401" s="14">
        <f t="shared" si="227"/>
        <v>31.62</v>
      </c>
      <c r="CQ401" s="14">
        <f t="shared" si="235"/>
        <v>20</v>
      </c>
      <c r="CR401" s="14">
        <f t="shared" si="236"/>
        <v>4</v>
      </c>
      <c r="CS401" s="14">
        <f t="shared" si="237"/>
        <v>15</v>
      </c>
      <c r="CV401" s="14">
        <f t="shared" si="228"/>
        <v>2</v>
      </c>
      <c r="CW401" s="14">
        <f t="shared" si="229"/>
        <v>3</v>
      </c>
      <c r="CX401" s="14" t="str">
        <f t="shared" si="238"/>
        <v>DefExt</v>
      </c>
      <c r="CY401" s="14">
        <f t="shared" si="239"/>
        <v>103</v>
      </c>
      <c r="CZ401" s="14">
        <f t="shared" si="240"/>
        <v>5.16</v>
      </c>
      <c r="DA401" s="14" t="str">
        <f t="shared" si="241"/>
        <v>HPExt</v>
      </c>
      <c r="DB401" s="14">
        <f t="shared" si="242"/>
        <v>632</v>
      </c>
      <c r="DC401" s="14">
        <f t="shared" si="243"/>
        <v>31.62</v>
      </c>
      <c r="DD401" s="14">
        <f t="shared" si="244"/>
        <v>20</v>
      </c>
      <c r="DE401" s="14">
        <f t="shared" si="245"/>
        <v>4</v>
      </c>
      <c r="DF401" s="14">
        <f t="shared" si="246"/>
        <v>15</v>
      </c>
      <c r="DG401" s="14">
        <f t="shared" si="247"/>
        <v>450</v>
      </c>
    </row>
    <row r="402" spans="77:111" ht="16.5" x14ac:dyDescent="0.2">
      <c r="BY402" s="13">
        <v>398</v>
      </c>
      <c r="BZ402" s="14">
        <f t="shared" si="230"/>
        <v>55</v>
      </c>
      <c r="CA402" s="14">
        <f t="shared" si="231"/>
        <v>1</v>
      </c>
      <c r="CB402" s="14">
        <f t="shared" si="216"/>
        <v>5</v>
      </c>
      <c r="CC402" s="14">
        <f t="shared" si="217"/>
        <v>2054014</v>
      </c>
      <c r="CD402" s="13" t="str">
        <f t="shared" si="218"/>
        <v>100级寄灵人橙色-衣服</v>
      </c>
      <c r="CE402" s="14">
        <f t="shared" si="219"/>
        <v>1</v>
      </c>
      <c r="CF402" s="14">
        <f t="shared" si="220"/>
        <v>4</v>
      </c>
      <c r="CG402" s="14">
        <f t="shared" si="232"/>
        <v>100</v>
      </c>
      <c r="CH402" s="14">
        <f t="shared" si="233"/>
        <v>100</v>
      </c>
      <c r="CI402" s="14">
        <f t="shared" si="221"/>
        <v>4</v>
      </c>
      <c r="CJ402" s="14" t="str">
        <f t="shared" si="234"/>
        <v/>
      </c>
      <c r="CK402" s="14">
        <f t="shared" si="222"/>
        <v>0</v>
      </c>
      <c r="CL402" s="14">
        <f t="shared" si="223"/>
        <v>207</v>
      </c>
      <c r="CM402" s="14">
        <f t="shared" si="224"/>
        <v>0</v>
      </c>
      <c r="CN402" s="14">
        <f t="shared" si="225"/>
        <v>0</v>
      </c>
      <c r="CO402" s="14">
        <f t="shared" si="226"/>
        <v>10.33</v>
      </c>
      <c r="CP402" s="14">
        <f t="shared" si="227"/>
        <v>0</v>
      </c>
      <c r="CQ402" s="14">
        <f t="shared" si="235"/>
        <v>20</v>
      </c>
      <c r="CR402" s="14">
        <f t="shared" si="236"/>
        <v>4</v>
      </c>
      <c r="CS402" s="14">
        <f t="shared" si="237"/>
        <v>15</v>
      </c>
      <c r="CV402" s="14">
        <f t="shared" si="228"/>
        <v>2</v>
      </c>
      <c r="CW402" s="14">
        <f t="shared" si="229"/>
        <v>0</v>
      </c>
      <c r="CX402" s="14" t="str">
        <f t="shared" si="238"/>
        <v>DefExt</v>
      </c>
      <c r="CY402" s="14">
        <f t="shared" si="239"/>
        <v>207</v>
      </c>
      <c r="CZ402" s="14">
        <f t="shared" si="240"/>
        <v>10.33</v>
      </c>
      <c r="DA402" s="14" t="str">
        <f t="shared" si="241"/>
        <v/>
      </c>
      <c r="DB402" s="14" t="str">
        <f t="shared" si="242"/>
        <v/>
      </c>
      <c r="DC402" s="14" t="str">
        <f t="shared" si="243"/>
        <v/>
      </c>
      <c r="DD402" s="14">
        <f t="shared" si="244"/>
        <v>20</v>
      </c>
      <c r="DE402" s="14">
        <f t="shared" si="245"/>
        <v>4</v>
      </c>
      <c r="DF402" s="14">
        <f t="shared" si="246"/>
        <v>15</v>
      </c>
      <c r="DG402" s="14">
        <f t="shared" si="247"/>
        <v>450</v>
      </c>
    </row>
    <row r="403" spans="77:111" ht="16.5" x14ac:dyDescent="0.2">
      <c r="BY403" s="13">
        <v>399</v>
      </c>
      <c r="BZ403" s="14">
        <f t="shared" si="230"/>
        <v>55</v>
      </c>
      <c r="CA403" s="14">
        <f t="shared" si="231"/>
        <v>1</v>
      </c>
      <c r="CB403" s="14">
        <f t="shared" si="216"/>
        <v>5</v>
      </c>
      <c r="CC403" s="14">
        <f t="shared" si="217"/>
        <v>2054015</v>
      </c>
      <c r="CD403" s="13" t="str">
        <f t="shared" si="218"/>
        <v>100级寄灵人橙色-鞋子</v>
      </c>
      <c r="CE403" s="14">
        <f t="shared" si="219"/>
        <v>1</v>
      </c>
      <c r="CF403" s="14">
        <f t="shared" si="220"/>
        <v>4</v>
      </c>
      <c r="CG403" s="14">
        <f t="shared" si="232"/>
        <v>100</v>
      </c>
      <c r="CH403" s="14">
        <f t="shared" si="233"/>
        <v>100</v>
      </c>
      <c r="CI403" s="14">
        <f t="shared" si="221"/>
        <v>5</v>
      </c>
      <c r="CJ403" s="14" t="str">
        <f t="shared" si="234"/>
        <v/>
      </c>
      <c r="CK403" s="14">
        <f t="shared" si="222"/>
        <v>0</v>
      </c>
      <c r="CL403" s="14">
        <f t="shared" si="223"/>
        <v>0</v>
      </c>
      <c r="CM403" s="14">
        <f t="shared" si="224"/>
        <v>1265</v>
      </c>
      <c r="CN403" s="14">
        <f t="shared" si="225"/>
        <v>0</v>
      </c>
      <c r="CO403" s="14">
        <f t="shared" si="226"/>
        <v>0</v>
      </c>
      <c r="CP403" s="14">
        <f t="shared" si="227"/>
        <v>63.23</v>
      </c>
      <c r="CQ403" s="14">
        <f t="shared" si="235"/>
        <v>20</v>
      </c>
      <c r="CR403" s="14">
        <f t="shared" si="236"/>
        <v>4</v>
      </c>
      <c r="CS403" s="14">
        <f t="shared" si="237"/>
        <v>15</v>
      </c>
      <c r="CV403" s="14">
        <f t="shared" si="228"/>
        <v>3</v>
      </c>
      <c r="CW403" s="14">
        <f t="shared" si="229"/>
        <v>0</v>
      </c>
      <c r="CX403" s="14" t="str">
        <f t="shared" si="238"/>
        <v>HPExt</v>
      </c>
      <c r="CY403" s="14">
        <f t="shared" si="239"/>
        <v>1265</v>
      </c>
      <c r="CZ403" s="14">
        <f t="shared" si="240"/>
        <v>63.23</v>
      </c>
      <c r="DA403" s="14" t="str">
        <f t="shared" si="241"/>
        <v/>
      </c>
      <c r="DB403" s="14" t="str">
        <f t="shared" si="242"/>
        <v/>
      </c>
      <c r="DC403" s="14" t="str">
        <f t="shared" si="243"/>
        <v/>
      </c>
      <c r="DD403" s="14">
        <f t="shared" si="244"/>
        <v>20</v>
      </c>
      <c r="DE403" s="14">
        <f t="shared" si="245"/>
        <v>4</v>
      </c>
      <c r="DF403" s="14">
        <f t="shared" si="246"/>
        <v>15</v>
      </c>
      <c r="DG403" s="14">
        <f t="shared" si="247"/>
        <v>450</v>
      </c>
    </row>
    <row r="404" spans="77:111" ht="16.5" x14ac:dyDescent="0.2">
      <c r="BY404" s="13">
        <v>400</v>
      </c>
      <c r="BZ404" s="14">
        <f t="shared" si="230"/>
        <v>55</v>
      </c>
      <c r="CA404" s="14">
        <f t="shared" si="231"/>
        <v>1</v>
      </c>
      <c r="CB404" s="14">
        <f t="shared" si="216"/>
        <v>5</v>
      </c>
      <c r="CC404" s="14">
        <f t="shared" si="217"/>
        <v>2054016</v>
      </c>
      <c r="CD404" s="13" t="str">
        <f t="shared" si="218"/>
        <v>100级寄灵人橙色-护手</v>
      </c>
      <c r="CE404" s="14">
        <f t="shared" si="219"/>
        <v>1</v>
      </c>
      <c r="CF404" s="14">
        <f t="shared" si="220"/>
        <v>4</v>
      </c>
      <c r="CG404" s="14">
        <f t="shared" si="232"/>
        <v>100</v>
      </c>
      <c r="CH404" s="14">
        <f t="shared" si="233"/>
        <v>100</v>
      </c>
      <c r="CI404" s="14">
        <f t="shared" si="221"/>
        <v>6</v>
      </c>
      <c r="CJ404" s="14" t="str">
        <f t="shared" si="234"/>
        <v/>
      </c>
      <c r="CK404" s="14">
        <f t="shared" si="222"/>
        <v>0</v>
      </c>
      <c r="CL404" s="14">
        <f t="shared" si="223"/>
        <v>0</v>
      </c>
      <c r="CM404" s="14">
        <f t="shared" si="224"/>
        <v>1265</v>
      </c>
      <c r="CN404" s="14">
        <f t="shared" si="225"/>
        <v>0</v>
      </c>
      <c r="CO404" s="14">
        <f t="shared" si="226"/>
        <v>0</v>
      </c>
      <c r="CP404" s="14">
        <f t="shared" si="227"/>
        <v>63.23</v>
      </c>
      <c r="CQ404" s="14">
        <f t="shared" si="235"/>
        <v>20</v>
      </c>
      <c r="CR404" s="14">
        <f t="shared" si="236"/>
        <v>4</v>
      </c>
      <c r="CS404" s="14">
        <f t="shared" si="237"/>
        <v>15</v>
      </c>
      <c r="CV404" s="14">
        <f t="shared" si="228"/>
        <v>3</v>
      </c>
      <c r="CW404" s="14">
        <f t="shared" si="229"/>
        <v>0</v>
      </c>
      <c r="CX404" s="14" t="str">
        <f t="shared" si="238"/>
        <v>HPExt</v>
      </c>
      <c r="CY404" s="14">
        <f t="shared" si="239"/>
        <v>1265</v>
      </c>
      <c r="CZ404" s="14">
        <f t="shared" si="240"/>
        <v>63.23</v>
      </c>
      <c r="DA404" s="14" t="str">
        <f t="shared" si="241"/>
        <v/>
      </c>
      <c r="DB404" s="14" t="str">
        <f t="shared" si="242"/>
        <v/>
      </c>
      <c r="DC404" s="14" t="str">
        <f t="shared" si="243"/>
        <v/>
      </c>
      <c r="DD404" s="14">
        <f t="shared" si="244"/>
        <v>20</v>
      </c>
      <c r="DE404" s="14">
        <f t="shared" si="245"/>
        <v>4</v>
      </c>
      <c r="DF404" s="14">
        <f t="shared" si="246"/>
        <v>15</v>
      </c>
      <c r="DG404" s="14">
        <f t="shared" si="247"/>
        <v>450</v>
      </c>
    </row>
    <row r="405" spans="77:111" ht="16.5" x14ac:dyDescent="0.2">
      <c r="BY405" s="13">
        <v>401</v>
      </c>
      <c r="BZ405" s="14">
        <f t="shared" si="230"/>
        <v>55</v>
      </c>
      <c r="CA405" s="14">
        <f t="shared" si="231"/>
        <v>1</v>
      </c>
      <c r="CB405" s="14">
        <f t="shared" si="216"/>
        <v>5</v>
      </c>
      <c r="CC405" s="14">
        <f t="shared" si="217"/>
        <v>2054017</v>
      </c>
      <c r="CD405" s="13" t="str">
        <f t="shared" si="218"/>
        <v>100级寄灵人橙色-项链</v>
      </c>
      <c r="CE405" s="14">
        <f t="shared" si="219"/>
        <v>1</v>
      </c>
      <c r="CF405" s="14">
        <f t="shared" si="220"/>
        <v>4</v>
      </c>
      <c r="CG405" s="14">
        <f t="shared" si="232"/>
        <v>100</v>
      </c>
      <c r="CH405" s="14">
        <f t="shared" si="233"/>
        <v>100</v>
      </c>
      <c r="CI405" s="14">
        <f t="shared" si="221"/>
        <v>7</v>
      </c>
      <c r="CJ405" s="14" t="str">
        <f t="shared" si="234"/>
        <v/>
      </c>
      <c r="CK405" s="14">
        <f t="shared" si="222"/>
        <v>278</v>
      </c>
      <c r="CL405" s="14">
        <f t="shared" si="223"/>
        <v>172</v>
      </c>
      <c r="CM405" s="14">
        <f t="shared" si="224"/>
        <v>0</v>
      </c>
      <c r="CN405" s="14">
        <f t="shared" si="225"/>
        <v>13.92</v>
      </c>
      <c r="CO405" s="14">
        <f t="shared" si="226"/>
        <v>8.6</v>
      </c>
      <c r="CP405" s="14">
        <f t="shared" si="227"/>
        <v>0</v>
      </c>
      <c r="CQ405" s="14">
        <f t="shared" si="235"/>
        <v>20</v>
      </c>
      <c r="CR405" s="14">
        <f t="shared" si="236"/>
        <v>4</v>
      </c>
      <c r="CS405" s="14">
        <f t="shared" si="237"/>
        <v>15</v>
      </c>
      <c r="CV405" s="14">
        <f t="shared" si="228"/>
        <v>1</v>
      </c>
      <c r="CW405" s="14">
        <f t="shared" si="229"/>
        <v>2</v>
      </c>
      <c r="CX405" s="14" t="str">
        <f t="shared" si="238"/>
        <v>AtkExt</v>
      </c>
      <c r="CY405" s="14">
        <f t="shared" si="239"/>
        <v>278</v>
      </c>
      <c r="CZ405" s="14">
        <f t="shared" si="240"/>
        <v>13.92</v>
      </c>
      <c r="DA405" s="14" t="str">
        <f t="shared" si="241"/>
        <v>DefExt</v>
      </c>
      <c r="DB405" s="14">
        <f t="shared" si="242"/>
        <v>172</v>
      </c>
      <c r="DC405" s="14">
        <f t="shared" si="243"/>
        <v>8.6</v>
      </c>
      <c r="DD405" s="14">
        <f t="shared" si="244"/>
        <v>20</v>
      </c>
      <c r="DE405" s="14">
        <f t="shared" si="245"/>
        <v>4</v>
      </c>
      <c r="DF405" s="14">
        <f t="shared" si="246"/>
        <v>15</v>
      </c>
      <c r="DG405" s="14">
        <f t="shared" si="247"/>
        <v>450</v>
      </c>
    </row>
    <row r="406" spans="77:111" ht="16.5" x14ac:dyDescent="0.2">
      <c r="BY406" s="13">
        <v>402</v>
      </c>
      <c r="BZ406" s="14">
        <f t="shared" si="230"/>
        <v>55</v>
      </c>
      <c r="CA406" s="14">
        <f t="shared" si="231"/>
        <v>1</v>
      </c>
      <c r="CB406" s="14">
        <f t="shared" si="216"/>
        <v>5</v>
      </c>
      <c r="CC406" s="14">
        <f t="shared" si="217"/>
        <v>2054018</v>
      </c>
      <c r="CD406" s="13" t="str">
        <f t="shared" si="218"/>
        <v>100级寄灵人橙色-戒指</v>
      </c>
      <c r="CE406" s="14">
        <f t="shared" si="219"/>
        <v>1</v>
      </c>
      <c r="CF406" s="14">
        <f t="shared" si="220"/>
        <v>4</v>
      </c>
      <c r="CG406" s="14">
        <f t="shared" si="232"/>
        <v>100</v>
      </c>
      <c r="CH406" s="14">
        <f t="shared" si="233"/>
        <v>100</v>
      </c>
      <c r="CI406" s="14">
        <f t="shared" si="221"/>
        <v>8</v>
      </c>
      <c r="CJ406" s="14" t="str">
        <f t="shared" si="234"/>
        <v/>
      </c>
      <c r="CK406" s="14">
        <f t="shared" si="222"/>
        <v>278</v>
      </c>
      <c r="CL406" s="14">
        <f t="shared" si="223"/>
        <v>0</v>
      </c>
      <c r="CM406" s="14">
        <f t="shared" si="224"/>
        <v>1054</v>
      </c>
      <c r="CN406" s="14">
        <f t="shared" si="225"/>
        <v>13.92</v>
      </c>
      <c r="CO406" s="14">
        <f t="shared" si="226"/>
        <v>0</v>
      </c>
      <c r="CP406" s="14">
        <f t="shared" si="227"/>
        <v>52.69</v>
      </c>
      <c r="CQ406" s="14">
        <f t="shared" si="235"/>
        <v>20</v>
      </c>
      <c r="CR406" s="14">
        <f t="shared" si="236"/>
        <v>4</v>
      </c>
      <c r="CS406" s="14">
        <f t="shared" si="237"/>
        <v>15</v>
      </c>
      <c r="CV406" s="14">
        <f t="shared" si="228"/>
        <v>1</v>
      </c>
      <c r="CW406" s="14">
        <f t="shared" si="229"/>
        <v>3</v>
      </c>
      <c r="CX406" s="14" t="str">
        <f t="shared" si="238"/>
        <v>AtkExt</v>
      </c>
      <c r="CY406" s="14">
        <f t="shared" si="239"/>
        <v>278</v>
      </c>
      <c r="CZ406" s="14">
        <f t="shared" si="240"/>
        <v>13.92</v>
      </c>
      <c r="DA406" s="14" t="str">
        <f t="shared" si="241"/>
        <v>HPExt</v>
      </c>
      <c r="DB406" s="14">
        <f t="shared" si="242"/>
        <v>1054</v>
      </c>
      <c r="DC406" s="14">
        <f t="shared" si="243"/>
        <v>52.69</v>
      </c>
      <c r="DD406" s="14">
        <f t="shared" si="244"/>
        <v>20</v>
      </c>
      <c r="DE406" s="14">
        <f t="shared" si="245"/>
        <v>4</v>
      </c>
      <c r="DF406" s="14">
        <f t="shared" si="246"/>
        <v>15</v>
      </c>
      <c r="DG406" s="14">
        <f t="shared" si="247"/>
        <v>450</v>
      </c>
    </row>
    <row r="407" spans="77:111" ht="16.5" x14ac:dyDescent="0.2">
      <c r="BY407" s="13">
        <v>403</v>
      </c>
      <c r="BZ407" s="14">
        <f t="shared" si="230"/>
        <v>56</v>
      </c>
      <c r="CA407" s="14">
        <f t="shared" si="231"/>
        <v>2</v>
      </c>
      <c r="CB407" s="14">
        <f t="shared" si="216"/>
        <v>5</v>
      </c>
      <c r="CC407" s="14">
        <f t="shared" si="217"/>
        <v>2054021</v>
      </c>
      <c r="CD407" s="13" t="str">
        <f t="shared" si="218"/>
        <v>100级守护灵橙色-武器</v>
      </c>
      <c r="CE407" s="14">
        <f t="shared" si="219"/>
        <v>2</v>
      </c>
      <c r="CF407" s="14">
        <f t="shared" si="220"/>
        <v>4</v>
      </c>
      <c r="CG407" s="14">
        <f t="shared" si="232"/>
        <v>100</v>
      </c>
      <c r="CH407" s="14">
        <f t="shared" si="233"/>
        <v>100</v>
      </c>
      <c r="CI407" s="14">
        <f t="shared" si="221"/>
        <v>1</v>
      </c>
      <c r="CJ407" s="14" t="str">
        <f t="shared" si="234"/>
        <v/>
      </c>
      <c r="CK407" s="14">
        <f t="shared" si="222"/>
        <v>862</v>
      </c>
      <c r="CL407" s="14">
        <f t="shared" si="223"/>
        <v>0</v>
      </c>
      <c r="CM407" s="14">
        <f t="shared" si="224"/>
        <v>0</v>
      </c>
      <c r="CN407" s="14">
        <f t="shared" si="225"/>
        <v>43.1</v>
      </c>
      <c r="CO407" s="14">
        <f t="shared" si="226"/>
        <v>0</v>
      </c>
      <c r="CP407" s="14">
        <f t="shared" si="227"/>
        <v>0</v>
      </c>
      <c r="CQ407" s="14">
        <f t="shared" si="235"/>
        <v>20</v>
      </c>
      <c r="CR407" s="14">
        <f t="shared" si="236"/>
        <v>4</v>
      </c>
      <c r="CS407" s="14">
        <f t="shared" si="237"/>
        <v>25</v>
      </c>
      <c r="CV407" s="14">
        <f t="shared" si="228"/>
        <v>1</v>
      </c>
      <c r="CW407" s="14">
        <f t="shared" si="229"/>
        <v>0</v>
      </c>
      <c r="CX407" s="14" t="str">
        <f t="shared" si="238"/>
        <v>AtkExt</v>
      </c>
      <c r="CY407" s="14">
        <f t="shared" si="239"/>
        <v>862</v>
      </c>
      <c r="CZ407" s="14">
        <f t="shared" si="240"/>
        <v>43.1</v>
      </c>
      <c r="DA407" s="14" t="str">
        <f t="shared" si="241"/>
        <v/>
      </c>
      <c r="DB407" s="14" t="str">
        <f t="shared" si="242"/>
        <v/>
      </c>
      <c r="DC407" s="14" t="str">
        <f t="shared" si="243"/>
        <v/>
      </c>
      <c r="DD407" s="14">
        <f t="shared" si="244"/>
        <v>20</v>
      </c>
      <c r="DE407" s="14">
        <f t="shared" si="245"/>
        <v>4</v>
      </c>
      <c r="DF407" s="14">
        <f t="shared" si="246"/>
        <v>25</v>
      </c>
      <c r="DG407" s="14">
        <f t="shared" si="247"/>
        <v>450</v>
      </c>
    </row>
    <row r="408" spans="77:111" ht="16.5" x14ac:dyDescent="0.2">
      <c r="BY408" s="13">
        <v>404</v>
      </c>
      <c r="BZ408" s="14">
        <f t="shared" si="230"/>
        <v>56</v>
      </c>
      <c r="CA408" s="14">
        <f t="shared" si="231"/>
        <v>2</v>
      </c>
      <c r="CB408" s="14">
        <f t="shared" si="216"/>
        <v>5</v>
      </c>
      <c r="CC408" s="14">
        <f t="shared" si="217"/>
        <v>2054022</v>
      </c>
      <c r="CD408" s="13" t="str">
        <f t="shared" si="218"/>
        <v>100级守护灵橙色-头盔</v>
      </c>
      <c r="CE408" s="14">
        <f t="shared" si="219"/>
        <v>2</v>
      </c>
      <c r="CF408" s="14">
        <f t="shared" si="220"/>
        <v>4</v>
      </c>
      <c r="CG408" s="14">
        <f t="shared" si="232"/>
        <v>100</v>
      </c>
      <c r="CH408" s="14">
        <f t="shared" si="233"/>
        <v>100</v>
      </c>
      <c r="CI408" s="14">
        <f t="shared" si="221"/>
        <v>2</v>
      </c>
      <c r="CJ408" s="14" t="str">
        <f t="shared" si="234"/>
        <v/>
      </c>
      <c r="CK408" s="14">
        <f t="shared" si="222"/>
        <v>0</v>
      </c>
      <c r="CL408" s="14">
        <f t="shared" si="223"/>
        <v>212</v>
      </c>
      <c r="CM408" s="14">
        <f t="shared" si="224"/>
        <v>0</v>
      </c>
      <c r="CN408" s="14">
        <f t="shared" si="225"/>
        <v>0</v>
      </c>
      <c r="CO408" s="14">
        <f t="shared" si="226"/>
        <v>10.6</v>
      </c>
      <c r="CP408" s="14">
        <f t="shared" si="227"/>
        <v>0</v>
      </c>
      <c r="CQ408" s="14">
        <f t="shared" si="235"/>
        <v>20</v>
      </c>
      <c r="CR408" s="14">
        <f t="shared" si="236"/>
        <v>4</v>
      </c>
      <c r="CS408" s="14">
        <f t="shared" si="237"/>
        <v>25</v>
      </c>
      <c r="CV408" s="14">
        <f t="shared" si="228"/>
        <v>2</v>
      </c>
      <c r="CW408" s="14">
        <f t="shared" si="229"/>
        <v>0</v>
      </c>
      <c r="CX408" s="14" t="str">
        <f t="shared" si="238"/>
        <v>DefExt</v>
      </c>
      <c r="CY408" s="14">
        <f t="shared" si="239"/>
        <v>212</v>
      </c>
      <c r="CZ408" s="14">
        <f t="shared" si="240"/>
        <v>10.6</v>
      </c>
      <c r="DA408" s="14" t="str">
        <f t="shared" si="241"/>
        <v/>
      </c>
      <c r="DB408" s="14" t="str">
        <f t="shared" si="242"/>
        <v/>
      </c>
      <c r="DC408" s="14" t="str">
        <f t="shared" si="243"/>
        <v/>
      </c>
      <c r="DD408" s="14">
        <f t="shared" si="244"/>
        <v>20</v>
      </c>
      <c r="DE408" s="14">
        <f t="shared" si="245"/>
        <v>4</v>
      </c>
      <c r="DF408" s="14">
        <f t="shared" si="246"/>
        <v>25</v>
      </c>
      <c r="DG408" s="14">
        <f t="shared" si="247"/>
        <v>450</v>
      </c>
    </row>
    <row r="409" spans="77:111" ht="16.5" x14ac:dyDescent="0.2">
      <c r="BY409" s="13">
        <v>405</v>
      </c>
      <c r="BZ409" s="14">
        <f t="shared" si="230"/>
        <v>56</v>
      </c>
      <c r="CA409" s="14">
        <f t="shared" si="231"/>
        <v>2</v>
      </c>
      <c r="CB409" s="14">
        <f t="shared" si="216"/>
        <v>5</v>
      </c>
      <c r="CC409" s="14">
        <f t="shared" si="217"/>
        <v>2054023</v>
      </c>
      <c r="CD409" s="13" t="str">
        <f t="shared" si="218"/>
        <v>100级守护灵橙色-肩甲</v>
      </c>
      <c r="CE409" s="14">
        <f t="shared" si="219"/>
        <v>2</v>
      </c>
      <c r="CF409" s="14">
        <f t="shared" si="220"/>
        <v>4</v>
      </c>
      <c r="CG409" s="14">
        <f t="shared" si="232"/>
        <v>100</v>
      </c>
      <c r="CH409" s="14">
        <f t="shared" si="233"/>
        <v>100</v>
      </c>
      <c r="CI409" s="14">
        <f t="shared" si="221"/>
        <v>3</v>
      </c>
      <c r="CJ409" s="14" t="str">
        <f t="shared" si="234"/>
        <v/>
      </c>
      <c r="CK409" s="14">
        <f t="shared" si="222"/>
        <v>0</v>
      </c>
      <c r="CL409" s="14">
        <f t="shared" si="223"/>
        <v>106</v>
      </c>
      <c r="CM409" s="14">
        <f t="shared" si="224"/>
        <v>1133</v>
      </c>
      <c r="CN409" s="14">
        <f t="shared" si="225"/>
        <v>0</v>
      </c>
      <c r="CO409" s="14">
        <f t="shared" si="226"/>
        <v>5.3</v>
      </c>
      <c r="CP409" s="14">
        <f t="shared" si="227"/>
        <v>56.67</v>
      </c>
      <c r="CQ409" s="14">
        <f t="shared" si="235"/>
        <v>20</v>
      </c>
      <c r="CR409" s="14">
        <f t="shared" si="236"/>
        <v>4</v>
      </c>
      <c r="CS409" s="14">
        <f t="shared" si="237"/>
        <v>25</v>
      </c>
      <c r="CV409" s="14">
        <f t="shared" si="228"/>
        <v>2</v>
      </c>
      <c r="CW409" s="14">
        <f t="shared" si="229"/>
        <v>3</v>
      </c>
      <c r="CX409" s="14" t="str">
        <f t="shared" si="238"/>
        <v>DefExt</v>
      </c>
      <c r="CY409" s="14">
        <f t="shared" si="239"/>
        <v>106</v>
      </c>
      <c r="CZ409" s="14">
        <f t="shared" si="240"/>
        <v>5.3</v>
      </c>
      <c r="DA409" s="14" t="str">
        <f t="shared" si="241"/>
        <v>HPExt</v>
      </c>
      <c r="DB409" s="14">
        <f t="shared" si="242"/>
        <v>1133</v>
      </c>
      <c r="DC409" s="14">
        <f t="shared" si="243"/>
        <v>56.67</v>
      </c>
      <c r="DD409" s="14">
        <f t="shared" si="244"/>
        <v>20</v>
      </c>
      <c r="DE409" s="14">
        <f t="shared" si="245"/>
        <v>4</v>
      </c>
      <c r="DF409" s="14">
        <f t="shared" si="246"/>
        <v>25</v>
      </c>
      <c r="DG409" s="14">
        <f t="shared" si="247"/>
        <v>450</v>
      </c>
    </row>
    <row r="410" spans="77:111" ht="16.5" x14ac:dyDescent="0.2">
      <c r="BY410" s="13">
        <v>406</v>
      </c>
      <c r="BZ410" s="14">
        <f t="shared" si="230"/>
        <v>56</v>
      </c>
      <c r="CA410" s="14">
        <f t="shared" si="231"/>
        <v>2</v>
      </c>
      <c r="CB410" s="14">
        <f t="shared" si="216"/>
        <v>5</v>
      </c>
      <c r="CC410" s="14">
        <f t="shared" si="217"/>
        <v>2054024</v>
      </c>
      <c r="CD410" s="13" t="str">
        <f t="shared" si="218"/>
        <v>100级守护灵橙色-衣服</v>
      </c>
      <c r="CE410" s="14">
        <f t="shared" si="219"/>
        <v>2</v>
      </c>
      <c r="CF410" s="14">
        <f t="shared" si="220"/>
        <v>4</v>
      </c>
      <c r="CG410" s="14">
        <f t="shared" si="232"/>
        <v>100</v>
      </c>
      <c r="CH410" s="14">
        <f t="shared" si="233"/>
        <v>100</v>
      </c>
      <c r="CI410" s="14">
        <f t="shared" si="221"/>
        <v>4</v>
      </c>
      <c r="CJ410" s="14" t="str">
        <f t="shared" si="234"/>
        <v/>
      </c>
      <c r="CK410" s="14">
        <f t="shared" si="222"/>
        <v>0</v>
      </c>
      <c r="CL410" s="14">
        <f t="shared" si="223"/>
        <v>212</v>
      </c>
      <c r="CM410" s="14">
        <f t="shared" si="224"/>
        <v>0</v>
      </c>
      <c r="CN410" s="14">
        <f t="shared" si="225"/>
        <v>0</v>
      </c>
      <c r="CO410" s="14">
        <f t="shared" si="226"/>
        <v>10.6</v>
      </c>
      <c r="CP410" s="14">
        <f t="shared" si="227"/>
        <v>0</v>
      </c>
      <c r="CQ410" s="14">
        <f t="shared" si="235"/>
        <v>20</v>
      </c>
      <c r="CR410" s="14">
        <f t="shared" si="236"/>
        <v>4</v>
      </c>
      <c r="CS410" s="14">
        <f t="shared" si="237"/>
        <v>25</v>
      </c>
      <c r="CV410" s="14">
        <f t="shared" si="228"/>
        <v>2</v>
      </c>
      <c r="CW410" s="14">
        <f t="shared" si="229"/>
        <v>0</v>
      </c>
      <c r="CX410" s="14" t="str">
        <f t="shared" si="238"/>
        <v>DefExt</v>
      </c>
      <c r="CY410" s="14">
        <f t="shared" si="239"/>
        <v>212</v>
      </c>
      <c r="CZ410" s="14">
        <f t="shared" si="240"/>
        <v>10.6</v>
      </c>
      <c r="DA410" s="14" t="str">
        <f t="shared" si="241"/>
        <v/>
      </c>
      <c r="DB410" s="14" t="str">
        <f t="shared" si="242"/>
        <v/>
      </c>
      <c r="DC410" s="14" t="str">
        <f t="shared" si="243"/>
        <v/>
      </c>
      <c r="DD410" s="14">
        <f t="shared" si="244"/>
        <v>20</v>
      </c>
      <c r="DE410" s="14">
        <f t="shared" si="245"/>
        <v>4</v>
      </c>
      <c r="DF410" s="14">
        <f t="shared" si="246"/>
        <v>25</v>
      </c>
      <c r="DG410" s="14">
        <f t="shared" si="247"/>
        <v>450</v>
      </c>
    </row>
    <row r="411" spans="77:111" ht="16.5" x14ac:dyDescent="0.2">
      <c r="BY411" s="13">
        <v>407</v>
      </c>
      <c r="BZ411" s="14">
        <f t="shared" si="230"/>
        <v>56</v>
      </c>
      <c r="CA411" s="14">
        <f t="shared" si="231"/>
        <v>2</v>
      </c>
      <c r="CB411" s="14">
        <f t="shared" si="216"/>
        <v>5</v>
      </c>
      <c r="CC411" s="14">
        <f t="shared" si="217"/>
        <v>2054025</v>
      </c>
      <c r="CD411" s="13" t="str">
        <f t="shared" si="218"/>
        <v>100级守护灵橙色-鞋子</v>
      </c>
      <c r="CE411" s="14">
        <f t="shared" si="219"/>
        <v>2</v>
      </c>
      <c r="CF411" s="14">
        <f t="shared" si="220"/>
        <v>4</v>
      </c>
      <c r="CG411" s="14">
        <f t="shared" si="232"/>
        <v>100</v>
      </c>
      <c r="CH411" s="14">
        <f t="shared" si="233"/>
        <v>100</v>
      </c>
      <c r="CI411" s="14">
        <f t="shared" si="221"/>
        <v>5</v>
      </c>
      <c r="CJ411" s="14" t="str">
        <f t="shared" si="234"/>
        <v/>
      </c>
      <c r="CK411" s="14">
        <f t="shared" si="222"/>
        <v>0</v>
      </c>
      <c r="CL411" s="14">
        <f t="shared" si="223"/>
        <v>0</v>
      </c>
      <c r="CM411" s="14">
        <f t="shared" si="224"/>
        <v>2267</v>
      </c>
      <c r="CN411" s="14">
        <f t="shared" si="225"/>
        <v>0</v>
      </c>
      <c r="CO411" s="14">
        <f t="shared" si="226"/>
        <v>0</v>
      </c>
      <c r="CP411" s="14">
        <f t="shared" si="227"/>
        <v>113.33</v>
      </c>
      <c r="CQ411" s="14">
        <f t="shared" si="235"/>
        <v>20</v>
      </c>
      <c r="CR411" s="14">
        <f t="shared" si="236"/>
        <v>4</v>
      </c>
      <c r="CS411" s="14">
        <f t="shared" si="237"/>
        <v>25</v>
      </c>
      <c r="CV411" s="14">
        <f t="shared" si="228"/>
        <v>3</v>
      </c>
      <c r="CW411" s="14">
        <f t="shared" si="229"/>
        <v>0</v>
      </c>
      <c r="CX411" s="14" t="str">
        <f t="shared" si="238"/>
        <v>HPExt</v>
      </c>
      <c r="CY411" s="14">
        <f t="shared" si="239"/>
        <v>2267</v>
      </c>
      <c r="CZ411" s="14">
        <f t="shared" si="240"/>
        <v>113.33</v>
      </c>
      <c r="DA411" s="14" t="str">
        <f t="shared" si="241"/>
        <v/>
      </c>
      <c r="DB411" s="14" t="str">
        <f t="shared" si="242"/>
        <v/>
      </c>
      <c r="DC411" s="14" t="str">
        <f t="shared" si="243"/>
        <v/>
      </c>
      <c r="DD411" s="14">
        <f t="shared" si="244"/>
        <v>20</v>
      </c>
      <c r="DE411" s="14">
        <f t="shared" si="245"/>
        <v>4</v>
      </c>
      <c r="DF411" s="14">
        <f t="shared" si="246"/>
        <v>25</v>
      </c>
      <c r="DG411" s="14">
        <f t="shared" si="247"/>
        <v>450</v>
      </c>
    </row>
    <row r="412" spans="77:111" ht="16.5" x14ac:dyDescent="0.2">
      <c r="BY412" s="13">
        <v>408</v>
      </c>
      <c r="BZ412" s="14">
        <f t="shared" si="230"/>
        <v>56</v>
      </c>
      <c r="CA412" s="14">
        <f t="shared" si="231"/>
        <v>2</v>
      </c>
      <c r="CB412" s="14">
        <f t="shared" si="216"/>
        <v>5</v>
      </c>
      <c r="CC412" s="14">
        <f t="shared" si="217"/>
        <v>2054026</v>
      </c>
      <c r="CD412" s="13" t="str">
        <f t="shared" si="218"/>
        <v>100级守护灵橙色-护手</v>
      </c>
      <c r="CE412" s="14">
        <f t="shared" si="219"/>
        <v>2</v>
      </c>
      <c r="CF412" s="14">
        <f t="shared" si="220"/>
        <v>4</v>
      </c>
      <c r="CG412" s="14">
        <f t="shared" si="232"/>
        <v>100</v>
      </c>
      <c r="CH412" s="14">
        <f t="shared" si="233"/>
        <v>100</v>
      </c>
      <c r="CI412" s="14">
        <f t="shared" si="221"/>
        <v>6</v>
      </c>
      <c r="CJ412" s="14" t="str">
        <f t="shared" si="234"/>
        <v/>
      </c>
      <c r="CK412" s="14">
        <f t="shared" si="222"/>
        <v>0</v>
      </c>
      <c r="CL412" s="14">
        <f t="shared" si="223"/>
        <v>0</v>
      </c>
      <c r="CM412" s="14">
        <f t="shared" si="224"/>
        <v>2267</v>
      </c>
      <c r="CN412" s="14">
        <f t="shared" si="225"/>
        <v>0</v>
      </c>
      <c r="CO412" s="14">
        <f t="shared" si="226"/>
        <v>0</v>
      </c>
      <c r="CP412" s="14">
        <f t="shared" si="227"/>
        <v>113.33</v>
      </c>
      <c r="CQ412" s="14">
        <f t="shared" si="235"/>
        <v>20</v>
      </c>
      <c r="CR412" s="14">
        <f t="shared" si="236"/>
        <v>4</v>
      </c>
      <c r="CS412" s="14">
        <f t="shared" si="237"/>
        <v>25</v>
      </c>
      <c r="CV412" s="14">
        <f t="shared" si="228"/>
        <v>3</v>
      </c>
      <c r="CW412" s="14">
        <f t="shared" si="229"/>
        <v>0</v>
      </c>
      <c r="CX412" s="14" t="str">
        <f t="shared" si="238"/>
        <v>HPExt</v>
      </c>
      <c r="CY412" s="14">
        <f t="shared" si="239"/>
        <v>2267</v>
      </c>
      <c r="CZ412" s="14">
        <f t="shared" si="240"/>
        <v>113.33</v>
      </c>
      <c r="DA412" s="14" t="str">
        <f t="shared" si="241"/>
        <v/>
      </c>
      <c r="DB412" s="14" t="str">
        <f t="shared" si="242"/>
        <v/>
      </c>
      <c r="DC412" s="14" t="str">
        <f t="shared" si="243"/>
        <v/>
      </c>
      <c r="DD412" s="14">
        <f t="shared" si="244"/>
        <v>20</v>
      </c>
      <c r="DE412" s="14">
        <f t="shared" si="245"/>
        <v>4</v>
      </c>
      <c r="DF412" s="14">
        <f t="shared" si="246"/>
        <v>25</v>
      </c>
      <c r="DG412" s="14">
        <f t="shared" si="247"/>
        <v>450</v>
      </c>
    </row>
    <row r="413" spans="77:111" ht="16.5" x14ac:dyDescent="0.2">
      <c r="BY413" s="13">
        <v>409</v>
      </c>
      <c r="BZ413" s="14">
        <f t="shared" si="230"/>
        <v>56</v>
      </c>
      <c r="CA413" s="14">
        <f t="shared" si="231"/>
        <v>2</v>
      </c>
      <c r="CB413" s="14">
        <f t="shared" si="216"/>
        <v>5</v>
      </c>
      <c r="CC413" s="14">
        <f t="shared" si="217"/>
        <v>2054027</v>
      </c>
      <c r="CD413" s="13" t="str">
        <f t="shared" si="218"/>
        <v>100级守护灵橙色-项链</v>
      </c>
      <c r="CE413" s="14">
        <f t="shared" si="219"/>
        <v>2</v>
      </c>
      <c r="CF413" s="14">
        <f t="shared" si="220"/>
        <v>4</v>
      </c>
      <c r="CG413" s="14">
        <f t="shared" si="232"/>
        <v>100</v>
      </c>
      <c r="CH413" s="14">
        <f t="shared" si="233"/>
        <v>100</v>
      </c>
      <c r="CI413" s="14">
        <f t="shared" si="221"/>
        <v>7</v>
      </c>
      <c r="CJ413" s="14" t="str">
        <f t="shared" si="234"/>
        <v/>
      </c>
      <c r="CK413" s="14">
        <f t="shared" si="222"/>
        <v>287</v>
      </c>
      <c r="CL413" s="14">
        <f t="shared" si="223"/>
        <v>177</v>
      </c>
      <c r="CM413" s="14">
        <f t="shared" si="224"/>
        <v>0</v>
      </c>
      <c r="CN413" s="14">
        <f t="shared" si="225"/>
        <v>14.37</v>
      </c>
      <c r="CO413" s="14">
        <f t="shared" si="226"/>
        <v>8.84</v>
      </c>
      <c r="CP413" s="14">
        <f t="shared" si="227"/>
        <v>0</v>
      </c>
      <c r="CQ413" s="14">
        <f t="shared" si="235"/>
        <v>20</v>
      </c>
      <c r="CR413" s="14">
        <f t="shared" si="236"/>
        <v>4</v>
      </c>
      <c r="CS413" s="14">
        <f t="shared" si="237"/>
        <v>25</v>
      </c>
      <c r="CV413" s="14">
        <f t="shared" si="228"/>
        <v>1</v>
      </c>
      <c r="CW413" s="14">
        <f t="shared" si="229"/>
        <v>2</v>
      </c>
      <c r="CX413" s="14" t="str">
        <f t="shared" si="238"/>
        <v>AtkExt</v>
      </c>
      <c r="CY413" s="14">
        <f t="shared" si="239"/>
        <v>287</v>
      </c>
      <c r="CZ413" s="14">
        <f t="shared" si="240"/>
        <v>14.37</v>
      </c>
      <c r="DA413" s="14" t="str">
        <f t="shared" si="241"/>
        <v>DefExt</v>
      </c>
      <c r="DB413" s="14">
        <f t="shared" si="242"/>
        <v>177</v>
      </c>
      <c r="DC413" s="14">
        <f t="shared" si="243"/>
        <v>8.84</v>
      </c>
      <c r="DD413" s="14">
        <f t="shared" si="244"/>
        <v>20</v>
      </c>
      <c r="DE413" s="14">
        <f t="shared" si="245"/>
        <v>4</v>
      </c>
      <c r="DF413" s="14">
        <f t="shared" si="246"/>
        <v>25</v>
      </c>
      <c r="DG413" s="14">
        <f t="shared" si="247"/>
        <v>450</v>
      </c>
    </row>
    <row r="414" spans="77:111" ht="16.5" x14ac:dyDescent="0.2">
      <c r="BY414" s="13">
        <v>410</v>
      </c>
      <c r="BZ414" s="14">
        <f t="shared" si="230"/>
        <v>56</v>
      </c>
      <c r="CA414" s="14">
        <f t="shared" si="231"/>
        <v>2</v>
      </c>
      <c r="CB414" s="14">
        <f t="shared" si="216"/>
        <v>5</v>
      </c>
      <c r="CC414" s="14">
        <f t="shared" si="217"/>
        <v>2054028</v>
      </c>
      <c r="CD414" s="13" t="str">
        <f t="shared" si="218"/>
        <v>100级守护灵橙色-戒指</v>
      </c>
      <c r="CE414" s="14">
        <f t="shared" si="219"/>
        <v>2</v>
      </c>
      <c r="CF414" s="14">
        <f t="shared" si="220"/>
        <v>4</v>
      </c>
      <c r="CG414" s="14">
        <f t="shared" si="232"/>
        <v>100</v>
      </c>
      <c r="CH414" s="14">
        <f t="shared" si="233"/>
        <v>100</v>
      </c>
      <c r="CI414" s="14">
        <f t="shared" si="221"/>
        <v>8</v>
      </c>
      <c r="CJ414" s="14" t="str">
        <f t="shared" si="234"/>
        <v/>
      </c>
      <c r="CK414" s="14">
        <f t="shared" si="222"/>
        <v>287</v>
      </c>
      <c r="CL414" s="14">
        <f t="shared" si="223"/>
        <v>0</v>
      </c>
      <c r="CM414" s="14">
        <f t="shared" si="224"/>
        <v>1889</v>
      </c>
      <c r="CN414" s="14">
        <f t="shared" si="225"/>
        <v>14.37</v>
      </c>
      <c r="CO414" s="14">
        <f t="shared" si="226"/>
        <v>0</v>
      </c>
      <c r="CP414" s="14">
        <f t="shared" si="227"/>
        <v>94.44</v>
      </c>
      <c r="CQ414" s="14">
        <f t="shared" si="235"/>
        <v>20</v>
      </c>
      <c r="CR414" s="14">
        <f t="shared" si="236"/>
        <v>4</v>
      </c>
      <c r="CS414" s="14">
        <f t="shared" si="237"/>
        <v>25</v>
      </c>
      <c r="CV414" s="14">
        <f t="shared" si="228"/>
        <v>1</v>
      </c>
      <c r="CW414" s="14">
        <f t="shared" si="229"/>
        <v>3</v>
      </c>
      <c r="CX414" s="14" t="str">
        <f t="shared" si="238"/>
        <v>AtkExt</v>
      </c>
      <c r="CY414" s="14">
        <f t="shared" si="239"/>
        <v>287</v>
      </c>
      <c r="CZ414" s="14">
        <f t="shared" si="240"/>
        <v>14.37</v>
      </c>
      <c r="DA414" s="14" t="str">
        <f t="shared" si="241"/>
        <v>HPExt</v>
      </c>
      <c r="DB414" s="14">
        <f t="shared" si="242"/>
        <v>1889</v>
      </c>
      <c r="DC414" s="14">
        <f t="shared" si="243"/>
        <v>94.44</v>
      </c>
      <c r="DD414" s="14">
        <f t="shared" si="244"/>
        <v>20</v>
      </c>
      <c r="DE414" s="14">
        <f t="shared" si="245"/>
        <v>4</v>
      </c>
      <c r="DF414" s="14">
        <f t="shared" si="246"/>
        <v>25</v>
      </c>
      <c r="DG414" s="14">
        <f t="shared" si="247"/>
        <v>450</v>
      </c>
    </row>
    <row r="415" spans="77:111" ht="16.5" x14ac:dyDescent="0.2">
      <c r="BY415" s="13">
        <v>411</v>
      </c>
      <c r="BZ415" s="14">
        <f t="shared" si="230"/>
        <v>57</v>
      </c>
      <c r="CA415" s="14">
        <f t="shared" si="231"/>
        <v>3</v>
      </c>
      <c r="CB415" s="14">
        <f t="shared" si="216"/>
        <v>5</v>
      </c>
      <c r="CC415" s="14">
        <f t="shared" si="217"/>
        <v>2054031</v>
      </c>
      <c r="CD415" s="13" t="str">
        <f t="shared" si="218"/>
        <v>100级寄灵人橙色套1-武器</v>
      </c>
      <c r="CE415" s="14">
        <f t="shared" si="219"/>
        <v>1</v>
      </c>
      <c r="CF415" s="14">
        <f t="shared" si="220"/>
        <v>4</v>
      </c>
      <c r="CG415" s="14">
        <f t="shared" si="232"/>
        <v>100</v>
      </c>
      <c r="CH415" s="14">
        <f t="shared" si="233"/>
        <v>100</v>
      </c>
      <c r="CI415" s="14">
        <f t="shared" si="221"/>
        <v>1</v>
      </c>
      <c r="CJ415" s="14">
        <f t="shared" si="234"/>
        <v>1051</v>
      </c>
      <c r="CK415" s="14">
        <f t="shared" si="222"/>
        <v>835</v>
      </c>
      <c r="CL415" s="14">
        <f t="shared" si="223"/>
        <v>0</v>
      </c>
      <c r="CM415" s="14">
        <f t="shared" si="224"/>
        <v>0</v>
      </c>
      <c r="CN415" s="14">
        <f t="shared" si="225"/>
        <v>41.75</v>
      </c>
      <c r="CO415" s="14">
        <f t="shared" si="226"/>
        <v>0</v>
      </c>
      <c r="CP415" s="14">
        <f t="shared" si="227"/>
        <v>0</v>
      </c>
      <c r="CQ415" s="14">
        <f t="shared" si="235"/>
        <v>20</v>
      </c>
      <c r="CR415" s="14">
        <f t="shared" si="236"/>
        <v>4</v>
      </c>
      <c r="CS415" s="14">
        <f t="shared" si="237"/>
        <v>15</v>
      </c>
      <c r="CV415" s="14">
        <f t="shared" si="228"/>
        <v>1</v>
      </c>
      <c r="CW415" s="14">
        <f t="shared" si="229"/>
        <v>0</v>
      </c>
      <c r="CX415" s="14" t="str">
        <f t="shared" si="238"/>
        <v>AtkExt</v>
      </c>
      <c r="CY415" s="14">
        <f t="shared" si="239"/>
        <v>835</v>
      </c>
      <c r="CZ415" s="14">
        <f t="shared" si="240"/>
        <v>41.75</v>
      </c>
      <c r="DA415" s="14" t="str">
        <f t="shared" si="241"/>
        <v/>
      </c>
      <c r="DB415" s="14" t="str">
        <f t="shared" si="242"/>
        <v/>
      </c>
      <c r="DC415" s="14" t="str">
        <f t="shared" si="243"/>
        <v/>
      </c>
      <c r="DD415" s="14">
        <f t="shared" si="244"/>
        <v>20</v>
      </c>
      <c r="DE415" s="14">
        <f t="shared" si="245"/>
        <v>4</v>
      </c>
      <c r="DF415" s="14">
        <f t="shared" si="246"/>
        <v>15</v>
      </c>
      <c r="DG415" s="14">
        <f t="shared" si="247"/>
        <v>450</v>
      </c>
    </row>
    <row r="416" spans="77:111" ht="16.5" x14ac:dyDescent="0.2">
      <c r="BY416" s="13">
        <v>412</v>
      </c>
      <c r="BZ416" s="14">
        <f t="shared" si="230"/>
        <v>57</v>
      </c>
      <c r="CA416" s="14">
        <f t="shared" si="231"/>
        <v>3</v>
      </c>
      <c r="CB416" s="14">
        <f t="shared" si="216"/>
        <v>5</v>
      </c>
      <c r="CC416" s="14">
        <f t="shared" si="217"/>
        <v>2054032</v>
      </c>
      <c r="CD416" s="13" t="str">
        <f t="shared" si="218"/>
        <v>100级寄灵人橙色套1-头盔</v>
      </c>
      <c r="CE416" s="14">
        <f t="shared" si="219"/>
        <v>1</v>
      </c>
      <c r="CF416" s="14">
        <f t="shared" si="220"/>
        <v>4</v>
      </c>
      <c r="CG416" s="14">
        <f t="shared" si="232"/>
        <v>100</v>
      </c>
      <c r="CH416" s="14">
        <f t="shared" si="233"/>
        <v>100</v>
      </c>
      <c r="CI416" s="14">
        <f t="shared" si="221"/>
        <v>2</v>
      </c>
      <c r="CJ416" s="14">
        <f t="shared" si="234"/>
        <v>1051</v>
      </c>
      <c r="CK416" s="14">
        <f t="shared" si="222"/>
        <v>0</v>
      </c>
      <c r="CL416" s="14">
        <f t="shared" si="223"/>
        <v>207</v>
      </c>
      <c r="CM416" s="14">
        <f t="shared" si="224"/>
        <v>0</v>
      </c>
      <c r="CN416" s="14">
        <f t="shared" si="225"/>
        <v>0</v>
      </c>
      <c r="CO416" s="14">
        <f t="shared" si="226"/>
        <v>10.33</v>
      </c>
      <c r="CP416" s="14">
        <f t="shared" si="227"/>
        <v>0</v>
      </c>
      <c r="CQ416" s="14">
        <f t="shared" si="235"/>
        <v>20</v>
      </c>
      <c r="CR416" s="14">
        <f t="shared" si="236"/>
        <v>4</v>
      </c>
      <c r="CS416" s="14">
        <f t="shared" si="237"/>
        <v>15</v>
      </c>
      <c r="CV416" s="14">
        <f t="shared" si="228"/>
        <v>2</v>
      </c>
      <c r="CW416" s="14">
        <f t="shared" si="229"/>
        <v>0</v>
      </c>
      <c r="CX416" s="14" t="str">
        <f t="shared" si="238"/>
        <v>DefExt</v>
      </c>
      <c r="CY416" s="14">
        <f t="shared" si="239"/>
        <v>207</v>
      </c>
      <c r="CZ416" s="14">
        <f t="shared" si="240"/>
        <v>10.33</v>
      </c>
      <c r="DA416" s="14" t="str">
        <f t="shared" si="241"/>
        <v/>
      </c>
      <c r="DB416" s="14" t="str">
        <f t="shared" si="242"/>
        <v/>
      </c>
      <c r="DC416" s="14" t="str">
        <f t="shared" si="243"/>
        <v/>
      </c>
      <c r="DD416" s="14">
        <f t="shared" si="244"/>
        <v>20</v>
      </c>
      <c r="DE416" s="14">
        <f t="shared" si="245"/>
        <v>4</v>
      </c>
      <c r="DF416" s="14">
        <f t="shared" si="246"/>
        <v>15</v>
      </c>
      <c r="DG416" s="14">
        <f t="shared" si="247"/>
        <v>450</v>
      </c>
    </row>
    <row r="417" spans="77:111" ht="16.5" x14ac:dyDescent="0.2">
      <c r="BY417" s="13">
        <v>413</v>
      </c>
      <c r="BZ417" s="14">
        <f t="shared" si="230"/>
        <v>57</v>
      </c>
      <c r="CA417" s="14">
        <f t="shared" si="231"/>
        <v>3</v>
      </c>
      <c r="CB417" s="14">
        <f t="shared" si="216"/>
        <v>5</v>
      </c>
      <c r="CC417" s="14">
        <f t="shared" si="217"/>
        <v>2054033</v>
      </c>
      <c r="CD417" s="13" t="str">
        <f t="shared" si="218"/>
        <v>100级寄灵人橙色套1-肩甲</v>
      </c>
      <c r="CE417" s="14">
        <f t="shared" si="219"/>
        <v>1</v>
      </c>
      <c r="CF417" s="14">
        <f t="shared" si="220"/>
        <v>4</v>
      </c>
      <c r="CG417" s="14">
        <f t="shared" si="232"/>
        <v>100</v>
      </c>
      <c r="CH417" s="14">
        <f t="shared" si="233"/>
        <v>100</v>
      </c>
      <c r="CI417" s="14">
        <f t="shared" si="221"/>
        <v>3</v>
      </c>
      <c r="CJ417" s="14">
        <f t="shared" si="234"/>
        <v>1051</v>
      </c>
      <c r="CK417" s="14">
        <f t="shared" si="222"/>
        <v>0</v>
      </c>
      <c r="CL417" s="14">
        <f t="shared" si="223"/>
        <v>103</v>
      </c>
      <c r="CM417" s="14">
        <f t="shared" si="224"/>
        <v>632</v>
      </c>
      <c r="CN417" s="14">
        <f t="shared" si="225"/>
        <v>0</v>
      </c>
      <c r="CO417" s="14">
        <f t="shared" si="226"/>
        <v>5.16</v>
      </c>
      <c r="CP417" s="14">
        <f t="shared" si="227"/>
        <v>31.62</v>
      </c>
      <c r="CQ417" s="14">
        <f t="shared" si="235"/>
        <v>20</v>
      </c>
      <c r="CR417" s="14">
        <f t="shared" si="236"/>
        <v>4</v>
      </c>
      <c r="CS417" s="14">
        <f t="shared" si="237"/>
        <v>15</v>
      </c>
      <c r="CV417" s="14">
        <f t="shared" si="228"/>
        <v>2</v>
      </c>
      <c r="CW417" s="14">
        <f t="shared" si="229"/>
        <v>3</v>
      </c>
      <c r="CX417" s="14" t="str">
        <f t="shared" si="238"/>
        <v>DefExt</v>
      </c>
      <c r="CY417" s="14">
        <f t="shared" si="239"/>
        <v>103</v>
      </c>
      <c r="CZ417" s="14">
        <f t="shared" si="240"/>
        <v>5.16</v>
      </c>
      <c r="DA417" s="14" t="str">
        <f t="shared" si="241"/>
        <v>HPExt</v>
      </c>
      <c r="DB417" s="14">
        <f t="shared" si="242"/>
        <v>632</v>
      </c>
      <c r="DC417" s="14">
        <f t="shared" si="243"/>
        <v>31.62</v>
      </c>
      <c r="DD417" s="14">
        <f t="shared" si="244"/>
        <v>20</v>
      </c>
      <c r="DE417" s="14">
        <f t="shared" si="245"/>
        <v>4</v>
      </c>
      <c r="DF417" s="14">
        <f t="shared" si="246"/>
        <v>15</v>
      </c>
      <c r="DG417" s="14">
        <f t="shared" si="247"/>
        <v>450</v>
      </c>
    </row>
    <row r="418" spans="77:111" ht="16.5" x14ac:dyDescent="0.2">
      <c r="BY418" s="13">
        <v>414</v>
      </c>
      <c r="BZ418" s="14">
        <f t="shared" si="230"/>
        <v>57</v>
      </c>
      <c r="CA418" s="14">
        <f t="shared" si="231"/>
        <v>3</v>
      </c>
      <c r="CB418" s="14">
        <f t="shared" si="216"/>
        <v>5</v>
      </c>
      <c r="CC418" s="14">
        <f t="shared" si="217"/>
        <v>2054034</v>
      </c>
      <c r="CD418" s="13" t="str">
        <f t="shared" si="218"/>
        <v>100级寄灵人橙色套1-衣服</v>
      </c>
      <c r="CE418" s="14">
        <f t="shared" si="219"/>
        <v>1</v>
      </c>
      <c r="CF418" s="14">
        <f t="shared" si="220"/>
        <v>4</v>
      </c>
      <c r="CG418" s="14">
        <f t="shared" si="232"/>
        <v>100</v>
      </c>
      <c r="CH418" s="14">
        <f t="shared" si="233"/>
        <v>100</v>
      </c>
      <c r="CI418" s="14">
        <f t="shared" si="221"/>
        <v>4</v>
      </c>
      <c r="CJ418" s="14">
        <f t="shared" si="234"/>
        <v>1051</v>
      </c>
      <c r="CK418" s="14">
        <f t="shared" si="222"/>
        <v>0</v>
      </c>
      <c r="CL418" s="14">
        <f t="shared" si="223"/>
        <v>207</v>
      </c>
      <c r="CM418" s="14">
        <f t="shared" si="224"/>
        <v>0</v>
      </c>
      <c r="CN418" s="14">
        <f t="shared" si="225"/>
        <v>0</v>
      </c>
      <c r="CO418" s="14">
        <f t="shared" si="226"/>
        <v>10.33</v>
      </c>
      <c r="CP418" s="14">
        <f t="shared" si="227"/>
        <v>0</v>
      </c>
      <c r="CQ418" s="14">
        <f t="shared" si="235"/>
        <v>20</v>
      </c>
      <c r="CR418" s="14">
        <f t="shared" si="236"/>
        <v>4</v>
      </c>
      <c r="CS418" s="14">
        <f t="shared" si="237"/>
        <v>15</v>
      </c>
      <c r="CV418" s="14">
        <f t="shared" si="228"/>
        <v>2</v>
      </c>
      <c r="CW418" s="14">
        <f t="shared" si="229"/>
        <v>0</v>
      </c>
      <c r="CX418" s="14" t="str">
        <f t="shared" si="238"/>
        <v>DefExt</v>
      </c>
      <c r="CY418" s="14">
        <f t="shared" si="239"/>
        <v>207</v>
      </c>
      <c r="CZ418" s="14">
        <f t="shared" si="240"/>
        <v>10.33</v>
      </c>
      <c r="DA418" s="14" t="str">
        <f t="shared" si="241"/>
        <v/>
      </c>
      <c r="DB418" s="14" t="str">
        <f t="shared" si="242"/>
        <v/>
      </c>
      <c r="DC418" s="14" t="str">
        <f t="shared" si="243"/>
        <v/>
      </c>
      <c r="DD418" s="14">
        <f t="shared" si="244"/>
        <v>20</v>
      </c>
      <c r="DE418" s="14">
        <f t="shared" si="245"/>
        <v>4</v>
      </c>
      <c r="DF418" s="14">
        <f t="shared" si="246"/>
        <v>15</v>
      </c>
      <c r="DG418" s="14">
        <f t="shared" si="247"/>
        <v>450</v>
      </c>
    </row>
    <row r="419" spans="77:111" ht="16.5" x14ac:dyDescent="0.2">
      <c r="BY419" s="13">
        <v>415</v>
      </c>
      <c r="BZ419" s="14">
        <f t="shared" si="230"/>
        <v>57</v>
      </c>
      <c r="CA419" s="14">
        <f t="shared" si="231"/>
        <v>3</v>
      </c>
      <c r="CB419" s="14">
        <f t="shared" si="216"/>
        <v>5</v>
      </c>
      <c r="CC419" s="14">
        <f t="shared" si="217"/>
        <v>2054035</v>
      </c>
      <c r="CD419" s="13" t="str">
        <f t="shared" si="218"/>
        <v>100级寄灵人橙色套1-鞋子</v>
      </c>
      <c r="CE419" s="14">
        <f t="shared" si="219"/>
        <v>1</v>
      </c>
      <c r="CF419" s="14">
        <f t="shared" si="220"/>
        <v>4</v>
      </c>
      <c r="CG419" s="14">
        <f t="shared" si="232"/>
        <v>100</v>
      </c>
      <c r="CH419" s="14">
        <f t="shared" si="233"/>
        <v>100</v>
      </c>
      <c r="CI419" s="14">
        <f t="shared" si="221"/>
        <v>5</v>
      </c>
      <c r="CJ419" s="14">
        <f t="shared" si="234"/>
        <v>1051</v>
      </c>
      <c r="CK419" s="14">
        <f t="shared" si="222"/>
        <v>0</v>
      </c>
      <c r="CL419" s="14">
        <f t="shared" si="223"/>
        <v>0</v>
      </c>
      <c r="CM419" s="14">
        <f t="shared" si="224"/>
        <v>1265</v>
      </c>
      <c r="CN419" s="14">
        <f t="shared" si="225"/>
        <v>0</v>
      </c>
      <c r="CO419" s="14">
        <f t="shared" si="226"/>
        <v>0</v>
      </c>
      <c r="CP419" s="14">
        <f t="shared" si="227"/>
        <v>63.23</v>
      </c>
      <c r="CQ419" s="14">
        <f t="shared" si="235"/>
        <v>20</v>
      </c>
      <c r="CR419" s="14">
        <f t="shared" si="236"/>
        <v>4</v>
      </c>
      <c r="CS419" s="14">
        <f t="shared" si="237"/>
        <v>15</v>
      </c>
      <c r="CV419" s="14">
        <f t="shared" si="228"/>
        <v>3</v>
      </c>
      <c r="CW419" s="14">
        <f t="shared" si="229"/>
        <v>0</v>
      </c>
      <c r="CX419" s="14" t="str">
        <f t="shared" si="238"/>
        <v>HPExt</v>
      </c>
      <c r="CY419" s="14">
        <f t="shared" si="239"/>
        <v>1265</v>
      </c>
      <c r="CZ419" s="14">
        <f t="shared" si="240"/>
        <v>63.23</v>
      </c>
      <c r="DA419" s="14" t="str">
        <f t="shared" si="241"/>
        <v/>
      </c>
      <c r="DB419" s="14" t="str">
        <f t="shared" si="242"/>
        <v/>
      </c>
      <c r="DC419" s="14" t="str">
        <f t="shared" si="243"/>
        <v/>
      </c>
      <c r="DD419" s="14">
        <f t="shared" si="244"/>
        <v>20</v>
      </c>
      <c r="DE419" s="14">
        <f t="shared" si="245"/>
        <v>4</v>
      </c>
      <c r="DF419" s="14">
        <f t="shared" si="246"/>
        <v>15</v>
      </c>
      <c r="DG419" s="14">
        <f t="shared" si="247"/>
        <v>450</v>
      </c>
    </row>
    <row r="420" spans="77:111" ht="16.5" x14ac:dyDescent="0.2">
      <c r="BY420" s="13">
        <v>416</v>
      </c>
      <c r="BZ420" s="14">
        <f t="shared" si="230"/>
        <v>58</v>
      </c>
      <c r="CA420" s="14">
        <f t="shared" si="231"/>
        <v>4</v>
      </c>
      <c r="CB420" s="14">
        <f t="shared" si="216"/>
        <v>5</v>
      </c>
      <c r="CC420" s="14">
        <f t="shared" si="217"/>
        <v>2054041</v>
      </c>
      <c r="CD420" s="13" t="str">
        <f t="shared" si="218"/>
        <v>100级守护灵橙色套1-武器</v>
      </c>
      <c r="CE420" s="14">
        <f t="shared" si="219"/>
        <v>2</v>
      </c>
      <c r="CF420" s="14">
        <f t="shared" si="220"/>
        <v>4</v>
      </c>
      <c r="CG420" s="14">
        <f t="shared" si="232"/>
        <v>100</v>
      </c>
      <c r="CH420" s="14">
        <f t="shared" si="233"/>
        <v>100</v>
      </c>
      <c r="CI420" s="14">
        <f t="shared" si="221"/>
        <v>1</v>
      </c>
      <c r="CJ420" s="14">
        <f t="shared" si="234"/>
        <v>2051</v>
      </c>
      <c r="CK420" s="14">
        <f t="shared" si="222"/>
        <v>862</v>
      </c>
      <c r="CL420" s="14">
        <f t="shared" si="223"/>
        <v>0</v>
      </c>
      <c r="CM420" s="14">
        <f t="shared" si="224"/>
        <v>0</v>
      </c>
      <c r="CN420" s="14">
        <f t="shared" si="225"/>
        <v>43.1</v>
      </c>
      <c r="CO420" s="14">
        <f t="shared" si="226"/>
        <v>0</v>
      </c>
      <c r="CP420" s="14">
        <f t="shared" si="227"/>
        <v>0</v>
      </c>
      <c r="CQ420" s="14">
        <f t="shared" si="235"/>
        <v>20</v>
      </c>
      <c r="CR420" s="14">
        <f t="shared" si="236"/>
        <v>4</v>
      </c>
      <c r="CS420" s="14">
        <f t="shared" si="237"/>
        <v>25</v>
      </c>
      <c r="CV420" s="14">
        <f t="shared" si="228"/>
        <v>1</v>
      </c>
      <c r="CW420" s="14">
        <f t="shared" si="229"/>
        <v>0</v>
      </c>
      <c r="CX420" s="14" t="str">
        <f t="shared" si="238"/>
        <v>AtkExt</v>
      </c>
      <c r="CY420" s="14">
        <f t="shared" si="239"/>
        <v>862</v>
      </c>
      <c r="CZ420" s="14">
        <f t="shared" si="240"/>
        <v>43.1</v>
      </c>
      <c r="DA420" s="14" t="str">
        <f t="shared" si="241"/>
        <v/>
      </c>
      <c r="DB420" s="14" t="str">
        <f t="shared" si="242"/>
        <v/>
      </c>
      <c r="DC420" s="14" t="str">
        <f t="shared" si="243"/>
        <v/>
      </c>
      <c r="DD420" s="14">
        <f t="shared" si="244"/>
        <v>20</v>
      </c>
      <c r="DE420" s="14">
        <f t="shared" si="245"/>
        <v>4</v>
      </c>
      <c r="DF420" s="14">
        <f t="shared" si="246"/>
        <v>25</v>
      </c>
      <c r="DG420" s="14">
        <f t="shared" si="247"/>
        <v>450</v>
      </c>
    </row>
    <row r="421" spans="77:111" ht="16.5" x14ac:dyDescent="0.2">
      <c r="BY421" s="13">
        <v>417</v>
      </c>
      <c r="BZ421" s="14">
        <f t="shared" si="230"/>
        <v>58</v>
      </c>
      <c r="CA421" s="14">
        <f t="shared" si="231"/>
        <v>4</v>
      </c>
      <c r="CB421" s="14">
        <f t="shared" si="216"/>
        <v>5</v>
      </c>
      <c r="CC421" s="14">
        <f t="shared" si="217"/>
        <v>2054042</v>
      </c>
      <c r="CD421" s="13" t="str">
        <f t="shared" si="218"/>
        <v>100级守护灵橙色套1-头盔</v>
      </c>
      <c r="CE421" s="14">
        <f t="shared" si="219"/>
        <v>2</v>
      </c>
      <c r="CF421" s="14">
        <f t="shared" si="220"/>
        <v>4</v>
      </c>
      <c r="CG421" s="14">
        <f t="shared" si="232"/>
        <v>100</v>
      </c>
      <c r="CH421" s="14">
        <f t="shared" si="233"/>
        <v>100</v>
      </c>
      <c r="CI421" s="14">
        <f t="shared" si="221"/>
        <v>2</v>
      </c>
      <c r="CJ421" s="14">
        <f t="shared" si="234"/>
        <v>2051</v>
      </c>
      <c r="CK421" s="14">
        <f t="shared" si="222"/>
        <v>0</v>
      </c>
      <c r="CL421" s="14">
        <f t="shared" si="223"/>
        <v>212</v>
      </c>
      <c r="CM421" s="14">
        <f t="shared" si="224"/>
        <v>0</v>
      </c>
      <c r="CN421" s="14">
        <f t="shared" si="225"/>
        <v>0</v>
      </c>
      <c r="CO421" s="14">
        <f t="shared" si="226"/>
        <v>10.6</v>
      </c>
      <c r="CP421" s="14">
        <f t="shared" si="227"/>
        <v>0</v>
      </c>
      <c r="CQ421" s="14">
        <f t="shared" si="235"/>
        <v>20</v>
      </c>
      <c r="CR421" s="14">
        <f t="shared" si="236"/>
        <v>4</v>
      </c>
      <c r="CS421" s="14">
        <f t="shared" si="237"/>
        <v>25</v>
      </c>
      <c r="CV421" s="14">
        <f t="shared" si="228"/>
        <v>2</v>
      </c>
      <c r="CW421" s="14">
        <f t="shared" si="229"/>
        <v>0</v>
      </c>
      <c r="CX421" s="14" t="str">
        <f t="shared" si="238"/>
        <v>DefExt</v>
      </c>
      <c r="CY421" s="14">
        <f t="shared" si="239"/>
        <v>212</v>
      </c>
      <c r="CZ421" s="14">
        <f t="shared" si="240"/>
        <v>10.6</v>
      </c>
      <c r="DA421" s="14" t="str">
        <f t="shared" si="241"/>
        <v/>
      </c>
      <c r="DB421" s="14" t="str">
        <f t="shared" si="242"/>
        <v/>
      </c>
      <c r="DC421" s="14" t="str">
        <f t="shared" si="243"/>
        <v/>
      </c>
      <c r="DD421" s="14">
        <f t="shared" si="244"/>
        <v>20</v>
      </c>
      <c r="DE421" s="14">
        <f t="shared" si="245"/>
        <v>4</v>
      </c>
      <c r="DF421" s="14">
        <f t="shared" si="246"/>
        <v>25</v>
      </c>
      <c r="DG421" s="14">
        <f t="shared" si="247"/>
        <v>450</v>
      </c>
    </row>
    <row r="422" spans="77:111" ht="16.5" x14ac:dyDescent="0.2">
      <c r="BY422" s="13">
        <v>418</v>
      </c>
      <c r="BZ422" s="14">
        <f t="shared" si="230"/>
        <v>58</v>
      </c>
      <c r="CA422" s="14">
        <f t="shared" si="231"/>
        <v>4</v>
      </c>
      <c r="CB422" s="14">
        <f t="shared" si="216"/>
        <v>5</v>
      </c>
      <c r="CC422" s="14">
        <f t="shared" si="217"/>
        <v>2054043</v>
      </c>
      <c r="CD422" s="13" t="str">
        <f t="shared" si="218"/>
        <v>100级守护灵橙色套1-肩甲</v>
      </c>
      <c r="CE422" s="14">
        <f t="shared" si="219"/>
        <v>2</v>
      </c>
      <c r="CF422" s="14">
        <f t="shared" si="220"/>
        <v>4</v>
      </c>
      <c r="CG422" s="14">
        <f t="shared" si="232"/>
        <v>100</v>
      </c>
      <c r="CH422" s="14">
        <f t="shared" si="233"/>
        <v>100</v>
      </c>
      <c r="CI422" s="14">
        <f t="shared" si="221"/>
        <v>3</v>
      </c>
      <c r="CJ422" s="14">
        <f t="shared" si="234"/>
        <v>2051</v>
      </c>
      <c r="CK422" s="14">
        <f t="shared" si="222"/>
        <v>0</v>
      </c>
      <c r="CL422" s="14">
        <f t="shared" si="223"/>
        <v>106</v>
      </c>
      <c r="CM422" s="14">
        <f t="shared" si="224"/>
        <v>1133</v>
      </c>
      <c r="CN422" s="14">
        <f t="shared" si="225"/>
        <v>0</v>
      </c>
      <c r="CO422" s="14">
        <f t="shared" si="226"/>
        <v>5.3</v>
      </c>
      <c r="CP422" s="14">
        <f t="shared" si="227"/>
        <v>56.67</v>
      </c>
      <c r="CQ422" s="14">
        <f t="shared" si="235"/>
        <v>20</v>
      </c>
      <c r="CR422" s="14">
        <f t="shared" si="236"/>
        <v>4</v>
      </c>
      <c r="CS422" s="14">
        <f t="shared" si="237"/>
        <v>25</v>
      </c>
      <c r="CV422" s="14">
        <f t="shared" si="228"/>
        <v>2</v>
      </c>
      <c r="CW422" s="14">
        <f t="shared" si="229"/>
        <v>3</v>
      </c>
      <c r="CX422" s="14" t="str">
        <f t="shared" si="238"/>
        <v>DefExt</v>
      </c>
      <c r="CY422" s="14">
        <f t="shared" si="239"/>
        <v>106</v>
      </c>
      <c r="CZ422" s="14">
        <f t="shared" si="240"/>
        <v>5.3</v>
      </c>
      <c r="DA422" s="14" t="str">
        <f t="shared" si="241"/>
        <v>HPExt</v>
      </c>
      <c r="DB422" s="14">
        <f t="shared" si="242"/>
        <v>1133</v>
      </c>
      <c r="DC422" s="14">
        <f t="shared" si="243"/>
        <v>56.67</v>
      </c>
      <c r="DD422" s="14">
        <f t="shared" si="244"/>
        <v>20</v>
      </c>
      <c r="DE422" s="14">
        <f t="shared" si="245"/>
        <v>4</v>
      </c>
      <c r="DF422" s="14">
        <f t="shared" si="246"/>
        <v>25</v>
      </c>
      <c r="DG422" s="14">
        <f t="shared" si="247"/>
        <v>450</v>
      </c>
    </row>
    <row r="423" spans="77:111" ht="16.5" x14ac:dyDescent="0.2">
      <c r="BY423" s="13">
        <v>419</v>
      </c>
      <c r="BZ423" s="14">
        <f t="shared" si="230"/>
        <v>58</v>
      </c>
      <c r="CA423" s="14">
        <f t="shared" si="231"/>
        <v>4</v>
      </c>
      <c r="CB423" s="14">
        <f t="shared" si="216"/>
        <v>5</v>
      </c>
      <c r="CC423" s="14">
        <f t="shared" si="217"/>
        <v>2054044</v>
      </c>
      <c r="CD423" s="13" t="str">
        <f t="shared" si="218"/>
        <v>100级守护灵橙色套1-衣服</v>
      </c>
      <c r="CE423" s="14">
        <f t="shared" si="219"/>
        <v>2</v>
      </c>
      <c r="CF423" s="14">
        <f t="shared" si="220"/>
        <v>4</v>
      </c>
      <c r="CG423" s="14">
        <f t="shared" si="232"/>
        <v>100</v>
      </c>
      <c r="CH423" s="14">
        <f t="shared" si="233"/>
        <v>100</v>
      </c>
      <c r="CI423" s="14">
        <f t="shared" si="221"/>
        <v>4</v>
      </c>
      <c r="CJ423" s="14">
        <f t="shared" si="234"/>
        <v>2051</v>
      </c>
      <c r="CK423" s="14">
        <f t="shared" si="222"/>
        <v>0</v>
      </c>
      <c r="CL423" s="14">
        <f t="shared" si="223"/>
        <v>212</v>
      </c>
      <c r="CM423" s="14">
        <f t="shared" si="224"/>
        <v>0</v>
      </c>
      <c r="CN423" s="14">
        <f t="shared" si="225"/>
        <v>0</v>
      </c>
      <c r="CO423" s="14">
        <f t="shared" si="226"/>
        <v>10.6</v>
      </c>
      <c r="CP423" s="14">
        <f t="shared" si="227"/>
        <v>0</v>
      </c>
      <c r="CQ423" s="14">
        <f t="shared" si="235"/>
        <v>20</v>
      </c>
      <c r="CR423" s="14">
        <f t="shared" si="236"/>
        <v>4</v>
      </c>
      <c r="CS423" s="14">
        <f t="shared" si="237"/>
        <v>25</v>
      </c>
      <c r="CV423" s="14">
        <f t="shared" si="228"/>
        <v>2</v>
      </c>
      <c r="CW423" s="14">
        <f t="shared" si="229"/>
        <v>0</v>
      </c>
      <c r="CX423" s="14" t="str">
        <f t="shared" si="238"/>
        <v>DefExt</v>
      </c>
      <c r="CY423" s="14">
        <f t="shared" si="239"/>
        <v>212</v>
      </c>
      <c r="CZ423" s="14">
        <f t="shared" si="240"/>
        <v>10.6</v>
      </c>
      <c r="DA423" s="14" t="str">
        <f t="shared" si="241"/>
        <v/>
      </c>
      <c r="DB423" s="14" t="str">
        <f t="shared" si="242"/>
        <v/>
      </c>
      <c r="DC423" s="14" t="str">
        <f t="shared" si="243"/>
        <v/>
      </c>
      <c r="DD423" s="14">
        <f t="shared" si="244"/>
        <v>20</v>
      </c>
      <c r="DE423" s="14">
        <f t="shared" si="245"/>
        <v>4</v>
      </c>
      <c r="DF423" s="14">
        <f t="shared" si="246"/>
        <v>25</v>
      </c>
      <c r="DG423" s="14">
        <f t="shared" si="247"/>
        <v>450</v>
      </c>
    </row>
    <row r="424" spans="77:111" ht="16.5" x14ac:dyDescent="0.2">
      <c r="BY424" s="13">
        <v>420</v>
      </c>
      <c r="BZ424" s="14">
        <f t="shared" si="230"/>
        <v>58</v>
      </c>
      <c r="CA424" s="14">
        <f t="shared" si="231"/>
        <v>4</v>
      </c>
      <c r="CB424" s="14">
        <f t="shared" si="216"/>
        <v>5</v>
      </c>
      <c r="CC424" s="14">
        <f t="shared" si="217"/>
        <v>2054045</v>
      </c>
      <c r="CD424" s="13" t="str">
        <f t="shared" si="218"/>
        <v>100级守护灵橙色套1-鞋子</v>
      </c>
      <c r="CE424" s="14">
        <f t="shared" si="219"/>
        <v>2</v>
      </c>
      <c r="CF424" s="14">
        <f t="shared" si="220"/>
        <v>4</v>
      </c>
      <c r="CG424" s="14">
        <f t="shared" si="232"/>
        <v>100</v>
      </c>
      <c r="CH424" s="14">
        <f t="shared" si="233"/>
        <v>100</v>
      </c>
      <c r="CI424" s="14">
        <f t="shared" si="221"/>
        <v>5</v>
      </c>
      <c r="CJ424" s="14">
        <f t="shared" si="234"/>
        <v>2051</v>
      </c>
      <c r="CK424" s="14">
        <f t="shared" si="222"/>
        <v>0</v>
      </c>
      <c r="CL424" s="14">
        <f t="shared" si="223"/>
        <v>0</v>
      </c>
      <c r="CM424" s="14">
        <f t="shared" si="224"/>
        <v>2267</v>
      </c>
      <c r="CN424" s="14">
        <f t="shared" si="225"/>
        <v>0</v>
      </c>
      <c r="CO424" s="14">
        <f t="shared" si="226"/>
        <v>0</v>
      </c>
      <c r="CP424" s="14">
        <f t="shared" si="227"/>
        <v>113.33</v>
      </c>
      <c r="CQ424" s="14">
        <f t="shared" si="235"/>
        <v>20</v>
      </c>
      <c r="CR424" s="14">
        <f t="shared" si="236"/>
        <v>4</v>
      </c>
      <c r="CS424" s="14">
        <f t="shared" si="237"/>
        <v>25</v>
      </c>
      <c r="CV424" s="14">
        <f t="shared" si="228"/>
        <v>3</v>
      </c>
      <c r="CW424" s="14">
        <f t="shared" si="229"/>
        <v>0</v>
      </c>
      <c r="CX424" s="14" t="str">
        <f t="shared" si="238"/>
        <v>HPExt</v>
      </c>
      <c r="CY424" s="14">
        <f t="shared" si="239"/>
        <v>2267</v>
      </c>
      <c r="CZ424" s="14">
        <f t="shared" si="240"/>
        <v>113.33</v>
      </c>
      <c r="DA424" s="14" t="str">
        <f t="shared" si="241"/>
        <v/>
      </c>
      <c r="DB424" s="14" t="str">
        <f t="shared" si="242"/>
        <v/>
      </c>
      <c r="DC424" s="14" t="str">
        <f t="shared" si="243"/>
        <v/>
      </c>
      <c r="DD424" s="14">
        <f t="shared" si="244"/>
        <v>20</v>
      </c>
      <c r="DE424" s="14">
        <f t="shared" si="245"/>
        <v>4</v>
      </c>
      <c r="DF424" s="14">
        <f t="shared" si="246"/>
        <v>25</v>
      </c>
      <c r="DG424" s="14">
        <f t="shared" si="247"/>
        <v>450</v>
      </c>
    </row>
    <row r="425" spans="77:111" ht="16.5" x14ac:dyDescent="0.2">
      <c r="BY425" s="13">
        <v>421</v>
      </c>
      <c r="BZ425" s="14">
        <f t="shared" si="230"/>
        <v>59</v>
      </c>
      <c r="CA425" s="14">
        <f t="shared" si="231"/>
        <v>5</v>
      </c>
      <c r="CB425" s="14">
        <f t="shared" si="216"/>
        <v>5</v>
      </c>
      <c r="CC425" s="14">
        <f t="shared" si="217"/>
        <v>2054051</v>
      </c>
      <c r="CD425" s="13" t="str">
        <f t="shared" si="218"/>
        <v>100级寄灵人橙色套2-武器</v>
      </c>
      <c r="CE425" s="14">
        <f t="shared" si="219"/>
        <v>1</v>
      </c>
      <c r="CF425" s="14">
        <f t="shared" si="220"/>
        <v>4</v>
      </c>
      <c r="CG425" s="14">
        <f t="shared" si="232"/>
        <v>100</v>
      </c>
      <c r="CH425" s="14">
        <f t="shared" si="233"/>
        <v>100</v>
      </c>
      <c r="CI425" s="14">
        <f t="shared" si="221"/>
        <v>1</v>
      </c>
      <c r="CJ425" s="14">
        <f t="shared" si="234"/>
        <v>1052</v>
      </c>
      <c r="CK425" s="14">
        <f t="shared" si="222"/>
        <v>835</v>
      </c>
      <c r="CL425" s="14">
        <f t="shared" si="223"/>
        <v>0</v>
      </c>
      <c r="CM425" s="14">
        <f t="shared" si="224"/>
        <v>0</v>
      </c>
      <c r="CN425" s="14">
        <f t="shared" si="225"/>
        <v>41.75</v>
      </c>
      <c r="CO425" s="14">
        <f t="shared" si="226"/>
        <v>0</v>
      </c>
      <c r="CP425" s="14">
        <f t="shared" si="227"/>
        <v>0</v>
      </c>
      <c r="CQ425" s="14">
        <f t="shared" si="235"/>
        <v>20</v>
      </c>
      <c r="CR425" s="14">
        <f t="shared" si="236"/>
        <v>4</v>
      </c>
      <c r="CS425" s="14">
        <f t="shared" si="237"/>
        <v>15</v>
      </c>
      <c r="CV425" s="14">
        <f t="shared" si="228"/>
        <v>1</v>
      </c>
      <c r="CW425" s="14">
        <f t="shared" si="229"/>
        <v>0</v>
      </c>
      <c r="CX425" s="14" t="str">
        <f t="shared" si="238"/>
        <v>AtkExt</v>
      </c>
      <c r="CY425" s="14">
        <f t="shared" si="239"/>
        <v>835</v>
      </c>
      <c r="CZ425" s="14">
        <f t="shared" si="240"/>
        <v>41.75</v>
      </c>
      <c r="DA425" s="14" t="str">
        <f t="shared" si="241"/>
        <v/>
      </c>
      <c r="DB425" s="14" t="str">
        <f t="shared" si="242"/>
        <v/>
      </c>
      <c r="DC425" s="14" t="str">
        <f t="shared" si="243"/>
        <v/>
      </c>
      <c r="DD425" s="14">
        <f t="shared" si="244"/>
        <v>20</v>
      </c>
      <c r="DE425" s="14">
        <f t="shared" si="245"/>
        <v>4</v>
      </c>
      <c r="DF425" s="14">
        <f t="shared" si="246"/>
        <v>15</v>
      </c>
      <c r="DG425" s="14">
        <f t="shared" si="247"/>
        <v>450</v>
      </c>
    </row>
    <row r="426" spans="77:111" ht="16.5" x14ac:dyDescent="0.2">
      <c r="BY426" s="13">
        <v>422</v>
      </c>
      <c r="BZ426" s="14">
        <f t="shared" si="230"/>
        <v>59</v>
      </c>
      <c r="CA426" s="14">
        <f t="shared" si="231"/>
        <v>5</v>
      </c>
      <c r="CB426" s="14">
        <f t="shared" si="216"/>
        <v>5</v>
      </c>
      <c r="CC426" s="14">
        <f t="shared" si="217"/>
        <v>2054052</v>
      </c>
      <c r="CD426" s="13" t="str">
        <f t="shared" si="218"/>
        <v>100级寄灵人橙色套2-头盔</v>
      </c>
      <c r="CE426" s="14">
        <f t="shared" si="219"/>
        <v>1</v>
      </c>
      <c r="CF426" s="14">
        <f t="shared" si="220"/>
        <v>4</v>
      </c>
      <c r="CG426" s="14">
        <f t="shared" si="232"/>
        <v>100</v>
      </c>
      <c r="CH426" s="14">
        <f t="shared" si="233"/>
        <v>100</v>
      </c>
      <c r="CI426" s="14">
        <f t="shared" si="221"/>
        <v>2</v>
      </c>
      <c r="CJ426" s="14">
        <f t="shared" si="234"/>
        <v>1052</v>
      </c>
      <c r="CK426" s="14">
        <f t="shared" si="222"/>
        <v>0</v>
      </c>
      <c r="CL426" s="14">
        <f t="shared" si="223"/>
        <v>207</v>
      </c>
      <c r="CM426" s="14">
        <f t="shared" si="224"/>
        <v>0</v>
      </c>
      <c r="CN426" s="14">
        <f t="shared" si="225"/>
        <v>0</v>
      </c>
      <c r="CO426" s="14">
        <f t="shared" si="226"/>
        <v>10.33</v>
      </c>
      <c r="CP426" s="14">
        <f t="shared" si="227"/>
        <v>0</v>
      </c>
      <c r="CQ426" s="14">
        <f t="shared" si="235"/>
        <v>20</v>
      </c>
      <c r="CR426" s="14">
        <f t="shared" si="236"/>
        <v>4</v>
      </c>
      <c r="CS426" s="14">
        <f t="shared" si="237"/>
        <v>15</v>
      </c>
      <c r="CV426" s="14">
        <f t="shared" si="228"/>
        <v>2</v>
      </c>
      <c r="CW426" s="14">
        <f t="shared" si="229"/>
        <v>0</v>
      </c>
      <c r="CX426" s="14" t="str">
        <f t="shared" si="238"/>
        <v>DefExt</v>
      </c>
      <c r="CY426" s="14">
        <f t="shared" si="239"/>
        <v>207</v>
      </c>
      <c r="CZ426" s="14">
        <f t="shared" si="240"/>
        <v>10.33</v>
      </c>
      <c r="DA426" s="14" t="str">
        <f t="shared" si="241"/>
        <v/>
      </c>
      <c r="DB426" s="14" t="str">
        <f t="shared" si="242"/>
        <v/>
      </c>
      <c r="DC426" s="14" t="str">
        <f t="shared" si="243"/>
        <v/>
      </c>
      <c r="DD426" s="14">
        <f t="shared" si="244"/>
        <v>20</v>
      </c>
      <c r="DE426" s="14">
        <f t="shared" si="245"/>
        <v>4</v>
      </c>
      <c r="DF426" s="14">
        <f t="shared" si="246"/>
        <v>15</v>
      </c>
      <c r="DG426" s="14">
        <f t="shared" si="247"/>
        <v>450</v>
      </c>
    </row>
    <row r="427" spans="77:111" ht="16.5" x14ac:dyDescent="0.2">
      <c r="BY427" s="13">
        <v>423</v>
      </c>
      <c r="BZ427" s="14">
        <f t="shared" si="230"/>
        <v>59</v>
      </c>
      <c r="CA427" s="14">
        <f t="shared" si="231"/>
        <v>5</v>
      </c>
      <c r="CB427" s="14">
        <f t="shared" si="216"/>
        <v>5</v>
      </c>
      <c r="CC427" s="14">
        <f t="shared" si="217"/>
        <v>2054053</v>
      </c>
      <c r="CD427" s="13" t="str">
        <f t="shared" si="218"/>
        <v>100级寄灵人橙色套2-肩甲</v>
      </c>
      <c r="CE427" s="14">
        <f t="shared" si="219"/>
        <v>1</v>
      </c>
      <c r="CF427" s="14">
        <f t="shared" si="220"/>
        <v>4</v>
      </c>
      <c r="CG427" s="14">
        <f t="shared" si="232"/>
        <v>100</v>
      </c>
      <c r="CH427" s="14">
        <f t="shared" si="233"/>
        <v>100</v>
      </c>
      <c r="CI427" s="14">
        <f t="shared" si="221"/>
        <v>3</v>
      </c>
      <c r="CJ427" s="14">
        <f t="shared" si="234"/>
        <v>1052</v>
      </c>
      <c r="CK427" s="14">
        <f t="shared" si="222"/>
        <v>0</v>
      </c>
      <c r="CL427" s="14">
        <f t="shared" si="223"/>
        <v>103</v>
      </c>
      <c r="CM427" s="14">
        <f t="shared" si="224"/>
        <v>632</v>
      </c>
      <c r="CN427" s="14">
        <f t="shared" si="225"/>
        <v>0</v>
      </c>
      <c r="CO427" s="14">
        <f t="shared" si="226"/>
        <v>5.16</v>
      </c>
      <c r="CP427" s="14">
        <f t="shared" si="227"/>
        <v>31.62</v>
      </c>
      <c r="CQ427" s="14">
        <f t="shared" si="235"/>
        <v>20</v>
      </c>
      <c r="CR427" s="14">
        <f t="shared" si="236"/>
        <v>4</v>
      </c>
      <c r="CS427" s="14">
        <f t="shared" si="237"/>
        <v>15</v>
      </c>
      <c r="CV427" s="14">
        <f t="shared" si="228"/>
        <v>2</v>
      </c>
      <c r="CW427" s="14">
        <f t="shared" si="229"/>
        <v>3</v>
      </c>
      <c r="CX427" s="14" t="str">
        <f t="shared" si="238"/>
        <v>DefExt</v>
      </c>
      <c r="CY427" s="14">
        <f t="shared" si="239"/>
        <v>103</v>
      </c>
      <c r="CZ427" s="14">
        <f t="shared" si="240"/>
        <v>5.16</v>
      </c>
      <c r="DA427" s="14" t="str">
        <f t="shared" si="241"/>
        <v>HPExt</v>
      </c>
      <c r="DB427" s="14">
        <f t="shared" si="242"/>
        <v>632</v>
      </c>
      <c r="DC427" s="14">
        <f t="shared" si="243"/>
        <v>31.62</v>
      </c>
      <c r="DD427" s="14">
        <f t="shared" si="244"/>
        <v>20</v>
      </c>
      <c r="DE427" s="14">
        <f t="shared" si="245"/>
        <v>4</v>
      </c>
      <c r="DF427" s="14">
        <f t="shared" si="246"/>
        <v>15</v>
      </c>
      <c r="DG427" s="14">
        <f t="shared" si="247"/>
        <v>450</v>
      </c>
    </row>
    <row r="428" spans="77:111" ht="16.5" x14ac:dyDescent="0.2">
      <c r="BY428" s="13">
        <v>424</v>
      </c>
      <c r="BZ428" s="14">
        <f t="shared" si="230"/>
        <v>59</v>
      </c>
      <c r="CA428" s="14">
        <f t="shared" si="231"/>
        <v>5</v>
      </c>
      <c r="CB428" s="14">
        <f t="shared" si="216"/>
        <v>5</v>
      </c>
      <c r="CC428" s="14">
        <f t="shared" si="217"/>
        <v>2054054</v>
      </c>
      <c r="CD428" s="13" t="str">
        <f t="shared" si="218"/>
        <v>100级寄灵人橙色套2-衣服</v>
      </c>
      <c r="CE428" s="14">
        <f t="shared" si="219"/>
        <v>1</v>
      </c>
      <c r="CF428" s="14">
        <f t="shared" si="220"/>
        <v>4</v>
      </c>
      <c r="CG428" s="14">
        <f t="shared" si="232"/>
        <v>100</v>
      </c>
      <c r="CH428" s="14">
        <f t="shared" si="233"/>
        <v>100</v>
      </c>
      <c r="CI428" s="14">
        <f t="shared" si="221"/>
        <v>4</v>
      </c>
      <c r="CJ428" s="14">
        <f t="shared" si="234"/>
        <v>1052</v>
      </c>
      <c r="CK428" s="14">
        <f t="shared" si="222"/>
        <v>0</v>
      </c>
      <c r="CL428" s="14">
        <f t="shared" si="223"/>
        <v>207</v>
      </c>
      <c r="CM428" s="14">
        <f t="shared" si="224"/>
        <v>0</v>
      </c>
      <c r="CN428" s="14">
        <f t="shared" si="225"/>
        <v>0</v>
      </c>
      <c r="CO428" s="14">
        <f t="shared" si="226"/>
        <v>10.33</v>
      </c>
      <c r="CP428" s="14">
        <f t="shared" si="227"/>
        <v>0</v>
      </c>
      <c r="CQ428" s="14">
        <f t="shared" si="235"/>
        <v>20</v>
      </c>
      <c r="CR428" s="14">
        <f t="shared" si="236"/>
        <v>4</v>
      </c>
      <c r="CS428" s="14">
        <f t="shared" si="237"/>
        <v>15</v>
      </c>
      <c r="CV428" s="14">
        <f t="shared" si="228"/>
        <v>2</v>
      </c>
      <c r="CW428" s="14">
        <f t="shared" si="229"/>
        <v>0</v>
      </c>
      <c r="CX428" s="14" t="str">
        <f t="shared" si="238"/>
        <v>DefExt</v>
      </c>
      <c r="CY428" s="14">
        <f t="shared" si="239"/>
        <v>207</v>
      </c>
      <c r="CZ428" s="14">
        <f t="shared" si="240"/>
        <v>10.33</v>
      </c>
      <c r="DA428" s="14" t="str">
        <f t="shared" si="241"/>
        <v/>
      </c>
      <c r="DB428" s="14" t="str">
        <f t="shared" si="242"/>
        <v/>
      </c>
      <c r="DC428" s="14" t="str">
        <f t="shared" si="243"/>
        <v/>
      </c>
      <c r="DD428" s="14">
        <f t="shared" si="244"/>
        <v>20</v>
      </c>
      <c r="DE428" s="14">
        <f t="shared" si="245"/>
        <v>4</v>
      </c>
      <c r="DF428" s="14">
        <f t="shared" si="246"/>
        <v>15</v>
      </c>
      <c r="DG428" s="14">
        <f t="shared" si="247"/>
        <v>450</v>
      </c>
    </row>
    <row r="429" spans="77:111" ht="16.5" x14ac:dyDescent="0.2">
      <c r="BY429" s="13">
        <v>425</v>
      </c>
      <c r="BZ429" s="14">
        <f t="shared" si="230"/>
        <v>59</v>
      </c>
      <c r="CA429" s="14">
        <f t="shared" si="231"/>
        <v>5</v>
      </c>
      <c r="CB429" s="14">
        <f t="shared" si="216"/>
        <v>5</v>
      </c>
      <c r="CC429" s="14">
        <f t="shared" si="217"/>
        <v>2054055</v>
      </c>
      <c r="CD429" s="13" t="str">
        <f t="shared" si="218"/>
        <v>100级寄灵人橙色套2-鞋子</v>
      </c>
      <c r="CE429" s="14">
        <f t="shared" si="219"/>
        <v>1</v>
      </c>
      <c r="CF429" s="14">
        <f t="shared" si="220"/>
        <v>4</v>
      </c>
      <c r="CG429" s="14">
        <f t="shared" si="232"/>
        <v>100</v>
      </c>
      <c r="CH429" s="14">
        <f t="shared" si="233"/>
        <v>100</v>
      </c>
      <c r="CI429" s="14">
        <f t="shared" si="221"/>
        <v>5</v>
      </c>
      <c r="CJ429" s="14">
        <f t="shared" si="234"/>
        <v>1052</v>
      </c>
      <c r="CK429" s="14">
        <f t="shared" si="222"/>
        <v>0</v>
      </c>
      <c r="CL429" s="14">
        <f t="shared" si="223"/>
        <v>0</v>
      </c>
      <c r="CM429" s="14">
        <f t="shared" si="224"/>
        <v>1265</v>
      </c>
      <c r="CN429" s="14">
        <f t="shared" si="225"/>
        <v>0</v>
      </c>
      <c r="CO429" s="14">
        <f t="shared" si="226"/>
        <v>0</v>
      </c>
      <c r="CP429" s="14">
        <f t="shared" si="227"/>
        <v>63.23</v>
      </c>
      <c r="CQ429" s="14">
        <f t="shared" si="235"/>
        <v>20</v>
      </c>
      <c r="CR429" s="14">
        <f t="shared" si="236"/>
        <v>4</v>
      </c>
      <c r="CS429" s="14">
        <f t="shared" si="237"/>
        <v>15</v>
      </c>
      <c r="CV429" s="14">
        <f t="shared" si="228"/>
        <v>3</v>
      </c>
      <c r="CW429" s="14">
        <f t="shared" si="229"/>
        <v>0</v>
      </c>
      <c r="CX429" s="14" t="str">
        <f t="shared" si="238"/>
        <v>HPExt</v>
      </c>
      <c r="CY429" s="14">
        <f t="shared" si="239"/>
        <v>1265</v>
      </c>
      <c r="CZ429" s="14">
        <f t="shared" si="240"/>
        <v>63.23</v>
      </c>
      <c r="DA429" s="14" t="str">
        <f t="shared" si="241"/>
        <v/>
      </c>
      <c r="DB429" s="14" t="str">
        <f t="shared" si="242"/>
        <v/>
      </c>
      <c r="DC429" s="14" t="str">
        <f t="shared" si="243"/>
        <v/>
      </c>
      <c r="DD429" s="14">
        <f t="shared" si="244"/>
        <v>20</v>
      </c>
      <c r="DE429" s="14">
        <f t="shared" si="245"/>
        <v>4</v>
      </c>
      <c r="DF429" s="14">
        <f t="shared" si="246"/>
        <v>15</v>
      </c>
      <c r="DG429" s="14">
        <f t="shared" si="247"/>
        <v>450</v>
      </c>
    </row>
    <row r="430" spans="77:111" ht="16.5" x14ac:dyDescent="0.2">
      <c r="BY430" s="13">
        <v>426</v>
      </c>
      <c r="BZ430" s="14">
        <f t="shared" si="230"/>
        <v>59</v>
      </c>
      <c r="CA430" s="14">
        <f t="shared" si="231"/>
        <v>5</v>
      </c>
      <c r="CB430" s="14">
        <f t="shared" si="216"/>
        <v>5</v>
      </c>
      <c r="CC430" s="14">
        <f t="shared" si="217"/>
        <v>2054056</v>
      </c>
      <c r="CD430" s="13" t="str">
        <f t="shared" si="218"/>
        <v>100级寄灵人橙色套2-护手</v>
      </c>
      <c r="CE430" s="14">
        <f t="shared" si="219"/>
        <v>1</v>
      </c>
      <c r="CF430" s="14">
        <f t="shared" si="220"/>
        <v>4</v>
      </c>
      <c r="CG430" s="14">
        <f t="shared" si="232"/>
        <v>100</v>
      </c>
      <c r="CH430" s="14">
        <f t="shared" si="233"/>
        <v>100</v>
      </c>
      <c r="CI430" s="14">
        <f t="shared" si="221"/>
        <v>6</v>
      </c>
      <c r="CJ430" s="14">
        <f t="shared" si="234"/>
        <v>1052</v>
      </c>
      <c r="CK430" s="14">
        <f t="shared" si="222"/>
        <v>0</v>
      </c>
      <c r="CL430" s="14">
        <f t="shared" si="223"/>
        <v>0</v>
      </c>
      <c r="CM430" s="14">
        <f t="shared" si="224"/>
        <v>1265</v>
      </c>
      <c r="CN430" s="14">
        <f t="shared" si="225"/>
        <v>0</v>
      </c>
      <c r="CO430" s="14">
        <f t="shared" si="226"/>
        <v>0</v>
      </c>
      <c r="CP430" s="14">
        <f t="shared" si="227"/>
        <v>63.23</v>
      </c>
      <c r="CQ430" s="14">
        <f t="shared" si="235"/>
        <v>20</v>
      </c>
      <c r="CR430" s="14">
        <f t="shared" si="236"/>
        <v>4</v>
      </c>
      <c r="CS430" s="14">
        <f t="shared" si="237"/>
        <v>15</v>
      </c>
      <c r="CV430" s="14">
        <f t="shared" si="228"/>
        <v>3</v>
      </c>
      <c r="CW430" s="14">
        <f t="shared" si="229"/>
        <v>0</v>
      </c>
      <c r="CX430" s="14" t="str">
        <f t="shared" si="238"/>
        <v>HPExt</v>
      </c>
      <c r="CY430" s="14">
        <f t="shared" si="239"/>
        <v>1265</v>
      </c>
      <c r="CZ430" s="14">
        <f t="shared" si="240"/>
        <v>63.23</v>
      </c>
      <c r="DA430" s="14" t="str">
        <f t="shared" si="241"/>
        <v/>
      </c>
      <c r="DB430" s="14" t="str">
        <f t="shared" si="242"/>
        <v/>
      </c>
      <c r="DC430" s="14" t="str">
        <f t="shared" si="243"/>
        <v/>
      </c>
      <c r="DD430" s="14">
        <f t="shared" si="244"/>
        <v>20</v>
      </c>
      <c r="DE430" s="14">
        <f t="shared" si="245"/>
        <v>4</v>
      </c>
      <c r="DF430" s="14">
        <f t="shared" si="246"/>
        <v>15</v>
      </c>
      <c r="DG430" s="14">
        <f t="shared" si="247"/>
        <v>450</v>
      </c>
    </row>
    <row r="431" spans="77:111" ht="16.5" x14ac:dyDescent="0.2">
      <c r="BY431" s="13">
        <v>427</v>
      </c>
      <c r="BZ431" s="14">
        <f t="shared" si="230"/>
        <v>60</v>
      </c>
      <c r="CA431" s="14">
        <f t="shared" si="231"/>
        <v>6</v>
      </c>
      <c r="CB431" s="14">
        <f t="shared" si="216"/>
        <v>5</v>
      </c>
      <c r="CC431" s="14">
        <f t="shared" si="217"/>
        <v>2054061</v>
      </c>
      <c r="CD431" s="13" t="str">
        <f t="shared" si="218"/>
        <v>100级守护灵橙色套2-武器</v>
      </c>
      <c r="CE431" s="14">
        <f t="shared" si="219"/>
        <v>2</v>
      </c>
      <c r="CF431" s="14">
        <f t="shared" si="220"/>
        <v>4</v>
      </c>
      <c r="CG431" s="14">
        <f t="shared" si="232"/>
        <v>100</v>
      </c>
      <c r="CH431" s="14">
        <f t="shared" si="233"/>
        <v>100</v>
      </c>
      <c r="CI431" s="14">
        <f t="shared" si="221"/>
        <v>1</v>
      </c>
      <c r="CJ431" s="14">
        <f t="shared" si="234"/>
        <v>2052</v>
      </c>
      <c r="CK431" s="14">
        <f t="shared" si="222"/>
        <v>862</v>
      </c>
      <c r="CL431" s="14">
        <f t="shared" si="223"/>
        <v>0</v>
      </c>
      <c r="CM431" s="14">
        <f t="shared" si="224"/>
        <v>0</v>
      </c>
      <c r="CN431" s="14">
        <f t="shared" si="225"/>
        <v>43.1</v>
      </c>
      <c r="CO431" s="14">
        <f t="shared" si="226"/>
        <v>0</v>
      </c>
      <c r="CP431" s="14">
        <f t="shared" si="227"/>
        <v>0</v>
      </c>
      <c r="CQ431" s="14">
        <f t="shared" si="235"/>
        <v>20</v>
      </c>
      <c r="CR431" s="14">
        <f t="shared" si="236"/>
        <v>4</v>
      </c>
      <c r="CS431" s="14">
        <f t="shared" si="237"/>
        <v>25</v>
      </c>
      <c r="CV431" s="14">
        <f t="shared" si="228"/>
        <v>1</v>
      </c>
      <c r="CW431" s="14">
        <f t="shared" si="229"/>
        <v>0</v>
      </c>
      <c r="CX431" s="14" t="str">
        <f t="shared" si="238"/>
        <v>AtkExt</v>
      </c>
      <c r="CY431" s="14">
        <f t="shared" si="239"/>
        <v>862</v>
      </c>
      <c r="CZ431" s="14">
        <f t="shared" si="240"/>
        <v>43.1</v>
      </c>
      <c r="DA431" s="14" t="str">
        <f t="shared" si="241"/>
        <v/>
      </c>
      <c r="DB431" s="14" t="str">
        <f t="shared" si="242"/>
        <v/>
      </c>
      <c r="DC431" s="14" t="str">
        <f t="shared" si="243"/>
        <v/>
      </c>
      <c r="DD431" s="14">
        <f t="shared" si="244"/>
        <v>20</v>
      </c>
      <c r="DE431" s="14">
        <f t="shared" si="245"/>
        <v>4</v>
      </c>
      <c r="DF431" s="14">
        <f t="shared" si="246"/>
        <v>25</v>
      </c>
      <c r="DG431" s="14">
        <f t="shared" si="247"/>
        <v>450</v>
      </c>
    </row>
    <row r="432" spans="77:111" ht="16.5" x14ac:dyDescent="0.2">
      <c r="BY432" s="13">
        <v>428</v>
      </c>
      <c r="BZ432" s="14">
        <f t="shared" si="230"/>
        <v>60</v>
      </c>
      <c r="CA432" s="14">
        <f t="shared" si="231"/>
        <v>6</v>
      </c>
      <c r="CB432" s="14">
        <f t="shared" si="216"/>
        <v>5</v>
      </c>
      <c r="CC432" s="14">
        <f t="shared" si="217"/>
        <v>2054062</v>
      </c>
      <c r="CD432" s="13" t="str">
        <f t="shared" si="218"/>
        <v>100级守护灵橙色套2-头盔</v>
      </c>
      <c r="CE432" s="14">
        <f t="shared" si="219"/>
        <v>2</v>
      </c>
      <c r="CF432" s="14">
        <f t="shared" si="220"/>
        <v>4</v>
      </c>
      <c r="CG432" s="14">
        <f t="shared" si="232"/>
        <v>100</v>
      </c>
      <c r="CH432" s="14">
        <f t="shared" si="233"/>
        <v>100</v>
      </c>
      <c r="CI432" s="14">
        <f t="shared" si="221"/>
        <v>2</v>
      </c>
      <c r="CJ432" s="14">
        <f t="shared" si="234"/>
        <v>2052</v>
      </c>
      <c r="CK432" s="14">
        <f t="shared" si="222"/>
        <v>0</v>
      </c>
      <c r="CL432" s="14">
        <f t="shared" si="223"/>
        <v>212</v>
      </c>
      <c r="CM432" s="14">
        <f t="shared" si="224"/>
        <v>0</v>
      </c>
      <c r="CN432" s="14">
        <f t="shared" si="225"/>
        <v>0</v>
      </c>
      <c r="CO432" s="14">
        <f t="shared" si="226"/>
        <v>10.6</v>
      </c>
      <c r="CP432" s="14">
        <f t="shared" si="227"/>
        <v>0</v>
      </c>
      <c r="CQ432" s="14">
        <f t="shared" si="235"/>
        <v>20</v>
      </c>
      <c r="CR432" s="14">
        <f t="shared" si="236"/>
        <v>4</v>
      </c>
      <c r="CS432" s="14">
        <f t="shared" si="237"/>
        <v>25</v>
      </c>
      <c r="CV432" s="14">
        <f t="shared" si="228"/>
        <v>2</v>
      </c>
      <c r="CW432" s="14">
        <f t="shared" si="229"/>
        <v>0</v>
      </c>
      <c r="CX432" s="14" t="str">
        <f t="shared" si="238"/>
        <v>DefExt</v>
      </c>
      <c r="CY432" s="14">
        <f t="shared" si="239"/>
        <v>212</v>
      </c>
      <c r="CZ432" s="14">
        <f t="shared" si="240"/>
        <v>10.6</v>
      </c>
      <c r="DA432" s="14" t="str">
        <f t="shared" si="241"/>
        <v/>
      </c>
      <c r="DB432" s="14" t="str">
        <f t="shared" si="242"/>
        <v/>
      </c>
      <c r="DC432" s="14" t="str">
        <f t="shared" si="243"/>
        <v/>
      </c>
      <c r="DD432" s="14">
        <f t="shared" si="244"/>
        <v>20</v>
      </c>
      <c r="DE432" s="14">
        <f t="shared" si="245"/>
        <v>4</v>
      </c>
      <c r="DF432" s="14">
        <f t="shared" si="246"/>
        <v>25</v>
      </c>
      <c r="DG432" s="14">
        <f t="shared" si="247"/>
        <v>450</v>
      </c>
    </row>
    <row r="433" spans="77:111" ht="16.5" x14ac:dyDescent="0.2">
      <c r="BY433" s="13">
        <v>429</v>
      </c>
      <c r="BZ433" s="14">
        <f t="shared" si="230"/>
        <v>60</v>
      </c>
      <c r="CA433" s="14">
        <f t="shared" si="231"/>
        <v>6</v>
      </c>
      <c r="CB433" s="14">
        <f t="shared" si="216"/>
        <v>5</v>
      </c>
      <c r="CC433" s="14">
        <f t="shared" si="217"/>
        <v>2054063</v>
      </c>
      <c r="CD433" s="13" t="str">
        <f t="shared" si="218"/>
        <v>100级守护灵橙色套2-肩甲</v>
      </c>
      <c r="CE433" s="14">
        <f t="shared" si="219"/>
        <v>2</v>
      </c>
      <c r="CF433" s="14">
        <f t="shared" si="220"/>
        <v>4</v>
      </c>
      <c r="CG433" s="14">
        <f t="shared" si="232"/>
        <v>100</v>
      </c>
      <c r="CH433" s="14">
        <f t="shared" si="233"/>
        <v>100</v>
      </c>
      <c r="CI433" s="14">
        <f t="shared" si="221"/>
        <v>3</v>
      </c>
      <c r="CJ433" s="14">
        <f t="shared" si="234"/>
        <v>2052</v>
      </c>
      <c r="CK433" s="14">
        <f t="shared" si="222"/>
        <v>0</v>
      </c>
      <c r="CL433" s="14">
        <f t="shared" si="223"/>
        <v>106</v>
      </c>
      <c r="CM433" s="14">
        <f t="shared" si="224"/>
        <v>1133</v>
      </c>
      <c r="CN433" s="14">
        <f t="shared" si="225"/>
        <v>0</v>
      </c>
      <c r="CO433" s="14">
        <f t="shared" si="226"/>
        <v>5.3</v>
      </c>
      <c r="CP433" s="14">
        <f t="shared" si="227"/>
        <v>56.67</v>
      </c>
      <c r="CQ433" s="14">
        <f t="shared" si="235"/>
        <v>20</v>
      </c>
      <c r="CR433" s="14">
        <f t="shared" si="236"/>
        <v>4</v>
      </c>
      <c r="CS433" s="14">
        <f t="shared" si="237"/>
        <v>25</v>
      </c>
      <c r="CV433" s="14">
        <f t="shared" si="228"/>
        <v>2</v>
      </c>
      <c r="CW433" s="14">
        <f t="shared" si="229"/>
        <v>3</v>
      </c>
      <c r="CX433" s="14" t="str">
        <f t="shared" si="238"/>
        <v>DefExt</v>
      </c>
      <c r="CY433" s="14">
        <f t="shared" si="239"/>
        <v>106</v>
      </c>
      <c r="CZ433" s="14">
        <f t="shared" si="240"/>
        <v>5.3</v>
      </c>
      <c r="DA433" s="14" t="str">
        <f t="shared" si="241"/>
        <v>HPExt</v>
      </c>
      <c r="DB433" s="14">
        <f t="shared" si="242"/>
        <v>1133</v>
      </c>
      <c r="DC433" s="14">
        <f t="shared" si="243"/>
        <v>56.67</v>
      </c>
      <c r="DD433" s="14">
        <f t="shared" si="244"/>
        <v>20</v>
      </c>
      <c r="DE433" s="14">
        <f t="shared" si="245"/>
        <v>4</v>
      </c>
      <c r="DF433" s="14">
        <f t="shared" si="246"/>
        <v>25</v>
      </c>
      <c r="DG433" s="14">
        <f t="shared" si="247"/>
        <v>450</v>
      </c>
    </row>
    <row r="434" spans="77:111" ht="16.5" x14ac:dyDescent="0.2">
      <c r="BY434" s="13">
        <v>430</v>
      </c>
      <c r="BZ434" s="14">
        <f t="shared" si="230"/>
        <v>60</v>
      </c>
      <c r="CA434" s="14">
        <f t="shared" si="231"/>
        <v>6</v>
      </c>
      <c r="CB434" s="14">
        <f t="shared" si="216"/>
        <v>5</v>
      </c>
      <c r="CC434" s="14">
        <f t="shared" si="217"/>
        <v>2054064</v>
      </c>
      <c r="CD434" s="13" t="str">
        <f t="shared" si="218"/>
        <v>100级守护灵橙色套2-衣服</v>
      </c>
      <c r="CE434" s="14">
        <f t="shared" si="219"/>
        <v>2</v>
      </c>
      <c r="CF434" s="14">
        <f t="shared" si="220"/>
        <v>4</v>
      </c>
      <c r="CG434" s="14">
        <f t="shared" si="232"/>
        <v>100</v>
      </c>
      <c r="CH434" s="14">
        <f t="shared" si="233"/>
        <v>100</v>
      </c>
      <c r="CI434" s="14">
        <f t="shared" si="221"/>
        <v>4</v>
      </c>
      <c r="CJ434" s="14">
        <f t="shared" si="234"/>
        <v>2052</v>
      </c>
      <c r="CK434" s="14">
        <f t="shared" si="222"/>
        <v>0</v>
      </c>
      <c r="CL434" s="14">
        <f t="shared" si="223"/>
        <v>212</v>
      </c>
      <c r="CM434" s="14">
        <f t="shared" si="224"/>
        <v>0</v>
      </c>
      <c r="CN434" s="14">
        <f t="shared" si="225"/>
        <v>0</v>
      </c>
      <c r="CO434" s="14">
        <f t="shared" si="226"/>
        <v>10.6</v>
      </c>
      <c r="CP434" s="14">
        <f t="shared" si="227"/>
        <v>0</v>
      </c>
      <c r="CQ434" s="14">
        <f t="shared" si="235"/>
        <v>20</v>
      </c>
      <c r="CR434" s="14">
        <f t="shared" si="236"/>
        <v>4</v>
      </c>
      <c r="CS434" s="14">
        <f t="shared" si="237"/>
        <v>25</v>
      </c>
      <c r="CV434" s="14">
        <f t="shared" si="228"/>
        <v>2</v>
      </c>
      <c r="CW434" s="14">
        <f t="shared" si="229"/>
        <v>0</v>
      </c>
      <c r="CX434" s="14" t="str">
        <f t="shared" si="238"/>
        <v>DefExt</v>
      </c>
      <c r="CY434" s="14">
        <f t="shared" si="239"/>
        <v>212</v>
      </c>
      <c r="CZ434" s="14">
        <f t="shared" si="240"/>
        <v>10.6</v>
      </c>
      <c r="DA434" s="14" t="str">
        <f t="shared" si="241"/>
        <v/>
      </c>
      <c r="DB434" s="14" t="str">
        <f t="shared" si="242"/>
        <v/>
      </c>
      <c r="DC434" s="14" t="str">
        <f t="shared" si="243"/>
        <v/>
      </c>
      <c r="DD434" s="14">
        <f t="shared" si="244"/>
        <v>20</v>
      </c>
      <c r="DE434" s="14">
        <f t="shared" si="245"/>
        <v>4</v>
      </c>
      <c r="DF434" s="14">
        <f t="shared" si="246"/>
        <v>25</v>
      </c>
      <c r="DG434" s="14">
        <f t="shared" si="247"/>
        <v>450</v>
      </c>
    </row>
    <row r="435" spans="77:111" ht="16.5" x14ac:dyDescent="0.2">
      <c r="BY435" s="13">
        <v>431</v>
      </c>
      <c r="BZ435" s="14">
        <f t="shared" si="230"/>
        <v>60</v>
      </c>
      <c r="CA435" s="14">
        <f t="shared" si="231"/>
        <v>6</v>
      </c>
      <c r="CB435" s="14">
        <f t="shared" si="216"/>
        <v>5</v>
      </c>
      <c r="CC435" s="14">
        <f t="shared" si="217"/>
        <v>2054065</v>
      </c>
      <c r="CD435" s="13" t="str">
        <f t="shared" si="218"/>
        <v>100级守护灵橙色套2-鞋子</v>
      </c>
      <c r="CE435" s="14">
        <f t="shared" si="219"/>
        <v>2</v>
      </c>
      <c r="CF435" s="14">
        <f t="shared" si="220"/>
        <v>4</v>
      </c>
      <c r="CG435" s="14">
        <f t="shared" si="232"/>
        <v>100</v>
      </c>
      <c r="CH435" s="14">
        <f t="shared" si="233"/>
        <v>100</v>
      </c>
      <c r="CI435" s="14">
        <f t="shared" si="221"/>
        <v>5</v>
      </c>
      <c r="CJ435" s="14">
        <f t="shared" si="234"/>
        <v>2052</v>
      </c>
      <c r="CK435" s="14">
        <f t="shared" si="222"/>
        <v>0</v>
      </c>
      <c r="CL435" s="14">
        <f t="shared" si="223"/>
        <v>0</v>
      </c>
      <c r="CM435" s="14">
        <f t="shared" si="224"/>
        <v>2267</v>
      </c>
      <c r="CN435" s="14">
        <f t="shared" si="225"/>
        <v>0</v>
      </c>
      <c r="CO435" s="14">
        <f t="shared" si="226"/>
        <v>0</v>
      </c>
      <c r="CP435" s="14">
        <f t="shared" si="227"/>
        <v>113.33</v>
      </c>
      <c r="CQ435" s="14">
        <f t="shared" si="235"/>
        <v>20</v>
      </c>
      <c r="CR435" s="14">
        <f t="shared" si="236"/>
        <v>4</v>
      </c>
      <c r="CS435" s="14">
        <f t="shared" si="237"/>
        <v>25</v>
      </c>
      <c r="CV435" s="14">
        <f t="shared" si="228"/>
        <v>3</v>
      </c>
      <c r="CW435" s="14">
        <f t="shared" si="229"/>
        <v>0</v>
      </c>
      <c r="CX435" s="14" t="str">
        <f t="shared" si="238"/>
        <v>HPExt</v>
      </c>
      <c r="CY435" s="14">
        <f t="shared" si="239"/>
        <v>2267</v>
      </c>
      <c r="CZ435" s="14">
        <f t="shared" si="240"/>
        <v>113.33</v>
      </c>
      <c r="DA435" s="14" t="str">
        <f t="shared" si="241"/>
        <v/>
      </c>
      <c r="DB435" s="14" t="str">
        <f t="shared" si="242"/>
        <v/>
      </c>
      <c r="DC435" s="14" t="str">
        <f t="shared" si="243"/>
        <v/>
      </c>
      <c r="DD435" s="14">
        <f t="shared" si="244"/>
        <v>20</v>
      </c>
      <c r="DE435" s="14">
        <f t="shared" si="245"/>
        <v>4</v>
      </c>
      <c r="DF435" s="14">
        <f t="shared" si="246"/>
        <v>25</v>
      </c>
      <c r="DG435" s="14">
        <f t="shared" si="247"/>
        <v>450</v>
      </c>
    </row>
    <row r="436" spans="77:111" ht="16.5" x14ac:dyDescent="0.2">
      <c r="BY436" s="13">
        <v>432</v>
      </c>
      <c r="BZ436" s="14">
        <f t="shared" si="230"/>
        <v>60</v>
      </c>
      <c r="CA436" s="14">
        <f t="shared" si="231"/>
        <v>6</v>
      </c>
      <c r="CB436" s="14">
        <f t="shared" si="216"/>
        <v>5</v>
      </c>
      <c r="CC436" s="14">
        <f t="shared" si="217"/>
        <v>2054066</v>
      </c>
      <c r="CD436" s="13" t="str">
        <f t="shared" si="218"/>
        <v>100级守护灵橙色套2-护手</v>
      </c>
      <c r="CE436" s="14">
        <f t="shared" si="219"/>
        <v>2</v>
      </c>
      <c r="CF436" s="14">
        <f t="shared" si="220"/>
        <v>4</v>
      </c>
      <c r="CG436" s="14">
        <f t="shared" si="232"/>
        <v>100</v>
      </c>
      <c r="CH436" s="14">
        <f t="shared" si="233"/>
        <v>100</v>
      </c>
      <c r="CI436" s="14">
        <f t="shared" si="221"/>
        <v>6</v>
      </c>
      <c r="CJ436" s="14">
        <f t="shared" si="234"/>
        <v>2052</v>
      </c>
      <c r="CK436" s="14">
        <f t="shared" si="222"/>
        <v>0</v>
      </c>
      <c r="CL436" s="14">
        <f t="shared" si="223"/>
        <v>0</v>
      </c>
      <c r="CM436" s="14">
        <f t="shared" si="224"/>
        <v>2267</v>
      </c>
      <c r="CN436" s="14">
        <f t="shared" si="225"/>
        <v>0</v>
      </c>
      <c r="CO436" s="14">
        <f t="shared" si="226"/>
        <v>0</v>
      </c>
      <c r="CP436" s="14">
        <f t="shared" si="227"/>
        <v>113.33</v>
      </c>
      <c r="CQ436" s="14">
        <f t="shared" si="235"/>
        <v>20</v>
      </c>
      <c r="CR436" s="14">
        <f t="shared" si="236"/>
        <v>4</v>
      </c>
      <c r="CS436" s="14">
        <f t="shared" si="237"/>
        <v>25</v>
      </c>
      <c r="CV436" s="14">
        <f t="shared" si="228"/>
        <v>3</v>
      </c>
      <c r="CW436" s="14">
        <f t="shared" si="229"/>
        <v>0</v>
      </c>
      <c r="CX436" s="14" t="str">
        <f t="shared" si="238"/>
        <v>HPExt</v>
      </c>
      <c r="CY436" s="14">
        <f t="shared" si="239"/>
        <v>2267</v>
      </c>
      <c r="CZ436" s="14">
        <f t="shared" si="240"/>
        <v>113.33</v>
      </c>
      <c r="DA436" s="14" t="str">
        <f t="shared" si="241"/>
        <v/>
      </c>
      <c r="DB436" s="14" t="str">
        <f t="shared" si="242"/>
        <v/>
      </c>
      <c r="DC436" s="14" t="str">
        <f t="shared" si="243"/>
        <v/>
      </c>
      <c r="DD436" s="14">
        <f t="shared" si="244"/>
        <v>20</v>
      </c>
      <c r="DE436" s="14">
        <f t="shared" si="245"/>
        <v>4</v>
      </c>
      <c r="DF436" s="14">
        <f t="shared" si="246"/>
        <v>25</v>
      </c>
      <c r="DG436" s="14">
        <f t="shared" si="247"/>
        <v>450</v>
      </c>
    </row>
    <row r="437" spans="77:111" ht="16.5" x14ac:dyDescent="0.2">
      <c r="BY437" s="13">
        <v>433</v>
      </c>
      <c r="BZ437" s="14">
        <f t="shared" si="230"/>
        <v>61</v>
      </c>
      <c r="CA437" s="14">
        <f t="shared" si="231"/>
        <v>7</v>
      </c>
      <c r="CB437" s="14">
        <f t="shared" si="216"/>
        <v>5</v>
      </c>
      <c r="CC437" s="14">
        <f t="shared" si="217"/>
        <v>2054071</v>
      </c>
      <c r="CD437" s="13" t="str">
        <f t="shared" si="218"/>
        <v>100级寄灵人橙色套3-武器</v>
      </c>
      <c r="CE437" s="14">
        <f t="shared" si="219"/>
        <v>1</v>
      </c>
      <c r="CF437" s="14">
        <f t="shared" si="220"/>
        <v>4</v>
      </c>
      <c r="CG437" s="14">
        <f t="shared" si="232"/>
        <v>100</v>
      </c>
      <c r="CH437" s="14">
        <f t="shared" si="233"/>
        <v>100</v>
      </c>
      <c r="CI437" s="14">
        <f t="shared" si="221"/>
        <v>1</v>
      </c>
      <c r="CJ437" s="14">
        <f t="shared" si="234"/>
        <v>1053</v>
      </c>
      <c r="CK437" s="14">
        <f t="shared" si="222"/>
        <v>835</v>
      </c>
      <c r="CL437" s="14">
        <f t="shared" si="223"/>
        <v>0</v>
      </c>
      <c r="CM437" s="14">
        <f t="shared" si="224"/>
        <v>0</v>
      </c>
      <c r="CN437" s="14">
        <f t="shared" si="225"/>
        <v>41.75</v>
      </c>
      <c r="CO437" s="14">
        <f t="shared" si="226"/>
        <v>0</v>
      </c>
      <c r="CP437" s="14">
        <f t="shared" si="227"/>
        <v>0</v>
      </c>
      <c r="CQ437" s="14">
        <f t="shared" si="235"/>
        <v>20</v>
      </c>
      <c r="CR437" s="14">
        <f t="shared" si="236"/>
        <v>4</v>
      </c>
      <c r="CS437" s="14">
        <f t="shared" si="237"/>
        <v>15</v>
      </c>
      <c r="CV437" s="14">
        <f t="shared" si="228"/>
        <v>1</v>
      </c>
      <c r="CW437" s="14">
        <f t="shared" si="229"/>
        <v>0</v>
      </c>
      <c r="CX437" s="14" t="str">
        <f t="shared" si="238"/>
        <v>AtkExt</v>
      </c>
      <c r="CY437" s="14">
        <f t="shared" si="239"/>
        <v>835</v>
      </c>
      <c r="CZ437" s="14">
        <f t="shared" si="240"/>
        <v>41.75</v>
      </c>
      <c r="DA437" s="14" t="str">
        <f t="shared" si="241"/>
        <v/>
      </c>
      <c r="DB437" s="14" t="str">
        <f t="shared" si="242"/>
        <v/>
      </c>
      <c r="DC437" s="14" t="str">
        <f t="shared" si="243"/>
        <v/>
      </c>
      <c r="DD437" s="14">
        <f t="shared" si="244"/>
        <v>20</v>
      </c>
      <c r="DE437" s="14">
        <f t="shared" si="245"/>
        <v>4</v>
      </c>
      <c r="DF437" s="14">
        <f t="shared" si="246"/>
        <v>15</v>
      </c>
      <c r="DG437" s="14">
        <f t="shared" si="247"/>
        <v>450</v>
      </c>
    </row>
    <row r="438" spans="77:111" ht="16.5" x14ac:dyDescent="0.2">
      <c r="BY438" s="13">
        <v>434</v>
      </c>
      <c r="BZ438" s="14">
        <f t="shared" si="230"/>
        <v>61</v>
      </c>
      <c r="CA438" s="14">
        <f t="shared" si="231"/>
        <v>7</v>
      </c>
      <c r="CB438" s="14">
        <f t="shared" si="216"/>
        <v>5</v>
      </c>
      <c r="CC438" s="14">
        <f t="shared" si="217"/>
        <v>2054072</v>
      </c>
      <c r="CD438" s="13" t="str">
        <f t="shared" si="218"/>
        <v>100级寄灵人橙色套3-头盔</v>
      </c>
      <c r="CE438" s="14">
        <f t="shared" si="219"/>
        <v>1</v>
      </c>
      <c r="CF438" s="14">
        <f t="shared" si="220"/>
        <v>4</v>
      </c>
      <c r="CG438" s="14">
        <f t="shared" si="232"/>
        <v>100</v>
      </c>
      <c r="CH438" s="14">
        <f t="shared" si="233"/>
        <v>100</v>
      </c>
      <c r="CI438" s="14">
        <f t="shared" si="221"/>
        <v>2</v>
      </c>
      <c r="CJ438" s="14">
        <f t="shared" si="234"/>
        <v>1053</v>
      </c>
      <c r="CK438" s="14">
        <f t="shared" si="222"/>
        <v>0</v>
      </c>
      <c r="CL438" s="14">
        <f t="shared" si="223"/>
        <v>207</v>
      </c>
      <c r="CM438" s="14">
        <f t="shared" si="224"/>
        <v>0</v>
      </c>
      <c r="CN438" s="14">
        <f t="shared" si="225"/>
        <v>0</v>
      </c>
      <c r="CO438" s="14">
        <f t="shared" si="226"/>
        <v>10.33</v>
      </c>
      <c r="CP438" s="14">
        <f t="shared" si="227"/>
        <v>0</v>
      </c>
      <c r="CQ438" s="14">
        <f t="shared" si="235"/>
        <v>20</v>
      </c>
      <c r="CR438" s="14">
        <f t="shared" si="236"/>
        <v>4</v>
      </c>
      <c r="CS438" s="14">
        <f t="shared" si="237"/>
        <v>15</v>
      </c>
      <c r="CV438" s="14">
        <f t="shared" si="228"/>
        <v>2</v>
      </c>
      <c r="CW438" s="14">
        <f t="shared" si="229"/>
        <v>0</v>
      </c>
      <c r="CX438" s="14" t="str">
        <f t="shared" si="238"/>
        <v>DefExt</v>
      </c>
      <c r="CY438" s="14">
        <f t="shared" si="239"/>
        <v>207</v>
      </c>
      <c r="CZ438" s="14">
        <f t="shared" si="240"/>
        <v>10.33</v>
      </c>
      <c r="DA438" s="14" t="str">
        <f t="shared" si="241"/>
        <v/>
      </c>
      <c r="DB438" s="14" t="str">
        <f t="shared" si="242"/>
        <v/>
      </c>
      <c r="DC438" s="14" t="str">
        <f t="shared" si="243"/>
        <v/>
      </c>
      <c r="DD438" s="14">
        <f t="shared" si="244"/>
        <v>20</v>
      </c>
      <c r="DE438" s="14">
        <f t="shared" si="245"/>
        <v>4</v>
      </c>
      <c r="DF438" s="14">
        <f t="shared" si="246"/>
        <v>15</v>
      </c>
      <c r="DG438" s="14">
        <f t="shared" si="247"/>
        <v>450</v>
      </c>
    </row>
    <row r="439" spans="77:111" ht="16.5" x14ac:dyDescent="0.2">
      <c r="BY439" s="13">
        <v>435</v>
      </c>
      <c r="BZ439" s="14">
        <f t="shared" si="230"/>
        <v>61</v>
      </c>
      <c r="CA439" s="14">
        <f t="shared" si="231"/>
        <v>7</v>
      </c>
      <c r="CB439" s="14">
        <f t="shared" si="216"/>
        <v>5</v>
      </c>
      <c r="CC439" s="14">
        <f t="shared" si="217"/>
        <v>2054073</v>
      </c>
      <c r="CD439" s="13" t="str">
        <f t="shared" si="218"/>
        <v>100级寄灵人橙色套3-肩甲</v>
      </c>
      <c r="CE439" s="14">
        <f t="shared" si="219"/>
        <v>1</v>
      </c>
      <c r="CF439" s="14">
        <f t="shared" si="220"/>
        <v>4</v>
      </c>
      <c r="CG439" s="14">
        <f t="shared" si="232"/>
        <v>100</v>
      </c>
      <c r="CH439" s="14">
        <f t="shared" si="233"/>
        <v>100</v>
      </c>
      <c r="CI439" s="14">
        <f t="shared" si="221"/>
        <v>3</v>
      </c>
      <c r="CJ439" s="14">
        <f t="shared" si="234"/>
        <v>1053</v>
      </c>
      <c r="CK439" s="14">
        <f t="shared" si="222"/>
        <v>0</v>
      </c>
      <c r="CL439" s="14">
        <f t="shared" si="223"/>
        <v>103</v>
      </c>
      <c r="CM439" s="14">
        <f t="shared" si="224"/>
        <v>632</v>
      </c>
      <c r="CN439" s="14">
        <f t="shared" si="225"/>
        <v>0</v>
      </c>
      <c r="CO439" s="14">
        <f t="shared" si="226"/>
        <v>5.16</v>
      </c>
      <c r="CP439" s="14">
        <f t="shared" si="227"/>
        <v>31.62</v>
      </c>
      <c r="CQ439" s="14">
        <f t="shared" si="235"/>
        <v>20</v>
      </c>
      <c r="CR439" s="14">
        <f t="shared" si="236"/>
        <v>4</v>
      </c>
      <c r="CS439" s="14">
        <f t="shared" si="237"/>
        <v>15</v>
      </c>
      <c r="CV439" s="14">
        <f t="shared" si="228"/>
        <v>2</v>
      </c>
      <c r="CW439" s="14">
        <f t="shared" si="229"/>
        <v>3</v>
      </c>
      <c r="CX439" s="14" t="str">
        <f t="shared" si="238"/>
        <v>DefExt</v>
      </c>
      <c r="CY439" s="14">
        <f t="shared" si="239"/>
        <v>103</v>
      </c>
      <c r="CZ439" s="14">
        <f t="shared" si="240"/>
        <v>5.16</v>
      </c>
      <c r="DA439" s="14" t="str">
        <f t="shared" si="241"/>
        <v>HPExt</v>
      </c>
      <c r="DB439" s="14">
        <f t="shared" si="242"/>
        <v>632</v>
      </c>
      <c r="DC439" s="14">
        <f t="shared" si="243"/>
        <v>31.62</v>
      </c>
      <c r="DD439" s="14">
        <f t="shared" si="244"/>
        <v>20</v>
      </c>
      <c r="DE439" s="14">
        <f t="shared" si="245"/>
        <v>4</v>
      </c>
      <c r="DF439" s="14">
        <f t="shared" si="246"/>
        <v>15</v>
      </c>
      <c r="DG439" s="14">
        <f t="shared" si="247"/>
        <v>450</v>
      </c>
    </row>
    <row r="440" spans="77:111" ht="16.5" x14ac:dyDescent="0.2">
      <c r="BY440" s="13">
        <v>436</v>
      </c>
      <c r="BZ440" s="14">
        <f t="shared" si="230"/>
        <v>61</v>
      </c>
      <c r="CA440" s="14">
        <f t="shared" si="231"/>
        <v>7</v>
      </c>
      <c r="CB440" s="14">
        <f t="shared" si="216"/>
        <v>5</v>
      </c>
      <c r="CC440" s="14">
        <f t="shared" si="217"/>
        <v>2054074</v>
      </c>
      <c r="CD440" s="13" t="str">
        <f t="shared" si="218"/>
        <v>100级寄灵人橙色套3-衣服</v>
      </c>
      <c r="CE440" s="14">
        <f t="shared" si="219"/>
        <v>1</v>
      </c>
      <c r="CF440" s="14">
        <f t="shared" si="220"/>
        <v>4</v>
      </c>
      <c r="CG440" s="14">
        <f t="shared" si="232"/>
        <v>100</v>
      </c>
      <c r="CH440" s="14">
        <f t="shared" si="233"/>
        <v>100</v>
      </c>
      <c r="CI440" s="14">
        <f t="shared" si="221"/>
        <v>4</v>
      </c>
      <c r="CJ440" s="14">
        <f t="shared" si="234"/>
        <v>1053</v>
      </c>
      <c r="CK440" s="14">
        <f t="shared" si="222"/>
        <v>0</v>
      </c>
      <c r="CL440" s="14">
        <f t="shared" si="223"/>
        <v>207</v>
      </c>
      <c r="CM440" s="14">
        <f t="shared" si="224"/>
        <v>0</v>
      </c>
      <c r="CN440" s="14">
        <f t="shared" si="225"/>
        <v>0</v>
      </c>
      <c r="CO440" s="14">
        <f t="shared" si="226"/>
        <v>10.33</v>
      </c>
      <c r="CP440" s="14">
        <f t="shared" si="227"/>
        <v>0</v>
      </c>
      <c r="CQ440" s="14">
        <f t="shared" si="235"/>
        <v>20</v>
      </c>
      <c r="CR440" s="14">
        <f t="shared" si="236"/>
        <v>4</v>
      </c>
      <c r="CS440" s="14">
        <f t="shared" si="237"/>
        <v>15</v>
      </c>
      <c r="CV440" s="14">
        <f t="shared" si="228"/>
        <v>2</v>
      </c>
      <c r="CW440" s="14">
        <f t="shared" si="229"/>
        <v>0</v>
      </c>
      <c r="CX440" s="14" t="str">
        <f t="shared" si="238"/>
        <v>DefExt</v>
      </c>
      <c r="CY440" s="14">
        <f t="shared" si="239"/>
        <v>207</v>
      </c>
      <c r="CZ440" s="14">
        <f t="shared" si="240"/>
        <v>10.33</v>
      </c>
      <c r="DA440" s="14" t="str">
        <f t="shared" si="241"/>
        <v/>
      </c>
      <c r="DB440" s="14" t="str">
        <f t="shared" si="242"/>
        <v/>
      </c>
      <c r="DC440" s="14" t="str">
        <f t="shared" si="243"/>
        <v/>
      </c>
      <c r="DD440" s="14">
        <f t="shared" si="244"/>
        <v>20</v>
      </c>
      <c r="DE440" s="14">
        <f t="shared" si="245"/>
        <v>4</v>
      </c>
      <c r="DF440" s="14">
        <f t="shared" si="246"/>
        <v>15</v>
      </c>
      <c r="DG440" s="14">
        <f t="shared" si="247"/>
        <v>450</v>
      </c>
    </row>
    <row r="441" spans="77:111" ht="16.5" x14ac:dyDescent="0.2">
      <c r="BY441" s="13">
        <v>437</v>
      </c>
      <c r="BZ441" s="14">
        <f t="shared" si="230"/>
        <v>61</v>
      </c>
      <c r="CA441" s="14">
        <f t="shared" si="231"/>
        <v>7</v>
      </c>
      <c r="CB441" s="14">
        <f t="shared" si="216"/>
        <v>5</v>
      </c>
      <c r="CC441" s="14">
        <f t="shared" si="217"/>
        <v>2054075</v>
      </c>
      <c r="CD441" s="13" t="str">
        <f t="shared" si="218"/>
        <v>100级寄灵人橙色套3-鞋子</v>
      </c>
      <c r="CE441" s="14">
        <f t="shared" si="219"/>
        <v>1</v>
      </c>
      <c r="CF441" s="14">
        <f t="shared" si="220"/>
        <v>4</v>
      </c>
      <c r="CG441" s="14">
        <f t="shared" si="232"/>
        <v>100</v>
      </c>
      <c r="CH441" s="14">
        <f t="shared" si="233"/>
        <v>100</v>
      </c>
      <c r="CI441" s="14">
        <f t="shared" si="221"/>
        <v>5</v>
      </c>
      <c r="CJ441" s="14">
        <f t="shared" si="234"/>
        <v>1053</v>
      </c>
      <c r="CK441" s="14">
        <f t="shared" si="222"/>
        <v>0</v>
      </c>
      <c r="CL441" s="14">
        <f t="shared" si="223"/>
        <v>0</v>
      </c>
      <c r="CM441" s="14">
        <f t="shared" si="224"/>
        <v>1265</v>
      </c>
      <c r="CN441" s="14">
        <f t="shared" si="225"/>
        <v>0</v>
      </c>
      <c r="CO441" s="14">
        <f t="shared" si="226"/>
        <v>0</v>
      </c>
      <c r="CP441" s="14">
        <f t="shared" si="227"/>
        <v>63.23</v>
      </c>
      <c r="CQ441" s="14">
        <f t="shared" si="235"/>
        <v>20</v>
      </c>
      <c r="CR441" s="14">
        <f t="shared" si="236"/>
        <v>4</v>
      </c>
      <c r="CS441" s="14">
        <f t="shared" si="237"/>
        <v>15</v>
      </c>
      <c r="CV441" s="14">
        <f t="shared" si="228"/>
        <v>3</v>
      </c>
      <c r="CW441" s="14">
        <f t="shared" si="229"/>
        <v>0</v>
      </c>
      <c r="CX441" s="14" t="str">
        <f t="shared" si="238"/>
        <v>HPExt</v>
      </c>
      <c r="CY441" s="14">
        <f t="shared" si="239"/>
        <v>1265</v>
      </c>
      <c r="CZ441" s="14">
        <f t="shared" si="240"/>
        <v>63.23</v>
      </c>
      <c r="DA441" s="14" t="str">
        <f t="shared" si="241"/>
        <v/>
      </c>
      <c r="DB441" s="14" t="str">
        <f t="shared" si="242"/>
        <v/>
      </c>
      <c r="DC441" s="14" t="str">
        <f t="shared" si="243"/>
        <v/>
      </c>
      <c r="DD441" s="14">
        <f t="shared" si="244"/>
        <v>20</v>
      </c>
      <c r="DE441" s="14">
        <f t="shared" si="245"/>
        <v>4</v>
      </c>
      <c r="DF441" s="14">
        <f t="shared" si="246"/>
        <v>15</v>
      </c>
      <c r="DG441" s="14">
        <f t="shared" si="247"/>
        <v>450</v>
      </c>
    </row>
    <row r="442" spans="77:111" ht="16.5" x14ac:dyDescent="0.2">
      <c r="BY442" s="13">
        <v>438</v>
      </c>
      <c r="BZ442" s="14">
        <f t="shared" si="230"/>
        <v>61</v>
      </c>
      <c r="CA442" s="14">
        <f t="shared" si="231"/>
        <v>7</v>
      </c>
      <c r="CB442" s="14">
        <f t="shared" si="216"/>
        <v>5</v>
      </c>
      <c r="CC442" s="14">
        <f t="shared" si="217"/>
        <v>2054076</v>
      </c>
      <c r="CD442" s="13" t="str">
        <f t="shared" si="218"/>
        <v>100级寄灵人橙色套3-护手</v>
      </c>
      <c r="CE442" s="14">
        <f t="shared" si="219"/>
        <v>1</v>
      </c>
      <c r="CF442" s="14">
        <f t="shared" si="220"/>
        <v>4</v>
      </c>
      <c r="CG442" s="14">
        <f t="shared" si="232"/>
        <v>100</v>
      </c>
      <c r="CH442" s="14">
        <f t="shared" si="233"/>
        <v>100</v>
      </c>
      <c r="CI442" s="14">
        <f t="shared" si="221"/>
        <v>6</v>
      </c>
      <c r="CJ442" s="14">
        <f t="shared" si="234"/>
        <v>1053</v>
      </c>
      <c r="CK442" s="14">
        <f t="shared" si="222"/>
        <v>0</v>
      </c>
      <c r="CL442" s="14">
        <f t="shared" si="223"/>
        <v>0</v>
      </c>
      <c r="CM442" s="14">
        <f t="shared" si="224"/>
        <v>1265</v>
      </c>
      <c r="CN442" s="14">
        <f t="shared" si="225"/>
        <v>0</v>
      </c>
      <c r="CO442" s="14">
        <f t="shared" si="226"/>
        <v>0</v>
      </c>
      <c r="CP442" s="14">
        <f t="shared" si="227"/>
        <v>63.23</v>
      </c>
      <c r="CQ442" s="14">
        <f t="shared" si="235"/>
        <v>20</v>
      </c>
      <c r="CR442" s="14">
        <f t="shared" si="236"/>
        <v>4</v>
      </c>
      <c r="CS442" s="14">
        <f t="shared" si="237"/>
        <v>15</v>
      </c>
      <c r="CV442" s="14">
        <f t="shared" si="228"/>
        <v>3</v>
      </c>
      <c r="CW442" s="14">
        <f t="shared" si="229"/>
        <v>0</v>
      </c>
      <c r="CX442" s="14" t="str">
        <f t="shared" si="238"/>
        <v>HPExt</v>
      </c>
      <c r="CY442" s="14">
        <f t="shared" si="239"/>
        <v>1265</v>
      </c>
      <c r="CZ442" s="14">
        <f t="shared" si="240"/>
        <v>63.23</v>
      </c>
      <c r="DA442" s="14" t="str">
        <f t="shared" si="241"/>
        <v/>
      </c>
      <c r="DB442" s="14" t="str">
        <f t="shared" si="242"/>
        <v/>
      </c>
      <c r="DC442" s="14" t="str">
        <f t="shared" si="243"/>
        <v/>
      </c>
      <c r="DD442" s="14">
        <f t="shared" si="244"/>
        <v>20</v>
      </c>
      <c r="DE442" s="14">
        <f t="shared" si="245"/>
        <v>4</v>
      </c>
      <c r="DF442" s="14">
        <f t="shared" si="246"/>
        <v>15</v>
      </c>
      <c r="DG442" s="14">
        <f t="shared" si="247"/>
        <v>450</v>
      </c>
    </row>
    <row r="443" spans="77:111" ht="16.5" x14ac:dyDescent="0.2">
      <c r="BY443" s="13">
        <v>439</v>
      </c>
      <c r="BZ443" s="14">
        <f t="shared" si="230"/>
        <v>62</v>
      </c>
      <c r="CA443" s="14">
        <f t="shared" si="231"/>
        <v>8</v>
      </c>
      <c r="CB443" s="14">
        <f t="shared" si="216"/>
        <v>5</v>
      </c>
      <c r="CC443" s="14">
        <f t="shared" si="217"/>
        <v>2054081</v>
      </c>
      <c r="CD443" s="13" t="str">
        <f t="shared" si="218"/>
        <v>100级守护灵橙色套3-武器</v>
      </c>
      <c r="CE443" s="14">
        <f t="shared" si="219"/>
        <v>2</v>
      </c>
      <c r="CF443" s="14">
        <f t="shared" si="220"/>
        <v>4</v>
      </c>
      <c r="CG443" s="14">
        <f t="shared" si="232"/>
        <v>100</v>
      </c>
      <c r="CH443" s="14">
        <f t="shared" si="233"/>
        <v>100</v>
      </c>
      <c r="CI443" s="14">
        <f t="shared" si="221"/>
        <v>1</v>
      </c>
      <c r="CJ443" s="14">
        <f t="shared" si="234"/>
        <v>2053</v>
      </c>
      <c r="CK443" s="14">
        <f t="shared" si="222"/>
        <v>862</v>
      </c>
      <c r="CL443" s="14">
        <f t="shared" si="223"/>
        <v>0</v>
      </c>
      <c r="CM443" s="14">
        <f t="shared" si="224"/>
        <v>0</v>
      </c>
      <c r="CN443" s="14">
        <f t="shared" si="225"/>
        <v>43.1</v>
      </c>
      <c r="CO443" s="14">
        <f t="shared" si="226"/>
        <v>0</v>
      </c>
      <c r="CP443" s="14">
        <f t="shared" si="227"/>
        <v>0</v>
      </c>
      <c r="CQ443" s="14">
        <f t="shared" si="235"/>
        <v>20</v>
      </c>
      <c r="CR443" s="14">
        <f t="shared" si="236"/>
        <v>4</v>
      </c>
      <c r="CS443" s="14">
        <f t="shared" si="237"/>
        <v>25</v>
      </c>
      <c r="CV443" s="14">
        <f t="shared" si="228"/>
        <v>1</v>
      </c>
      <c r="CW443" s="14">
        <f t="shared" si="229"/>
        <v>0</v>
      </c>
      <c r="CX443" s="14" t="str">
        <f t="shared" si="238"/>
        <v>AtkExt</v>
      </c>
      <c r="CY443" s="14">
        <f t="shared" si="239"/>
        <v>862</v>
      </c>
      <c r="CZ443" s="14">
        <f t="shared" si="240"/>
        <v>43.1</v>
      </c>
      <c r="DA443" s="14" t="str">
        <f t="shared" si="241"/>
        <v/>
      </c>
      <c r="DB443" s="14" t="str">
        <f t="shared" si="242"/>
        <v/>
      </c>
      <c r="DC443" s="14" t="str">
        <f t="shared" si="243"/>
        <v/>
      </c>
      <c r="DD443" s="14">
        <f t="shared" si="244"/>
        <v>20</v>
      </c>
      <c r="DE443" s="14">
        <f t="shared" si="245"/>
        <v>4</v>
      </c>
      <c r="DF443" s="14">
        <f t="shared" si="246"/>
        <v>25</v>
      </c>
      <c r="DG443" s="14">
        <f t="shared" si="247"/>
        <v>450</v>
      </c>
    </row>
    <row r="444" spans="77:111" ht="16.5" x14ac:dyDescent="0.2">
      <c r="BY444" s="13">
        <v>440</v>
      </c>
      <c r="BZ444" s="14">
        <f t="shared" si="230"/>
        <v>62</v>
      </c>
      <c r="CA444" s="14">
        <f t="shared" si="231"/>
        <v>8</v>
      </c>
      <c r="CB444" s="14">
        <f t="shared" si="216"/>
        <v>5</v>
      </c>
      <c r="CC444" s="14">
        <f t="shared" si="217"/>
        <v>2054082</v>
      </c>
      <c r="CD444" s="13" t="str">
        <f t="shared" si="218"/>
        <v>100级守护灵橙色套3-头盔</v>
      </c>
      <c r="CE444" s="14">
        <f t="shared" si="219"/>
        <v>2</v>
      </c>
      <c r="CF444" s="14">
        <f t="shared" si="220"/>
        <v>4</v>
      </c>
      <c r="CG444" s="14">
        <f t="shared" si="232"/>
        <v>100</v>
      </c>
      <c r="CH444" s="14">
        <f t="shared" si="233"/>
        <v>100</v>
      </c>
      <c r="CI444" s="14">
        <f t="shared" si="221"/>
        <v>2</v>
      </c>
      <c r="CJ444" s="14">
        <f t="shared" si="234"/>
        <v>2053</v>
      </c>
      <c r="CK444" s="14">
        <f t="shared" si="222"/>
        <v>0</v>
      </c>
      <c r="CL444" s="14">
        <f t="shared" si="223"/>
        <v>212</v>
      </c>
      <c r="CM444" s="14">
        <f t="shared" si="224"/>
        <v>0</v>
      </c>
      <c r="CN444" s="14">
        <f t="shared" si="225"/>
        <v>0</v>
      </c>
      <c r="CO444" s="14">
        <f t="shared" si="226"/>
        <v>10.6</v>
      </c>
      <c r="CP444" s="14">
        <f t="shared" si="227"/>
        <v>0</v>
      </c>
      <c r="CQ444" s="14">
        <f t="shared" si="235"/>
        <v>20</v>
      </c>
      <c r="CR444" s="14">
        <f t="shared" si="236"/>
        <v>4</v>
      </c>
      <c r="CS444" s="14">
        <f t="shared" si="237"/>
        <v>25</v>
      </c>
      <c r="CV444" s="14">
        <f t="shared" si="228"/>
        <v>2</v>
      </c>
      <c r="CW444" s="14">
        <f t="shared" si="229"/>
        <v>0</v>
      </c>
      <c r="CX444" s="14" t="str">
        <f t="shared" si="238"/>
        <v>DefExt</v>
      </c>
      <c r="CY444" s="14">
        <f t="shared" si="239"/>
        <v>212</v>
      </c>
      <c r="CZ444" s="14">
        <f t="shared" si="240"/>
        <v>10.6</v>
      </c>
      <c r="DA444" s="14" t="str">
        <f t="shared" si="241"/>
        <v/>
      </c>
      <c r="DB444" s="14" t="str">
        <f t="shared" si="242"/>
        <v/>
      </c>
      <c r="DC444" s="14" t="str">
        <f t="shared" si="243"/>
        <v/>
      </c>
      <c r="DD444" s="14">
        <f t="shared" si="244"/>
        <v>20</v>
      </c>
      <c r="DE444" s="14">
        <f t="shared" si="245"/>
        <v>4</v>
      </c>
      <c r="DF444" s="14">
        <f t="shared" si="246"/>
        <v>25</v>
      </c>
      <c r="DG444" s="14">
        <f t="shared" si="247"/>
        <v>450</v>
      </c>
    </row>
    <row r="445" spans="77:111" ht="16.5" x14ac:dyDescent="0.2">
      <c r="BY445" s="13">
        <v>441</v>
      </c>
      <c r="BZ445" s="14">
        <f t="shared" si="230"/>
        <v>62</v>
      </c>
      <c r="CA445" s="14">
        <f t="shared" si="231"/>
        <v>8</v>
      </c>
      <c r="CB445" s="14">
        <f t="shared" si="216"/>
        <v>5</v>
      </c>
      <c r="CC445" s="14">
        <f t="shared" si="217"/>
        <v>2054083</v>
      </c>
      <c r="CD445" s="13" t="str">
        <f t="shared" si="218"/>
        <v>100级守护灵橙色套3-肩甲</v>
      </c>
      <c r="CE445" s="14">
        <f t="shared" si="219"/>
        <v>2</v>
      </c>
      <c r="CF445" s="14">
        <f t="shared" si="220"/>
        <v>4</v>
      </c>
      <c r="CG445" s="14">
        <f t="shared" si="232"/>
        <v>100</v>
      </c>
      <c r="CH445" s="14">
        <f t="shared" si="233"/>
        <v>100</v>
      </c>
      <c r="CI445" s="14">
        <f t="shared" si="221"/>
        <v>3</v>
      </c>
      <c r="CJ445" s="14">
        <f t="shared" si="234"/>
        <v>2053</v>
      </c>
      <c r="CK445" s="14">
        <f t="shared" si="222"/>
        <v>0</v>
      </c>
      <c r="CL445" s="14">
        <f t="shared" si="223"/>
        <v>106</v>
      </c>
      <c r="CM445" s="14">
        <f t="shared" si="224"/>
        <v>1133</v>
      </c>
      <c r="CN445" s="14">
        <f t="shared" si="225"/>
        <v>0</v>
      </c>
      <c r="CO445" s="14">
        <f t="shared" si="226"/>
        <v>5.3</v>
      </c>
      <c r="CP445" s="14">
        <f t="shared" si="227"/>
        <v>56.67</v>
      </c>
      <c r="CQ445" s="14">
        <f t="shared" si="235"/>
        <v>20</v>
      </c>
      <c r="CR445" s="14">
        <f t="shared" si="236"/>
        <v>4</v>
      </c>
      <c r="CS445" s="14">
        <f t="shared" si="237"/>
        <v>25</v>
      </c>
      <c r="CV445" s="14">
        <f t="shared" si="228"/>
        <v>2</v>
      </c>
      <c r="CW445" s="14">
        <f t="shared" si="229"/>
        <v>3</v>
      </c>
      <c r="CX445" s="14" t="str">
        <f t="shared" si="238"/>
        <v>DefExt</v>
      </c>
      <c r="CY445" s="14">
        <f t="shared" si="239"/>
        <v>106</v>
      </c>
      <c r="CZ445" s="14">
        <f t="shared" si="240"/>
        <v>5.3</v>
      </c>
      <c r="DA445" s="14" t="str">
        <f t="shared" si="241"/>
        <v>HPExt</v>
      </c>
      <c r="DB445" s="14">
        <f t="shared" si="242"/>
        <v>1133</v>
      </c>
      <c r="DC445" s="14">
        <f t="shared" si="243"/>
        <v>56.67</v>
      </c>
      <c r="DD445" s="14">
        <f t="shared" si="244"/>
        <v>20</v>
      </c>
      <c r="DE445" s="14">
        <f t="shared" si="245"/>
        <v>4</v>
      </c>
      <c r="DF445" s="14">
        <f t="shared" si="246"/>
        <v>25</v>
      </c>
      <c r="DG445" s="14">
        <f t="shared" si="247"/>
        <v>450</v>
      </c>
    </row>
    <row r="446" spans="77:111" ht="16.5" x14ac:dyDescent="0.2">
      <c r="BY446" s="13">
        <v>442</v>
      </c>
      <c r="BZ446" s="14">
        <f t="shared" si="230"/>
        <v>62</v>
      </c>
      <c r="CA446" s="14">
        <f t="shared" si="231"/>
        <v>8</v>
      </c>
      <c r="CB446" s="14">
        <f t="shared" si="216"/>
        <v>5</v>
      </c>
      <c r="CC446" s="14">
        <f t="shared" si="217"/>
        <v>2054084</v>
      </c>
      <c r="CD446" s="13" t="str">
        <f t="shared" si="218"/>
        <v>100级守护灵橙色套3-衣服</v>
      </c>
      <c r="CE446" s="14">
        <f t="shared" si="219"/>
        <v>2</v>
      </c>
      <c r="CF446" s="14">
        <f t="shared" si="220"/>
        <v>4</v>
      </c>
      <c r="CG446" s="14">
        <f t="shared" si="232"/>
        <v>100</v>
      </c>
      <c r="CH446" s="14">
        <f t="shared" si="233"/>
        <v>100</v>
      </c>
      <c r="CI446" s="14">
        <f t="shared" si="221"/>
        <v>4</v>
      </c>
      <c r="CJ446" s="14">
        <f t="shared" si="234"/>
        <v>2053</v>
      </c>
      <c r="CK446" s="14">
        <f t="shared" si="222"/>
        <v>0</v>
      </c>
      <c r="CL446" s="14">
        <f t="shared" si="223"/>
        <v>212</v>
      </c>
      <c r="CM446" s="14">
        <f t="shared" si="224"/>
        <v>0</v>
      </c>
      <c r="CN446" s="14">
        <f t="shared" si="225"/>
        <v>0</v>
      </c>
      <c r="CO446" s="14">
        <f t="shared" si="226"/>
        <v>10.6</v>
      </c>
      <c r="CP446" s="14">
        <f t="shared" si="227"/>
        <v>0</v>
      </c>
      <c r="CQ446" s="14">
        <f t="shared" si="235"/>
        <v>20</v>
      </c>
      <c r="CR446" s="14">
        <f t="shared" si="236"/>
        <v>4</v>
      </c>
      <c r="CS446" s="14">
        <f t="shared" si="237"/>
        <v>25</v>
      </c>
      <c r="CV446" s="14">
        <f t="shared" si="228"/>
        <v>2</v>
      </c>
      <c r="CW446" s="14">
        <f t="shared" si="229"/>
        <v>0</v>
      </c>
      <c r="CX446" s="14" t="str">
        <f t="shared" si="238"/>
        <v>DefExt</v>
      </c>
      <c r="CY446" s="14">
        <f t="shared" si="239"/>
        <v>212</v>
      </c>
      <c r="CZ446" s="14">
        <f t="shared" si="240"/>
        <v>10.6</v>
      </c>
      <c r="DA446" s="14" t="str">
        <f t="shared" si="241"/>
        <v/>
      </c>
      <c r="DB446" s="14" t="str">
        <f t="shared" si="242"/>
        <v/>
      </c>
      <c r="DC446" s="14" t="str">
        <f t="shared" si="243"/>
        <v/>
      </c>
      <c r="DD446" s="14">
        <f t="shared" si="244"/>
        <v>20</v>
      </c>
      <c r="DE446" s="14">
        <f t="shared" si="245"/>
        <v>4</v>
      </c>
      <c r="DF446" s="14">
        <f t="shared" si="246"/>
        <v>25</v>
      </c>
      <c r="DG446" s="14">
        <f t="shared" si="247"/>
        <v>450</v>
      </c>
    </row>
    <row r="447" spans="77:111" ht="16.5" x14ac:dyDescent="0.2">
      <c r="BY447" s="13">
        <v>443</v>
      </c>
      <c r="BZ447" s="14">
        <f t="shared" si="230"/>
        <v>62</v>
      </c>
      <c r="CA447" s="14">
        <f t="shared" si="231"/>
        <v>8</v>
      </c>
      <c r="CB447" s="14">
        <f t="shared" si="216"/>
        <v>5</v>
      </c>
      <c r="CC447" s="14">
        <f t="shared" si="217"/>
        <v>2054085</v>
      </c>
      <c r="CD447" s="13" t="str">
        <f t="shared" si="218"/>
        <v>100级守护灵橙色套3-鞋子</v>
      </c>
      <c r="CE447" s="14">
        <f t="shared" si="219"/>
        <v>2</v>
      </c>
      <c r="CF447" s="14">
        <f t="shared" si="220"/>
        <v>4</v>
      </c>
      <c r="CG447" s="14">
        <f t="shared" si="232"/>
        <v>100</v>
      </c>
      <c r="CH447" s="14">
        <f t="shared" si="233"/>
        <v>100</v>
      </c>
      <c r="CI447" s="14">
        <f t="shared" si="221"/>
        <v>5</v>
      </c>
      <c r="CJ447" s="14">
        <f t="shared" si="234"/>
        <v>2053</v>
      </c>
      <c r="CK447" s="14">
        <f t="shared" si="222"/>
        <v>0</v>
      </c>
      <c r="CL447" s="14">
        <f t="shared" si="223"/>
        <v>0</v>
      </c>
      <c r="CM447" s="14">
        <f t="shared" si="224"/>
        <v>2267</v>
      </c>
      <c r="CN447" s="14">
        <f t="shared" si="225"/>
        <v>0</v>
      </c>
      <c r="CO447" s="14">
        <f t="shared" si="226"/>
        <v>0</v>
      </c>
      <c r="CP447" s="14">
        <f t="shared" si="227"/>
        <v>113.33</v>
      </c>
      <c r="CQ447" s="14">
        <f t="shared" si="235"/>
        <v>20</v>
      </c>
      <c r="CR447" s="14">
        <f t="shared" si="236"/>
        <v>4</v>
      </c>
      <c r="CS447" s="14">
        <f t="shared" si="237"/>
        <v>25</v>
      </c>
      <c r="CV447" s="14">
        <f t="shared" si="228"/>
        <v>3</v>
      </c>
      <c r="CW447" s="14">
        <f t="shared" si="229"/>
        <v>0</v>
      </c>
      <c r="CX447" s="14" t="str">
        <f t="shared" si="238"/>
        <v>HPExt</v>
      </c>
      <c r="CY447" s="14">
        <f t="shared" si="239"/>
        <v>2267</v>
      </c>
      <c r="CZ447" s="14">
        <f t="shared" si="240"/>
        <v>113.33</v>
      </c>
      <c r="DA447" s="14" t="str">
        <f t="shared" si="241"/>
        <v/>
      </c>
      <c r="DB447" s="14" t="str">
        <f t="shared" si="242"/>
        <v/>
      </c>
      <c r="DC447" s="14" t="str">
        <f t="shared" si="243"/>
        <v/>
      </c>
      <c r="DD447" s="14">
        <f t="shared" si="244"/>
        <v>20</v>
      </c>
      <c r="DE447" s="14">
        <f t="shared" si="245"/>
        <v>4</v>
      </c>
      <c r="DF447" s="14">
        <f t="shared" si="246"/>
        <v>25</v>
      </c>
      <c r="DG447" s="14">
        <f t="shared" si="247"/>
        <v>450</v>
      </c>
    </row>
    <row r="448" spans="77:111" ht="16.5" x14ac:dyDescent="0.2">
      <c r="BY448" s="13">
        <v>444</v>
      </c>
      <c r="BZ448" s="14">
        <f t="shared" si="230"/>
        <v>62</v>
      </c>
      <c r="CA448" s="14">
        <f t="shared" si="231"/>
        <v>8</v>
      </c>
      <c r="CB448" s="14">
        <f t="shared" si="216"/>
        <v>5</v>
      </c>
      <c r="CC448" s="14">
        <f t="shared" si="217"/>
        <v>2054086</v>
      </c>
      <c r="CD448" s="13" t="str">
        <f t="shared" si="218"/>
        <v>100级守护灵橙色套3-护手</v>
      </c>
      <c r="CE448" s="14">
        <f t="shared" si="219"/>
        <v>2</v>
      </c>
      <c r="CF448" s="14">
        <f t="shared" si="220"/>
        <v>4</v>
      </c>
      <c r="CG448" s="14">
        <f t="shared" si="232"/>
        <v>100</v>
      </c>
      <c r="CH448" s="14">
        <f t="shared" si="233"/>
        <v>100</v>
      </c>
      <c r="CI448" s="14">
        <f t="shared" si="221"/>
        <v>6</v>
      </c>
      <c r="CJ448" s="14">
        <f t="shared" si="234"/>
        <v>2053</v>
      </c>
      <c r="CK448" s="14">
        <f t="shared" si="222"/>
        <v>0</v>
      </c>
      <c r="CL448" s="14">
        <f t="shared" si="223"/>
        <v>0</v>
      </c>
      <c r="CM448" s="14">
        <f t="shared" si="224"/>
        <v>2267</v>
      </c>
      <c r="CN448" s="14">
        <f t="shared" si="225"/>
        <v>0</v>
      </c>
      <c r="CO448" s="14">
        <f t="shared" si="226"/>
        <v>0</v>
      </c>
      <c r="CP448" s="14">
        <f t="shared" si="227"/>
        <v>113.33</v>
      </c>
      <c r="CQ448" s="14">
        <f t="shared" si="235"/>
        <v>20</v>
      </c>
      <c r="CR448" s="14">
        <f t="shared" si="236"/>
        <v>4</v>
      </c>
      <c r="CS448" s="14">
        <f t="shared" si="237"/>
        <v>25</v>
      </c>
      <c r="CV448" s="14">
        <f t="shared" si="228"/>
        <v>3</v>
      </c>
      <c r="CW448" s="14">
        <f t="shared" si="229"/>
        <v>0</v>
      </c>
      <c r="CX448" s="14" t="str">
        <f t="shared" si="238"/>
        <v>HPExt</v>
      </c>
      <c r="CY448" s="14">
        <f t="shared" si="239"/>
        <v>2267</v>
      </c>
      <c r="CZ448" s="14">
        <f t="shared" si="240"/>
        <v>113.33</v>
      </c>
      <c r="DA448" s="14" t="str">
        <f t="shared" si="241"/>
        <v/>
      </c>
      <c r="DB448" s="14" t="str">
        <f t="shared" si="242"/>
        <v/>
      </c>
      <c r="DC448" s="14" t="str">
        <f t="shared" si="243"/>
        <v/>
      </c>
      <c r="DD448" s="14">
        <f t="shared" si="244"/>
        <v>20</v>
      </c>
      <c r="DE448" s="14">
        <f t="shared" si="245"/>
        <v>4</v>
      </c>
      <c r="DF448" s="14">
        <f t="shared" si="246"/>
        <v>25</v>
      </c>
      <c r="DG448" s="14">
        <f t="shared" si="247"/>
        <v>450</v>
      </c>
    </row>
    <row r="449" spans="77:111" ht="16.5" x14ac:dyDescent="0.2">
      <c r="BY449" s="13">
        <v>445</v>
      </c>
      <c r="BZ449" s="14">
        <f t="shared" si="230"/>
        <v>63</v>
      </c>
      <c r="CA449" s="14">
        <f t="shared" si="231"/>
        <v>1</v>
      </c>
      <c r="CB449" s="14">
        <f t="shared" si="216"/>
        <v>6</v>
      </c>
      <c r="CC449" s="14">
        <f t="shared" si="217"/>
        <v>2061011</v>
      </c>
      <c r="CD449" s="13" t="str">
        <f t="shared" si="218"/>
        <v>120级寄灵人绿色-武器</v>
      </c>
      <c r="CE449" s="14">
        <f t="shared" si="219"/>
        <v>1</v>
      </c>
      <c r="CF449" s="14">
        <f t="shared" si="220"/>
        <v>1</v>
      </c>
      <c r="CG449" s="14">
        <f t="shared" si="232"/>
        <v>120</v>
      </c>
      <c r="CH449" s="14">
        <f t="shared" si="233"/>
        <v>120</v>
      </c>
      <c r="CI449" s="14">
        <f t="shared" si="221"/>
        <v>1</v>
      </c>
      <c r="CJ449" s="14" t="str">
        <f t="shared" si="234"/>
        <v/>
      </c>
      <c r="CK449" s="14">
        <f t="shared" si="222"/>
        <v>746</v>
      </c>
      <c r="CL449" s="14">
        <f t="shared" si="223"/>
        <v>0</v>
      </c>
      <c r="CM449" s="14">
        <f t="shared" si="224"/>
        <v>0</v>
      </c>
      <c r="CN449" s="14">
        <f t="shared" si="225"/>
        <v>62.18</v>
      </c>
      <c r="CO449" s="14">
        <f t="shared" si="226"/>
        <v>0</v>
      </c>
      <c r="CP449" s="14">
        <f t="shared" si="227"/>
        <v>0</v>
      </c>
      <c r="CQ449" s="14">
        <f t="shared" si="235"/>
        <v>21</v>
      </c>
      <c r="CR449" s="14">
        <f t="shared" si="236"/>
        <v>0</v>
      </c>
      <c r="CS449" s="14">
        <f t="shared" si="237"/>
        <v>16</v>
      </c>
      <c r="CV449" s="14">
        <f t="shared" si="228"/>
        <v>1</v>
      </c>
      <c r="CW449" s="14">
        <f t="shared" si="229"/>
        <v>0</v>
      </c>
      <c r="CX449" s="14" t="str">
        <f t="shared" si="238"/>
        <v>AtkExt</v>
      </c>
      <c r="CY449" s="14">
        <f t="shared" si="239"/>
        <v>746</v>
      </c>
      <c r="CZ449" s="14">
        <f t="shared" si="240"/>
        <v>62.18</v>
      </c>
      <c r="DA449" s="14" t="str">
        <f t="shared" si="241"/>
        <v/>
      </c>
      <c r="DB449" s="14" t="str">
        <f t="shared" si="242"/>
        <v/>
      </c>
      <c r="DC449" s="14" t="str">
        <f t="shared" si="243"/>
        <v/>
      </c>
      <c r="DD449" s="14">
        <f t="shared" si="244"/>
        <v>21</v>
      </c>
      <c r="DE449" s="14">
        <f t="shared" si="245"/>
        <v>0</v>
      </c>
      <c r="DF449" s="14">
        <f t="shared" si="246"/>
        <v>16</v>
      </c>
      <c r="DG449" s="14">
        <f t="shared" si="247"/>
        <v>75</v>
      </c>
    </row>
    <row r="450" spans="77:111" ht="16.5" x14ac:dyDescent="0.2">
      <c r="BY450" s="13">
        <v>446</v>
      </c>
      <c r="BZ450" s="14">
        <f t="shared" si="230"/>
        <v>63</v>
      </c>
      <c r="CA450" s="14">
        <f t="shared" si="231"/>
        <v>1</v>
      </c>
      <c r="CB450" s="14">
        <f t="shared" si="216"/>
        <v>6</v>
      </c>
      <c r="CC450" s="14">
        <f t="shared" si="217"/>
        <v>2061012</v>
      </c>
      <c r="CD450" s="13" t="str">
        <f t="shared" si="218"/>
        <v>120级寄灵人绿色-头盔</v>
      </c>
      <c r="CE450" s="14">
        <f t="shared" si="219"/>
        <v>1</v>
      </c>
      <c r="CF450" s="14">
        <f t="shared" si="220"/>
        <v>1</v>
      </c>
      <c r="CG450" s="14">
        <f t="shared" si="232"/>
        <v>120</v>
      </c>
      <c r="CH450" s="14">
        <f t="shared" si="233"/>
        <v>120</v>
      </c>
      <c r="CI450" s="14">
        <f t="shared" si="221"/>
        <v>2</v>
      </c>
      <c r="CJ450" s="14" t="str">
        <f t="shared" si="234"/>
        <v/>
      </c>
      <c r="CK450" s="14">
        <f t="shared" si="222"/>
        <v>0</v>
      </c>
      <c r="CL450" s="14">
        <f t="shared" si="223"/>
        <v>185</v>
      </c>
      <c r="CM450" s="14">
        <f t="shared" si="224"/>
        <v>0</v>
      </c>
      <c r="CN450" s="14">
        <f t="shared" si="225"/>
        <v>0</v>
      </c>
      <c r="CO450" s="14">
        <f t="shared" si="226"/>
        <v>15.45</v>
      </c>
      <c r="CP450" s="14">
        <f t="shared" si="227"/>
        <v>0</v>
      </c>
      <c r="CQ450" s="14">
        <f t="shared" si="235"/>
        <v>21</v>
      </c>
      <c r="CR450" s="14">
        <f t="shared" si="236"/>
        <v>0</v>
      </c>
      <c r="CS450" s="14">
        <f t="shared" si="237"/>
        <v>16</v>
      </c>
      <c r="CV450" s="14">
        <f t="shared" si="228"/>
        <v>2</v>
      </c>
      <c r="CW450" s="14">
        <f t="shared" si="229"/>
        <v>0</v>
      </c>
      <c r="CX450" s="14" t="str">
        <f t="shared" si="238"/>
        <v>DefExt</v>
      </c>
      <c r="CY450" s="14">
        <f t="shared" si="239"/>
        <v>185</v>
      </c>
      <c r="CZ450" s="14">
        <f t="shared" si="240"/>
        <v>15.45</v>
      </c>
      <c r="DA450" s="14" t="str">
        <f t="shared" si="241"/>
        <v/>
      </c>
      <c r="DB450" s="14" t="str">
        <f t="shared" si="242"/>
        <v/>
      </c>
      <c r="DC450" s="14" t="str">
        <f t="shared" si="243"/>
        <v/>
      </c>
      <c r="DD450" s="14">
        <f t="shared" si="244"/>
        <v>21</v>
      </c>
      <c r="DE450" s="14">
        <f t="shared" si="245"/>
        <v>0</v>
      </c>
      <c r="DF450" s="14">
        <f t="shared" si="246"/>
        <v>16</v>
      </c>
      <c r="DG450" s="14">
        <f t="shared" si="247"/>
        <v>75</v>
      </c>
    </row>
    <row r="451" spans="77:111" ht="16.5" x14ac:dyDescent="0.2">
      <c r="BY451" s="13">
        <v>447</v>
      </c>
      <c r="BZ451" s="14">
        <f t="shared" si="230"/>
        <v>63</v>
      </c>
      <c r="CA451" s="14">
        <f t="shared" si="231"/>
        <v>1</v>
      </c>
      <c r="CB451" s="14">
        <f t="shared" si="216"/>
        <v>6</v>
      </c>
      <c r="CC451" s="14">
        <f t="shared" si="217"/>
        <v>2061013</v>
      </c>
      <c r="CD451" s="13" t="str">
        <f t="shared" si="218"/>
        <v>120级寄灵人绿色-肩甲</v>
      </c>
      <c r="CE451" s="14">
        <f t="shared" si="219"/>
        <v>1</v>
      </c>
      <c r="CF451" s="14">
        <f t="shared" si="220"/>
        <v>1</v>
      </c>
      <c r="CG451" s="14">
        <f t="shared" si="232"/>
        <v>120</v>
      </c>
      <c r="CH451" s="14">
        <f t="shared" si="233"/>
        <v>120</v>
      </c>
      <c r="CI451" s="14">
        <f t="shared" si="221"/>
        <v>3</v>
      </c>
      <c r="CJ451" s="14" t="str">
        <f t="shared" si="234"/>
        <v/>
      </c>
      <c r="CK451" s="14">
        <f t="shared" si="222"/>
        <v>0</v>
      </c>
      <c r="CL451" s="14">
        <f t="shared" si="223"/>
        <v>93</v>
      </c>
      <c r="CM451" s="14">
        <f t="shared" si="224"/>
        <v>563</v>
      </c>
      <c r="CN451" s="14">
        <f t="shared" si="225"/>
        <v>0</v>
      </c>
      <c r="CO451" s="14">
        <f t="shared" si="226"/>
        <v>7.73</v>
      </c>
      <c r="CP451" s="14">
        <f t="shared" si="227"/>
        <v>46.89</v>
      </c>
      <c r="CQ451" s="14">
        <f t="shared" si="235"/>
        <v>21</v>
      </c>
      <c r="CR451" s="14">
        <f t="shared" si="236"/>
        <v>0</v>
      </c>
      <c r="CS451" s="14">
        <f t="shared" si="237"/>
        <v>16</v>
      </c>
      <c r="CV451" s="14">
        <f t="shared" si="228"/>
        <v>2</v>
      </c>
      <c r="CW451" s="14">
        <f t="shared" si="229"/>
        <v>3</v>
      </c>
      <c r="CX451" s="14" t="str">
        <f t="shared" si="238"/>
        <v>DefExt</v>
      </c>
      <c r="CY451" s="14">
        <f t="shared" si="239"/>
        <v>93</v>
      </c>
      <c r="CZ451" s="14">
        <f t="shared" si="240"/>
        <v>7.73</v>
      </c>
      <c r="DA451" s="14" t="str">
        <f t="shared" si="241"/>
        <v>HPExt</v>
      </c>
      <c r="DB451" s="14">
        <f t="shared" si="242"/>
        <v>563</v>
      </c>
      <c r="DC451" s="14">
        <f t="shared" si="243"/>
        <v>46.89</v>
      </c>
      <c r="DD451" s="14">
        <f t="shared" si="244"/>
        <v>21</v>
      </c>
      <c r="DE451" s="14">
        <f t="shared" si="245"/>
        <v>0</v>
      </c>
      <c r="DF451" s="14">
        <f t="shared" si="246"/>
        <v>16</v>
      </c>
      <c r="DG451" s="14">
        <f t="shared" si="247"/>
        <v>75</v>
      </c>
    </row>
    <row r="452" spans="77:111" ht="16.5" x14ac:dyDescent="0.2">
      <c r="BY452" s="13">
        <v>448</v>
      </c>
      <c r="BZ452" s="14">
        <f t="shared" si="230"/>
        <v>63</v>
      </c>
      <c r="CA452" s="14">
        <f t="shared" si="231"/>
        <v>1</v>
      </c>
      <c r="CB452" s="14">
        <f t="shared" si="216"/>
        <v>6</v>
      </c>
      <c r="CC452" s="14">
        <f t="shared" si="217"/>
        <v>2061014</v>
      </c>
      <c r="CD452" s="13" t="str">
        <f t="shared" si="218"/>
        <v>120级寄灵人绿色-衣服</v>
      </c>
      <c r="CE452" s="14">
        <f t="shared" si="219"/>
        <v>1</v>
      </c>
      <c r="CF452" s="14">
        <f t="shared" si="220"/>
        <v>1</v>
      </c>
      <c r="CG452" s="14">
        <f t="shared" si="232"/>
        <v>120</v>
      </c>
      <c r="CH452" s="14">
        <f t="shared" si="233"/>
        <v>120</v>
      </c>
      <c r="CI452" s="14">
        <f t="shared" si="221"/>
        <v>4</v>
      </c>
      <c r="CJ452" s="14" t="str">
        <f t="shared" si="234"/>
        <v/>
      </c>
      <c r="CK452" s="14">
        <f t="shared" si="222"/>
        <v>0</v>
      </c>
      <c r="CL452" s="14">
        <f t="shared" si="223"/>
        <v>185</v>
      </c>
      <c r="CM452" s="14">
        <f t="shared" si="224"/>
        <v>0</v>
      </c>
      <c r="CN452" s="14">
        <f t="shared" si="225"/>
        <v>0</v>
      </c>
      <c r="CO452" s="14">
        <f t="shared" si="226"/>
        <v>15.45</v>
      </c>
      <c r="CP452" s="14">
        <f t="shared" si="227"/>
        <v>0</v>
      </c>
      <c r="CQ452" s="14">
        <f t="shared" si="235"/>
        <v>21</v>
      </c>
      <c r="CR452" s="14">
        <f t="shared" si="236"/>
        <v>0</v>
      </c>
      <c r="CS452" s="14">
        <f t="shared" si="237"/>
        <v>16</v>
      </c>
      <c r="CV452" s="14">
        <f t="shared" si="228"/>
        <v>2</v>
      </c>
      <c r="CW452" s="14">
        <f t="shared" si="229"/>
        <v>0</v>
      </c>
      <c r="CX452" s="14" t="str">
        <f t="shared" si="238"/>
        <v>DefExt</v>
      </c>
      <c r="CY452" s="14">
        <f t="shared" si="239"/>
        <v>185</v>
      </c>
      <c r="CZ452" s="14">
        <f t="shared" si="240"/>
        <v>15.45</v>
      </c>
      <c r="DA452" s="14" t="str">
        <f t="shared" si="241"/>
        <v/>
      </c>
      <c r="DB452" s="14" t="str">
        <f t="shared" si="242"/>
        <v/>
      </c>
      <c r="DC452" s="14" t="str">
        <f t="shared" si="243"/>
        <v/>
      </c>
      <c r="DD452" s="14">
        <f t="shared" si="244"/>
        <v>21</v>
      </c>
      <c r="DE452" s="14">
        <f t="shared" si="245"/>
        <v>0</v>
      </c>
      <c r="DF452" s="14">
        <f t="shared" si="246"/>
        <v>16</v>
      </c>
      <c r="DG452" s="14">
        <f t="shared" si="247"/>
        <v>75</v>
      </c>
    </row>
    <row r="453" spans="77:111" ht="16.5" x14ac:dyDescent="0.2">
      <c r="BY453" s="13">
        <v>449</v>
      </c>
      <c r="BZ453" s="14">
        <f t="shared" si="230"/>
        <v>63</v>
      </c>
      <c r="CA453" s="14">
        <f t="shared" si="231"/>
        <v>1</v>
      </c>
      <c r="CB453" s="14">
        <f t="shared" ref="CB453:CB516" si="248">INDEX($BE$6:$BE$81,BZ453)</f>
        <v>6</v>
      </c>
      <c r="CC453" s="14">
        <f t="shared" ref="CC453:CC516" si="249">INDEX($BJ$6:$BJ$81,BZ453)+CI453</f>
        <v>2061015</v>
      </c>
      <c r="CD453" s="13" t="str">
        <f t="shared" ref="CD453:CD516" si="250">INDEX($BK$6:$BK$81,BZ453)&amp;"-"&amp;INDEX($BO$3:$BV$3,CI453)</f>
        <v>120级寄灵人绿色-鞋子</v>
      </c>
      <c r="CE453" s="14">
        <f t="shared" ref="CE453:CE516" si="251">INDEX($BH$6:$BH$81,BZ453)</f>
        <v>1</v>
      </c>
      <c r="CF453" s="14">
        <f t="shared" ref="CF453:CF516" si="252">INDEX($BG$6:$BG$81,BZ453)</f>
        <v>1</v>
      </c>
      <c r="CG453" s="14">
        <f t="shared" si="232"/>
        <v>120</v>
      </c>
      <c r="CH453" s="14">
        <f t="shared" si="233"/>
        <v>120</v>
      </c>
      <c r="CI453" s="14">
        <f t="shared" ref="CI453:CI516" si="253">BY453-INDEX($BN$5:$BN$81,BZ453)</f>
        <v>5</v>
      </c>
      <c r="CJ453" s="14" t="str">
        <f t="shared" si="234"/>
        <v/>
      </c>
      <c r="CK453" s="14">
        <f t="shared" ref="CK453:CK516" si="254">ROUND(INDEX(I$5:I$16,($CE453-1)*6+$CB453)*INDEX(W$5:W$12,$CI453)*INDEX($AF$5:$AF$8,$CF453),0)</f>
        <v>0</v>
      </c>
      <c r="CL453" s="14">
        <f t="shared" ref="CL453:CL516" si="255">ROUND(INDEX(J$5:J$16,($CE453-1)*6+$CB453)*INDEX(X$5:X$12,$CI453)*INDEX($AF$5:$AF$8,$CF453),0)</f>
        <v>0</v>
      </c>
      <c r="CM453" s="14">
        <f t="shared" ref="CM453:CM516" si="256">ROUND(INDEX(K$5:K$16,($CE453-1)*6+$CB453)*INDEX(Y$5:Y$12,$CI453)*INDEX($AF$5:$AF$8,$CF453),0)</f>
        <v>1125</v>
      </c>
      <c r="CN453" s="14">
        <f t="shared" ref="CN453:CN516" si="257">ROUND(INDEX(E$5:E$16,($CE453-1)*6+$CB453)*INDEX(W$5:W$12,$CI453),2)</f>
        <v>0</v>
      </c>
      <c r="CO453" s="14">
        <f t="shared" ref="CO453:CO516" si="258">ROUND(INDEX(F$5:F$16,($CE453-1)*6+$CB453)*INDEX(X$5:X$12,$CI453),2)</f>
        <v>0</v>
      </c>
      <c r="CP453" s="14">
        <f t="shared" ref="CP453:CP516" si="259">ROUND(INDEX(G$5:G$16,($CE453-1)*6+$CB453)*INDEX(Y$5:Y$12,$CI453),2)</f>
        <v>93.78</v>
      </c>
      <c r="CQ453" s="14">
        <f t="shared" si="235"/>
        <v>21</v>
      </c>
      <c r="CR453" s="14">
        <f t="shared" si="236"/>
        <v>0</v>
      </c>
      <c r="CS453" s="14">
        <f t="shared" si="237"/>
        <v>16</v>
      </c>
      <c r="CV453" s="14">
        <f t="shared" ref="CV453:CV516" si="260">INDEX(Z$5:Z$12,$CI453)</f>
        <v>3</v>
      </c>
      <c r="CW453" s="14">
        <f t="shared" ref="CW453:CW516" si="261">INDEX(AA$5:AA$12,$CI453)</f>
        <v>0</v>
      </c>
      <c r="CX453" s="14" t="str">
        <f t="shared" si="238"/>
        <v>HPExt</v>
      </c>
      <c r="CY453" s="14">
        <f t="shared" si="239"/>
        <v>1125</v>
      </c>
      <c r="CZ453" s="14">
        <f t="shared" si="240"/>
        <v>93.78</v>
      </c>
      <c r="DA453" s="14" t="str">
        <f t="shared" si="241"/>
        <v/>
      </c>
      <c r="DB453" s="14" t="str">
        <f t="shared" si="242"/>
        <v/>
      </c>
      <c r="DC453" s="14" t="str">
        <f t="shared" si="243"/>
        <v/>
      </c>
      <c r="DD453" s="14">
        <f t="shared" si="244"/>
        <v>21</v>
      </c>
      <c r="DE453" s="14">
        <f t="shared" si="245"/>
        <v>0</v>
      </c>
      <c r="DF453" s="14">
        <f t="shared" si="246"/>
        <v>16</v>
      </c>
      <c r="DG453" s="14">
        <f t="shared" si="247"/>
        <v>75</v>
      </c>
    </row>
    <row r="454" spans="77:111" ht="16.5" x14ac:dyDescent="0.2">
      <c r="BY454" s="13">
        <v>450</v>
      </c>
      <c r="BZ454" s="14">
        <f t="shared" ref="BZ454:BZ517" si="262">MATCH(BY454-1,$BN$5:$BN$81,1)</f>
        <v>63</v>
      </c>
      <c r="CA454" s="14">
        <f t="shared" ref="CA454:CA517" si="263">INDEX($BI$6:$BI$81,BZ454)</f>
        <v>1</v>
      </c>
      <c r="CB454" s="14">
        <f t="shared" si="248"/>
        <v>6</v>
      </c>
      <c r="CC454" s="14">
        <f t="shared" si="249"/>
        <v>2061016</v>
      </c>
      <c r="CD454" s="13" t="str">
        <f t="shared" si="250"/>
        <v>120级寄灵人绿色-护手</v>
      </c>
      <c r="CE454" s="14">
        <f t="shared" si="251"/>
        <v>1</v>
      </c>
      <c r="CF454" s="14">
        <f t="shared" si="252"/>
        <v>1</v>
      </c>
      <c r="CG454" s="14">
        <f t="shared" ref="CG454:CG517" si="264">INDEX($D$5:$D$16,(CE454-1)*6+CB454)</f>
        <v>120</v>
      </c>
      <c r="CH454" s="14">
        <f t="shared" ref="CH454:CH517" si="265">INDEX($D$5:$D$16,(CE454-1)*6+CB454)</f>
        <v>120</v>
      </c>
      <c r="CI454" s="14">
        <f t="shared" si="253"/>
        <v>6</v>
      </c>
      <c r="CJ454" s="14" t="str">
        <f t="shared" ref="CJ454:CJ517" si="266">IF(INDEX($BL$6:$BL$81,BZ454)&gt;0,INDEX($BL$6:$BL$81,BZ454),"")</f>
        <v/>
      </c>
      <c r="CK454" s="14">
        <f t="shared" si="254"/>
        <v>0</v>
      </c>
      <c r="CL454" s="14">
        <f t="shared" si="255"/>
        <v>0</v>
      </c>
      <c r="CM454" s="14">
        <f t="shared" si="256"/>
        <v>1125</v>
      </c>
      <c r="CN454" s="14">
        <f t="shared" si="257"/>
        <v>0</v>
      </c>
      <c r="CO454" s="14">
        <f t="shared" si="258"/>
        <v>0</v>
      </c>
      <c r="CP454" s="14">
        <f t="shared" si="259"/>
        <v>93.78</v>
      </c>
      <c r="CQ454" s="14">
        <f t="shared" ref="CQ454:CQ517" si="267">(CB454-1)*4+CF454</f>
        <v>21</v>
      </c>
      <c r="CR454" s="14">
        <f t="shared" ref="CR454:CR517" si="268">INDEX($AY$5:$BB$16,CB454,CF454)</f>
        <v>0</v>
      </c>
      <c r="CS454" s="14">
        <f t="shared" ref="CS454:CS517" si="269">CE454*10+CB454</f>
        <v>16</v>
      </c>
      <c r="CV454" s="14">
        <f t="shared" si="260"/>
        <v>3</v>
      </c>
      <c r="CW454" s="14">
        <f t="shared" si="261"/>
        <v>0</v>
      </c>
      <c r="CX454" s="14" t="str">
        <f t="shared" ref="CX454:CX517" si="270">INDEX($U$3:$W$3,CV454)</f>
        <v>HPExt</v>
      </c>
      <c r="CY454" s="14">
        <f t="shared" ref="CY454:CY517" si="271">INDEX(CK454:CM454,CV454)</f>
        <v>1125</v>
      </c>
      <c r="CZ454" s="14">
        <f t="shared" ref="CZ454:CZ517" si="272">INDEX(CN454:CP454,CV454)</f>
        <v>93.78</v>
      </c>
      <c r="DA454" s="14" t="str">
        <f t="shared" ref="DA454:DA517" si="273">IF(CW454&gt;0,INDEX($U$3:$W$3,CW454),"")</f>
        <v/>
      </c>
      <c r="DB454" s="14" t="str">
        <f t="shared" ref="DB454:DB517" si="274">IF(CW454&gt;0,INDEX(CK454:CM454,CW454),"")</f>
        <v/>
      </c>
      <c r="DC454" s="14" t="str">
        <f t="shared" ref="DC454:DC517" si="275">IF(CW454&gt;0,INDEX(CN454:CP454,CW454),"")</f>
        <v/>
      </c>
      <c r="DD454" s="14">
        <f t="shared" ref="DD454:DD517" si="276">(CB454-1)*4+CF454</f>
        <v>21</v>
      </c>
      <c r="DE454" s="14">
        <f t="shared" ref="DE454:DE517" si="277">INDEX($AY$5:$BB$16,CB454,CF454)</f>
        <v>0</v>
      </c>
      <c r="DF454" s="14">
        <f t="shared" ref="DF454:DF517" si="278">CE454*10+CB454</f>
        <v>16</v>
      </c>
      <c r="DG454" s="14">
        <f t="shared" ref="DG454:DG517" si="279">INDEX($N$5:$S$8,CF454,CB454)</f>
        <v>75</v>
      </c>
    </row>
    <row r="455" spans="77:111" ht="16.5" x14ac:dyDescent="0.2">
      <c r="BY455" s="13">
        <v>451</v>
      </c>
      <c r="BZ455" s="14">
        <f t="shared" si="262"/>
        <v>63</v>
      </c>
      <c r="CA455" s="14">
        <f t="shared" si="263"/>
        <v>1</v>
      </c>
      <c r="CB455" s="14">
        <f t="shared" si="248"/>
        <v>6</v>
      </c>
      <c r="CC455" s="14">
        <f t="shared" si="249"/>
        <v>2061017</v>
      </c>
      <c r="CD455" s="13" t="str">
        <f t="shared" si="250"/>
        <v>120级寄灵人绿色-项链</v>
      </c>
      <c r="CE455" s="14">
        <f t="shared" si="251"/>
        <v>1</v>
      </c>
      <c r="CF455" s="14">
        <f t="shared" si="252"/>
        <v>1</v>
      </c>
      <c r="CG455" s="14">
        <f t="shared" si="264"/>
        <v>120</v>
      </c>
      <c r="CH455" s="14">
        <f t="shared" si="265"/>
        <v>120</v>
      </c>
      <c r="CI455" s="14">
        <f t="shared" si="253"/>
        <v>7</v>
      </c>
      <c r="CJ455" s="14" t="str">
        <f t="shared" si="266"/>
        <v/>
      </c>
      <c r="CK455" s="14">
        <f t="shared" si="254"/>
        <v>249</v>
      </c>
      <c r="CL455" s="14">
        <f t="shared" si="255"/>
        <v>155</v>
      </c>
      <c r="CM455" s="14">
        <f t="shared" si="256"/>
        <v>0</v>
      </c>
      <c r="CN455" s="14">
        <f t="shared" si="257"/>
        <v>20.73</v>
      </c>
      <c r="CO455" s="14">
        <f t="shared" si="258"/>
        <v>12.88</v>
      </c>
      <c r="CP455" s="14">
        <f t="shared" si="259"/>
        <v>0</v>
      </c>
      <c r="CQ455" s="14">
        <f t="shared" si="267"/>
        <v>21</v>
      </c>
      <c r="CR455" s="14">
        <f t="shared" si="268"/>
        <v>0</v>
      </c>
      <c r="CS455" s="14">
        <f t="shared" si="269"/>
        <v>16</v>
      </c>
      <c r="CV455" s="14">
        <f t="shared" si="260"/>
        <v>1</v>
      </c>
      <c r="CW455" s="14">
        <f t="shared" si="261"/>
        <v>2</v>
      </c>
      <c r="CX455" s="14" t="str">
        <f t="shared" si="270"/>
        <v>AtkExt</v>
      </c>
      <c r="CY455" s="14">
        <f t="shared" si="271"/>
        <v>249</v>
      </c>
      <c r="CZ455" s="14">
        <f t="shared" si="272"/>
        <v>20.73</v>
      </c>
      <c r="DA455" s="14" t="str">
        <f t="shared" si="273"/>
        <v>DefExt</v>
      </c>
      <c r="DB455" s="14">
        <f t="shared" si="274"/>
        <v>155</v>
      </c>
      <c r="DC455" s="14">
        <f t="shared" si="275"/>
        <v>12.88</v>
      </c>
      <c r="DD455" s="14">
        <f t="shared" si="276"/>
        <v>21</v>
      </c>
      <c r="DE455" s="14">
        <f t="shared" si="277"/>
        <v>0</v>
      </c>
      <c r="DF455" s="14">
        <f t="shared" si="278"/>
        <v>16</v>
      </c>
      <c r="DG455" s="14">
        <f t="shared" si="279"/>
        <v>75</v>
      </c>
    </row>
    <row r="456" spans="77:111" ht="16.5" x14ac:dyDescent="0.2">
      <c r="BY456" s="13">
        <v>452</v>
      </c>
      <c r="BZ456" s="14">
        <f t="shared" si="262"/>
        <v>63</v>
      </c>
      <c r="CA456" s="14">
        <f t="shared" si="263"/>
        <v>1</v>
      </c>
      <c r="CB456" s="14">
        <f t="shared" si="248"/>
        <v>6</v>
      </c>
      <c r="CC456" s="14">
        <f t="shared" si="249"/>
        <v>2061018</v>
      </c>
      <c r="CD456" s="13" t="str">
        <f t="shared" si="250"/>
        <v>120级寄灵人绿色-戒指</v>
      </c>
      <c r="CE456" s="14">
        <f t="shared" si="251"/>
        <v>1</v>
      </c>
      <c r="CF456" s="14">
        <f t="shared" si="252"/>
        <v>1</v>
      </c>
      <c r="CG456" s="14">
        <f t="shared" si="264"/>
        <v>120</v>
      </c>
      <c r="CH456" s="14">
        <f t="shared" si="265"/>
        <v>120</v>
      </c>
      <c r="CI456" s="14">
        <f t="shared" si="253"/>
        <v>8</v>
      </c>
      <c r="CJ456" s="14" t="str">
        <f t="shared" si="266"/>
        <v/>
      </c>
      <c r="CK456" s="14">
        <f t="shared" si="254"/>
        <v>249</v>
      </c>
      <c r="CL456" s="14">
        <f t="shared" si="255"/>
        <v>0</v>
      </c>
      <c r="CM456" s="14">
        <f t="shared" si="256"/>
        <v>938</v>
      </c>
      <c r="CN456" s="14">
        <f t="shared" si="257"/>
        <v>20.73</v>
      </c>
      <c r="CO456" s="14">
        <f t="shared" si="258"/>
        <v>0</v>
      </c>
      <c r="CP456" s="14">
        <f t="shared" si="259"/>
        <v>78.150000000000006</v>
      </c>
      <c r="CQ456" s="14">
        <f t="shared" si="267"/>
        <v>21</v>
      </c>
      <c r="CR456" s="14">
        <f t="shared" si="268"/>
        <v>0</v>
      </c>
      <c r="CS456" s="14">
        <f t="shared" si="269"/>
        <v>16</v>
      </c>
      <c r="CV456" s="14">
        <f t="shared" si="260"/>
        <v>1</v>
      </c>
      <c r="CW456" s="14">
        <f t="shared" si="261"/>
        <v>3</v>
      </c>
      <c r="CX456" s="14" t="str">
        <f t="shared" si="270"/>
        <v>AtkExt</v>
      </c>
      <c r="CY456" s="14">
        <f t="shared" si="271"/>
        <v>249</v>
      </c>
      <c r="CZ456" s="14">
        <f t="shared" si="272"/>
        <v>20.73</v>
      </c>
      <c r="DA456" s="14" t="str">
        <f t="shared" si="273"/>
        <v>HPExt</v>
      </c>
      <c r="DB456" s="14">
        <f t="shared" si="274"/>
        <v>938</v>
      </c>
      <c r="DC456" s="14">
        <f t="shared" si="275"/>
        <v>78.150000000000006</v>
      </c>
      <c r="DD456" s="14">
        <f t="shared" si="276"/>
        <v>21</v>
      </c>
      <c r="DE456" s="14">
        <f t="shared" si="277"/>
        <v>0</v>
      </c>
      <c r="DF456" s="14">
        <f t="shared" si="278"/>
        <v>16</v>
      </c>
      <c r="DG456" s="14">
        <f t="shared" si="279"/>
        <v>75</v>
      </c>
    </row>
    <row r="457" spans="77:111" ht="16.5" x14ac:dyDescent="0.2">
      <c r="BY457" s="13">
        <v>453</v>
      </c>
      <c r="BZ457" s="14">
        <f t="shared" si="262"/>
        <v>64</v>
      </c>
      <c r="CA457" s="14">
        <f t="shared" si="263"/>
        <v>2</v>
      </c>
      <c r="CB457" s="14">
        <f t="shared" si="248"/>
        <v>6</v>
      </c>
      <c r="CC457" s="14">
        <f t="shared" si="249"/>
        <v>2061021</v>
      </c>
      <c r="CD457" s="13" t="str">
        <f t="shared" si="250"/>
        <v>120级守护灵绿色-武器</v>
      </c>
      <c r="CE457" s="14">
        <f t="shared" si="251"/>
        <v>2</v>
      </c>
      <c r="CF457" s="14">
        <f t="shared" si="252"/>
        <v>1</v>
      </c>
      <c r="CG457" s="14">
        <f t="shared" si="264"/>
        <v>120</v>
      </c>
      <c r="CH457" s="14">
        <f t="shared" si="265"/>
        <v>120</v>
      </c>
      <c r="CI457" s="14">
        <f t="shared" si="253"/>
        <v>1</v>
      </c>
      <c r="CJ457" s="14" t="str">
        <f t="shared" si="266"/>
        <v/>
      </c>
      <c r="CK457" s="14">
        <f t="shared" si="254"/>
        <v>760</v>
      </c>
      <c r="CL457" s="14">
        <f t="shared" si="255"/>
        <v>0</v>
      </c>
      <c r="CM457" s="14">
        <f t="shared" si="256"/>
        <v>0</v>
      </c>
      <c r="CN457" s="14">
        <f t="shared" si="257"/>
        <v>63.31</v>
      </c>
      <c r="CO457" s="14">
        <f t="shared" si="258"/>
        <v>0</v>
      </c>
      <c r="CP457" s="14">
        <f t="shared" si="259"/>
        <v>0</v>
      </c>
      <c r="CQ457" s="14">
        <f t="shared" si="267"/>
        <v>21</v>
      </c>
      <c r="CR457" s="14">
        <f t="shared" si="268"/>
        <v>0</v>
      </c>
      <c r="CS457" s="14">
        <f t="shared" si="269"/>
        <v>26</v>
      </c>
      <c r="CV457" s="14">
        <f t="shared" si="260"/>
        <v>1</v>
      </c>
      <c r="CW457" s="14">
        <f t="shared" si="261"/>
        <v>0</v>
      </c>
      <c r="CX457" s="14" t="str">
        <f t="shared" si="270"/>
        <v>AtkExt</v>
      </c>
      <c r="CY457" s="14">
        <f t="shared" si="271"/>
        <v>760</v>
      </c>
      <c r="CZ457" s="14">
        <f t="shared" si="272"/>
        <v>63.31</v>
      </c>
      <c r="DA457" s="14" t="str">
        <f t="shared" si="273"/>
        <v/>
      </c>
      <c r="DB457" s="14" t="str">
        <f t="shared" si="274"/>
        <v/>
      </c>
      <c r="DC457" s="14" t="str">
        <f t="shared" si="275"/>
        <v/>
      </c>
      <c r="DD457" s="14">
        <f t="shared" si="276"/>
        <v>21</v>
      </c>
      <c r="DE457" s="14">
        <f t="shared" si="277"/>
        <v>0</v>
      </c>
      <c r="DF457" s="14">
        <f t="shared" si="278"/>
        <v>26</v>
      </c>
      <c r="DG457" s="14">
        <f t="shared" si="279"/>
        <v>75</v>
      </c>
    </row>
    <row r="458" spans="77:111" ht="16.5" x14ac:dyDescent="0.2">
      <c r="BY458" s="13">
        <v>454</v>
      </c>
      <c r="BZ458" s="14">
        <f t="shared" si="262"/>
        <v>64</v>
      </c>
      <c r="CA458" s="14">
        <f t="shared" si="263"/>
        <v>2</v>
      </c>
      <c r="CB458" s="14">
        <f t="shared" si="248"/>
        <v>6</v>
      </c>
      <c r="CC458" s="14">
        <f t="shared" si="249"/>
        <v>2061022</v>
      </c>
      <c r="CD458" s="13" t="str">
        <f t="shared" si="250"/>
        <v>120级守护灵绿色-头盔</v>
      </c>
      <c r="CE458" s="14">
        <f t="shared" si="251"/>
        <v>2</v>
      </c>
      <c r="CF458" s="14">
        <f t="shared" si="252"/>
        <v>1</v>
      </c>
      <c r="CG458" s="14">
        <f t="shared" si="264"/>
        <v>120</v>
      </c>
      <c r="CH458" s="14">
        <f t="shared" si="265"/>
        <v>120</v>
      </c>
      <c r="CI458" s="14">
        <f t="shared" si="253"/>
        <v>2</v>
      </c>
      <c r="CJ458" s="14" t="str">
        <f t="shared" si="266"/>
        <v/>
      </c>
      <c r="CK458" s="14">
        <f t="shared" si="254"/>
        <v>0</v>
      </c>
      <c r="CL458" s="14">
        <f t="shared" si="255"/>
        <v>188</v>
      </c>
      <c r="CM458" s="14">
        <f t="shared" si="256"/>
        <v>0</v>
      </c>
      <c r="CN458" s="14">
        <f t="shared" si="257"/>
        <v>0</v>
      </c>
      <c r="CO458" s="14">
        <f t="shared" si="258"/>
        <v>15.69</v>
      </c>
      <c r="CP458" s="14">
        <f t="shared" si="259"/>
        <v>0</v>
      </c>
      <c r="CQ458" s="14">
        <f t="shared" si="267"/>
        <v>21</v>
      </c>
      <c r="CR458" s="14">
        <f t="shared" si="268"/>
        <v>0</v>
      </c>
      <c r="CS458" s="14">
        <f t="shared" si="269"/>
        <v>26</v>
      </c>
      <c r="CV458" s="14">
        <f t="shared" si="260"/>
        <v>2</v>
      </c>
      <c r="CW458" s="14">
        <f t="shared" si="261"/>
        <v>0</v>
      </c>
      <c r="CX458" s="14" t="str">
        <f t="shared" si="270"/>
        <v>DefExt</v>
      </c>
      <c r="CY458" s="14">
        <f t="shared" si="271"/>
        <v>188</v>
      </c>
      <c r="CZ458" s="14">
        <f t="shared" si="272"/>
        <v>15.69</v>
      </c>
      <c r="DA458" s="14" t="str">
        <f t="shared" si="273"/>
        <v/>
      </c>
      <c r="DB458" s="14" t="str">
        <f t="shared" si="274"/>
        <v/>
      </c>
      <c r="DC458" s="14" t="str">
        <f t="shared" si="275"/>
        <v/>
      </c>
      <c r="DD458" s="14">
        <f t="shared" si="276"/>
        <v>21</v>
      </c>
      <c r="DE458" s="14">
        <f t="shared" si="277"/>
        <v>0</v>
      </c>
      <c r="DF458" s="14">
        <f t="shared" si="278"/>
        <v>26</v>
      </c>
      <c r="DG458" s="14">
        <f t="shared" si="279"/>
        <v>75</v>
      </c>
    </row>
    <row r="459" spans="77:111" ht="16.5" x14ac:dyDescent="0.2">
      <c r="BY459" s="13">
        <v>455</v>
      </c>
      <c r="BZ459" s="14">
        <f t="shared" si="262"/>
        <v>64</v>
      </c>
      <c r="CA459" s="14">
        <f t="shared" si="263"/>
        <v>2</v>
      </c>
      <c r="CB459" s="14">
        <f t="shared" si="248"/>
        <v>6</v>
      </c>
      <c r="CC459" s="14">
        <f t="shared" si="249"/>
        <v>2061023</v>
      </c>
      <c r="CD459" s="13" t="str">
        <f t="shared" si="250"/>
        <v>120级守护灵绿色-肩甲</v>
      </c>
      <c r="CE459" s="14">
        <f t="shared" si="251"/>
        <v>2</v>
      </c>
      <c r="CF459" s="14">
        <f t="shared" si="252"/>
        <v>1</v>
      </c>
      <c r="CG459" s="14">
        <f t="shared" si="264"/>
        <v>120</v>
      </c>
      <c r="CH459" s="14">
        <f t="shared" si="265"/>
        <v>120</v>
      </c>
      <c r="CI459" s="14">
        <f t="shared" si="253"/>
        <v>3</v>
      </c>
      <c r="CJ459" s="14" t="str">
        <f t="shared" si="266"/>
        <v/>
      </c>
      <c r="CK459" s="14">
        <f t="shared" si="254"/>
        <v>0</v>
      </c>
      <c r="CL459" s="14">
        <f t="shared" si="255"/>
        <v>94</v>
      </c>
      <c r="CM459" s="14">
        <f t="shared" si="256"/>
        <v>1010</v>
      </c>
      <c r="CN459" s="14">
        <f t="shared" si="257"/>
        <v>0</v>
      </c>
      <c r="CO459" s="14">
        <f t="shared" si="258"/>
        <v>7.84</v>
      </c>
      <c r="CP459" s="14">
        <f t="shared" si="259"/>
        <v>84.18</v>
      </c>
      <c r="CQ459" s="14">
        <f t="shared" si="267"/>
        <v>21</v>
      </c>
      <c r="CR459" s="14">
        <f t="shared" si="268"/>
        <v>0</v>
      </c>
      <c r="CS459" s="14">
        <f t="shared" si="269"/>
        <v>26</v>
      </c>
      <c r="CV459" s="14">
        <f t="shared" si="260"/>
        <v>2</v>
      </c>
      <c r="CW459" s="14">
        <f t="shared" si="261"/>
        <v>3</v>
      </c>
      <c r="CX459" s="14" t="str">
        <f t="shared" si="270"/>
        <v>DefExt</v>
      </c>
      <c r="CY459" s="14">
        <f t="shared" si="271"/>
        <v>94</v>
      </c>
      <c r="CZ459" s="14">
        <f t="shared" si="272"/>
        <v>7.84</v>
      </c>
      <c r="DA459" s="14" t="str">
        <f t="shared" si="273"/>
        <v>HPExt</v>
      </c>
      <c r="DB459" s="14">
        <f t="shared" si="274"/>
        <v>1010</v>
      </c>
      <c r="DC459" s="14">
        <f t="shared" si="275"/>
        <v>84.18</v>
      </c>
      <c r="DD459" s="14">
        <f t="shared" si="276"/>
        <v>21</v>
      </c>
      <c r="DE459" s="14">
        <f t="shared" si="277"/>
        <v>0</v>
      </c>
      <c r="DF459" s="14">
        <f t="shared" si="278"/>
        <v>26</v>
      </c>
      <c r="DG459" s="14">
        <f t="shared" si="279"/>
        <v>75</v>
      </c>
    </row>
    <row r="460" spans="77:111" ht="16.5" x14ac:dyDescent="0.2">
      <c r="BY460" s="13">
        <v>456</v>
      </c>
      <c r="BZ460" s="14">
        <f t="shared" si="262"/>
        <v>64</v>
      </c>
      <c r="CA460" s="14">
        <f t="shared" si="263"/>
        <v>2</v>
      </c>
      <c r="CB460" s="14">
        <f t="shared" si="248"/>
        <v>6</v>
      </c>
      <c r="CC460" s="14">
        <f t="shared" si="249"/>
        <v>2061024</v>
      </c>
      <c r="CD460" s="13" t="str">
        <f t="shared" si="250"/>
        <v>120级守护灵绿色-衣服</v>
      </c>
      <c r="CE460" s="14">
        <f t="shared" si="251"/>
        <v>2</v>
      </c>
      <c r="CF460" s="14">
        <f t="shared" si="252"/>
        <v>1</v>
      </c>
      <c r="CG460" s="14">
        <f t="shared" si="264"/>
        <v>120</v>
      </c>
      <c r="CH460" s="14">
        <f t="shared" si="265"/>
        <v>120</v>
      </c>
      <c r="CI460" s="14">
        <f t="shared" si="253"/>
        <v>4</v>
      </c>
      <c r="CJ460" s="14" t="str">
        <f t="shared" si="266"/>
        <v/>
      </c>
      <c r="CK460" s="14">
        <f t="shared" si="254"/>
        <v>0</v>
      </c>
      <c r="CL460" s="14">
        <f t="shared" si="255"/>
        <v>188</v>
      </c>
      <c r="CM460" s="14">
        <f t="shared" si="256"/>
        <v>0</v>
      </c>
      <c r="CN460" s="14">
        <f t="shared" si="257"/>
        <v>0</v>
      </c>
      <c r="CO460" s="14">
        <f t="shared" si="258"/>
        <v>15.69</v>
      </c>
      <c r="CP460" s="14">
        <f t="shared" si="259"/>
        <v>0</v>
      </c>
      <c r="CQ460" s="14">
        <f t="shared" si="267"/>
        <v>21</v>
      </c>
      <c r="CR460" s="14">
        <f t="shared" si="268"/>
        <v>0</v>
      </c>
      <c r="CS460" s="14">
        <f t="shared" si="269"/>
        <v>26</v>
      </c>
      <c r="CV460" s="14">
        <f t="shared" si="260"/>
        <v>2</v>
      </c>
      <c r="CW460" s="14">
        <f t="shared" si="261"/>
        <v>0</v>
      </c>
      <c r="CX460" s="14" t="str">
        <f t="shared" si="270"/>
        <v>DefExt</v>
      </c>
      <c r="CY460" s="14">
        <f t="shared" si="271"/>
        <v>188</v>
      </c>
      <c r="CZ460" s="14">
        <f t="shared" si="272"/>
        <v>15.69</v>
      </c>
      <c r="DA460" s="14" t="str">
        <f t="shared" si="273"/>
        <v/>
      </c>
      <c r="DB460" s="14" t="str">
        <f t="shared" si="274"/>
        <v/>
      </c>
      <c r="DC460" s="14" t="str">
        <f t="shared" si="275"/>
        <v/>
      </c>
      <c r="DD460" s="14">
        <f t="shared" si="276"/>
        <v>21</v>
      </c>
      <c r="DE460" s="14">
        <f t="shared" si="277"/>
        <v>0</v>
      </c>
      <c r="DF460" s="14">
        <f t="shared" si="278"/>
        <v>26</v>
      </c>
      <c r="DG460" s="14">
        <f t="shared" si="279"/>
        <v>75</v>
      </c>
    </row>
    <row r="461" spans="77:111" ht="16.5" x14ac:dyDescent="0.2">
      <c r="BY461" s="13">
        <v>457</v>
      </c>
      <c r="BZ461" s="14">
        <f t="shared" si="262"/>
        <v>64</v>
      </c>
      <c r="CA461" s="14">
        <f t="shared" si="263"/>
        <v>2</v>
      </c>
      <c r="CB461" s="14">
        <f t="shared" si="248"/>
        <v>6</v>
      </c>
      <c r="CC461" s="14">
        <f t="shared" si="249"/>
        <v>2061025</v>
      </c>
      <c r="CD461" s="13" t="str">
        <f t="shared" si="250"/>
        <v>120级守护灵绿色-鞋子</v>
      </c>
      <c r="CE461" s="14">
        <f t="shared" si="251"/>
        <v>2</v>
      </c>
      <c r="CF461" s="14">
        <f t="shared" si="252"/>
        <v>1</v>
      </c>
      <c r="CG461" s="14">
        <f t="shared" si="264"/>
        <v>120</v>
      </c>
      <c r="CH461" s="14">
        <f t="shared" si="265"/>
        <v>120</v>
      </c>
      <c r="CI461" s="14">
        <f t="shared" si="253"/>
        <v>5</v>
      </c>
      <c r="CJ461" s="14" t="str">
        <f t="shared" si="266"/>
        <v/>
      </c>
      <c r="CK461" s="14">
        <f t="shared" si="254"/>
        <v>0</v>
      </c>
      <c r="CL461" s="14">
        <f t="shared" si="255"/>
        <v>0</v>
      </c>
      <c r="CM461" s="14">
        <f t="shared" si="256"/>
        <v>2020</v>
      </c>
      <c r="CN461" s="14">
        <f t="shared" si="257"/>
        <v>0</v>
      </c>
      <c r="CO461" s="14">
        <f t="shared" si="258"/>
        <v>0</v>
      </c>
      <c r="CP461" s="14">
        <f t="shared" si="259"/>
        <v>168.37</v>
      </c>
      <c r="CQ461" s="14">
        <f t="shared" si="267"/>
        <v>21</v>
      </c>
      <c r="CR461" s="14">
        <f t="shared" si="268"/>
        <v>0</v>
      </c>
      <c r="CS461" s="14">
        <f t="shared" si="269"/>
        <v>26</v>
      </c>
      <c r="CV461" s="14">
        <f t="shared" si="260"/>
        <v>3</v>
      </c>
      <c r="CW461" s="14">
        <f t="shared" si="261"/>
        <v>0</v>
      </c>
      <c r="CX461" s="14" t="str">
        <f t="shared" si="270"/>
        <v>HPExt</v>
      </c>
      <c r="CY461" s="14">
        <f t="shared" si="271"/>
        <v>2020</v>
      </c>
      <c r="CZ461" s="14">
        <f t="shared" si="272"/>
        <v>168.37</v>
      </c>
      <c r="DA461" s="14" t="str">
        <f t="shared" si="273"/>
        <v/>
      </c>
      <c r="DB461" s="14" t="str">
        <f t="shared" si="274"/>
        <v/>
      </c>
      <c r="DC461" s="14" t="str">
        <f t="shared" si="275"/>
        <v/>
      </c>
      <c r="DD461" s="14">
        <f t="shared" si="276"/>
        <v>21</v>
      </c>
      <c r="DE461" s="14">
        <f t="shared" si="277"/>
        <v>0</v>
      </c>
      <c r="DF461" s="14">
        <f t="shared" si="278"/>
        <v>26</v>
      </c>
      <c r="DG461" s="14">
        <f t="shared" si="279"/>
        <v>75</v>
      </c>
    </row>
    <row r="462" spans="77:111" ht="16.5" x14ac:dyDescent="0.2">
      <c r="BY462" s="13">
        <v>458</v>
      </c>
      <c r="BZ462" s="14">
        <f t="shared" si="262"/>
        <v>64</v>
      </c>
      <c r="CA462" s="14">
        <f t="shared" si="263"/>
        <v>2</v>
      </c>
      <c r="CB462" s="14">
        <f t="shared" si="248"/>
        <v>6</v>
      </c>
      <c r="CC462" s="14">
        <f t="shared" si="249"/>
        <v>2061026</v>
      </c>
      <c r="CD462" s="13" t="str">
        <f t="shared" si="250"/>
        <v>120级守护灵绿色-护手</v>
      </c>
      <c r="CE462" s="14">
        <f t="shared" si="251"/>
        <v>2</v>
      </c>
      <c r="CF462" s="14">
        <f t="shared" si="252"/>
        <v>1</v>
      </c>
      <c r="CG462" s="14">
        <f t="shared" si="264"/>
        <v>120</v>
      </c>
      <c r="CH462" s="14">
        <f t="shared" si="265"/>
        <v>120</v>
      </c>
      <c r="CI462" s="14">
        <f t="shared" si="253"/>
        <v>6</v>
      </c>
      <c r="CJ462" s="14" t="str">
        <f t="shared" si="266"/>
        <v/>
      </c>
      <c r="CK462" s="14">
        <f t="shared" si="254"/>
        <v>0</v>
      </c>
      <c r="CL462" s="14">
        <f t="shared" si="255"/>
        <v>0</v>
      </c>
      <c r="CM462" s="14">
        <f t="shared" si="256"/>
        <v>2020</v>
      </c>
      <c r="CN462" s="14">
        <f t="shared" si="257"/>
        <v>0</v>
      </c>
      <c r="CO462" s="14">
        <f t="shared" si="258"/>
        <v>0</v>
      </c>
      <c r="CP462" s="14">
        <f t="shared" si="259"/>
        <v>168.37</v>
      </c>
      <c r="CQ462" s="14">
        <f t="shared" si="267"/>
        <v>21</v>
      </c>
      <c r="CR462" s="14">
        <f t="shared" si="268"/>
        <v>0</v>
      </c>
      <c r="CS462" s="14">
        <f t="shared" si="269"/>
        <v>26</v>
      </c>
      <c r="CV462" s="14">
        <f t="shared" si="260"/>
        <v>3</v>
      </c>
      <c r="CW462" s="14">
        <f t="shared" si="261"/>
        <v>0</v>
      </c>
      <c r="CX462" s="14" t="str">
        <f t="shared" si="270"/>
        <v>HPExt</v>
      </c>
      <c r="CY462" s="14">
        <f t="shared" si="271"/>
        <v>2020</v>
      </c>
      <c r="CZ462" s="14">
        <f t="shared" si="272"/>
        <v>168.37</v>
      </c>
      <c r="DA462" s="14" t="str">
        <f t="shared" si="273"/>
        <v/>
      </c>
      <c r="DB462" s="14" t="str">
        <f t="shared" si="274"/>
        <v/>
      </c>
      <c r="DC462" s="14" t="str">
        <f t="shared" si="275"/>
        <v/>
      </c>
      <c r="DD462" s="14">
        <f t="shared" si="276"/>
        <v>21</v>
      </c>
      <c r="DE462" s="14">
        <f t="shared" si="277"/>
        <v>0</v>
      </c>
      <c r="DF462" s="14">
        <f t="shared" si="278"/>
        <v>26</v>
      </c>
      <c r="DG462" s="14">
        <f t="shared" si="279"/>
        <v>75</v>
      </c>
    </row>
    <row r="463" spans="77:111" ht="16.5" x14ac:dyDescent="0.2">
      <c r="BY463" s="13">
        <v>459</v>
      </c>
      <c r="BZ463" s="14">
        <f t="shared" si="262"/>
        <v>64</v>
      </c>
      <c r="CA463" s="14">
        <f t="shared" si="263"/>
        <v>2</v>
      </c>
      <c r="CB463" s="14">
        <f t="shared" si="248"/>
        <v>6</v>
      </c>
      <c r="CC463" s="14">
        <f t="shared" si="249"/>
        <v>2061027</v>
      </c>
      <c r="CD463" s="13" t="str">
        <f t="shared" si="250"/>
        <v>120级守护灵绿色-项链</v>
      </c>
      <c r="CE463" s="14">
        <f t="shared" si="251"/>
        <v>2</v>
      </c>
      <c r="CF463" s="14">
        <f t="shared" si="252"/>
        <v>1</v>
      </c>
      <c r="CG463" s="14">
        <f t="shared" si="264"/>
        <v>120</v>
      </c>
      <c r="CH463" s="14">
        <f t="shared" si="265"/>
        <v>120</v>
      </c>
      <c r="CI463" s="14">
        <f t="shared" si="253"/>
        <v>7</v>
      </c>
      <c r="CJ463" s="14" t="str">
        <f t="shared" si="266"/>
        <v/>
      </c>
      <c r="CK463" s="14">
        <f t="shared" si="254"/>
        <v>253</v>
      </c>
      <c r="CL463" s="14">
        <f t="shared" si="255"/>
        <v>157</v>
      </c>
      <c r="CM463" s="14">
        <f t="shared" si="256"/>
        <v>0</v>
      </c>
      <c r="CN463" s="14">
        <f t="shared" si="257"/>
        <v>21.1</v>
      </c>
      <c r="CO463" s="14">
        <f t="shared" si="258"/>
        <v>13.07</v>
      </c>
      <c r="CP463" s="14">
        <f t="shared" si="259"/>
        <v>0</v>
      </c>
      <c r="CQ463" s="14">
        <f t="shared" si="267"/>
        <v>21</v>
      </c>
      <c r="CR463" s="14">
        <f t="shared" si="268"/>
        <v>0</v>
      </c>
      <c r="CS463" s="14">
        <f t="shared" si="269"/>
        <v>26</v>
      </c>
      <c r="CV463" s="14">
        <f t="shared" si="260"/>
        <v>1</v>
      </c>
      <c r="CW463" s="14">
        <f t="shared" si="261"/>
        <v>2</v>
      </c>
      <c r="CX463" s="14" t="str">
        <f t="shared" si="270"/>
        <v>AtkExt</v>
      </c>
      <c r="CY463" s="14">
        <f t="shared" si="271"/>
        <v>253</v>
      </c>
      <c r="CZ463" s="14">
        <f t="shared" si="272"/>
        <v>21.1</v>
      </c>
      <c r="DA463" s="14" t="str">
        <f t="shared" si="273"/>
        <v>DefExt</v>
      </c>
      <c r="DB463" s="14">
        <f t="shared" si="274"/>
        <v>157</v>
      </c>
      <c r="DC463" s="14">
        <f t="shared" si="275"/>
        <v>13.07</v>
      </c>
      <c r="DD463" s="14">
        <f t="shared" si="276"/>
        <v>21</v>
      </c>
      <c r="DE463" s="14">
        <f t="shared" si="277"/>
        <v>0</v>
      </c>
      <c r="DF463" s="14">
        <f t="shared" si="278"/>
        <v>26</v>
      </c>
      <c r="DG463" s="14">
        <f t="shared" si="279"/>
        <v>75</v>
      </c>
    </row>
    <row r="464" spans="77:111" ht="16.5" x14ac:dyDescent="0.2">
      <c r="BY464" s="13">
        <v>460</v>
      </c>
      <c r="BZ464" s="14">
        <f t="shared" si="262"/>
        <v>64</v>
      </c>
      <c r="CA464" s="14">
        <f t="shared" si="263"/>
        <v>2</v>
      </c>
      <c r="CB464" s="14">
        <f t="shared" si="248"/>
        <v>6</v>
      </c>
      <c r="CC464" s="14">
        <f t="shared" si="249"/>
        <v>2061028</v>
      </c>
      <c r="CD464" s="13" t="str">
        <f t="shared" si="250"/>
        <v>120级守护灵绿色-戒指</v>
      </c>
      <c r="CE464" s="14">
        <f t="shared" si="251"/>
        <v>2</v>
      </c>
      <c r="CF464" s="14">
        <f t="shared" si="252"/>
        <v>1</v>
      </c>
      <c r="CG464" s="14">
        <f t="shared" si="264"/>
        <v>120</v>
      </c>
      <c r="CH464" s="14">
        <f t="shared" si="265"/>
        <v>120</v>
      </c>
      <c r="CI464" s="14">
        <f t="shared" si="253"/>
        <v>8</v>
      </c>
      <c r="CJ464" s="14" t="str">
        <f t="shared" si="266"/>
        <v/>
      </c>
      <c r="CK464" s="14">
        <f t="shared" si="254"/>
        <v>253</v>
      </c>
      <c r="CL464" s="14">
        <f t="shared" si="255"/>
        <v>0</v>
      </c>
      <c r="CM464" s="14">
        <f t="shared" si="256"/>
        <v>1684</v>
      </c>
      <c r="CN464" s="14">
        <f t="shared" si="257"/>
        <v>21.1</v>
      </c>
      <c r="CO464" s="14">
        <f t="shared" si="258"/>
        <v>0</v>
      </c>
      <c r="CP464" s="14">
        <f t="shared" si="259"/>
        <v>140.31</v>
      </c>
      <c r="CQ464" s="14">
        <f t="shared" si="267"/>
        <v>21</v>
      </c>
      <c r="CR464" s="14">
        <f t="shared" si="268"/>
        <v>0</v>
      </c>
      <c r="CS464" s="14">
        <f t="shared" si="269"/>
        <v>26</v>
      </c>
      <c r="CV464" s="14">
        <f t="shared" si="260"/>
        <v>1</v>
      </c>
      <c r="CW464" s="14">
        <f t="shared" si="261"/>
        <v>3</v>
      </c>
      <c r="CX464" s="14" t="str">
        <f t="shared" si="270"/>
        <v>AtkExt</v>
      </c>
      <c r="CY464" s="14">
        <f t="shared" si="271"/>
        <v>253</v>
      </c>
      <c r="CZ464" s="14">
        <f t="shared" si="272"/>
        <v>21.1</v>
      </c>
      <c r="DA464" s="14" t="str">
        <f t="shared" si="273"/>
        <v>HPExt</v>
      </c>
      <c r="DB464" s="14">
        <f t="shared" si="274"/>
        <v>1684</v>
      </c>
      <c r="DC464" s="14">
        <f t="shared" si="275"/>
        <v>140.31</v>
      </c>
      <c r="DD464" s="14">
        <f t="shared" si="276"/>
        <v>21</v>
      </c>
      <c r="DE464" s="14">
        <f t="shared" si="277"/>
        <v>0</v>
      </c>
      <c r="DF464" s="14">
        <f t="shared" si="278"/>
        <v>26</v>
      </c>
      <c r="DG464" s="14">
        <f t="shared" si="279"/>
        <v>75</v>
      </c>
    </row>
    <row r="465" spans="77:111" ht="16.5" x14ac:dyDescent="0.2">
      <c r="BY465" s="13">
        <v>461</v>
      </c>
      <c r="BZ465" s="14">
        <f t="shared" si="262"/>
        <v>65</v>
      </c>
      <c r="CA465" s="14">
        <f t="shared" si="263"/>
        <v>1</v>
      </c>
      <c r="CB465" s="14">
        <f t="shared" si="248"/>
        <v>6</v>
      </c>
      <c r="CC465" s="14">
        <f t="shared" si="249"/>
        <v>2062011</v>
      </c>
      <c r="CD465" s="13" t="str">
        <f t="shared" si="250"/>
        <v>120级寄灵人蓝色-武器</v>
      </c>
      <c r="CE465" s="14">
        <f t="shared" si="251"/>
        <v>1</v>
      </c>
      <c r="CF465" s="14">
        <f t="shared" si="252"/>
        <v>2</v>
      </c>
      <c r="CG465" s="14">
        <f t="shared" si="264"/>
        <v>120</v>
      </c>
      <c r="CH465" s="14">
        <f t="shared" si="265"/>
        <v>120</v>
      </c>
      <c r="CI465" s="14">
        <f t="shared" si="253"/>
        <v>1</v>
      </c>
      <c r="CJ465" s="14" t="str">
        <f t="shared" si="266"/>
        <v/>
      </c>
      <c r="CK465" s="14">
        <f t="shared" si="254"/>
        <v>1119</v>
      </c>
      <c r="CL465" s="14">
        <f t="shared" si="255"/>
        <v>0</v>
      </c>
      <c r="CM465" s="14">
        <f t="shared" si="256"/>
        <v>0</v>
      </c>
      <c r="CN465" s="14">
        <f t="shared" si="257"/>
        <v>62.18</v>
      </c>
      <c r="CO465" s="14">
        <f t="shared" si="258"/>
        <v>0</v>
      </c>
      <c r="CP465" s="14">
        <f t="shared" si="259"/>
        <v>0</v>
      </c>
      <c r="CQ465" s="14">
        <f t="shared" si="267"/>
        <v>22</v>
      </c>
      <c r="CR465" s="14">
        <f t="shared" si="268"/>
        <v>0</v>
      </c>
      <c r="CS465" s="14">
        <f t="shared" si="269"/>
        <v>16</v>
      </c>
      <c r="CV465" s="14">
        <f t="shared" si="260"/>
        <v>1</v>
      </c>
      <c r="CW465" s="14">
        <f t="shared" si="261"/>
        <v>0</v>
      </c>
      <c r="CX465" s="14" t="str">
        <f t="shared" si="270"/>
        <v>AtkExt</v>
      </c>
      <c r="CY465" s="14">
        <f t="shared" si="271"/>
        <v>1119</v>
      </c>
      <c r="CZ465" s="14">
        <f t="shared" si="272"/>
        <v>62.18</v>
      </c>
      <c r="DA465" s="14" t="str">
        <f t="shared" si="273"/>
        <v/>
      </c>
      <c r="DB465" s="14" t="str">
        <f t="shared" si="274"/>
        <v/>
      </c>
      <c r="DC465" s="14" t="str">
        <f t="shared" si="275"/>
        <v/>
      </c>
      <c r="DD465" s="14">
        <f t="shared" si="276"/>
        <v>22</v>
      </c>
      <c r="DE465" s="14">
        <f t="shared" si="277"/>
        <v>0</v>
      </c>
      <c r="DF465" s="14">
        <f t="shared" si="278"/>
        <v>16</v>
      </c>
      <c r="DG465" s="14">
        <f t="shared" si="279"/>
        <v>225</v>
      </c>
    </row>
    <row r="466" spans="77:111" ht="16.5" x14ac:dyDescent="0.2">
      <c r="BY466" s="13">
        <v>462</v>
      </c>
      <c r="BZ466" s="14">
        <f t="shared" si="262"/>
        <v>65</v>
      </c>
      <c r="CA466" s="14">
        <f t="shared" si="263"/>
        <v>1</v>
      </c>
      <c r="CB466" s="14">
        <f t="shared" si="248"/>
        <v>6</v>
      </c>
      <c r="CC466" s="14">
        <f t="shared" si="249"/>
        <v>2062012</v>
      </c>
      <c r="CD466" s="13" t="str">
        <f t="shared" si="250"/>
        <v>120级寄灵人蓝色-头盔</v>
      </c>
      <c r="CE466" s="14">
        <f t="shared" si="251"/>
        <v>1</v>
      </c>
      <c r="CF466" s="14">
        <f t="shared" si="252"/>
        <v>2</v>
      </c>
      <c r="CG466" s="14">
        <f t="shared" si="264"/>
        <v>120</v>
      </c>
      <c r="CH466" s="14">
        <f t="shared" si="265"/>
        <v>120</v>
      </c>
      <c r="CI466" s="14">
        <f t="shared" si="253"/>
        <v>2</v>
      </c>
      <c r="CJ466" s="14" t="str">
        <f t="shared" si="266"/>
        <v/>
      </c>
      <c r="CK466" s="14">
        <f t="shared" si="254"/>
        <v>0</v>
      </c>
      <c r="CL466" s="14">
        <f t="shared" si="255"/>
        <v>278</v>
      </c>
      <c r="CM466" s="14">
        <f t="shared" si="256"/>
        <v>0</v>
      </c>
      <c r="CN466" s="14">
        <f t="shared" si="257"/>
        <v>0</v>
      </c>
      <c r="CO466" s="14">
        <f t="shared" si="258"/>
        <v>15.45</v>
      </c>
      <c r="CP466" s="14">
        <f t="shared" si="259"/>
        <v>0</v>
      </c>
      <c r="CQ466" s="14">
        <f t="shared" si="267"/>
        <v>22</v>
      </c>
      <c r="CR466" s="14">
        <f t="shared" si="268"/>
        <v>0</v>
      </c>
      <c r="CS466" s="14">
        <f t="shared" si="269"/>
        <v>16</v>
      </c>
      <c r="CV466" s="14">
        <f t="shared" si="260"/>
        <v>2</v>
      </c>
      <c r="CW466" s="14">
        <f t="shared" si="261"/>
        <v>0</v>
      </c>
      <c r="CX466" s="14" t="str">
        <f t="shared" si="270"/>
        <v>DefExt</v>
      </c>
      <c r="CY466" s="14">
        <f t="shared" si="271"/>
        <v>278</v>
      </c>
      <c r="CZ466" s="14">
        <f t="shared" si="272"/>
        <v>15.45</v>
      </c>
      <c r="DA466" s="14" t="str">
        <f t="shared" si="273"/>
        <v/>
      </c>
      <c r="DB466" s="14" t="str">
        <f t="shared" si="274"/>
        <v/>
      </c>
      <c r="DC466" s="14" t="str">
        <f t="shared" si="275"/>
        <v/>
      </c>
      <c r="DD466" s="14">
        <f t="shared" si="276"/>
        <v>22</v>
      </c>
      <c r="DE466" s="14">
        <f t="shared" si="277"/>
        <v>0</v>
      </c>
      <c r="DF466" s="14">
        <f t="shared" si="278"/>
        <v>16</v>
      </c>
      <c r="DG466" s="14">
        <f t="shared" si="279"/>
        <v>225</v>
      </c>
    </row>
    <row r="467" spans="77:111" ht="16.5" x14ac:dyDescent="0.2">
      <c r="BY467" s="13">
        <v>463</v>
      </c>
      <c r="BZ467" s="14">
        <f t="shared" si="262"/>
        <v>65</v>
      </c>
      <c r="CA467" s="14">
        <f t="shared" si="263"/>
        <v>1</v>
      </c>
      <c r="CB467" s="14">
        <f t="shared" si="248"/>
        <v>6</v>
      </c>
      <c r="CC467" s="14">
        <f t="shared" si="249"/>
        <v>2062013</v>
      </c>
      <c r="CD467" s="13" t="str">
        <f t="shared" si="250"/>
        <v>120级寄灵人蓝色-肩甲</v>
      </c>
      <c r="CE467" s="14">
        <f t="shared" si="251"/>
        <v>1</v>
      </c>
      <c r="CF467" s="14">
        <f t="shared" si="252"/>
        <v>2</v>
      </c>
      <c r="CG467" s="14">
        <f t="shared" si="264"/>
        <v>120</v>
      </c>
      <c r="CH467" s="14">
        <f t="shared" si="265"/>
        <v>120</v>
      </c>
      <c r="CI467" s="14">
        <f t="shared" si="253"/>
        <v>3</v>
      </c>
      <c r="CJ467" s="14" t="str">
        <f t="shared" si="266"/>
        <v/>
      </c>
      <c r="CK467" s="14">
        <f t="shared" si="254"/>
        <v>0</v>
      </c>
      <c r="CL467" s="14">
        <f t="shared" si="255"/>
        <v>139</v>
      </c>
      <c r="CM467" s="14">
        <f t="shared" si="256"/>
        <v>844</v>
      </c>
      <c r="CN467" s="14">
        <f t="shared" si="257"/>
        <v>0</v>
      </c>
      <c r="CO467" s="14">
        <f t="shared" si="258"/>
        <v>7.73</v>
      </c>
      <c r="CP467" s="14">
        <f t="shared" si="259"/>
        <v>46.89</v>
      </c>
      <c r="CQ467" s="14">
        <f t="shared" si="267"/>
        <v>22</v>
      </c>
      <c r="CR467" s="14">
        <f t="shared" si="268"/>
        <v>0</v>
      </c>
      <c r="CS467" s="14">
        <f t="shared" si="269"/>
        <v>16</v>
      </c>
      <c r="CV467" s="14">
        <f t="shared" si="260"/>
        <v>2</v>
      </c>
      <c r="CW467" s="14">
        <f t="shared" si="261"/>
        <v>3</v>
      </c>
      <c r="CX467" s="14" t="str">
        <f t="shared" si="270"/>
        <v>DefExt</v>
      </c>
      <c r="CY467" s="14">
        <f t="shared" si="271"/>
        <v>139</v>
      </c>
      <c r="CZ467" s="14">
        <f t="shared" si="272"/>
        <v>7.73</v>
      </c>
      <c r="DA467" s="14" t="str">
        <f t="shared" si="273"/>
        <v>HPExt</v>
      </c>
      <c r="DB467" s="14">
        <f t="shared" si="274"/>
        <v>844</v>
      </c>
      <c r="DC467" s="14">
        <f t="shared" si="275"/>
        <v>46.89</v>
      </c>
      <c r="DD467" s="14">
        <f t="shared" si="276"/>
        <v>22</v>
      </c>
      <c r="DE467" s="14">
        <f t="shared" si="277"/>
        <v>0</v>
      </c>
      <c r="DF467" s="14">
        <f t="shared" si="278"/>
        <v>16</v>
      </c>
      <c r="DG467" s="14">
        <f t="shared" si="279"/>
        <v>225</v>
      </c>
    </row>
    <row r="468" spans="77:111" ht="16.5" x14ac:dyDescent="0.2">
      <c r="BY468" s="13">
        <v>464</v>
      </c>
      <c r="BZ468" s="14">
        <f t="shared" si="262"/>
        <v>65</v>
      </c>
      <c r="CA468" s="14">
        <f t="shared" si="263"/>
        <v>1</v>
      </c>
      <c r="CB468" s="14">
        <f t="shared" si="248"/>
        <v>6</v>
      </c>
      <c r="CC468" s="14">
        <f t="shared" si="249"/>
        <v>2062014</v>
      </c>
      <c r="CD468" s="13" t="str">
        <f t="shared" si="250"/>
        <v>120级寄灵人蓝色-衣服</v>
      </c>
      <c r="CE468" s="14">
        <f t="shared" si="251"/>
        <v>1</v>
      </c>
      <c r="CF468" s="14">
        <f t="shared" si="252"/>
        <v>2</v>
      </c>
      <c r="CG468" s="14">
        <f t="shared" si="264"/>
        <v>120</v>
      </c>
      <c r="CH468" s="14">
        <f t="shared" si="265"/>
        <v>120</v>
      </c>
      <c r="CI468" s="14">
        <f t="shared" si="253"/>
        <v>4</v>
      </c>
      <c r="CJ468" s="14" t="str">
        <f t="shared" si="266"/>
        <v/>
      </c>
      <c r="CK468" s="14">
        <f t="shared" si="254"/>
        <v>0</v>
      </c>
      <c r="CL468" s="14">
        <f t="shared" si="255"/>
        <v>278</v>
      </c>
      <c r="CM468" s="14">
        <f t="shared" si="256"/>
        <v>0</v>
      </c>
      <c r="CN468" s="14">
        <f t="shared" si="257"/>
        <v>0</v>
      </c>
      <c r="CO468" s="14">
        <f t="shared" si="258"/>
        <v>15.45</v>
      </c>
      <c r="CP468" s="14">
        <f t="shared" si="259"/>
        <v>0</v>
      </c>
      <c r="CQ468" s="14">
        <f t="shared" si="267"/>
        <v>22</v>
      </c>
      <c r="CR468" s="14">
        <f t="shared" si="268"/>
        <v>0</v>
      </c>
      <c r="CS468" s="14">
        <f t="shared" si="269"/>
        <v>16</v>
      </c>
      <c r="CV468" s="14">
        <f t="shared" si="260"/>
        <v>2</v>
      </c>
      <c r="CW468" s="14">
        <f t="shared" si="261"/>
        <v>0</v>
      </c>
      <c r="CX468" s="14" t="str">
        <f t="shared" si="270"/>
        <v>DefExt</v>
      </c>
      <c r="CY468" s="14">
        <f t="shared" si="271"/>
        <v>278</v>
      </c>
      <c r="CZ468" s="14">
        <f t="shared" si="272"/>
        <v>15.45</v>
      </c>
      <c r="DA468" s="14" t="str">
        <f t="shared" si="273"/>
        <v/>
      </c>
      <c r="DB468" s="14" t="str">
        <f t="shared" si="274"/>
        <v/>
      </c>
      <c r="DC468" s="14" t="str">
        <f t="shared" si="275"/>
        <v/>
      </c>
      <c r="DD468" s="14">
        <f t="shared" si="276"/>
        <v>22</v>
      </c>
      <c r="DE468" s="14">
        <f t="shared" si="277"/>
        <v>0</v>
      </c>
      <c r="DF468" s="14">
        <f t="shared" si="278"/>
        <v>16</v>
      </c>
      <c r="DG468" s="14">
        <f t="shared" si="279"/>
        <v>225</v>
      </c>
    </row>
    <row r="469" spans="77:111" ht="16.5" x14ac:dyDescent="0.2">
      <c r="BY469" s="13">
        <v>465</v>
      </c>
      <c r="BZ469" s="14">
        <f t="shared" si="262"/>
        <v>65</v>
      </c>
      <c r="CA469" s="14">
        <f t="shared" si="263"/>
        <v>1</v>
      </c>
      <c r="CB469" s="14">
        <f t="shared" si="248"/>
        <v>6</v>
      </c>
      <c r="CC469" s="14">
        <f t="shared" si="249"/>
        <v>2062015</v>
      </c>
      <c r="CD469" s="13" t="str">
        <f t="shared" si="250"/>
        <v>120级寄灵人蓝色-鞋子</v>
      </c>
      <c r="CE469" s="14">
        <f t="shared" si="251"/>
        <v>1</v>
      </c>
      <c r="CF469" s="14">
        <f t="shared" si="252"/>
        <v>2</v>
      </c>
      <c r="CG469" s="14">
        <f t="shared" si="264"/>
        <v>120</v>
      </c>
      <c r="CH469" s="14">
        <f t="shared" si="265"/>
        <v>120</v>
      </c>
      <c r="CI469" s="14">
        <f t="shared" si="253"/>
        <v>5</v>
      </c>
      <c r="CJ469" s="14" t="str">
        <f t="shared" si="266"/>
        <v/>
      </c>
      <c r="CK469" s="14">
        <f t="shared" si="254"/>
        <v>0</v>
      </c>
      <c r="CL469" s="14">
        <f t="shared" si="255"/>
        <v>0</v>
      </c>
      <c r="CM469" s="14">
        <f t="shared" si="256"/>
        <v>1688</v>
      </c>
      <c r="CN469" s="14">
        <f t="shared" si="257"/>
        <v>0</v>
      </c>
      <c r="CO469" s="14">
        <f t="shared" si="258"/>
        <v>0</v>
      </c>
      <c r="CP469" s="14">
        <f t="shared" si="259"/>
        <v>93.78</v>
      </c>
      <c r="CQ469" s="14">
        <f t="shared" si="267"/>
        <v>22</v>
      </c>
      <c r="CR469" s="14">
        <f t="shared" si="268"/>
        <v>0</v>
      </c>
      <c r="CS469" s="14">
        <f t="shared" si="269"/>
        <v>16</v>
      </c>
      <c r="CV469" s="14">
        <f t="shared" si="260"/>
        <v>3</v>
      </c>
      <c r="CW469" s="14">
        <f t="shared" si="261"/>
        <v>0</v>
      </c>
      <c r="CX469" s="14" t="str">
        <f t="shared" si="270"/>
        <v>HPExt</v>
      </c>
      <c r="CY469" s="14">
        <f t="shared" si="271"/>
        <v>1688</v>
      </c>
      <c r="CZ469" s="14">
        <f t="shared" si="272"/>
        <v>93.78</v>
      </c>
      <c r="DA469" s="14" t="str">
        <f t="shared" si="273"/>
        <v/>
      </c>
      <c r="DB469" s="14" t="str">
        <f t="shared" si="274"/>
        <v/>
      </c>
      <c r="DC469" s="14" t="str">
        <f t="shared" si="275"/>
        <v/>
      </c>
      <c r="DD469" s="14">
        <f t="shared" si="276"/>
        <v>22</v>
      </c>
      <c r="DE469" s="14">
        <f t="shared" si="277"/>
        <v>0</v>
      </c>
      <c r="DF469" s="14">
        <f t="shared" si="278"/>
        <v>16</v>
      </c>
      <c r="DG469" s="14">
        <f t="shared" si="279"/>
        <v>225</v>
      </c>
    </row>
    <row r="470" spans="77:111" ht="16.5" x14ac:dyDescent="0.2">
      <c r="BY470" s="13">
        <v>466</v>
      </c>
      <c r="BZ470" s="14">
        <f t="shared" si="262"/>
        <v>65</v>
      </c>
      <c r="CA470" s="14">
        <f t="shared" si="263"/>
        <v>1</v>
      </c>
      <c r="CB470" s="14">
        <f t="shared" si="248"/>
        <v>6</v>
      </c>
      <c r="CC470" s="14">
        <f t="shared" si="249"/>
        <v>2062016</v>
      </c>
      <c r="CD470" s="13" t="str">
        <f t="shared" si="250"/>
        <v>120级寄灵人蓝色-护手</v>
      </c>
      <c r="CE470" s="14">
        <f t="shared" si="251"/>
        <v>1</v>
      </c>
      <c r="CF470" s="14">
        <f t="shared" si="252"/>
        <v>2</v>
      </c>
      <c r="CG470" s="14">
        <f t="shared" si="264"/>
        <v>120</v>
      </c>
      <c r="CH470" s="14">
        <f t="shared" si="265"/>
        <v>120</v>
      </c>
      <c r="CI470" s="14">
        <f t="shared" si="253"/>
        <v>6</v>
      </c>
      <c r="CJ470" s="14" t="str">
        <f t="shared" si="266"/>
        <v/>
      </c>
      <c r="CK470" s="14">
        <f t="shared" si="254"/>
        <v>0</v>
      </c>
      <c r="CL470" s="14">
        <f t="shared" si="255"/>
        <v>0</v>
      </c>
      <c r="CM470" s="14">
        <f t="shared" si="256"/>
        <v>1688</v>
      </c>
      <c r="CN470" s="14">
        <f t="shared" si="257"/>
        <v>0</v>
      </c>
      <c r="CO470" s="14">
        <f t="shared" si="258"/>
        <v>0</v>
      </c>
      <c r="CP470" s="14">
        <f t="shared" si="259"/>
        <v>93.78</v>
      </c>
      <c r="CQ470" s="14">
        <f t="shared" si="267"/>
        <v>22</v>
      </c>
      <c r="CR470" s="14">
        <f t="shared" si="268"/>
        <v>0</v>
      </c>
      <c r="CS470" s="14">
        <f t="shared" si="269"/>
        <v>16</v>
      </c>
      <c r="CV470" s="14">
        <f t="shared" si="260"/>
        <v>3</v>
      </c>
      <c r="CW470" s="14">
        <f t="shared" si="261"/>
        <v>0</v>
      </c>
      <c r="CX470" s="14" t="str">
        <f t="shared" si="270"/>
        <v>HPExt</v>
      </c>
      <c r="CY470" s="14">
        <f t="shared" si="271"/>
        <v>1688</v>
      </c>
      <c r="CZ470" s="14">
        <f t="shared" si="272"/>
        <v>93.78</v>
      </c>
      <c r="DA470" s="14" t="str">
        <f t="shared" si="273"/>
        <v/>
      </c>
      <c r="DB470" s="14" t="str">
        <f t="shared" si="274"/>
        <v/>
      </c>
      <c r="DC470" s="14" t="str">
        <f t="shared" si="275"/>
        <v/>
      </c>
      <c r="DD470" s="14">
        <f t="shared" si="276"/>
        <v>22</v>
      </c>
      <c r="DE470" s="14">
        <f t="shared" si="277"/>
        <v>0</v>
      </c>
      <c r="DF470" s="14">
        <f t="shared" si="278"/>
        <v>16</v>
      </c>
      <c r="DG470" s="14">
        <f t="shared" si="279"/>
        <v>225</v>
      </c>
    </row>
    <row r="471" spans="77:111" ht="16.5" x14ac:dyDescent="0.2">
      <c r="BY471" s="13">
        <v>467</v>
      </c>
      <c r="BZ471" s="14">
        <f t="shared" si="262"/>
        <v>65</v>
      </c>
      <c r="CA471" s="14">
        <f t="shared" si="263"/>
        <v>1</v>
      </c>
      <c r="CB471" s="14">
        <f t="shared" si="248"/>
        <v>6</v>
      </c>
      <c r="CC471" s="14">
        <f t="shared" si="249"/>
        <v>2062017</v>
      </c>
      <c r="CD471" s="13" t="str">
        <f t="shared" si="250"/>
        <v>120级寄灵人蓝色-项链</v>
      </c>
      <c r="CE471" s="14">
        <f t="shared" si="251"/>
        <v>1</v>
      </c>
      <c r="CF471" s="14">
        <f t="shared" si="252"/>
        <v>2</v>
      </c>
      <c r="CG471" s="14">
        <f t="shared" si="264"/>
        <v>120</v>
      </c>
      <c r="CH471" s="14">
        <f t="shared" si="265"/>
        <v>120</v>
      </c>
      <c r="CI471" s="14">
        <f t="shared" si="253"/>
        <v>7</v>
      </c>
      <c r="CJ471" s="14" t="str">
        <f t="shared" si="266"/>
        <v/>
      </c>
      <c r="CK471" s="14">
        <f t="shared" si="254"/>
        <v>373</v>
      </c>
      <c r="CL471" s="14">
        <f t="shared" si="255"/>
        <v>232</v>
      </c>
      <c r="CM471" s="14">
        <f t="shared" si="256"/>
        <v>0</v>
      </c>
      <c r="CN471" s="14">
        <f t="shared" si="257"/>
        <v>20.73</v>
      </c>
      <c r="CO471" s="14">
        <f t="shared" si="258"/>
        <v>12.88</v>
      </c>
      <c r="CP471" s="14">
        <f t="shared" si="259"/>
        <v>0</v>
      </c>
      <c r="CQ471" s="14">
        <f t="shared" si="267"/>
        <v>22</v>
      </c>
      <c r="CR471" s="14">
        <f t="shared" si="268"/>
        <v>0</v>
      </c>
      <c r="CS471" s="14">
        <f t="shared" si="269"/>
        <v>16</v>
      </c>
      <c r="CV471" s="14">
        <f t="shared" si="260"/>
        <v>1</v>
      </c>
      <c r="CW471" s="14">
        <f t="shared" si="261"/>
        <v>2</v>
      </c>
      <c r="CX471" s="14" t="str">
        <f t="shared" si="270"/>
        <v>AtkExt</v>
      </c>
      <c r="CY471" s="14">
        <f t="shared" si="271"/>
        <v>373</v>
      </c>
      <c r="CZ471" s="14">
        <f t="shared" si="272"/>
        <v>20.73</v>
      </c>
      <c r="DA471" s="14" t="str">
        <f t="shared" si="273"/>
        <v>DefExt</v>
      </c>
      <c r="DB471" s="14">
        <f t="shared" si="274"/>
        <v>232</v>
      </c>
      <c r="DC471" s="14">
        <f t="shared" si="275"/>
        <v>12.88</v>
      </c>
      <c r="DD471" s="14">
        <f t="shared" si="276"/>
        <v>22</v>
      </c>
      <c r="DE471" s="14">
        <f t="shared" si="277"/>
        <v>0</v>
      </c>
      <c r="DF471" s="14">
        <f t="shared" si="278"/>
        <v>16</v>
      </c>
      <c r="DG471" s="14">
        <f t="shared" si="279"/>
        <v>225</v>
      </c>
    </row>
    <row r="472" spans="77:111" ht="16.5" x14ac:dyDescent="0.2">
      <c r="BY472" s="13">
        <v>468</v>
      </c>
      <c r="BZ472" s="14">
        <f t="shared" si="262"/>
        <v>65</v>
      </c>
      <c r="CA472" s="14">
        <f t="shared" si="263"/>
        <v>1</v>
      </c>
      <c r="CB472" s="14">
        <f t="shared" si="248"/>
        <v>6</v>
      </c>
      <c r="CC472" s="14">
        <f t="shared" si="249"/>
        <v>2062018</v>
      </c>
      <c r="CD472" s="13" t="str">
        <f t="shared" si="250"/>
        <v>120级寄灵人蓝色-戒指</v>
      </c>
      <c r="CE472" s="14">
        <f t="shared" si="251"/>
        <v>1</v>
      </c>
      <c r="CF472" s="14">
        <f t="shared" si="252"/>
        <v>2</v>
      </c>
      <c r="CG472" s="14">
        <f t="shared" si="264"/>
        <v>120</v>
      </c>
      <c r="CH472" s="14">
        <f t="shared" si="265"/>
        <v>120</v>
      </c>
      <c r="CI472" s="14">
        <f t="shared" si="253"/>
        <v>8</v>
      </c>
      <c r="CJ472" s="14" t="str">
        <f t="shared" si="266"/>
        <v/>
      </c>
      <c r="CK472" s="14">
        <f t="shared" si="254"/>
        <v>373</v>
      </c>
      <c r="CL472" s="14">
        <f t="shared" si="255"/>
        <v>0</v>
      </c>
      <c r="CM472" s="14">
        <f t="shared" si="256"/>
        <v>1407</v>
      </c>
      <c r="CN472" s="14">
        <f t="shared" si="257"/>
        <v>20.73</v>
      </c>
      <c r="CO472" s="14">
        <f t="shared" si="258"/>
        <v>0</v>
      </c>
      <c r="CP472" s="14">
        <f t="shared" si="259"/>
        <v>78.150000000000006</v>
      </c>
      <c r="CQ472" s="14">
        <f t="shared" si="267"/>
        <v>22</v>
      </c>
      <c r="CR472" s="14">
        <f t="shared" si="268"/>
        <v>0</v>
      </c>
      <c r="CS472" s="14">
        <f t="shared" si="269"/>
        <v>16</v>
      </c>
      <c r="CV472" s="14">
        <f t="shared" si="260"/>
        <v>1</v>
      </c>
      <c r="CW472" s="14">
        <f t="shared" si="261"/>
        <v>3</v>
      </c>
      <c r="CX472" s="14" t="str">
        <f t="shared" si="270"/>
        <v>AtkExt</v>
      </c>
      <c r="CY472" s="14">
        <f t="shared" si="271"/>
        <v>373</v>
      </c>
      <c r="CZ472" s="14">
        <f t="shared" si="272"/>
        <v>20.73</v>
      </c>
      <c r="DA472" s="14" t="str">
        <f t="shared" si="273"/>
        <v>HPExt</v>
      </c>
      <c r="DB472" s="14">
        <f t="shared" si="274"/>
        <v>1407</v>
      </c>
      <c r="DC472" s="14">
        <f t="shared" si="275"/>
        <v>78.150000000000006</v>
      </c>
      <c r="DD472" s="14">
        <f t="shared" si="276"/>
        <v>22</v>
      </c>
      <c r="DE472" s="14">
        <f t="shared" si="277"/>
        <v>0</v>
      </c>
      <c r="DF472" s="14">
        <f t="shared" si="278"/>
        <v>16</v>
      </c>
      <c r="DG472" s="14">
        <f t="shared" si="279"/>
        <v>225</v>
      </c>
    </row>
    <row r="473" spans="77:111" ht="16.5" x14ac:dyDescent="0.2">
      <c r="BY473" s="13">
        <v>469</v>
      </c>
      <c r="BZ473" s="14">
        <f t="shared" si="262"/>
        <v>66</v>
      </c>
      <c r="CA473" s="14">
        <f t="shared" si="263"/>
        <v>2</v>
      </c>
      <c r="CB473" s="14">
        <f t="shared" si="248"/>
        <v>6</v>
      </c>
      <c r="CC473" s="14">
        <f t="shared" si="249"/>
        <v>2062021</v>
      </c>
      <c r="CD473" s="13" t="str">
        <f t="shared" si="250"/>
        <v>120级守护灵蓝色-武器</v>
      </c>
      <c r="CE473" s="14">
        <f t="shared" si="251"/>
        <v>2</v>
      </c>
      <c r="CF473" s="14">
        <f t="shared" si="252"/>
        <v>2</v>
      </c>
      <c r="CG473" s="14">
        <f t="shared" si="264"/>
        <v>120</v>
      </c>
      <c r="CH473" s="14">
        <f t="shared" si="265"/>
        <v>120</v>
      </c>
      <c r="CI473" s="14">
        <f t="shared" si="253"/>
        <v>1</v>
      </c>
      <c r="CJ473" s="14" t="str">
        <f t="shared" si="266"/>
        <v/>
      </c>
      <c r="CK473" s="14">
        <f t="shared" si="254"/>
        <v>1140</v>
      </c>
      <c r="CL473" s="14">
        <f t="shared" si="255"/>
        <v>0</v>
      </c>
      <c r="CM473" s="14">
        <f t="shared" si="256"/>
        <v>0</v>
      </c>
      <c r="CN473" s="14">
        <f t="shared" si="257"/>
        <v>63.31</v>
      </c>
      <c r="CO473" s="14">
        <f t="shared" si="258"/>
        <v>0</v>
      </c>
      <c r="CP473" s="14">
        <f t="shared" si="259"/>
        <v>0</v>
      </c>
      <c r="CQ473" s="14">
        <f t="shared" si="267"/>
        <v>22</v>
      </c>
      <c r="CR473" s="14">
        <f t="shared" si="268"/>
        <v>0</v>
      </c>
      <c r="CS473" s="14">
        <f t="shared" si="269"/>
        <v>26</v>
      </c>
      <c r="CV473" s="14">
        <f t="shared" si="260"/>
        <v>1</v>
      </c>
      <c r="CW473" s="14">
        <f t="shared" si="261"/>
        <v>0</v>
      </c>
      <c r="CX473" s="14" t="str">
        <f t="shared" si="270"/>
        <v>AtkExt</v>
      </c>
      <c r="CY473" s="14">
        <f t="shared" si="271"/>
        <v>1140</v>
      </c>
      <c r="CZ473" s="14">
        <f t="shared" si="272"/>
        <v>63.31</v>
      </c>
      <c r="DA473" s="14" t="str">
        <f t="shared" si="273"/>
        <v/>
      </c>
      <c r="DB473" s="14" t="str">
        <f t="shared" si="274"/>
        <v/>
      </c>
      <c r="DC473" s="14" t="str">
        <f t="shared" si="275"/>
        <v/>
      </c>
      <c r="DD473" s="14">
        <f t="shared" si="276"/>
        <v>22</v>
      </c>
      <c r="DE473" s="14">
        <f t="shared" si="277"/>
        <v>0</v>
      </c>
      <c r="DF473" s="14">
        <f t="shared" si="278"/>
        <v>26</v>
      </c>
      <c r="DG473" s="14">
        <f t="shared" si="279"/>
        <v>225</v>
      </c>
    </row>
    <row r="474" spans="77:111" ht="16.5" x14ac:dyDescent="0.2">
      <c r="BY474" s="13">
        <v>470</v>
      </c>
      <c r="BZ474" s="14">
        <f t="shared" si="262"/>
        <v>66</v>
      </c>
      <c r="CA474" s="14">
        <f t="shared" si="263"/>
        <v>2</v>
      </c>
      <c r="CB474" s="14">
        <f t="shared" si="248"/>
        <v>6</v>
      </c>
      <c r="CC474" s="14">
        <f t="shared" si="249"/>
        <v>2062022</v>
      </c>
      <c r="CD474" s="13" t="str">
        <f t="shared" si="250"/>
        <v>120级守护灵蓝色-头盔</v>
      </c>
      <c r="CE474" s="14">
        <f t="shared" si="251"/>
        <v>2</v>
      </c>
      <c r="CF474" s="14">
        <f t="shared" si="252"/>
        <v>2</v>
      </c>
      <c r="CG474" s="14">
        <f t="shared" si="264"/>
        <v>120</v>
      </c>
      <c r="CH474" s="14">
        <f t="shared" si="265"/>
        <v>120</v>
      </c>
      <c r="CI474" s="14">
        <f t="shared" si="253"/>
        <v>2</v>
      </c>
      <c r="CJ474" s="14" t="str">
        <f t="shared" si="266"/>
        <v/>
      </c>
      <c r="CK474" s="14">
        <f t="shared" si="254"/>
        <v>0</v>
      </c>
      <c r="CL474" s="14">
        <f t="shared" si="255"/>
        <v>282</v>
      </c>
      <c r="CM474" s="14">
        <f t="shared" si="256"/>
        <v>0</v>
      </c>
      <c r="CN474" s="14">
        <f t="shared" si="257"/>
        <v>0</v>
      </c>
      <c r="CO474" s="14">
        <f t="shared" si="258"/>
        <v>15.69</v>
      </c>
      <c r="CP474" s="14">
        <f t="shared" si="259"/>
        <v>0</v>
      </c>
      <c r="CQ474" s="14">
        <f t="shared" si="267"/>
        <v>22</v>
      </c>
      <c r="CR474" s="14">
        <f t="shared" si="268"/>
        <v>0</v>
      </c>
      <c r="CS474" s="14">
        <f t="shared" si="269"/>
        <v>26</v>
      </c>
      <c r="CV474" s="14">
        <f t="shared" si="260"/>
        <v>2</v>
      </c>
      <c r="CW474" s="14">
        <f t="shared" si="261"/>
        <v>0</v>
      </c>
      <c r="CX474" s="14" t="str">
        <f t="shared" si="270"/>
        <v>DefExt</v>
      </c>
      <c r="CY474" s="14">
        <f t="shared" si="271"/>
        <v>282</v>
      </c>
      <c r="CZ474" s="14">
        <f t="shared" si="272"/>
        <v>15.69</v>
      </c>
      <c r="DA474" s="14" t="str">
        <f t="shared" si="273"/>
        <v/>
      </c>
      <c r="DB474" s="14" t="str">
        <f t="shared" si="274"/>
        <v/>
      </c>
      <c r="DC474" s="14" t="str">
        <f t="shared" si="275"/>
        <v/>
      </c>
      <c r="DD474" s="14">
        <f t="shared" si="276"/>
        <v>22</v>
      </c>
      <c r="DE474" s="14">
        <f t="shared" si="277"/>
        <v>0</v>
      </c>
      <c r="DF474" s="14">
        <f t="shared" si="278"/>
        <v>26</v>
      </c>
      <c r="DG474" s="14">
        <f t="shared" si="279"/>
        <v>225</v>
      </c>
    </row>
    <row r="475" spans="77:111" ht="16.5" x14ac:dyDescent="0.2">
      <c r="BY475" s="13">
        <v>471</v>
      </c>
      <c r="BZ475" s="14">
        <f t="shared" si="262"/>
        <v>66</v>
      </c>
      <c r="CA475" s="14">
        <f t="shared" si="263"/>
        <v>2</v>
      </c>
      <c r="CB475" s="14">
        <f t="shared" si="248"/>
        <v>6</v>
      </c>
      <c r="CC475" s="14">
        <f t="shared" si="249"/>
        <v>2062023</v>
      </c>
      <c r="CD475" s="13" t="str">
        <f t="shared" si="250"/>
        <v>120级守护灵蓝色-肩甲</v>
      </c>
      <c r="CE475" s="14">
        <f t="shared" si="251"/>
        <v>2</v>
      </c>
      <c r="CF475" s="14">
        <f t="shared" si="252"/>
        <v>2</v>
      </c>
      <c r="CG475" s="14">
        <f t="shared" si="264"/>
        <v>120</v>
      </c>
      <c r="CH475" s="14">
        <f t="shared" si="265"/>
        <v>120</v>
      </c>
      <c r="CI475" s="14">
        <f t="shared" si="253"/>
        <v>3</v>
      </c>
      <c r="CJ475" s="14" t="str">
        <f t="shared" si="266"/>
        <v/>
      </c>
      <c r="CK475" s="14">
        <f t="shared" si="254"/>
        <v>0</v>
      </c>
      <c r="CL475" s="14">
        <f t="shared" si="255"/>
        <v>141</v>
      </c>
      <c r="CM475" s="14">
        <f t="shared" si="256"/>
        <v>1515</v>
      </c>
      <c r="CN475" s="14">
        <f t="shared" si="257"/>
        <v>0</v>
      </c>
      <c r="CO475" s="14">
        <f t="shared" si="258"/>
        <v>7.84</v>
      </c>
      <c r="CP475" s="14">
        <f t="shared" si="259"/>
        <v>84.18</v>
      </c>
      <c r="CQ475" s="14">
        <f t="shared" si="267"/>
        <v>22</v>
      </c>
      <c r="CR475" s="14">
        <f t="shared" si="268"/>
        <v>0</v>
      </c>
      <c r="CS475" s="14">
        <f t="shared" si="269"/>
        <v>26</v>
      </c>
      <c r="CV475" s="14">
        <f t="shared" si="260"/>
        <v>2</v>
      </c>
      <c r="CW475" s="14">
        <f t="shared" si="261"/>
        <v>3</v>
      </c>
      <c r="CX475" s="14" t="str">
        <f t="shared" si="270"/>
        <v>DefExt</v>
      </c>
      <c r="CY475" s="14">
        <f t="shared" si="271"/>
        <v>141</v>
      </c>
      <c r="CZ475" s="14">
        <f t="shared" si="272"/>
        <v>7.84</v>
      </c>
      <c r="DA475" s="14" t="str">
        <f t="shared" si="273"/>
        <v>HPExt</v>
      </c>
      <c r="DB475" s="14">
        <f t="shared" si="274"/>
        <v>1515</v>
      </c>
      <c r="DC475" s="14">
        <f t="shared" si="275"/>
        <v>84.18</v>
      </c>
      <c r="DD475" s="14">
        <f t="shared" si="276"/>
        <v>22</v>
      </c>
      <c r="DE475" s="14">
        <f t="shared" si="277"/>
        <v>0</v>
      </c>
      <c r="DF475" s="14">
        <f t="shared" si="278"/>
        <v>26</v>
      </c>
      <c r="DG475" s="14">
        <f t="shared" si="279"/>
        <v>225</v>
      </c>
    </row>
    <row r="476" spans="77:111" ht="16.5" x14ac:dyDescent="0.2">
      <c r="BY476" s="13">
        <v>472</v>
      </c>
      <c r="BZ476" s="14">
        <f t="shared" si="262"/>
        <v>66</v>
      </c>
      <c r="CA476" s="14">
        <f t="shared" si="263"/>
        <v>2</v>
      </c>
      <c r="CB476" s="14">
        <f t="shared" si="248"/>
        <v>6</v>
      </c>
      <c r="CC476" s="14">
        <f t="shared" si="249"/>
        <v>2062024</v>
      </c>
      <c r="CD476" s="13" t="str">
        <f t="shared" si="250"/>
        <v>120级守护灵蓝色-衣服</v>
      </c>
      <c r="CE476" s="14">
        <f t="shared" si="251"/>
        <v>2</v>
      </c>
      <c r="CF476" s="14">
        <f t="shared" si="252"/>
        <v>2</v>
      </c>
      <c r="CG476" s="14">
        <f t="shared" si="264"/>
        <v>120</v>
      </c>
      <c r="CH476" s="14">
        <f t="shared" si="265"/>
        <v>120</v>
      </c>
      <c r="CI476" s="14">
        <f t="shared" si="253"/>
        <v>4</v>
      </c>
      <c r="CJ476" s="14" t="str">
        <f t="shared" si="266"/>
        <v/>
      </c>
      <c r="CK476" s="14">
        <f t="shared" si="254"/>
        <v>0</v>
      </c>
      <c r="CL476" s="14">
        <f t="shared" si="255"/>
        <v>282</v>
      </c>
      <c r="CM476" s="14">
        <f t="shared" si="256"/>
        <v>0</v>
      </c>
      <c r="CN476" s="14">
        <f t="shared" si="257"/>
        <v>0</v>
      </c>
      <c r="CO476" s="14">
        <f t="shared" si="258"/>
        <v>15.69</v>
      </c>
      <c r="CP476" s="14">
        <f t="shared" si="259"/>
        <v>0</v>
      </c>
      <c r="CQ476" s="14">
        <f t="shared" si="267"/>
        <v>22</v>
      </c>
      <c r="CR476" s="14">
        <f t="shared" si="268"/>
        <v>0</v>
      </c>
      <c r="CS476" s="14">
        <f t="shared" si="269"/>
        <v>26</v>
      </c>
      <c r="CV476" s="14">
        <f t="shared" si="260"/>
        <v>2</v>
      </c>
      <c r="CW476" s="14">
        <f t="shared" si="261"/>
        <v>0</v>
      </c>
      <c r="CX476" s="14" t="str">
        <f t="shared" si="270"/>
        <v>DefExt</v>
      </c>
      <c r="CY476" s="14">
        <f t="shared" si="271"/>
        <v>282</v>
      </c>
      <c r="CZ476" s="14">
        <f t="shared" si="272"/>
        <v>15.69</v>
      </c>
      <c r="DA476" s="14" t="str">
        <f t="shared" si="273"/>
        <v/>
      </c>
      <c r="DB476" s="14" t="str">
        <f t="shared" si="274"/>
        <v/>
      </c>
      <c r="DC476" s="14" t="str">
        <f t="shared" si="275"/>
        <v/>
      </c>
      <c r="DD476" s="14">
        <f t="shared" si="276"/>
        <v>22</v>
      </c>
      <c r="DE476" s="14">
        <f t="shared" si="277"/>
        <v>0</v>
      </c>
      <c r="DF476" s="14">
        <f t="shared" si="278"/>
        <v>26</v>
      </c>
      <c r="DG476" s="14">
        <f t="shared" si="279"/>
        <v>225</v>
      </c>
    </row>
    <row r="477" spans="77:111" ht="16.5" x14ac:dyDescent="0.2">
      <c r="BY477" s="13">
        <v>473</v>
      </c>
      <c r="BZ477" s="14">
        <f t="shared" si="262"/>
        <v>66</v>
      </c>
      <c r="CA477" s="14">
        <f t="shared" si="263"/>
        <v>2</v>
      </c>
      <c r="CB477" s="14">
        <f t="shared" si="248"/>
        <v>6</v>
      </c>
      <c r="CC477" s="14">
        <f t="shared" si="249"/>
        <v>2062025</v>
      </c>
      <c r="CD477" s="13" t="str">
        <f t="shared" si="250"/>
        <v>120级守护灵蓝色-鞋子</v>
      </c>
      <c r="CE477" s="14">
        <f t="shared" si="251"/>
        <v>2</v>
      </c>
      <c r="CF477" s="14">
        <f t="shared" si="252"/>
        <v>2</v>
      </c>
      <c r="CG477" s="14">
        <f t="shared" si="264"/>
        <v>120</v>
      </c>
      <c r="CH477" s="14">
        <f t="shared" si="265"/>
        <v>120</v>
      </c>
      <c r="CI477" s="14">
        <f t="shared" si="253"/>
        <v>5</v>
      </c>
      <c r="CJ477" s="14" t="str">
        <f t="shared" si="266"/>
        <v/>
      </c>
      <c r="CK477" s="14">
        <f t="shared" si="254"/>
        <v>0</v>
      </c>
      <c r="CL477" s="14">
        <f t="shared" si="255"/>
        <v>0</v>
      </c>
      <c r="CM477" s="14">
        <f t="shared" si="256"/>
        <v>3031</v>
      </c>
      <c r="CN477" s="14">
        <f t="shared" si="257"/>
        <v>0</v>
      </c>
      <c r="CO477" s="14">
        <f t="shared" si="258"/>
        <v>0</v>
      </c>
      <c r="CP477" s="14">
        <f t="shared" si="259"/>
        <v>168.37</v>
      </c>
      <c r="CQ477" s="14">
        <f t="shared" si="267"/>
        <v>22</v>
      </c>
      <c r="CR477" s="14">
        <f t="shared" si="268"/>
        <v>0</v>
      </c>
      <c r="CS477" s="14">
        <f t="shared" si="269"/>
        <v>26</v>
      </c>
      <c r="CV477" s="14">
        <f t="shared" si="260"/>
        <v>3</v>
      </c>
      <c r="CW477" s="14">
        <f t="shared" si="261"/>
        <v>0</v>
      </c>
      <c r="CX477" s="14" t="str">
        <f t="shared" si="270"/>
        <v>HPExt</v>
      </c>
      <c r="CY477" s="14">
        <f t="shared" si="271"/>
        <v>3031</v>
      </c>
      <c r="CZ477" s="14">
        <f t="shared" si="272"/>
        <v>168.37</v>
      </c>
      <c r="DA477" s="14" t="str">
        <f t="shared" si="273"/>
        <v/>
      </c>
      <c r="DB477" s="14" t="str">
        <f t="shared" si="274"/>
        <v/>
      </c>
      <c r="DC477" s="14" t="str">
        <f t="shared" si="275"/>
        <v/>
      </c>
      <c r="DD477" s="14">
        <f t="shared" si="276"/>
        <v>22</v>
      </c>
      <c r="DE477" s="14">
        <f t="shared" si="277"/>
        <v>0</v>
      </c>
      <c r="DF477" s="14">
        <f t="shared" si="278"/>
        <v>26</v>
      </c>
      <c r="DG477" s="14">
        <f t="shared" si="279"/>
        <v>225</v>
      </c>
    </row>
    <row r="478" spans="77:111" ht="16.5" x14ac:dyDescent="0.2">
      <c r="BY478" s="13">
        <v>474</v>
      </c>
      <c r="BZ478" s="14">
        <f t="shared" si="262"/>
        <v>66</v>
      </c>
      <c r="CA478" s="14">
        <f t="shared" si="263"/>
        <v>2</v>
      </c>
      <c r="CB478" s="14">
        <f t="shared" si="248"/>
        <v>6</v>
      </c>
      <c r="CC478" s="14">
        <f t="shared" si="249"/>
        <v>2062026</v>
      </c>
      <c r="CD478" s="13" t="str">
        <f t="shared" si="250"/>
        <v>120级守护灵蓝色-护手</v>
      </c>
      <c r="CE478" s="14">
        <f t="shared" si="251"/>
        <v>2</v>
      </c>
      <c r="CF478" s="14">
        <f t="shared" si="252"/>
        <v>2</v>
      </c>
      <c r="CG478" s="14">
        <f t="shared" si="264"/>
        <v>120</v>
      </c>
      <c r="CH478" s="14">
        <f t="shared" si="265"/>
        <v>120</v>
      </c>
      <c r="CI478" s="14">
        <f t="shared" si="253"/>
        <v>6</v>
      </c>
      <c r="CJ478" s="14" t="str">
        <f t="shared" si="266"/>
        <v/>
      </c>
      <c r="CK478" s="14">
        <f t="shared" si="254"/>
        <v>0</v>
      </c>
      <c r="CL478" s="14">
        <f t="shared" si="255"/>
        <v>0</v>
      </c>
      <c r="CM478" s="14">
        <f t="shared" si="256"/>
        <v>3031</v>
      </c>
      <c r="CN478" s="14">
        <f t="shared" si="257"/>
        <v>0</v>
      </c>
      <c r="CO478" s="14">
        <f t="shared" si="258"/>
        <v>0</v>
      </c>
      <c r="CP478" s="14">
        <f t="shared" si="259"/>
        <v>168.37</v>
      </c>
      <c r="CQ478" s="14">
        <f t="shared" si="267"/>
        <v>22</v>
      </c>
      <c r="CR478" s="14">
        <f t="shared" si="268"/>
        <v>0</v>
      </c>
      <c r="CS478" s="14">
        <f t="shared" si="269"/>
        <v>26</v>
      </c>
      <c r="CV478" s="14">
        <f t="shared" si="260"/>
        <v>3</v>
      </c>
      <c r="CW478" s="14">
        <f t="shared" si="261"/>
        <v>0</v>
      </c>
      <c r="CX478" s="14" t="str">
        <f t="shared" si="270"/>
        <v>HPExt</v>
      </c>
      <c r="CY478" s="14">
        <f t="shared" si="271"/>
        <v>3031</v>
      </c>
      <c r="CZ478" s="14">
        <f t="shared" si="272"/>
        <v>168.37</v>
      </c>
      <c r="DA478" s="14" t="str">
        <f t="shared" si="273"/>
        <v/>
      </c>
      <c r="DB478" s="14" t="str">
        <f t="shared" si="274"/>
        <v/>
      </c>
      <c r="DC478" s="14" t="str">
        <f t="shared" si="275"/>
        <v/>
      </c>
      <c r="DD478" s="14">
        <f t="shared" si="276"/>
        <v>22</v>
      </c>
      <c r="DE478" s="14">
        <f t="shared" si="277"/>
        <v>0</v>
      </c>
      <c r="DF478" s="14">
        <f t="shared" si="278"/>
        <v>26</v>
      </c>
      <c r="DG478" s="14">
        <f t="shared" si="279"/>
        <v>225</v>
      </c>
    </row>
    <row r="479" spans="77:111" ht="16.5" x14ac:dyDescent="0.2">
      <c r="BY479" s="13">
        <v>475</v>
      </c>
      <c r="BZ479" s="14">
        <f t="shared" si="262"/>
        <v>66</v>
      </c>
      <c r="CA479" s="14">
        <f t="shared" si="263"/>
        <v>2</v>
      </c>
      <c r="CB479" s="14">
        <f t="shared" si="248"/>
        <v>6</v>
      </c>
      <c r="CC479" s="14">
        <f t="shared" si="249"/>
        <v>2062027</v>
      </c>
      <c r="CD479" s="13" t="str">
        <f t="shared" si="250"/>
        <v>120级守护灵蓝色-项链</v>
      </c>
      <c r="CE479" s="14">
        <f t="shared" si="251"/>
        <v>2</v>
      </c>
      <c r="CF479" s="14">
        <f t="shared" si="252"/>
        <v>2</v>
      </c>
      <c r="CG479" s="14">
        <f t="shared" si="264"/>
        <v>120</v>
      </c>
      <c r="CH479" s="14">
        <f t="shared" si="265"/>
        <v>120</v>
      </c>
      <c r="CI479" s="14">
        <f t="shared" si="253"/>
        <v>7</v>
      </c>
      <c r="CJ479" s="14" t="str">
        <f t="shared" si="266"/>
        <v/>
      </c>
      <c r="CK479" s="14">
        <f t="shared" si="254"/>
        <v>380</v>
      </c>
      <c r="CL479" s="14">
        <f t="shared" si="255"/>
        <v>235</v>
      </c>
      <c r="CM479" s="14">
        <f t="shared" si="256"/>
        <v>0</v>
      </c>
      <c r="CN479" s="14">
        <f t="shared" si="257"/>
        <v>21.1</v>
      </c>
      <c r="CO479" s="14">
        <f t="shared" si="258"/>
        <v>13.07</v>
      </c>
      <c r="CP479" s="14">
        <f t="shared" si="259"/>
        <v>0</v>
      </c>
      <c r="CQ479" s="14">
        <f t="shared" si="267"/>
        <v>22</v>
      </c>
      <c r="CR479" s="14">
        <f t="shared" si="268"/>
        <v>0</v>
      </c>
      <c r="CS479" s="14">
        <f t="shared" si="269"/>
        <v>26</v>
      </c>
      <c r="CV479" s="14">
        <f t="shared" si="260"/>
        <v>1</v>
      </c>
      <c r="CW479" s="14">
        <f t="shared" si="261"/>
        <v>2</v>
      </c>
      <c r="CX479" s="14" t="str">
        <f t="shared" si="270"/>
        <v>AtkExt</v>
      </c>
      <c r="CY479" s="14">
        <f t="shared" si="271"/>
        <v>380</v>
      </c>
      <c r="CZ479" s="14">
        <f t="shared" si="272"/>
        <v>21.1</v>
      </c>
      <c r="DA479" s="14" t="str">
        <f t="shared" si="273"/>
        <v>DefExt</v>
      </c>
      <c r="DB479" s="14">
        <f t="shared" si="274"/>
        <v>235</v>
      </c>
      <c r="DC479" s="14">
        <f t="shared" si="275"/>
        <v>13.07</v>
      </c>
      <c r="DD479" s="14">
        <f t="shared" si="276"/>
        <v>22</v>
      </c>
      <c r="DE479" s="14">
        <f t="shared" si="277"/>
        <v>0</v>
      </c>
      <c r="DF479" s="14">
        <f t="shared" si="278"/>
        <v>26</v>
      </c>
      <c r="DG479" s="14">
        <f t="shared" si="279"/>
        <v>225</v>
      </c>
    </row>
    <row r="480" spans="77:111" ht="16.5" x14ac:dyDescent="0.2">
      <c r="BY480" s="13">
        <v>476</v>
      </c>
      <c r="BZ480" s="14">
        <f t="shared" si="262"/>
        <v>66</v>
      </c>
      <c r="CA480" s="14">
        <f t="shared" si="263"/>
        <v>2</v>
      </c>
      <c r="CB480" s="14">
        <f t="shared" si="248"/>
        <v>6</v>
      </c>
      <c r="CC480" s="14">
        <f t="shared" si="249"/>
        <v>2062028</v>
      </c>
      <c r="CD480" s="13" t="str">
        <f t="shared" si="250"/>
        <v>120级守护灵蓝色-戒指</v>
      </c>
      <c r="CE480" s="14">
        <f t="shared" si="251"/>
        <v>2</v>
      </c>
      <c r="CF480" s="14">
        <f t="shared" si="252"/>
        <v>2</v>
      </c>
      <c r="CG480" s="14">
        <f t="shared" si="264"/>
        <v>120</v>
      </c>
      <c r="CH480" s="14">
        <f t="shared" si="265"/>
        <v>120</v>
      </c>
      <c r="CI480" s="14">
        <f t="shared" si="253"/>
        <v>8</v>
      </c>
      <c r="CJ480" s="14" t="str">
        <f t="shared" si="266"/>
        <v/>
      </c>
      <c r="CK480" s="14">
        <f t="shared" si="254"/>
        <v>380</v>
      </c>
      <c r="CL480" s="14">
        <f t="shared" si="255"/>
        <v>0</v>
      </c>
      <c r="CM480" s="14">
        <f t="shared" si="256"/>
        <v>2526</v>
      </c>
      <c r="CN480" s="14">
        <f t="shared" si="257"/>
        <v>21.1</v>
      </c>
      <c r="CO480" s="14">
        <f t="shared" si="258"/>
        <v>0</v>
      </c>
      <c r="CP480" s="14">
        <f t="shared" si="259"/>
        <v>140.31</v>
      </c>
      <c r="CQ480" s="14">
        <f t="shared" si="267"/>
        <v>22</v>
      </c>
      <c r="CR480" s="14">
        <f t="shared" si="268"/>
        <v>0</v>
      </c>
      <c r="CS480" s="14">
        <f t="shared" si="269"/>
        <v>26</v>
      </c>
      <c r="CV480" s="14">
        <f t="shared" si="260"/>
        <v>1</v>
      </c>
      <c r="CW480" s="14">
        <f t="shared" si="261"/>
        <v>3</v>
      </c>
      <c r="CX480" s="14" t="str">
        <f t="shared" si="270"/>
        <v>AtkExt</v>
      </c>
      <c r="CY480" s="14">
        <f t="shared" si="271"/>
        <v>380</v>
      </c>
      <c r="CZ480" s="14">
        <f t="shared" si="272"/>
        <v>21.1</v>
      </c>
      <c r="DA480" s="14" t="str">
        <f t="shared" si="273"/>
        <v>HPExt</v>
      </c>
      <c r="DB480" s="14">
        <f t="shared" si="274"/>
        <v>2526</v>
      </c>
      <c r="DC480" s="14">
        <f t="shared" si="275"/>
        <v>140.31</v>
      </c>
      <c r="DD480" s="14">
        <f t="shared" si="276"/>
        <v>22</v>
      </c>
      <c r="DE480" s="14">
        <f t="shared" si="277"/>
        <v>0</v>
      </c>
      <c r="DF480" s="14">
        <f t="shared" si="278"/>
        <v>26</v>
      </c>
      <c r="DG480" s="14">
        <f t="shared" si="279"/>
        <v>225</v>
      </c>
    </row>
    <row r="481" spans="77:111" ht="16.5" x14ac:dyDescent="0.2">
      <c r="BY481" s="13">
        <v>477</v>
      </c>
      <c r="BZ481" s="14">
        <f t="shared" si="262"/>
        <v>67</v>
      </c>
      <c r="CA481" s="14">
        <f t="shared" si="263"/>
        <v>1</v>
      </c>
      <c r="CB481" s="14">
        <f t="shared" si="248"/>
        <v>6</v>
      </c>
      <c r="CC481" s="14">
        <f t="shared" si="249"/>
        <v>2063011</v>
      </c>
      <c r="CD481" s="13" t="str">
        <f t="shared" si="250"/>
        <v>120级寄灵人紫色-武器</v>
      </c>
      <c r="CE481" s="14">
        <f t="shared" si="251"/>
        <v>1</v>
      </c>
      <c r="CF481" s="14">
        <f t="shared" si="252"/>
        <v>3</v>
      </c>
      <c r="CG481" s="14">
        <f t="shared" si="264"/>
        <v>120</v>
      </c>
      <c r="CH481" s="14">
        <f t="shared" si="265"/>
        <v>120</v>
      </c>
      <c r="CI481" s="14">
        <f t="shared" si="253"/>
        <v>1</v>
      </c>
      <c r="CJ481" s="14" t="str">
        <f t="shared" si="266"/>
        <v/>
      </c>
      <c r="CK481" s="14">
        <f t="shared" si="254"/>
        <v>1194</v>
      </c>
      <c r="CL481" s="14">
        <f t="shared" si="255"/>
        <v>0</v>
      </c>
      <c r="CM481" s="14">
        <f t="shared" si="256"/>
        <v>0</v>
      </c>
      <c r="CN481" s="14">
        <f t="shared" si="257"/>
        <v>62.18</v>
      </c>
      <c r="CO481" s="14">
        <f t="shared" si="258"/>
        <v>0</v>
      </c>
      <c r="CP481" s="14">
        <f t="shared" si="259"/>
        <v>0</v>
      </c>
      <c r="CQ481" s="14">
        <f t="shared" si="267"/>
        <v>23</v>
      </c>
      <c r="CR481" s="14">
        <f t="shared" si="268"/>
        <v>4</v>
      </c>
      <c r="CS481" s="14">
        <f t="shared" si="269"/>
        <v>16</v>
      </c>
      <c r="CV481" s="14">
        <f t="shared" si="260"/>
        <v>1</v>
      </c>
      <c r="CW481" s="14">
        <f t="shared" si="261"/>
        <v>0</v>
      </c>
      <c r="CX481" s="14" t="str">
        <f t="shared" si="270"/>
        <v>AtkExt</v>
      </c>
      <c r="CY481" s="14">
        <f t="shared" si="271"/>
        <v>1194</v>
      </c>
      <c r="CZ481" s="14">
        <f t="shared" si="272"/>
        <v>62.18</v>
      </c>
      <c r="DA481" s="14" t="str">
        <f t="shared" si="273"/>
        <v/>
      </c>
      <c r="DB481" s="14" t="str">
        <f t="shared" si="274"/>
        <v/>
      </c>
      <c r="DC481" s="14" t="str">
        <f t="shared" si="275"/>
        <v/>
      </c>
      <c r="DD481" s="14">
        <f t="shared" si="276"/>
        <v>23</v>
      </c>
      <c r="DE481" s="14">
        <f t="shared" si="277"/>
        <v>4</v>
      </c>
      <c r="DF481" s="14">
        <f t="shared" si="278"/>
        <v>16</v>
      </c>
      <c r="DG481" s="14">
        <f t="shared" si="279"/>
        <v>375</v>
      </c>
    </row>
    <row r="482" spans="77:111" ht="16.5" x14ac:dyDescent="0.2">
      <c r="BY482" s="13">
        <v>478</v>
      </c>
      <c r="BZ482" s="14">
        <f t="shared" si="262"/>
        <v>67</v>
      </c>
      <c r="CA482" s="14">
        <f t="shared" si="263"/>
        <v>1</v>
      </c>
      <c r="CB482" s="14">
        <f t="shared" si="248"/>
        <v>6</v>
      </c>
      <c r="CC482" s="14">
        <f t="shared" si="249"/>
        <v>2063012</v>
      </c>
      <c r="CD482" s="13" t="str">
        <f t="shared" si="250"/>
        <v>120级寄灵人紫色-头盔</v>
      </c>
      <c r="CE482" s="14">
        <f t="shared" si="251"/>
        <v>1</v>
      </c>
      <c r="CF482" s="14">
        <f t="shared" si="252"/>
        <v>3</v>
      </c>
      <c r="CG482" s="14">
        <f t="shared" si="264"/>
        <v>120</v>
      </c>
      <c r="CH482" s="14">
        <f t="shared" si="265"/>
        <v>120</v>
      </c>
      <c r="CI482" s="14">
        <f t="shared" si="253"/>
        <v>2</v>
      </c>
      <c r="CJ482" s="14" t="str">
        <f t="shared" si="266"/>
        <v/>
      </c>
      <c r="CK482" s="14">
        <f t="shared" si="254"/>
        <v>0</v>
      </c>
      <c r="CL482" s="14">
        <f t="shared" si="255"/>
        <v>297</v>
      </c>
      <c r="CM482" s="14">
        <f t="shared" si="256"/>
        <v>0</v>
      </c>
      <c r="CN482" s="14">
        <f t="shared" si="257"/>
        <v>0</v>
      </c>
      <c r="CO482" s="14">
        <f t="shared" si="258"/>
        <v>15.45</v>
      </c>
      <c r="CP482" s="14">
        <f t="shared" si="259"/>
        <v>0</v>
      </c>
      <c r="CQ482" s="14">
        <f t="shared" si="267"/>
        <v>23</v>
      </c>
      <c r="CR482" s="14">
        <f t="shared" si="268"/>
        <v>4</v>
      </c>
      <c r="CS482" s="14">
        <f t="shared" si="269"/>
        <v>16</v>
      </c>
      <c r="CV482" s="14">
        <f t="shared" si="260"/>
        <v>2</v>
      </c>
      <c r="CW482" s="14">
        <f t="shared" si="261"/>
        <v>0</v>
      </c>
      <c r="CX482" s="14" t="str">
        <f t="shared" si="270"/>
        <v>DefExt</v>
      </c>
      <c r="CY482" s="14">
        <f t="shared" si="271"/>
        <v>297</v>
      </c>
      <c r="CZ482" s="14">
        <f t="shared" si="272"/>
        <v>15.45</v>
      </c>
      <c r="DA482" s="14" t="str">
        <f t="shared" si="273"/>
        <v/>
      </c>
      <c r="DB482" s="14" t="str">
        <f t="shared" si="274"/>
        <v/>
      </c>
      <c r="DC482" s="14" t="str">
        <f t="shared" si="275"/>
        <v/>
      </c>
      <c r="DD482" s="14">
        <f t="shared" si="276"/>
        <v>23</v>
      </c>
      <c r="DE482" s="14">
        <f t="shared" si="277"/>
        <v>4</v>
      </c>
      <c r="DF482" s="14">
        <f t="shared" si="278"/>
        <v>16</v>
      </c>
      <c r="DG482" s="14">
        <f t="shared" si="279"/>
        <v>375</v>
      </c>
    </row>
    <row r="483" spans="77:111" ht="16.5" x14ac:dyDescent="0.2">
      <c r="BY483" s="13">
        <v>479</v>
      </c>
      <c r="BZ483" s="14">
        <f t="shared" si="262"/>
        <v>67</v>
      </c>
      <c r="CA483" s="14">
        <f t="shared" si="263"/>
        <v>1</v>
      </c>
      <c r="CB483" s="14">
        <f t="shared" si="248"/>
        <v>6</v>
      </c>
      <c r="CC483" s="14">
        <f t="shared" si="249"/>
        <v>2063013</v>
      </c>
      <c r="CD483" s="13" t="str">
        <f t="shared" si="250"/>
        <v>120级寄灵人紫色-肩甲</v>
      </c>
      <c r="CE483" s="14">
        <f t="shared" si="251"/>
        <v>1</v>
      </c>
      <c r="CF483" s="14">
        <f t="shared" si="252"/>
        <v>3</v>
      </c>
      <c r="CG483" s="14">
        <f t="shared" si="264"/>
        <v>120</v>
      </c>
      <c r="CH483" s="14">
        <f t="shared" si="265"/>
        <v>120</v>
      </c>
      <c r="CI483" s="14">
        <f t="shared" si="253"/>
        <v>3</v>
      </c>
      <c r="CJ483" s="14" t="str">
        <f t="shared" si="266"/>
        <v/>
      </c>
      <c r="CK483" s="14">
        <f t="shared" si="254"/>
        <v>0</v>
      </c>
      <c r="CL483" s="14">
        <f t="shared" si="255"/>
        <v>148</v>
      </c>
      <c r="CM483" s="14">
        <f t="shared" si="256"/>
        <v>900</v>
      </c>
      <c r="CN483" s="14">
        <f t="shared" si="257"/>
        <v>0</v>
      </c>
      <c r="CO483" s="14">
        <f t="shared" si="258"/>
        <v>7.73</v>
      </c>
      <c r="CP483" s="14">
        <f t="shared" si="259"/>
        <v>46.89</v>
      </c>
      <c r="CQ483" s="14">
        <f t="shared" si="267"/>
        <v>23</v>
      </c>
      <c r="CR483" s="14">
        <f t="shared" si="268"/>
        <v>4</v>
      </c>
      <c r="CS483" s="14">
        <f t="shared" si="269"/>
        <v>16</v>
      </c>
      <c r="CV483" s="14">
        <f t="shared" si="260"/>
        <v>2</v>
      </c>
      <c r="CW483" s="14">
        <f t="shared" si="261"/>
        <v>3</v>
      </c>
      <c r="CX483" s="14" t="str">
        <f t="shared" si="270"/>
        <v>DefExt</v>
      </c>
      <c r="CY483" s="14">
        <f t="shared" si="271"/>
        <v>148</v>
      </c>
      <c r="CZ483" s="14">
        <f t="shared" si="272"/>
        <v>7.73</v>
      </c>
      <c r="DA483" s="14" t="str">
        <f t="shared" si="273"/>
        <v>HPExt</v>
      </c>
      <c r="DB483" s="14">
        <f t="shared" si="274"/>
        <v>900</v>
      </c>
      <c r="DC483" s="14">
        <f t="shared" si="275"/>
        <v>46.89</v>
      </c>
      <c r="DD483" s="14">
        <f t="shared" si="276"/>
        <v>23</v>
      </c>
      <c r="DE483" s="14">
        <f t="shared" si="277"/>
        <v>4</v>
      </c>
      <c r="DF483" s="14">
        <f t="shared" si="278"/>
        <v>16</v>
      </c>
      <c r="DG483" s="14">
        <f t="shared" si="279"/>
        <v>375</v>
      </c>
    </row>
    <row r="484" spans="77:111" ht="16.5" x14ac:dyDescent="0.2">
      <c r="BY484" s="13">
        <v>480</v>
      </c>
      <c r="BZ484" s="14">
        <f t="shared" si="262"/>
        <v>67</v>
      </c>
      <c r="CA484" s="14">
        <f t="shared" si="263"/>
        <v>1</v>
      </c>
      <c r="CB484" s="14">
        <f t="shared" si="248"/>
        <v>6</v>
      </c>
      <c r="CC484" s="14">
        <f t="shared" si="249"/>
        <v>2063014</v>
      </c>
      <c r="CD484" s="13" t="str">
        <f t="shared" si="250"/>
        <v>120级寄灵人紫色-衣服</v>
      </c>
      <c r="CE484" s="14">
        <f t="shared" si="251"/>
        <v>1</v>
      </c>
      <c r="CF484" s="14">
        <f t="shared" si="252"/>
        <v>3</v>
      </c>
      <c r="CG484" s="14">
        <f t="shared" si="264"/>
        <v>120</v>
      </c>
      <c r="CH484" s="14">
        <f t="shared" si="265"/>
        <v>120</v>
      </c>
      <c r="CI484" s="14">
        <f t="shared" si="253"/>
        <v>4</v>
      </c>
      <c r="CJ484" s="14" t="str">
        <f t="shared" si="266"/>
        <v/>
      </c>
      <c r="CK484" s="14">
        <f t="shared" si="254"/>
        <v>0</v>
      </c>
      <c r="CL484" s="14">
        <f t="shared" si="255"/>
        <v>297</v>
      </c>
      <c r="CM484" s="14">
        <f t="shared" si="256"/>
        <v>0</v>
      </c>
      <c r="CN484" s="14">
        <f t="shared" si="257"/>
        <v>0</v>
      </c>
      <c r="CO484" s="14">
        <f t="shared" si="258"/>
        <v>15.45</v>
      </c>
      <c r="CP484" s="14">
        <f t="shared" si="259"/>
        <v>0</v>
      </c>
      <c r="CQ484" s="14">
        <f t="shared" si="267"/>
        <v>23</v>
      </c>
      <c r="CR484" s="14">
        <f t="shared" si="268"/>
        <v>4</v>
      </c>
      <c r="CS484" s="14">
        <f t="shared" si="269"/>
        <v>16</v>
      </c>
      <c r="CV484" s="14">
        <f t="shared" si="260"/>
        <v>2</v>
      </c>
      <c r="CW484" s="14">
        <f t="shared" si="261"/>
        <v>0</v>
      </c>
      <c r="CX484" s="14" t="str">
        <f t="shared" si="270"/>
        <v>DefExt</v>
      </c>
      <c r="CY484" s="14">
        <f t="shared" si="271"/>
        <v>297</v>
      </c>
      <c r="CZ484" s="14">
        <f t="shared" si="272"/>
        <v>15.45</v>
      </c>
      <c r="DA484" s="14" t="str">
        <f t="shared" si="273"/>
        <v/>
      </c>
      <c r="DB484" s="14" t="str">
        <f t="shared" si="274"/>
        <v/>
      </c>
      <c r="DC484" s="14" t="str">
        <f t="shared" si="275"/>
        <v/>
      </c>
      <c r="DD484" s="14">
        <f t="shared" si="276"/>
        <v>23</v>
      </c>
      <c r="DE484" s="14">
        <f t="shared" si="277"/>
        <v>4</v>
      </c>
      <c r="DF484" s="14">
        <f t="shared" si="278"/>
        <v>16</v>
      </c>
      <c r="DG484" s="14">
        <f t="shared" si="279"/>
        <v>375</v>
      </c>
    </row>
    <row r="485" spans="77:111" ht="16.5" x14ac:dyDescent="0.2">
      <c r="BY485" s="13">
        <v>481</v>
      </c>
      <c r="BZ485" s="14">
        <f t="shared" si="262"/>
        <v>67</v>
      </c>
      <c r="CA485" s="14">
        <f t="shared" si="263"/>
        <v>1</v>
      </c>
      <c r="CB485" s="14">
        <f t="shared" si="248"/>
        <v>6</v>
      </c>
      <c r="CC485" s="14">
        <f t="shared" si="249"/>
        <v>2063015</v>
      </c>
      <c r="CD485" s="13" t="str">
        <f t="shared" si="250"/>
        <v>120级寄灵人紫色-鞋子</v>
      </c>
      <c r="CE485" s="14">
        <f t="shared" si="251"/>
        <v>1</v>
      </c>
      <c r="CF485" s="14">
        <f t="shared" si="252"/>
        <v>3</v>
      </c>
      <c r="CG485" s="14">
        <f t="shared" si="264"/>
        <v>120</v>
      </c>
      <c r="CH485" s="14">
        <f t="shared" si="265"/>
        <v>120</v>
      </c>
      <c r="CI485" s="14">
        <f t="shared" si="253"/>
        <v>5</v>
      </c>
      <c r="CJ485" s="14" t="str">
        <f t="shared" si="266"/>
        <v/>
      </c>
      <c r="CK485" s="14">
        <f t="shared" si="254"/>
        <v>0</v>
      </c>
      <c r="CL485" s="14">
        <f t="shared" si="255"/>
        <v>0</v>
      </c>
      <c r="CM485" s="14">
        <f t="shared" si="256"/>
        <v>1801</v>
      </c>
      <c r="CN485" s="14">
        <f t="shared" si="257"/>
        <v>0</v>
      </c>
      <c r="CO485" s="14">
        <f t="shared" si="258"/>
        <v>0</v>
      </c>
      <c r="CP485" s="14">
        <f t="shared" si="259"/>
        <v>93.78</v>
      </c>
      <c r="CQ485" s="14">
        <f t="shared" si="267"/>
        <v>23</v>
      </c>
      <c r="CR485" s="14">
        <f t="shared" si="268"/>
        <v>4</v>
      </c>
      <c r="CS485" s="14">
        <f t="shared" si="269"/>
        <v>16</v>
      </c>
      <c r="CV485" s="14">
        <f t="shared" si="260"/>
        <v>3</v>
      </c>
      <c r="CW485" s="14">
        <f t="shared" si="261"/>
        <v>0</v>
      </c>
      <c r="CX485" s="14" t="str">
        <f t="shared" si="270"/>
        <v>HPExt</v>
      </c>
      <c r="CY485" s="14">
        <f t="shared" si="271"/>
        <v>1801</v>
      </c>
      <c r="CZ485" s="14">
        <f t="shared" si="272"/>
        <v>93.78</v>
      </c>
      <c r="DA485" s="14" t="str">
        <f t="shared" si="273"/>
        <v/>
      </c>
      <c r="DB485" s="14" t="str">
        <f t="shared" si="274"/>
        <v/>
      </c>
      <c r="DC485" s="14" t="str">
        <f t="shared" si="275"/>
        <v/>
      </c>
      <c r="DD485" s="14">
        <f t="shared" si="276"/>
        <v>23</v>
      </c>
      <c r="DE485" s="14">
        <f t="shared" si="277"/>
        <v>4</v>
      </c>
      <c r="DF485" s="14">
        <f t="shared" si="278"/>
        <v>16</v>
      </c>
      <c r="DG485" s="14">
        <f t="shared" si="279"/>
        <v>375</v>
      </c>
    </row>
    <row r="486" spans="77:111" ht="16.5" x14ac:dyDescent="0.2">
      <c r="BY486" s="13">
        <v>482</v>
      </c>
      <c r="BZ486" s="14">
        <f t="shared" si="262"/>
        <v>67</v>
      </c>
      <c r="CA486" s="14">
        <f t="shared" si="263"/>
        <v>1</v>
      </c>
      <c r="CB486" s="14">
        <f t="shared" si="248"/>
        <v>6</v>
      </c>
      <c r="CC486" s="14">
        <f t="shared" si="249"/>
        <v>2063016</v>
      </c>
      <c r="CD486" s="13" t="str">
        <f t="shared" si="250"/>
        <v>120级寄灵人紫色-护手</v>
      </c>
      <c r="CE486" s="14">
        <f t="shared" si="251"/>
        <v>1</v>
      </c>
      <c r="CF486" s="14">
        <f t="shared" si="252"/>
        <v>3</v>
      </c>
      <c r="CG486" s="14">
        <f t="shared" si="264"/>
        <v>120</v>
      </c>
      <c r="CH486" s="14">
        <f t="shared" si="265"/>
        <v>120</v>
      </c>
      <c r="CI486" s="14">
        <f t="shared" si="253"/>
        <v>6</v>
      </c>
      <c r="CJ486" s="14" t="str">
        <f t="shared" si="266"/>
        <v/>
      </c>
      <c r="CK486" s="14">
        <f t="shared" si="254"/>
        <v>0</v>
      </c>
      <c r="CL486" s="14">
        <f t="shared" si="255"/>
        <v>0</v>
      </c>
      <c r="CM486" s="14">
        <f t="shared" si="256"/>
        <v>1801</v>
      </c>
      <c r="CN486" s="14">
        <f t="shared" si="257"/>
        <v>0</v>
      </c>
      <c r="CO486" s="14">
        <f t="shared" si="258"/>
        <v>0</v>
      </c>
      <c r="CP486" s="14">
        <f t="shared" si="259"/>
        <v>93.78</v>
      </c>
      <c r="CQ486" s="14">
        <f t="shared" si="267"/>
        <v>23</v>
      </c>
      <c r="CR486" s="14">
        <f t="shared" si="268"/>
        <v>4</v>
      </c>
      <c r="CS486" s="14">
        <f t="shared" si="269"/>
        <v>16</v>
      </c>
      <c r="CV486" s="14">
        <f t="shared" si="260"/>
        <v>3</v>
      </c>
      <c r="CW486" s="14">
        <f t="shared" si="261"/>
        <v>0</v>
      </c>
      <c r="CX486" s="14" t="str">
        <f t="shared" si="270"/>
        <v>HPExt</v>
      </c>
      <c r="CY486" s="14">
        <f t="shared" si="271"/>
        <v>1801</v>
      </c>
      <c r="CZ486" s="14">
        <f t="shared" si="272"/>
        <v>93.78</v>
      </c>
      <c r="DA486" s="14" t="str">
        <f t="shared" si="273"/>
        <v/>
      </c>
      <c r="DB486" s="14" t="str">
        <f t="shared" si="274"/>
        <v/>
      </c>
      <c r="DC486" s="14" t="str">
        <f t="shared" si="275"/>
        <v/>
      </c>
      <c r="DD486" s="14">
        <f t="shared" si="276"/>
        <v>23</v>
      </c>
      <c r="DE486" s="14">
        <f t="shared" si="277"/>
        <v>4</v>
      </c>
      <c r="DF486" s="14">
        <f t="shared" si="278"/>
        <v>16</v>
      </c>
      <c r="DG486" s="14">
        <f t="shared" si="279"/>
        <v>375</v>
      </c>
    </row>
    <row r="487" spans="77:111" ht="16.5" x14ac:dyDescent="0.2">
      <c r="BY487" s="13">
        <v>483</v>
      </c>
      <c r="BZ487" s="14">
        <f t="shared" si="262"/>
        <v>67</v>
      </c>
      <c r="CA487" s="14">
        <f t="shared" si="263"/>
        <v>1</v>
      </c>
      <c r="CB487" s="14">
        <f t="shared" si="248"/>
        <v>6</v>
      </c>
      <c r="CC487" s="14">
        <f t="shared" si="249"/>
        <v>2063017</v>
      </c>
      <c r="CD487" s="13" t="str">
        <f t="shared" si="250"/>
        <v>120级寄灵人紫色-项链</v>
      </c>
      <c r="CE487" s="14">
        <f t="shared" si="251"/>
        <v>1</v>
      </c>
      <c r="CF487" s="14">
        <f t="shared" si="252"/>
        <v>3</v>
      </c>
      <c r="CG487" s="14">
        <f t="shared" si="264"/>
        <v>120</v>
      </c>
      <c r="CH487" s="14">
        <f t="shared" si="265"/>
        <v>120</v>
      </c>
      <c r="CI487" s="14">
        <f t="shared" si="253"/>
        <v>7</v>
      </c>
      <c r="CJ487" s="14" t="str">
        <f t="shared" si="266"/>
        <v/>
      </c>
      <c r="CK487" s="14">
        <f t="shared" si="254"/>
        <v>398</v>
      </c>
      <c r="CL487" s="14">
        <f t="shared" si="255"/>
        <v>247</v>
      </c>
      <c r="CM487" s="14">
        <f t="shared" si="256"/>
        <v>0</v>
      </c>
      <c r="CN487" s="14">
        <f t="shared" si="257"/>
        <v>20.73</v>
      </c>
      <c r="CO487" s="14">
        <f t="shared" si="258"/>
        <v>12.88</v>
      </c>
      <c r="CP487" s="14">
        <f t="shared" si="259"/>
        <v>0</v>
      </c>
      <c r="CQ487" s="14">
        <f t="shared" si="267"/>
        <v>23</v>
      </c>
      <c r="CR487" s="14">
        <f t="shared" si="268"/>
        <v>4</v>
      </c>
      <c r="CS487" s="14">
        <f t="shared" si="269"/>
        <v>16</v>
      </c>
      <c r="CV487" s="14">
        <f t="shared" si="260"/>
        <v>1</v>
      </c>
      <c r="CW487" s="14">
        <f t="shared" si="261"/>
        <v>2</v>
      </c>
      <c r="CX487" s="14" t="str">
        <f t="shared" si="270"/>
        <v>AtkExt</v>
      </c>
      <c r="CY487" s="14">
        <f t="shared" si="271"/>
        <v>398</v>
      </c>
      <c r="CZ487" s="14">
        <f t="shared" si="272"/>
        <v>20.73</v>
      </c>
      <c r="DA487" s="14" t="str">
        <f t="shared" si="273"/>
        <v>DefExt</v>
      </c>
      <c r="DB487" s="14">
        <f t="shared" si="274"/>
        <v>247</v>
      </c>
      <c r="DC487" s="14">
        <f t="shared" si="275"/>
        <v>12.88</v>
      </c>
      <c r="DD487" s="14">
        <f t="shared" si="276"/>
        <v>23</v>
      </c>
      <c r="DE487" s="14">
        <f t="shared" si="277"/>
        <v>4</v>
      </c>
      <c r="DF487" s="14">
        <f t="shared" si="278"/>
        <v>16</v>
      </c>
      <c r="DG487" s="14">
        <f t="shared" si="279"/>
        <v>375</v>
      </c>
    </row>
    <row r="488" spans="77:111" ht="16.5" x14ac:dyDescent="0.2">
      <c r="BY488" s="13">
        <v>484</v>
      </c>
      <c r="BZ488" s="14">
        <f t="shared" si="262"/>
        <v>67</v>
      </c>
      <c r="CA488" s="14">
        <f t="shared" si="263"/>
        <v>1</v>
      </c>
      <c r="CB488" s="14">
        <f t="shared" si="248"/>
        <v>6</v>
      </c>
      <c r="CC488" s="14">
        <f t="shared" si="249"/>
        <v>2063018</v>
      </c>
      <c r="CD488" s="13" t="str">
        <f t="shared" si="250"/>
        <v>120级寄灵人紫色-戒指</v>
      </c>
      <c r="CE488" s="14">
        <f t="shared" si="251"/>
        <v>1</v>
      </c>
      <c r="CF488" s="14">
        <f t="shared" si="252"/>
        <v>3</v>
      </c>
      <c r="CG488" s="14">
        <f t="shared" si="264"/>
        <v>120</v>
      </c>
      <c r="CH488" s="14">
        <f t="shared" si="265"/>
        <v>120</v>
      </c>
      <c r="CI488" s="14">
        <f t="shared" si="253"/>
        <v>8</v>
      </c>
      <c r="CJ488" s="14" t="str">
        <f t="shared" si="266"/>
        <v/>
      </c>
      <c r="CK488" s="14">
        <f t="shared" si="254"/>
        <v>398</v>
      </c>
      <c r="CL488" s="14">
        <f t="shared" si="255"/>
        <v>0</v>
      </c>
      <c r="CM488" s="14">
        <f t="shared" si="256"/>
        <v>1500</v>
      </c>
      <c r="CN488" s="14">
        <f t="shared" si="257"/>
        <v>20.73</v>
      </c>
      <c r="CO488" s="14">
        <f t="shared" si="258"/>
        <v>0</v>
      </c>
      <c r="CP488" s="14">
        <f t="shared" si="259"/>
        <v>78.150000000000006</v>
      </c>
      <c r="CQ488" s="14">
        <f t="shared" si="267"/>
        <v>23</v>
      </c>
      <c r="CR488" s="14">
        <f t="shared" si="268"/>
        <v>4</v>
      </c>
      <c r="CS488" s="14">
        <f t="shared" si="269"/>
        <v>16</v>
      </c>
      <c r="CV488" s="14">
        <f t="shared" si="260"/>
        <v>1</v>
      </c>
      <c r="CW488" s="14">
        <f t="shared" si="261"/>
        <v>3</v>
      </c>
      <c r="CX488" s="14" t="str">
        <f t="shared" si="270"/>
        <v>AtkExt</v>
      </c>
      <c r="CY488" s="14">
        <f t="shared" si="271"/>
        <v>398</v>
      </c>
      <c r="CZ488" s="14">
        <f t="shared" si="272"/>
        <v>20.73</v>
      </c>
      <c r="DA488" s="14" t="str">
        <f t="shared" si="273"/>
        <v>HPExt</v>
      </c>
      <c r="DB488" s="14">
        <f t="shared" si="274"/>
        <v>1500</v>
      </c>
      <c r="DC488" s="14">
        <f t="shared" si="275"/>
        <v>78.150000000000006</v>
      </c>
      <c r="DD488" s="14">
        <f t="shared" si="276"/>
        <v>23</v>
      </c>
      <c r="DE488" s="14">
        <f t="shared" si="277"/>
        <v>4</v>
      </c>
      <c r="DF488" s="14">
        <f t="shared" si="278"/>
        <v>16</v>
      </c>
      <c r="DG488" s="14">
        <f t="shared" si="279"/>
        <v>375</v>
      </c>
    </row>
    <row r="489" spans="77:111" ht="16.5" x14ac:dyDescent="0.2">
      <c r="BY489" s="13">
        <v>485</v>
      </c>
      <c r="BZ489" s="14">
        <f t="shared" si="262"/>
        <v>68</v>
      </c>
      <c r="CA489" s="14">
        <f t="shared" si="263"/>
        <v>2</v>
      </c>
      <c r="CB489" s="14">
        <f t="shared" si="248"/>
        <v>6</v>
      </c>
      <c r="CC489" s="14">
        <f t="shared" si="249"/>
        <v>2063021</v>
      </c>
      <c r="CD489" s="13" t="str">
        <f t="shared" si="250"/>
        <v>120级守护灵紫色-武器</v>
      </c>
      <c r="CE489" s="14">
        <f t="shared" si="251"/>
        <v>2</v>
      </c>
      <c r="CF489" s="14">
        <f t="shared" si="252"/>
        <v>3</v>
      </c>
      <c r="CG489" s="14">
        <f t="shared" si="264"/>
        <v>120</v>
      </c>
      <c r="CH489" s="14">
        <f t="shared" si="265"/>
        <v>120</v>
      </c>
      <c r="CI489" s="14">
        <f t="shared" si="253"/>
        <v>1</v>
      </c>
      <c r="CJ489" s="14" t="str">
        <f t="shared" si="266"/>
        <v/>
      </c>
      <c r="CK489" s="14">
        <f t="shared" si="254"/>
        <v>1216</v>
      </c>
      <c r="CL489" s="14">
        <f t="shared" si="255"/>
        <v>0</v>
      </c>
      <c r="CM489" s="14">
        <f t="shared" si="256"/>
        <v>0</v>
      </c>
      <c r="CN489" s="14">
        <f t="shared" si="257"/>
        <v>63.31</v>
      </c>
      <c r="CO489" s="14">
        <f t="shared" si="258"/>
        <v>0</v>
      </c>
      <c r="CP489" s="14">
        <f t="shared" si="259"/>
        <v>0</v>
      </c>
      <c r="CQ489" s="14">
        <f t="shared" si="267"/>
        <v>23</v>
      </c>
      <c r="CR489" s="14">
        <f t="shared" si="268"/>
        <v>4</v>
      </c>
      <c r="CS489" s="14">
        <f t="shared" si="269"/>
        <v>26</v>
      </c>
      <c r="CV489" s="14">
        <f t="shared" si="260"/>
        <v>1</v>
      </c>
      <c r="CW489" s="14">
        <f t="shared" si="261"/>
        <v>0</v>
      </c>
      <c r="CX489" s="14" t="str">
        <f t="shared" si="270"/>
        <v>AtkExt</v>
      </c>
      <c r="CY489" s="14">
        <f t="shared" si="271"/>
        <v>1216</v>
      </c>
      <c r="CZ489" s="14">
        <f t="shared" si="272"/>
        <v>63.31</v>
      </c>
      <c r="DA489" s="14" t="str">
        <f t="shared" si="273"/>
        <v/>
      </c>
      <c r="DB489" s="14" t="str">
        <f t="shared" si="274"/>
        <v/>
      </c>
      <c r="DC489" s="14" t="str">
        <f t="shared" si="275"/>
        <v/>
      </c>
      <c r="DD489" s="14">
        <f t="shared" si="276"/>
        <v>23</v>
      </c>
      <c r="DE489" s="14">
        <f t="shared" si="277"/>
        <v>4</v>
      </c>
      <c r="DF489" s="14">
        <f t="shared" si="278"/>
        <v>26</v>
      </c>
      <c r="DG489" s="14">
        <f t="shared" si="279"/>
        <v>375</v>
      </c>
    </row>
    <row r="490" spans="77:111" ht="16.5" x14ac:dyDescent="0.2">
      <c r="BY490" s="13">
        <v>486</v>
      </c>
      <c r="BZ490" s="14">
        <f t="shared" si="262"/>
        <v>68</v>
      </c>
      <c r="CA490" s="14">
        <f t="shared" si="263"/>
        <v>2</v>
      </c>
      <c r="CB490" s="14">
        <f t="shared" si="248"/>
        <v>6</v>
      </c>
      <c r="CC490" s="14">
        <f t="shared" si="249"/>
        <v>2063022</v>
      </c>
      <c r="CD490" s="13" t="str">
        <f t="shared" si="250"/>
        <v>120级守护灵紫色-头盔</v>
      </c>
      <c r="CE490" s="14">
        <f t="shared" si="251"/>
        <v>2</v>
      </c>
      <c r="CF490" s="14">
        <f t="shared" si="252"/>
        <v>3</v>
      </c>
      <c r="CG490" s="14">
        <f t="shared" si="264"/>
        <v>120</v>
      </c>
      <c r="CH490" s="14">
        <f t="shared" si="265"/>
        <v>120</v>
      </c>
      <c r="CI490" s="14">
        <f t="shared" si="253"/>
        <v>2</v>
      </c>
      <c r="CJ490" s="14" t="str">
        <f t="shared" si="266"/>
        <v/>
      </c>
      <c r="CK490" s="14">
        <f t="shared" si="254"/>
        <v>0</v>
      </c>
      <c r="CL490" s="14">
        <f t="shared" si="255"/>
        <v>301</v>
      </c>
      <c r="CM490" s="14">
        <f t="shared" si="256"/>
        <v>0</v>
      </c>
      <c r="CN490" s="14">
        <f t="shared" si="257"/>
        <v>0</v>
      </c>
      <c r="CO490" s="14">
        <f t="shared" si="258"/>
        <v>15.69</v>
      </c>
      <c r="CP490" s="14">
        <f t="shared" si="259"/>
        <v>0</v>
      </c>
      <c r="CQ490" s="14">
        <f t="shared" si="267"/>
        <v>23</v>
      </c>
      <c r="CR490" s="14">
        <f t="shared" si="268"/>
        <v>4</v>
      </c>
      <c r="CS490" s="14">
        <f t="shared" si="269"/>
        <v>26</v>
      </c>
      <c r="CV490" s="14">
        <f t="shared" si="260"/>
        <v>2</v>
      </c>
      <c r="CW490" s="14">
        <f t="shared" si="261"/>
        <v>0</v>
      </c>
      <c r="CX490" s="14" t="str">
        <f t="shared" si="270"/>
        <v>DefExt</v>
      </c>
      <c r="CY490" s="14">
        <f t="shared" si="271"/>
        <v>301</v>
      </c>
      <c r="CZ490" s="14">
        <f t="shared" si="272"/>
        <v>15.69</v>
      </c>
      <c r="DA490" s="14" t="str">
        <f t="shared" si="273"/>
        <v/>
      </c>
      <c r="DB490" s="14" t="str">
        <f t="shared" si="274"/>
        <v/>
      </c>
      <c r="DC490" s="14" t="str">
        <f t="shared" si="275"/>
        <v/>
      </c>
      <c r="DD490" s="14">
        <f t="shared" si="276"/>
        <v>23</v>
      </c>
      <c r="DE490" s="14">
        <f t="shared" si="277"/>
        <v>4</v>
      </c>
      <c r="DF490" s="14">
        <f t="shared" si="278"/>
        <v>26</v>
      </c>
      <c r="DG490" s="14">
        <f t="shared" si="279"/>
        <v>375</v>
      </c>
    </row>
    <row r="491" spans="77:111" ht="16.5" x14ac:dyDescent="0.2">
      <c r="BY491" s="13">
        <v>487</v>
      </c>
      <c r="BZ491" s="14">
        <f t="shared" si="262"/>
        <v>68</v>
      </c>
      <c r="CA491" s="14">
        <f t="shared" si="263"/>
        <v>2</v>
      </c>
      <c r="CB491" s="14">
        <f t="shared" si="248"/>
        <v>6</v>
      </c>
      <c r="CC491" s="14">
        <f t="shared" si="249"/>
        <v>2063023</v>
      </c>
      <c r="CD491" s="13" t="str">
        <f t="shared" si="250"/>
        <v>120级守护灵紫色-肩甲</v>
      </c>
      <c r="CE491" s="14">
        <f t="shared" si="251"/>
        <v>2</v>
      </c>
      <c r="CF491" s="14">
        <f t="shared" si="252"/>
        <v>3</v>
      </c>
      <c r="CG491" s="14">
        <f t="shared" si="264"/>
        <v>120</v>
      </c>
      <c r="CH491" s="14">
        <f t="shared" si="265"/>
        <v>120</v>
      </c>
      <c r="CI491" s="14">
        <f t="shared" si="253"/>
        <v>3</v>
      </c>
      <c r="CJ491" s="14" t="str">
        <f t="shared" si="266"/>
        <v/>
      </c>
      <c r="CK491" s="14">
        <f t="shared" si="254"/>
        <v>0</v>
      </c>
      <c r="CL491" s="14">
        <f t="shared" si="255"/>
        <v>151</v>
      </c>
      <c r="CM491" s="14">
        <f t="shared" si="256"/>
        <v>1616</v>
      </c>
      <c r="CN491" s="14">
        <f t="shared" si="257"/>
        <v>0</v>
      </c>
      <c r="CO491" s="14">
        <f t="shared" si="258"/>
        <v>7.84</v>
      </c>
      <c r="CP491" s="14">
        <f t="shared" si="259"/>
        <v>84.18</v>
      </c>
      <c r="CQ491" s="14">
        <f t="shared" si="267"/>
        <v>23</v>
      </c>
      <c r="CR491" s="14">
        <f t="shared" si="268"/>
        <v>4</v>
      </c>
      <c r="CS491" s="14">
        <f t="shared" si="269"/>
        <v>26</v>
      </c>
      <c r="CV491" s="14">
        <f t="shared" si="260"/>
        <v>2</v>
      </c>
      <c r="CW491" s="14">
        <f t="shared" si="261"/>
        <v>3</v>
      </c>
      <c r="CX491" s="14" t="str">
        <f t="shared" si="270"/>
        <v>DefExt</v>
      </c>
      <c r="CY491" s="14">
        <f t="shared" si="271"/>
        <v>151</v>
      </c>
      <c r="CZ491" s="14">
        <f t="shared" si="272"/>
        <v>7.84</v>
      </c>
      <c r="DA491" s="14" t="str">
        <f t="shared" si="273"/>
        <v>HPExt</v>
      </c>
      <c r="DB491" s="14">
        <f t="shared" si="274"/>
        <v>1616</v>
      </c>
      <c r="DC491" s="14">
        <f t="shared" si="275"/>
        <v>84.18</v>
      </c>
      <c r="DD491" s="14">
        <f t="shared" si="276"/>
        <v>23</v>
      </c>
      <c r="DE491" s="14">
        <f t="shared" si="277"/>
        <v>4</v>
      </c>
      <c r="DF491" s="14">
        <f t="shared" si="278"/>
        <v>26</v>
      </c>
      <c r="DG491" s="14">
        <f t="shared" si="279"/>
        <v>375</v>
      </c>
    </row>
    <row r="492" spans="77:111" ht="16.5" x14ac:dyDescent="0.2">
      <c r="BY492" s="13">
        <v>488</v>
      </c>
      <c r="BZ492" s="14">
        <f t="shared" si="262"/>
        <v>68</v>
      </c>
      <c r="CA492" s="14">
        <f t="shared" si="263"/>
        <v>2</v>
      </c>
      <c r="CB492" s="14">
        <f t="shared" si="248"/>
        <v>6</v>
      </c>
      <c r="CC492" s="14">
        <f t="shared" si="249"/>
        <v>2063024</v>
      </c>
      <c r="CD492" s="13" t="str">
        <f t="shared" si="250"/>
        <v>120级守护灵紫色-衣服</v>
      </c>
      <c r="CE492" s="14">
        <f t="shared" si="251"/>
        <v>2</v>
      </c>
      <c r="CF492" s="14">
        <f t="shared" si="252"/>
        <v>3</v>
      </c>
      <c r="CG492" s="14">
        <f t="shared" si="264"/>
        <v>120</v>
      </c>
      <c r="CH492" s="14">
        <f t="shared" si="265"/>
        <v>120</v>
      </c>
      <c r="CI492" s="14">
        <f t="shared" si="253"/>
        <v>4</v>
      </c>
      <c r="CJ492" s="14" t="str">
        <f t="shared" si="266"/>
        <v/>
      </c>
      <c r="CK492" s="14">
        <f t="shared" si="254"/>
        <v>0</v>
      </c>
      <c r="CL492" s="14">
        <f t="shared" si="255"/>
        <v>301</v>
      </c>
      <c r="CM492" s="14">
        <f t="shared" si="256"/>
        <v>0</v>
      </c>
      <c r="CN492" s="14">
        <f t="shared" si="257"/>
        <v>0</v>
      </c>
      <c r="CO492" s="14">
        <f t="shared" si="258"/>
        <v>15.69</v>
      </c>
      <c r="CP492" s="14">
        <f t="shared" si="259"/>
        <v>0</v>
      </c>
      <c r="CQ492" s="14">
        <f t="shared" si="267"/>
        <v>23</v>
      </c>
      <c r="CR492" s="14">
        <f t="shared" si="268"/>
        <v>4</v>
      </c>
      <c r="CS492" s="14">
        <f t="shared" si="269"/>
        <v>26</v>
      </c>
      <c r="CV492" s="14">
        <f t="shared" si="260"/>
        <v>2</v>
      </c>
      <c r="CW492" s="14">
        <f t="shared" si="261"/>
        <v>0</v>
      </c>
      <c r="CX492" s="14" t="str">
        <f t="shared" si="270"/>
        <v>DefExt</v>
      </c>
      <c r="CY492" s="14">
        <f t="shared" si="271"/>
        <v>301</v>
      </c>
      <c r="CZ492" s="14">
        <f t="shared" si="272"/>
        <v>15.69</v>
      </c>
      <c r="DA492" s="14" t="str">
        <f t="shared" si="273"/>
        <v/>
      </c>
      <c r="DB492" s="14" t="str">
        <f t="shared" si="274"/>
        <v/>
      </c>
      <c r="DC492" s="14" t="str">
        <f t="shared" si="275"/>
        <v/>
      </c>
      <c r="DD492" s="14">
        <f t="shared" si="276"/>
        <v>23</v>
      </c>
      <c r="DE492" s="14">
        <f t="shared" si="277"/>
        <v>4</v>
      </c>
      <c r="DF492" s="14">
        <f t="shared" si="278"/>
        <v>26</v>
      </c>
      <c r="DG492" s="14">
        <f t="shared" si="279"/>
        <v>375</v>
      </c>
    </row>
    <row r="493" spans="77:111" ht="16.5" x14ac:dyDescent="0.2">
      <c r="BY493" s="13">
        <v>489</v>
      </c>
      <c r="BZ493" s="14">
        <f t="shared" si="262"/>
        <v>68</v>
      </c>
      <c r="CA493" s="14">
        <f t="shared" si="263"/>
        <v>2</v>
      </c>
      <c r="CB493" s="14">
        <f t="shared" si="248"/>
        <v>6</v>
      </c>
      <c r="CC493" s="14">
        <f t="shared" si="249"/>
        <v>2063025</v>
      </c>
      <c r="CD493" s="13" t="str">
        <f t="shared" si="250"/>
        <v>120级守护灵紫色-鞋子</v>
      </c>
      <c r="CE493" s="14">
        <f t="shared" si="251"/>
        <v>2</v>
      </c>
      <c r="CF493" s="14">
        <f t="shared" si="252"/>
        <v>3</v>
      </c>
      <c r="CG493" s="14">
        <f t="shared" si="264"/>
        <v>120</v>
      </c>
      <c r="CH493" s="14">
        <f t="shared" si="265"/>
        <v>120</v>
      </c>
      <c r="CI493" s="14">
        <f t="shared" si="253"/>
        <v>5</v>
      </c>
      <c r="CJ493" s="14" t="str">
        <f t="shared" si="266"/>
        <v/>
      </c>
      <c r="CK493" s="14">
        <f t="shared" si="254"/>
        <v>0</v>
      </c>
      <c r="CL493" s="14">
        <f t="shared" si="255"/>
        <v>0</v>
      </c>
      <c r="CM493" s="14">
        <f t="shared" si="256"/>
        <v>3233</v>
      </c>
      <c r="CN493" s="14">
        <f t="shared" si="257"/>
        <v>0</v>
      </c>
      <c r="CO493" s="14">
        <f t="shared" si="258"/>
        <v>0</v>
      </c>
      <c r="CP493" s="14">
        <f t="shared" si="259"/>
        <v>168.37</v>
      </c>
      <c r="CQ493" s="14">
        <f t="shared" si="267"/>
        <v>23</v>
      </c>
      <c r="CR493" s="14">
        <f t="shared" si="268"/>
        <v>4</v>
      </c>
      <c r="CS493" s="14">
        <f t="shared" si="269"/>
        <v>26</v>
      </c>
      <c r="CV493" s="14">
        <f t="shared" si="260"/>
        <v>3</v>
      </c>
      <c r="CW493" s="14">
        <f t="shared" si="261"/>
        <v>0</v>
      </c>
      <c r="CX493" s="14" t="str">
        <f t="shared" si="270"/>
        <v>HPExt</v>
      </c>
      <c r="CY493" s="14">
        <f t="shared" si="271"/>
        <v>3233</v>
      </c>
      <c r="CZ493" s="14">
        <f t="shared" si="272"/>
        <v>168.37</v>
      </c>
      <c r="DA493" s="14" t="str">
        <f t="shared" si="273"/>
        <v/>
      </c>
      <c r="DB493" s="14" t="str">
        <f t="shared" si="274"/>
        <v/>
      </c>
      <c r="DC493" s="14" t="str">
        <f t="shared" si="275"/>
        <v/>
      </c>
      <c r="DD493" s="14">
        <f t="shared" si="276"/>
        <v>23</v>
      </c>
      <c r="DE493" s="14">
        <f t="shared" si="277"/>
        <v>4</v>
      </c>
      <c r="DF493" s="14">
        <f t="shared" si="278"/>
        <v>26</v>
      </c>
      <c r="DG493" s="14">
        <f t="shared" si="279"/>
        <v>375</v>
      </c>
    </row>
    <row r="494" spans="77:111" ht="16.5" x14ac:dyDescent="0.2">
      <c r="BY494" s="13">
        <v>490</v>
      </c>
      <c r="BZ494" s="14">
        <f t="shared" si="262"/>
        <v>68</v>
      </c>
      <c r="CA494" s="14">
        <f t="shared" si="263"/>
        <v>2</v>
      </c>
      <c r="CB494" s="14">
        <f t="shared" si="248"/>
        <v>6</v>
      </c>
      <c r="CC494" s="14">
        <f t="shared" si="249"/>
        <v>2063026</v>
      </c>
      <c r="CD494" s="13" t="str">
        <f t="shared" si="250"/>
        <v>120级守护灵紫色-护手</v>
      </c>
      <c r="CE494" s="14">
        <f t="shared" si="251"/>
        <v>2</v>
      </c>
      <c r="CF494" s="14">
        <f t="shared" si="252"/>
        <v>3</v>
      </c>
      <c r="CG494" s="14">
        <f t="shared" si="264"/>
        <v>120</v>
      </c>
      <c r="CH494" s="14">
        <f t="shared" si="265"/>
        <v>120</v>
      </c>
      <c r="CI494" s="14">
        <f t="shared" si="253"/>
        <v>6</v>
      </c>
      <c r="CJ494" s="14" t="str">
        <f t="shared" si="266"/>
        <v/>
      </c>
      <c r="CK494" s="14">
        <f t="shared" si="254"/>
        <v>0</v>
      </c>
      <c r="CL494" s="14">
        <f t="shared" si="255"/>
        <v>0</v>
      </c>
      <c r="CM494" s="14">
        <f t="shared" si="256"/>
        <v>3233</v>
      </c>
      <c r="CN494" s="14">
        <f t="shared" si="257"/>
        <v>0</v>
      </c>
      <c r="CO494" s="14">
        <f t="shared" si="258"/>
        <v>0</v>
      </c>
      <c r="CP494" s="14">
        <f t="shared" si="259"/>
        <v>168.37</v>
      </c>
      <c r="CQ494" s="14">
        <f t="shared" si="267"/>
        <v>23</v>
      </c>
      <c r="CR494" s="14">
        <f t="shared" si="268"/>
        <v>4</v>
      </c>
      <c r="CS494" s="14">
        <f t="shared" si="269"/>
        <v>26</v>
      </c>
      <c r="CV494" s="14">
        <f t="shared" si="260"/>
        <v>3</v>
      </c>
      <c r="CW494" s="14">
        <f t="shared" si="261"/>
        <v>0</v>
      </c>
      <c r="CX494" s="14" t="str">
        <f t="shared" si="270"/>
        <v>HPExt</v>
      </c>
      <c r="CY494" s="14">
        <f t="shared" si="271"/>
        <v>3233</v>
      </c>
      <c r="CZ494" s="14">
        <f t="shared" si="272"/>
        <v>168.37</v>
      </c>
      <c r="DA494" s="14" t="str">
        <f t="shared" si="273"/>
        <v/>
      </c>
      <c r="DB494" s="14" t="str">
        <f t="shared" si="274"/>
        <v/>
      </c>
      <c r="DC494" s="14" t="str">
        <f t="shared" si="275"/>
        <v/>
      </c>
      <c r="DD494" s="14">
        <f t="shared" si="276"/>
        <v>23</v>
      </c>
      <c r="DE494" s="14">
        <f t="shared" si="277"/>
        <v>4</v>
      </c>
      <c r="DF494" s="14">
        <f t="shared" si="278"/>
        <v>26</v>
      </c>
      <c r="DG494" s="14">
        <f t="shared" si="279"/>
        <v>375</v>
      </c>
    </row>
    <row r="495" spans="77:111" ht="16.5" x14ac:dyDescent="0.2">
      <c r="BY495" s="13">
        <v>491</v>
      </c>
      <c r="BZ495" s="14">
        <f t="shared" si="262"/>
        <v>68</v>
      </c>
      <c r="CA495" s="14">
        <f t="shared" si="263"/>
        <v>2</v>
      </c>
      <c r="CB495" s="14">
        <f t="shared" si="248"/>
        <v>6</v>
      </c>
      <c r="CC495" s="14">
        <f t="shared" si="249"/>
        <v>2063027</v>
      </c>
      <c r="CD495" s="13" t="str">
        <f t="shared" si="250"/>
        <v>120级守护灵紫色-项链</v>
      </c>
      <c r="CE495" s="14">
        <f t="shared" si="251"/>
        <v>2</v>
      </c>
      <c r="CF495" s="14">
        <f t="shared" si="252"/>
        <v>3</v>
      </c>
      <c r="CG495" s="14">
        <f t="shared" si="264"/>
        <v>120</v>
      </c>
      <c r="CH495" s="14">
        <f t="shared" si="265"/>
        <v>120</v>
      </c>
      <c r="CI495" s="14">
        <f t="shared" si="253"/>
        <v>7</v>
      </c>
      <c r="CJ495" s="14" t="str">
        <f t="shared" si="266"/>
        <v/>
      </c>
      <c r="CK495" s="14">
        <f t="shared" si="254"/>
        <v>405</v>
      </c>
      <c r="CL495" s="14">
        <f t="shared" si="255"/>
        <v>251</v>
      </c>
      <c r="CM495" s="14">
        <f t="shared" si="256"/>
        <v>0</v>
      </c>
      <c r="CN495" s="14">
        <f t="shared" si="257"/>
        <v>21.1</v>
      </c>
      <c r="CO495" s="14">
        <f t="shared" si="258"/>
        <v>13.07</v>
      </c>
      <c r="CP495" s="14">
        <f t="shared" si="259"/>
        <v>0</v>
      </c>
      <c r="CQ495" s="14">
        <f t="shared" si="267"/>
        <v>23</v>
      </c>
      <c r="CR495" s="14">
        <f t="shared" si="268"/>
        <v>4</v>
      </c>
      <c r="CS495" s="14">
        <f t="shared" si="269"/>
        <v>26</v>
      </c>
      <c r="CV495" s="14">
        <f t="shared" si="260"/>
        <v>1</v>
      </c>
      <c r="CW495" s="14">
        <f t="shared" si="261"/>
        <v>2</v>
      </c>
      <c r="CX495" s="14" t="str">
        <f t="shared" si="270"/>
        <v>AtkExt</v>
      </c>
      <c r="CY495" s="14">
        <f t="shared" si="271"/>
        <v>405</v>
      </c>
      <c r="CZ495" s="14">
        <f t="shared" si="272"/>
        <v>21.1</v>
      </c>
      <c r="DA495" s="14" t="str">
        <f t="shared" si="273"/>
        <v>DefExt</v>
      </c>
      <c r="DB495" s="14">
        <f t="shared" si="274"/>
        <v>251</v>
      </c>
      <c r="DC495" s="14">
        <f t="shared" si="275"/>
        <v>13.07</v>
      </c>
      <c r="DD495" s="14">
        <f t="shared" si="276"/>
        <v>23</v>
      </c>
      <c r="DE495" s="14">
        <f t="shared" si="277"/>
        <v>4</v>
      </c>
      <c r="DF495" s="14">
        <f t="shared" si="278"/>
        <v>26</v>
      </c>
      <c r="DG495" s="14">
        <f t="shared" si="279"/>
        <v>375</v>
      </c>
    </row>
    <row r="496" spans="77:111" ht="16.5" x14ac:dyDescent="0.2">
      <c r="BY496" s="13">
        <v>492</v>
      </c>
      <c r="BZ496" s="14">
        <f t="shared" si="262"/>
        <v>68</v>
      </c>
      <c r="CA496" s="14">
        <f t="shared" si="263"/>
        <v>2</v>
      </c>
      <c r="CB496" s="14">
        <f t="shared" si="248"/>
        <v>6</v>
      </c>
      <c r="CC496" s="14">
        <f t="shared" si="249"/>
        <v>2063028</v>
      </c>
      <c r="CD496" s="13" t="str">
        <f t="shared" si="250"/>
        <v>120级守护灵紫色-戒指</v>
      </c>
      <c r="CE496" s="14">
        <f t="shared" si="251"/>
        <v>2</v>
      </c>
      <c r="CF496" s="14">
        <f t="shared" si="252"/>
        <v>3</v>
      </c>
      <c r="CG496" s="14">
        <f t="shared" si="264"/>
        <v>120</v>
      </c>
      <c r="CH496" s="14">
        <f t="shared" si="265"/>
        <v>120</v>
      </c>
      <c r="CI496" s="14">
        <f t="shared" si="253"/>
        <v>8</v>
      </c>
      <c r="CJ496" s="14" t="str">
        <f t="shared" si="266"/>
        <v/>
      </c>
      <c r="CK496" s="14">
        <f t="shared" si="254"/>
        <v>405</v>
      </c>
      <c r="CL496" s="14">
        <f t="shared" si="255"/>
        <v>0</v>
      </c>
      <c r="CM496" s="14">
        <f t="shared" si="256"/>
        <v>2694</v>
      </c>
      <c r="CN496" s="14">
        <f t="shared" si="257"/>
        <v>21.1</v>
      </c>
      <c r="CO496" s="14">
        <f t="shared" si="258"/>
        <v>0</v>
      </c>
      <c r="CP496" s="14">
        <f t="shared" si="259"/>
        <v>140.31</v>
      </c>
      <c r="CQ496" s="14">
        <f t="shared" si="267"/>
        <v>23</v>
      </c>
      <c r="CR496" s="14">
        <f t="shared" si="268"/>
        <v>4</v>
      </c>
      <c r="CS496" s="14">
        <f t="shared" si="269"/>
        <v>26</v>
      </c>
      <c r="CV496" s="14">
        <f t="shared" si="260"/>
        <v>1</v>
      </c>
      <c r="CW496" s="14">
        <f t="shared" si="261"/>
        <v>3</v>
      </c>
      <c r="CX496" s="14" t="str">
        <f t="shared" si="270"/>
        <v>AtkExt</v>
      </c>
      <c r="CY496" s="14">
        <f t="shared" si="271"/>
        <v>405</v>
      </c>
      <c r="CZ496" s="14">
        <f t="shared" si="272"/>
        <v>21.1</v>
      </c>
      <c r="DA496" s="14" t="str">
        <f t="shared" si="273"/>
        <v>HPExt</v>
      </c>
      <c r="DB496" s="14">
        <f t="shared" si="274"/>
        <v>2694</v>
      </c>
      <c r="DC496" s="14">
        <f t="shared" si="275"/>
        <v>140.31</v>
      </c>
      <c r="DD496" s="14">
        <f t="shared" si="276"/>
        <v>23</v>
      </c>
      <c r="DE496" s="14">
        <f t="shared" si="277"/>
        <v>4</v>
      </c>
      <c r="DF496" s="14">
        <f t="shared" si="278"/>
        <v>26</v>
      </c>
      <c r="DG496" s="14">
        <f t="shared" si="279"/>
        <v>375</v>
      </c>
    </row>
    <row r="497" spans="77:111" ht="16.5" x14ac:dyDescent="0.2">
      <c r="BY497" s="13">
        <v>493</v>
      </c>
      <c r="BZ497" s="14">
        <f t="shared" si="262"/>
        <v>69</v>
      </c>
      <c r="CA497" s="14">
        <f t="shared" si="263"/>
        <v>1</v>
      </c>
      <c r="CB497" s="14">
        <f t="shared" si="248"/>
        <v>6</v>
      </c>
      <c r="CC497" s="14">
        <f t="shared" si="249"/>
        <v>2064011</v>
      </c>
      <c r="CD497" s="13" t="str">
        <f t="shared" si="250"/>
        <v>120级寄灵人橙色-武器</v>
      </c>
      <c r="CE497" s="14">
        <f t="shared" si="251"/>
        <v>1</v>
      </c>
      <c r="CF497" s="14">
        <f t="shared" si="252"/>
        <v>4</v>
      </c>
      <c r="CG497" s="14">
        <f t="shared" si="264"/>
        <v>120</v>
      </c>
      <c r="CH497" s="14">
        <f t="shared" si="265"/>
        <v>120</v>
      </c>
      <c r="CI497" s="14">
        <f t="shared" si="253"/>
        <v>1</v>
      </c>
      <c r="CJ497" s="14" t="str">
        <f t="shared" si="266"/>
        <v/>
      </c>
      <c r="CK497" s="14">
        <f t="shared" si="254"/>
        <v>1492</v>
      </c>
      <c r="CL497" s="14">
        <f t="shared" si="255"/>
        <v>0</v>
      </c>
      <c r="CM497" s="14">
        <f t="shared" si="256"/>
        <v>0</v>
      </c>
      <c r="CN497" s="14">
        <f t="shared" si="257"/>
        <v>62.18</v>
      </c>
      <c r="CO497" s="14">
        <f t="shared" si="258"/>
        <v>0</v>
      </c>
      <c r="CP497" s="14">
        <f t="shared" si="259"/>
        <v>0</v>
      </c>
      <c r="CQ497" s="14">
        <f t="shared" si="267"/>
        <v>24</v>
      </c>
      <c r="CR497" s="14">
        <f t="shared" si="268"/>
        <v>5</v>
      </c>
      <c r="CS497" s="14">
        <f t="shared" si="269"/>
        <v>16</v>
      </c>
      <c r="CV497" s="14">
        <f t="shared" si="260"/>
        <v>1</v>
      </c>
      <c r="CW497" s="14">
        <f t="shared" si="261"/>
        <v>0</v>
      </c>
      <c r="CX497" s="14" t="str">
        <f t="shared" si="270"/>
        <v>AtkExt</v>
      </c>
      <c r="CY497" s="14">
        <f t="shared" si="271"/>
        <v>1492</v>
      </c>
      <c r="CZ497" s="14">
        <f t="shared" si="272"/>
        <v>62.18</v>
      </c>
      <c r="DA497" s="14" t="str">
        <f t="shared" si="273"/>
        <v/>
      </c>
      <c r="DB497" s="14" t="str">
        <f t="shared" si="274"/>
        <v/>
      </c>
      <c r="DC497" s="14" t="str">
        <f t="shared" si="275"/>
        <v/>
      </c>
      <c r="DD497" s="14">
        <f t="shared" si="276"/>
        <v>24</v>
      </c>
      <c r="DE497" s="14">
        <f t="shared" si="277"/>
        <v>5</v>
      </c>
      <c r="DF497" s="14">
        <f t="shared" si="278"/>
        <v>16</v>
      </c>
      <c r="DG497" s="14">
        <f t="shared" si="279"/>
        <v>750</v>
      </c>
    </row>
    <row r="498" spans="77:111" ht="16.5" x14ac:dyDescent="0.2">
      <c r="BY498" s="13">
        <v>494</v>
      </c>
      <c r="BZ498" s="14">
        <f t="shared" si="262"/>
        <v>69</v>
      </c>
      <c r="CA498" s="14">
        <f t="shared" si="263"/>
        <v>1</v>
      </c>
      <c r="CB498" s="14">
        <f t="shared" si="248"/>
        <v>6</v>
      </c>
      <c r="CC498" s="14">
        <f t="shared" si="249"/>
        <v>2064012</v>
      </c>
      <c r="CD498" s="13" t="str">
        <f t="shared" si="250"/>
        <v>120级寄灵人橙色-头盔</v>
      </c>
      <c r="CE498" s="14">
        <f t="shared" si="251"/>
        <v>1</v>
      </c>
      <c r="CF498" s="14">
        <f t="shared" si="252"/>
        <v>4</v>
      </c>
      <c r="CG498" s="14">
        <f t="shared" si="264"/>
        <v>120</v>
      </c>
      <c r="CH498" s="14">
        <f t="shared" si="265"/>
        <v>120</v>
      </c>
      <c r="CI498" s="14">
        <f t="shared" si="253"/>
        <v>2</v>
      </c>
      <c r="CJ498" s="14" t="str">
        <f t="shared" si="266"/>
        <v/>
      </c>
      <c r="CK498" s="14">
        <f t="shared" si="254"/>
        <v>0</v>
      </c>
      <c r="CL498" s="14">
        <f t="shared" si="255"/>
        <v>371</v>
      </c>
      <c r="CM498" s="14">
        <f t="shared" si="256"/>
        <v>0</v>
      </c>
      <c r="CN498" s="14">
        <f t="shared" si="257"/>
        <v>0</v>
      </c>
      <c r="CO498" s="14">
        <f t="shared" si="258"/>
        <v>15.45</v>
      </c>
      <c r="CP498" s="14">
        <f t="shared" si="259"/>
        <v>0</v>
      </c>
      <c r="CQ498" s="14">
        <f t="shared" si="267"/>
        <v>24</v>
      </c>
      <c r="CR498" s="14">
        <f t="shared" si="268"/>
        <v>5</v>
      </c>
      <c r="CS498" s="14">
        <f t="shared" si="269"/>
        <v>16</v>
      </c>
      <c r="CV498" s="14">
        <f t="shared" si="260"/>
        <v>2</v>
      </c>
      <c r="CW498" s="14">
        <f t="shared" si="261"/>
        <v>0</v>
      </c>
      <c r="CX498" s="14" t="str">
        <f t="shared" si="270"/>
        <v>DefExt</v>
      </c>
      <c r="CY498" s="14">
        <f t="shared" si="271"/>
        <v>371</v>
      </c>
      <c r="CZ498" s="14">
        <f t="shared" si="272"/>
        <v>15.45</v>
      </c>
      <c r="DA498" s="14" t="str">
        <f t="shared" si="273"/>
        <v/>
      </c>
      <c r="DB498" s="14" t="str">
        <f t="shared" si="274"/>
        <v/>
      </c>
      <c r="DC498" s="14" t="str">
        <f t="shared" si="275"/>
        <v/>
      </c>
      <c r="DD498" s="14">
        <f t="shared" si="276"/>
        <v>24</v>
      </c>
      <c r="DE498" s="14">
        <f t="shared" si="277"/>
        <v>5</v>
      </c>
      <c r="DF498" s="14">
        <f t="shared" si="278"/>
        <v>16</v>
      </c>
      <c r="DG498" s="14">
        <f t="shared" si="279"/>
        <v>750</v>
      </c>
    </row>
    <row r="499" spans="77:111" ht="16.5" x14ac:dyDescent="0.2">
      <c r="BY499" s="13">
        <v>495</v>
      </c>
      <c r="BZ499" s="14">
        <f t="shared" si="262"/>
        <v>69</v>
      </c>
      <c r="CA499" s="14">
        <f t="shared" si="263"/>
        <v>1</v>
      </c>
      <c r="CB499" s="14">
        <f t="shared" si="248"/>
        <v>6</v>
      </c>
      <c r="CC499" s="14">
        <f t="shared" si="249"/>
        <v>2064013</v>
      </c>
      <c r="CD499" s="13" t="str">
        <f t="shared" si="250"/>
        <v>120级寄灵人橙色-肩甲</v>
      </c>
      <c r="CE499" s="14">
        <f t="shared" si="251"/>
        <v>1</v>
      </c>
      <c r="CF499" s="14">
        <f t="shared" si="252"/>
        <v>4</v>
      </c>
      <c r="CG499" s="14">
        <f t="shared" si="264"/>
        <v>120</v>
      </c>
      <c r="CH499" s="14">
        <f t="shared" si="265"/>
        <v>120</v>
      </c>
      <c r="CI499" s="14">
        <f t="shared" si="253"/>
        <v>3</v>
      </c>
      <c r="CJ499" s="14" t="str">
        <f t="shared" si="266"/>
        <v/>
      </c>
      <c r="CK499" s="14">
        <f t="shared" si="254"/>
        <v>0</v>
      </c>
      <c r="CL499" s="14">
        <f t="shared" si="255"/>
        <v>185</v>
      </c>
      <c r="CM499" s="14">
        <f t="shared" si="256"/>
        <v>1125</v>
      </c>
      <c r="CN499" s="14">
        <f t="shared" si="257"/>
        <v>0</v>
      </c>
      <c r="CO499" s="14">
        <f t="shared" si="258"/>
        <v>7.73</v>
      </c>
      <c r="CP499" s="14">
        <f t="shared" si="259"/>
        <v>46.89</v>
      </c>
      <c r="CQ499" s="14">
        <f t="shared" si="267"/>
        <v>24</v>
      </c>
      <c r="CR499" s="14">
        <f t="shared" si="268"/>
        <v>5</v>
      </c>
      <c r="CS499" s="14">
        <f t="shared" si="269"/>
        <v>16</v>
      </c>
      <c r="CV499" s="14">
        <f t="shared" si="260"/>
        <v>2</v>
      </c>
      <c r="CW499" s="14">
        <f t="shared" si="261"/>
        <v>3</v>
      </c>
      <c r="CX499" s="14" t="str">
        <f t="shared" si="270"/>
        <v>DefExt</v>
      </c>
      <c r="CY499" s="14">
        <f t="shared" si="271"/>
        <v>185</v>
      </c>
      <c r="CZ499" s="14">
        <f t="shared" si="272"/>
        <v>7.73</v>
      </c>
      <c r="DA499" s="14" t="str">
        <f t="shared" si="273"/>
        <v>HPExt</v>
      </c>
      <c r="DB499" s="14">
        <f t="shared" si="274"/>
        <v>1125</v>
      </c>
      <c r="DC499" s="14">
        <f t="shared" si="275"/>
        <v>46.89</v>
      </c>
      <c r="DD499" s="14">
        <f t="shared" si="276"/>
        <v>24</v>
      </c>
      <c r="DE499" s="14">
        <f t="shared" si="277"/>
        <v>5</v>
      </c>
      <c r="DF499" s="14">
        <f t="shared" si="278"/>
        <v>16</v>
      </c>
      <c r="DG499" s="14">
        <f t="shared" si="279"/>
        <v>750</v>
      </c>
    </row>
    <row r="500" spans="77:111" ht="16.5" x14ac:dyDescent="0.2">
      <c r="BY500" s="13">
        <v>496</v>
      </c>
      <c r="BZ500" s="14">
        <f t="shared" si="262"/>
        <v>69</v>
      </c>
      <c r="CA500" s="14">
        <f t="shared" si="263"/>
        <v>1</v>
      </c>
      <c r="CB500" s="14">
        <f t="shared" si="248"/>
        <v>6</v>
      </c>
      <c r="CC500" s="14">
        <f t="shared" si="249"/>
        <v>2064014</v>
      </c>
      <c r="CD500" s="13" t="str">
        <f t="shared" si="250"/>
        <v>120级寄灵人橙色-衣服</v>
      </c>
      <c r="CE500" s="14">
        <f t="shared" si="251"/>
        <v>1</v>
      </c>
      <c r="CF500" s="14">
        <f t="shared" si="252"/>
        <v>4</v>
      </c>
      <c r="CG500" s="14">
        <f t="shared" si="264"/>
        <v>120</v>
      </c>
      <c r="CH500" s="14">
        <f t="shared" si="265"/>
        <v>120</v>
      </c>
      <c r="CI500" s="14">
        <f t="shared" si="253"/>
        <v>4</v>
      </c>
      <c r="CJ500" s="14" t="str">
        <f t="shared" si="266"/>
        <v/>
      </c>
      <c r="CK500" s="14">
        <f t="shared" si="254"/>
        <v>0</v>
      </c>
      <c r="CL500" s="14">
        <f t="shared" si="255"/>
        <v>371</v>
      </c>
      <c r="CM500" s="14">
        <f t="shared" si="256"/>
        <v>0</v>
      </c>
      <c r="CN500" s="14">
        <f t="shared" si="257"/>
        <v>0</v>
      </c>
      <c r="CO500" s="14">
        <f t="shared" si="258"/>
        <v>15.45</v>
      </c>
      <c r="CP500" s="14">
        <f t="shared" si="259"/>
        <v>0</v>
      </c>
      <c r="CQ500" s="14">
        <f t="shared" si="267"/>
        <v>24</v>
      </c>
      <c r="CR500" s="14">
        <f t="shared" si="268"/>
        <v>5</v>
      </c>
      <c r="CS500" s="14">
        <f t="shared" si="269"/>
        <v>16</v>
      </c>
      <c r="CV500" s="14">
        <f t="shared" si="260"/>
        <v>2</v>
      </c>
      <c r="CW500" s="14">
        <f t="shared" si="261"/>
        <v>0</v>
      </c>
      <c r="CX500" s="14" t="str">
        <f t="shared" si="270"/>
        <v>DefExt</v>
      </c>
      <c r="CY500" s="14">
        <f t="shared" si="271"/>
        <v>371</v>
      </c>
      <c r="CZ500" s="14">
        <f t="shared" si="272"/>
        <v>15.45</v>
      </c>
      <c r="DA500" s="14" t="str">
        <f t="shared" si="273"/>
        <v/>
      </c>
      <c r="DB500" s="14" t="str">
        <f t="shared" si="274"/>
        <v/>
      </c>
      <c r="DC500" s="14" t="str">
        <f t="shared" si="275"/>
        <v/>
      </c>
      <c r="DD500" s="14">
        <f t="shared" si="276"/>
        <v>24</v>
      </c>
      <c r="DE500" s="14">
        <f t="shared" si="277"/>
        <v>5</v>
      </c>
      <c r="DF500" s="14">
        <f t="shared" si="278"/>
        <v>16</v>
      </c>
      <c r="DG500" s="14">
        <f t="shared" si="279"/>
        <v>750</v>
      </c>
    </row>
    <row r="501" spans="77:111" ht="16.5" x14ac:dyDescent="0.2">
      <c r="BY501" s="13">
        <v>497</v>
      </c>
      <c r="BZ501" s="14">
        <f t="shared" si="262"/>
        <v>69</v>
      </c>
      <c r="CA501" s="14">
        <f t="shared" si="263"/>
        <v>1</v>
      </c>
      <c r="CB501" s="14">
        <f t="shared" si="248"/>
        <v>6</v>
      </c>
      <c r="CC501" s="14">
        <f t="shared" si="249"/>
        <v>2064015</v>
      </c>
      <c r="CD501" s="13" t="str">
        <f t="shared" si="250"/>
        <v>120级寄灵人橙色-鞋子</v>
      </c>
      <c r="CE501" s="14">
        <f t="shared" si="251"/>
        <v>1</v>
      </c>
      <c r="CF501" s="14">
        <f t="shared" si="252"/>
        <v>4</v>
      </c>
      <c r="CG501" s="14">
        <f t="shared" si="264"/>
        <v>120</v>
      </c>
      <c r="CH501" s="14">
        <f t="shared" si="265"/>
        <v>120</v>
      </c>
      <c r="CI501" s="14">
        <f t="shared" si="253"/>
        <v>5</v>
      </c>
      <c r="CJ501" s="14" t="str">
        <f t="shared" si="266"/>
        <v/>
      </c>
      <c r="CK501" s="14">
        <f t="shared" si="254"/>
        <v>0</v>
      </c>
      <c r="CL501" s="14">
        <f t="shared" si="255"/>
        <v>0</v>
      </c>
      <c r="CM501" s="14">
        <f t="shared" si="256"/>
        <v>2251</v>
      </c>
      <c r="CN501" s="14">
        <f t="shared" si="257"/>
        <v>0</v>
      </c>
      <c r="CO501" s="14">
        <f t="shared" si="258"/>
        <v>0</v>
      </c>
      <c r="CP501" s="14">
        <f t="shared" si="259"/>
        <v>93.78</v>
      </c>
      <c r="CQ501" s="14">
        <f t="shared" si="267"/>
        <v>24</v>
      </c>
      <c r="CR501" s="14">
        <f t="shared" si="268"/>
        <v>5</v>
      </c>
      <c r="CS501" s="14">
        <f t="shared" si="269"/>
        <v>16</v>
      </c>
      <c r="CV501" s="14">
        <f t="shared" si="260"/>
        <v>3</v>
      </c>
      <c r="CW501" s="14">
        <f t="shared" si="261"/>
        <v>0</v>
      </c>
      <c r="CX501" s="14" t="str">
        <f t="shared" si="270"/>
        <v>HPExt</v>
      </c>
      <c r="CY501" s="14">
        <f t="shared" si="271"/>
        <v>2251</v>
      </c>
      <c r="CZ501" s="14">
        <f t="shared" si="272"/>
        <v>93.78</v>
      </c>
      <c r="DA501" s="14" t="str">
        <f t="shared" si="273"/>
        <v/>
      </c>
      <c r="DB501" s="14" t="str">
        <f t="shared" si="274"/>
        <v/>
      </c>
      <c r="DC501" s="14" t="str">
        <f t="shared" si="275"/>
        <v/>
      </c>
      <c r="DD501" s="14">
        <f t="shared" si="276"/>
        <v>24</v>
      </c>
      <c r="DE501" s="14">
        <f t="shared" si="277"/>
        <v>5</v>
      </c>
      <c r="DF501" s="14">
        <f t="shared" si="278"/>
        <v>16</v>
      </c>
      <c r="DG501" s="14">
        <f t="shared" si="279"/>
        <v>750</v>
      </c>
    </row>
    <row r="502" spans="77:111" ht="16.5" x14ac:dyDescent="0.2">
      <c r="BY502" s="13">
        <v>498</v>
      </c>
      <c r="BZ502" s="14">
        <f t="shared" si="262"/>
        <v>69</v>
      </c>
      <c r="CA502" s="14">
        <f t="shared" si="263"/>
        <v>1</v>
      </c>
      <c r="CB502" s="14">
        <f t="shared" si="248"/>
        <v>6</v>
      </c>
      <c r="CC502" s="14">
        <f t="shared" si="249"/>
        <v>2064016</v>
      </c>
      <c r="CD502" s="13" t="str">
        <f t="shared" si="250"/>
        <v>120级寄灵人橙色-护手</v>
      </c>
      <c r="CE502" s="14">
        <f t="shared" si="251"/>
        <v>1</v>
      </c>
      <c r="CF502" s="14">
        <f t="shared" si="252"/>
        <v>4</v>
      </c>
      <c r="CG502" s="14">
        <f t="shared" si="264"/>
        <v>120</v>
      </c>
      <c r="CH502" s="14">
        <f t="shared" si="265"/>
        <v>120</v>
      </c>
      <c r="CI502" s="14">
        <f t="shared" si="253"/>
        <v>6</v>
      </c>
      <c r="CJ502" s="14" t="str">
        <f t="shared" si="266"/>
        <v/>
      </c>
      <c r="CK502" s="14">
        <f t="shared" si="254"/>
        <v>0</v>
      </c>
      <c r="CL502" s="14">
        <f t="shared" si="255"/>
        <v>0</v>
      </c>
      <c r="CM502" s="14">
        <f t="shared" si="256"/>
        <v>2251</v>
      </c>
      <c r="CN502" s="14">
        <f t="shared" si="257"/>
        <v>0</v>
      </c>
      <c r="CO502" s="14">
        <f t="shared" si="258"/>
        <v>0</v>
      </c>
      <c r="CP502" s="14">
        <f t="shared" si="259"/>
        <v>93.78</v>
      </c>
      <c r="CQ502" s="14">
        <f t="shared" si="267"/>
        <v>24</v>
      </c>
      <c r="CR502" s="14">
        <f t="shared" si="268"/>
        <v>5</v>
      </c>
      <c r="CS502" s="14">
        <f t="shared" si="269"/>
        <v>16</v>
      </c>
      <c r="CV502" s="14">
        <f t="shared" si="260"/>
        <v>3</v>
      </c>
      <c r="CW502" s="14">
        <f t="shared" si="261"/>
        <v>0</v>
      </c>
      <c r="CX502" s="14" t="str">
        <f t="shared" si="270"/>
        <v>HPExt</v>
      </c>
      <c r="CY502" s="14">
        <f t="shared" si="271"/>
        <v>2251</v>
      </c>
      <c r="CZ502" s="14">
        <f t="shared" si="272"/>
        <v>93.78</v>
      </c>
      <c r="DA502" s="14" t="str">
        <f t="shared" si="273"/>
        <v/>
      </c>
      <c r="DB502" s="14" t="str">
        <f t="shared" si="274"/>
        <v/>
      </c>
      <c r="DC502" s="14" t="str">
        <f t="shared" si="275"/>
        <v/>
      </c>
      <c r="DD502" s="14">
        <f t="shared" si="276"/>
        <v>24</v>
      </c>
      <c r="DE502" s="14">
        <f t="shared" si="277"/>
        <v>5</v>
      </c>
      <c r="DF502" s="14">
        <f t="shared" si="278"/>
        <v>16</v>
      </c>
      <c r="DG502" s="14">
        <f t="shared" si="279"/>
        <v>750</v>
      </c>
    </row>
    <row r="503" spans="77:111" ht="16.5" x14ac:dyDescent="0.2">
      <c r="BY503" s="13">
        <v>499</v>
      </c>
      <c r="BZ503" s="14">
        <f t="shared" si="262"/>
        <v>69</v>
      </c>
      <c r="CA503" s="14">
        <f t="shared" si="263"/>
        <v>1</v>
      </c>
      <c r="CB503" s="14">
        <f t="shared" si="248"/>
        <v>6</v>
      </c>
      <c r="CC503" s="14">
        <f t="shared" si="249"/>
        <v>2064017</v>
      </c>
      <c r="CD503" s="13" t="str">
        <f t="shared" si="250"/>
        <v>120级寄灵人橙色-项链</v>
      </c>
      <c r="CE503" s="14">
        <f t="shared" si="251"/>
        <v>1</v>
      </c>
      <c r="CF503" s="14">
        <f t="shared" si="252"/>
        <v>4</v>
      </c>
      <c r="CG503" s="14">
        <f t="shared" si="264"/>
        <v>120</v>
      </c>
      <c r="CH503" s="14">
        <f t="shared" si="265"/>
        <v>120</v>
      </c>
      <c r="CI503" s="14">
        <f t="shared" si="253"/>
        <v>7</v>
      </c>
      <c r="CJ503" s="14" t="str">
        <f t="shared" si="266"/>
        <v/>
      </c>
      <c r="CK503" s="14">
        <f t="shared" si="254"/>
        <v>497</v>
      </c>
      <c r="CL503" s="14">
        <f t="shared" si="255"/>
        <v>309</v>
      </c>
      <c r="CM503" s="14">
        <f t="shared" si="256"/>
        <v>0</v>
      </c>
      <c r="CN503" s="14">
        <f t="shared" si="257"/>
        <v>20.73</v>
      </c>
      <c r="CO503" s="14">
        <f t="shared" si="258"/>
        <v>12.88</v>
      </c>
      <c r="CP503" s="14">
        <f t="shared" si="259"/>
        <v>0</v>
      </c>
      <c r="CQ503" s="14">
        <f t="shared" si="267"/>
        <v>24</v>
      </c>
      <c r="CR503" s="14">
        <f t="shared" si="268"/>
        <v>5</v>
      </c>
      <c r="CS503" s="14">
        <f t="shared" si="269"/>
        <v>16</v>
      </c>
      <c r="CV503" s="14">
        <f t="shared" si="260"/>
        <v>1</v>
      </c>
      <c r="CW503" s="14">
        <f t="shared" si="261"/>
        <v>2</v>
      </c>
      <c r="CX503" s="14" t="str">
        <f t="shared" si="270"/>
        <v>AtkExt</v>
      </c>
      <c r="CY503" s="14">
        <f t="shared" si="271"/>
        <v>497</v>
      </c>
      <c r="CZ503" s="14">
        <f t="shared" si="272"/>
        <v>20.73</v>
      </c>
      <c r="DA503" s="14" t="str">
        <f t="shared" si="273"/>
        <v>DefExt</v>
      </c>
      <c r="DB503" s="14">
        <f t="shared" si="274"/>
        <v>309</v>
      </c>
      <c r="DC503" s="14">
        <f t="shared" si="275"/>
        <v>12.88</v>
      </c>
      <c r="DD503" s="14">
        <f t="shared" si="276"/>
        <v>24</v>
      </c>
      <c r="DE503" s="14">
        <f t="shared" si="277"/>
        <v>5</v>
      </c>
      <c r="DF503" s="14">
        <f t="shared" si="278"/>
        <v>16</v>
      </c>
      <c r="DG503" s="14">
        <f t="shared" si="279"/>
        <v>750</v>
      </c>
    </row>
    <row r="504" spans="77:111" ht="16.5" x14ac:dyDescent="0.2">
      <c r="BY504" s="13">
        <v>500</v>
      </c>
      <c r="BZ504" s="14">
        <f t="shared" si="262"/>
        <v>69</v>
      </c>
      <c r="CA504" s="14">
        <f t="shared" si="263"/>
        <v>1</v>
      </c>
      <c r="CB504" s="14">
        <f t="shared" si="248"/>
        <v>6</v>
      </c>
      <c r="CC504" s="14">
        <f t="shared" si="249"/>
        <v>2064018</v>
      </c>
      <c r="CD504" s="13" t="str">
        <f t="shared" si="250"/>
        <v>120级寄灵人橙色-戒指</v>
      </c>
      <c r="CE504" s="14">
        <f t="shared" si="251"/>
        <v>1</v>
      </c>
      <c r="CF504" s="14">
        <f t="shared" si="252"/>
        <v>4</v>
      </c>
      <c r="CG504" s="14">
        <f t="shared" si="264"/>
        <v>120</v>
      </c>
      <c r="CH504" s="14">
        <f t="shared" si="265"/>
        <v>120</v>
      </c>
      <c r="CI504" s="14">
        <f t="shared" si="253"/>
        <v>8</v>
      </c>
      <c r="CJ504" s="14" t="str">
        <f t="shared" si="266"/>
        <v/>
      </c>
      <c r="CK504" s="14">
        <f t="shared" si="254"/>
        <v>497</v>
      </c>
      <c r="CL504" s="14">
        <f t="shared" si="255"/>
        <v>0</v>
      </c>
      <c r="CM504" s="14">
        <f t="shared" si="256"/>
        <v>1876</v>
      </c>
      <c r="CN504" s="14">
        <f t="shared" si="257"/>
        <v>20.73</v>
      </c>
      <c r="CO504" s="14">
        <f t="shared" si="258"/>
        <v>0</v>
      </c>
      <c r="CP504" s="14">
        <f t="shared" si="259"/>
        <v>78.150000000000006</v>
      </c>
      <c r="CQ504" s="14">
        <f t="shared" si="267"/>
        <v>24</v>
      </c>
      <c r="CR504" s="14">
        <f t="shared" si="268"/>
        <v>5</v>
      </c>
      <c r="CS504" s="14">
        <f t="shared" si="269"/>
        <v>16</v>
      </c>
      <c r="CV504" s="14">
        <f t="shared" si="260"/>
        <v>1</v>
      </c>
      <c r="CW504" s="14">
        <f t="shared" si="261"/>
        <v>3</v>
      </c>
      <c r="CX504" s="14" t="str">
        <f t="shared" si="270"/>
        <v>AtkExt</v>
      </c>
      <c r="CY504" s="14">
        <f t="shared" si="271"/>
        <v>497</v>
      </c>
      <c r="CZ504" s="14">
        <f t="shared" si="272"/>
        <v>20.73</v>
      </c>
      <c r="DA504" s="14" t="str">
        <f t="shared" si="273"/>
        <v>HPExt</v>
      </c>
      <c r="DB504" s="14">
        <f t="shared" si="274"/>
        <v>1876</v>
      </c>
      <c r="DC504" s="14">
        <f t="shared" si="275"/>
        <v>78.150000000000006</v>
      </c>
      <c r="DD504" s="14">
        <f t="shared" si="276"/>
        <v>24</v>
      </c>
      <c r="DE504" s="14">
        <f t="shared" si="277"/>
        <v>5</v>
      </c>
      <c r="DF504" s="14">
        <f t="shared" si="278"/>
        <v>16</v>
      </c>
      <c r="DG504" s="14">
        <f t="shared" si="279"/>
        <v>750</v>
      </c>
    </row>
    <row r="505" spans="77:111" ht="16.5" x14ac:dyDescent="0.2">
      <c r="BY505" s="13">
        <v>501</v>
      </c>
      <c r="BZ505" s="14">
        <f t="shared" si="262"/>
        <v>70</v>
      </c>
      <c r="CA505" s="14">
        <f t="shared" si="263"/>
        <v>2</v>
      </c>
      <c r="CB505" s="14">
        <f t="shared" si="248"/>
        <v>6</v>
      </c>
      <c r="CC505" s="14">
        <f t="shared" si="249"/>
        <v>2064021</v>
      </c>
      <c r="CD505" s="13" t="str">
        <f t="shared" si="250"/>
        <v>120级守护灵橙色-武器</v>
      </c>
      <c r="CE505" s="14">
        <f t="shared" si="251"/>
        <v>2</v>
      </c>
      <c r="CF505" s="14">
        <f t="shared" si="252"/>
        <v>4</v>
      </c>
      <c r="CG505" s="14">
        <f t="shared" si="264"/>
        <v>120</v>
      </c>
      <c r="CH505" s="14">
        <f t="shared" si="265"/>
        <v>120</v>
      </c>
      <c r="CI505" s="14">
        <f t="shared" si="253"/>
        <v>1</v>
      </c>
      <c r="CJ505" s="14" t="str">
        <f t="shared" si="266"/>
        <v/>
      </c>
      <c r="CK505" s="14">
        <f t="shared" si="254"/>
        <v>1519</v>
      </c>
      <c r="CL505" s="14">
        <f t="shared" si="255"/>
        <v>0</v>
      </c>
      <c r="CM505" s="14">
        <f t="shared" si="256"/>
        <v>0</v>
      </c>
      <c r="CN505" s="14">
        <f t="shared" si="257"/>
        <v>63.31</v>
      </c>
      <c r="CO505" s="14">
        <f t="shared" si="258"/>
        <v>0</v>
      </c>
      <c r="CP505" s="14">
        <f t="shared" si="259"/>
        <v>0</v>
      </c>
      <c r="CQ505" s="14">
        <f t="shared" si="267"/>
        <v>24</v>
      </c>
      <c r="CR505" s="14">
        <f t="shared" si="268"/>
        <v>5</v>
      </c>
      <c r="CS505" s="14">
        <f t="shared" si="269"/>
        <v>26</v>
      </c>
      <c r="CV505" s="14">
        <f t="shared" si="260"/>
        <v>1</v>
      </c>
      <c r="CW505" s="14">
        <f t="shared" si="261"/>
        <v>0</v>
      </c>
      <c r="CX505" s="14" t="str">
        <f t="shared" si="270"/>
        <v>AtkExt</v>
      </c>
      <c r="CY505" s="14">
        <f t="shared" si="271"/>
        <v>1519</v>
      </c>
      <c r="CZ505" s="14">
        <f t="shared" si="272"/>
        <v>63.31</v>
      </c>
      <c r="DA505" s="14" t="str">
        <f t="shared" si="273"/>
        <v/>
      </c>
      <c r="DB505" s="14" t="str">
        <f t="shared" si="274"/>
        <v/>
      </c>
      <c r="DC505" s="14" t="str">
        <f t="shared" si="275"/>
        <v/>
      </c>
      <c r="DD505" s="14">
        <f t="shared" si="276"/>
        <v>24</v>
      </c>
      <c r="DE505" s="14">
        <f t="shared" si="277"/>
        <v>5</v>
      </c>
      <c r="DF505" s="14">
        <f t="shared" si="278"/>
        <v>26</v>
      </c>
      <c r="DG505" s="14">
        <f t="shared" si="279"/>
        <v>750</v>
      </c>
    </row>
    <row r="506" spans="77:111" ht="16.5" x14ac:dyDescent="0.2">
      <c r="BY506" s="13">
        <v>502</v>
      </c>
      <c r="BZ506" s="14">
        <f t="shared" si="262"/>
        <v>70</v>
      </c>
      <c r="CA506" s="14">
        <f t="shared" si="263"/>
        <v>2</v>
      </c>
      <c r="CB506" s="14">
        <f t="shared" si="248"/>
        <v>6</v>
      </c>
      <c r="CC506" s="14">
        <f t="shared" si="249"/>
        <v>2064022</v>
      </c>
      <c r="CD506" s="13" t="str">
        <f t="shared" si="250"/>
        <v>120级守护灵橙色-头盔</v>
      </c>
      <c r="CE506" s="14">
        <f t="shared" si="251"/>
        <v>2</v>
      </c>
      <c r="CF506" s="14">
        <f t="shared" si="252"/>
        <v>4</v>
      </c>
      <c r="CG506" s="14">
        <f t="shared" si="264"/>
        <v>120</v>
      </c>
      <c r="CH506" s="14">
        <f t="shared" si="265"/>
        <v>120</v>
      </c>
      <c r="CI506" s="14">
        <f t="shared" si="253"/>
        <v>2</v>
      </c>
      <c r="CJ506" s="14" t="str">
        <f t="shared" si="266"/>
        <v/>
      </c>
      <c r="CK506" s="14">
        <f t="shared" si="254"/>
        <v>0</v>
      </c>
      <c r="CL506" s="14">
        <f t="shared" si="255"/>
        <v>376</v>
      </c>
      <c r="CM506" s="14">
        <f t="shared" si="256"/>
        <v>0</v>
      </c>
      <c r="CN506" s="14">
        <f t="shared" si="257"/>
        <v>0</v>
      </c>
      <c r="CO506" s="14">
        <f t="shared" si="258"/>
        <v>15.69</v>
      </c>
      <c r="CP506" s="14">
        <f t="shared" si="259"/>
        <v>0</v>
      </c>
      <c r="CQ506" s="14">
        <f t="shared" si="267"/>
        <v>24</v>
      </c>
      <c r="CR506" s="14">
        <f t="shared" si="268"/>
        <v>5</v>
      </c>
      <c r="CS506" s="14">
        <f t="shared" si="269"/>
        <v>26</v>
      </c>
      <c r="CV506" s="14">
        <f t="shared" si="260"/>
        <v>2</v>
      </c>
      <c r="CW506" s="14">
        <f t="shared" si="261"/>
        <v>0</v>
      </c>
      <c r="CX506" s="14" t="str">
        <f t="shared" si="270"/>
        <v>DefExt</v>
      </c>
      <c r="CY506" s="14">
        <f t="shared" si="271"/>
        <v>376</v>
      </c>
      <c r="CZ506" s="14">
        <f t="shared" si="272"/>
        <v>15.69</v>
      </c>
      <c r="DA506" s="14" t="str">
        <f t="shared" si="273"/>
        <v/>
      </c>
      <c r="DB506" s="14" t="str">
        <f t="shared" si="274"/>
        <v/>
      </c>
      <c r="DC506" s="14" t="str">
        <f t="shared" si="275"/>
        <v/>
      </c>
      <c r="DD506" s="14">
        <f t="shared" si="276"/>
        <v>24</v>
      </c>
      <c r="DE506" s="14">
        <f t="shared" si="277"/>
        <v>5</v>
      </c>
      <c r="DF506" s="14">
        <f t="shared" si="278"/>
        <v>26</v>
      </c>
      <c r="DG506" s="14">
        <f t="shared" si="279"/>
        <v>750</v>
      </c>
    </row>
    <row r="507" spans="77:111" ht="16.5" x14ac:dyDescent="0.2">
      <c r="BY507" s="13">
        <v>503</v>
      </c>
      <c r="BZ507" s="14">
        <f t="shared" si="262"/>
        <v>70</v>
      </c>
      <c r="CA507" s="14">
        <f t="shared" si="263"/>
        <v>2</v>
      </c>
      <c r="CB507" s="14">
        <f t="shared" si="248"/>
        <v>6</v>
      </c>
      <c r="CC507" s="14">
        <f t="shared" si="249"/>
        <v>2064023</v>
      </c>
      <c r="CD507" s="13" t="str">
        <f t="shared" si="250"/>
        <v>120级守护灵橙色-肩甲</v>
      </c>
      <c r="CE507" s="14">
        <f t="shared" si="251"/>
        <v>2</v>
      </c>
      <c r="CF507" s="14">
        <f t="shared" si="252"/>
        <v>4</v>
      </c>
      <c r="CG507" s="14">
        <f t="shared" si="264"/>
        <v>120</v>
      </c>
      <c r="CH507" s="14">
        <f t="shared" si="265"/>
        <v>120</v>
      </c>
      <c r="CI507" s="14">
        <f t="shared" si="253"/>
        <v>3</v>
      </c>
      <c r="CJ507" s="14" t="str">
        <f t="shared" si="266"/>
        <v/>
      </c>
      <c r="CK507" s="14">
        <f t="shared" si="254"/>
        <v>0</v>
      </c>
      <c r="CL507" s="14">
        <f t="shared" si="255"/>
        <v>188</v>
      </c>
      <c r="CM507" s="14">
        <f t="shared" si="256"/>
        <v>2020</v>
      </c>
      <c r="CN507" s="14">
        <f t="shared" si="257"/>
        <v>0</v>
      </c>
      <c r="CO507" s="14">
        <f t="shared" si="258"/>
        <v>7.84</v>
      </c>
      <c r="CP507" s="14">
        <f t="shared" si="259"/>
        <v>84.18</v>
      </c>
      <c r="CQ507" s="14">
        <f t="shared" si="267"/>
        <v>24</v>
      </c>
      <c r="CR507" s="14">
        <f t="shared" si="268"/>
        <v>5</v>
      </c>
      <c r="CS507" s="14">
        <f t="shared" si="269"/>
        <v>26</v>
      </c>
      <c r="CV507" s="14">
        <f t="shared" si="260"/>
        <v>2</v>
      </c>
      <c r="CW507" s="14">
        <f t="shared" si="261"/>
        <v>3</v>
      </c>
      <c r="CX507" s="14" t="str">
        <f t="shared" si="270"/>
        <v>DefExt</v>
      </c>
      <c r="CY507" s="14">
        <f t="shared" si="271"/>
        <v>188</v>
      </c>
      <c r="CZ507" s="14">
        <f t="shared" si="272"/>
        <v>7.84</v>
      </c>
      <c r="DA507" s="14" t="str">
        <f t="shared" si="273"/>
        <v>HPExt</v>
      </c>
      <c r="DB507" s="14">
        <f t="shared" si="274"/>
        <v>2020</v>
      </c>
      <c r="DC507" s="14">
        <f t="shared" si="275"/>
        <v>84.18</v>
      </c>
      <c r="DD507" s="14">
        <f t="shared" si="276"/>
        <v>24</v>
      </c>
      <c r="DE507" s="14">
        <f t="shared" si="277"/>
        <v>5</v>
      </c>
      <c r="DF507" s="14">
        <f t="shared" si="278"/>
        <v>26</v>
      </c>
      <c r="DG507" s="14">
        <f t="shared" si="279"/>
        <v>750</v>
      </c>
    </row>
    <row r="508" spans="77:111" ht="16.5" x14ac:dyDescent="0.2">
      <c r="BY508" s="13">
        <v>504</v>
      </c>
      <c r="BZ508" s="14">
        <f t="shared" si="262"/>
        <v>70</v>
      </c>
      <c r="CA508" s="14">
        <f t="shared" si="263"/>
        <v>2</v>
      </c>
      <c r="CB508" s="14">
        <f t="shared" si="248"/>
        <v>6</v>
      </c>
      <c r="CC508" s="14">
        <f t="shared" si="249"/>
        <v>2064024</v>
      </c>
      <c r="CD508" s="13" t="str">
        <f t="shared" si="250"/>
        <v>120级守护灵橙色-衣服</v>
      </c>
      <c r="CE508" s="14">
        <f t="shared" si="251"/>
        <v>2</v>
      </c>
      <c r="CF508" s="14">
        <f t="shared" si="252"/>
        <v>4</v>
      </c>
      <c r="CG508" s="14">
        <f t="shared" si="264"/>
        <v>120</v>
      </c>
      <c r="CH508" s="14">
        <f t="shared" si="265"/>
        <v>120</v>
      </c>
      <c r="CI508" s="14">
        <f t="shared" si="253"/>
        <v>4</v>
      </c>
      <c r="CJ508" s="14" t="str">
        <f t="shared" si="266"/>
        <v/>
      </c>
      <c r="CK508" s="14">
        <f t="shared" si="254"/>
        <v>0</v>
      </c>
      <c r="CL508" s="14">
        <f t="shared" si="255"/>
        <v>376</v>
      </c>
      <c r="CM508" s="14">
        <f t="shared" si="256"/>
        <v>0</v>
      </c>
      <c r="CN508" s="14">
        <f t="shared" si="257"/>
        <v>0</v>
      </c>
      <c r="CO508" s="14">
        <f t="shared" si="258"/>
        <v>15.69</v>
      </c>
      <c r="CP508" s="14">
        <f t="shared" si="259"/>
        <v>0</v>
      </c>
      <c r="CQ508" s="14">
        <f t="shared" si="267"/>
        <v>24</v>
      </c>
      <c r="CR508" s="14">
        <f t="shared" si="268"/>
        <v>5</v>
      </c>
      <c r="CS508" s="14">
        <f t="shared" si="269"/>
        <v>26</v>
      </c>
      <c r="CV508" s="14">
        <f t="shared" si="260"/>
        <v>2</v>
      </c>
      <c r="CW508" s="14">
        <f t="shared" si="261"/>
        <v>0</v>
      </c>
      <c r="CX508" s="14" t="str">
        <f t="shared" si="270"/>
        <v>DefExt</v>
      </c>
      <c r="CY508" s="14">
        <f t="shared" si="271"/>
        <v>376</v>
      </c>
      <c r="CZ508" s="14">
        <f t="shared" si="272"/>
        <v>15.69</v>
      </c>
      <c r="DA508" s="14" t="str">
        <f t="shared" si="273"/>
        <v/>
      </c>
      <c r="DB508" s="14" t="str">
        <f t="shared" si="274"/>
        <v/>
      </c>
      <c r="DC508" s="14" t="str">
        <f t="shared" si="275"/>
        <v/>
      </c>
      <c r="DD508" s="14">
        <f t="shared" si="276"/>
        <v>24</v>
      </c>
      <c r="DE508" s="14">
        <f t="shared" si="277"/>
        <v>5</v>
      </c>
      <c r="DF508" s="14">
        <f t="shared" si="278"/>
        <v>26</v>
      </c>
      <c r="DG508" s="14">
        <f t="shared" si="279"/>
        <v>750</v>
      </c>
    </row>
    <row r="509" spans="77:111" ht="16.5" x14ac:dyDescent="0.2">
      <c r="BY509" s="13">
        <v>505</v>
      </c>
      <c r="BZ509" s="14">
        <f t="shared" si="262"/>
        <v>70</v>
      </c>
      <c r="CA509" s="14">
        <f t="shared" si="263"/>
        <v>2</v>
      </c>
      <c r="CB509" s="14">
        <f t="shared" si="248"/>
        <v>6</v>
      </c>
      <c r="CC509" s="14">
        <f t="shared" si="249"/>
        <v>2064025</v>
      </c>
      <c r="CD509" s="13" t="str">
        <f t="shared" si="250"/>
        <v>120级守护灵橙色-鞋子</v>
      </c>
      <c r="CE509" s="14">
        <f t="shared" si="251"/>
        <v>2</v>
      </c>
      <c r="CF509" s="14">
        <f t="shared" si="252"/>
        <v>4</v>
      </c>
      <c r="CG509" s="14">
        <f t="shared" si="264"/>
        <v>120</v>
      </c>
      <c r="CH509" s="14">
        <f t="shared" si="265"/>
        <v>120</v>
      </c>
      <c r="CI509" s="14">
        <f t="shared" si="253"/>
        <v>5</v>
      </c>
      <c r="CJ509" s="14" t="str">
        <f t="shared" si="266"/>
        <v/>
      </c>
      <c r="CK509" s="14">
        <f t="shared" si="254"/>
        <v>0</v>
      </c>
      <c r="CL509" s="14">
        <f t="shared" si="255"/>
        <v>0</v>
      </c>
      <c r="CM509" s="14">
        <f t="shared" si="256"/>
        <v>4041</v>
      </c>
      <c r="CN509" s="14">
        <f t="shared" si="257"/>
        <v>0</v>
      </c>
      <c r="CO509" s="14">
        <f t="shared" si="258"/>
        <v>0</v>
      </c>
      <c r="CP509" s="14">
        <f t="shared" si="259"/>
        <v>168.37</v>
      </c>
      <c r="CQ509" s="14">
        <f t="shared" si="267"/>
        <v>24</v>
      </c>
      <c r="CR509" s="14">
        <f t="shared" si="268"/>
        <v>5</v>
      </c>
      <c r="CS509" s="14">
        <f t="shared" si="269"/>
        <v>26</v>
      </c>
      <c r="CV509" s="14">
        <f t="shared" si="260"/>
        <v>3</v>
      </c>
      <c r="CW509" s="14">
        <f t="shared" si="261"/>
        <v>0</v>
      </c>
      <c r="CX509" s="14" t="str">
        <f t="shared" si="270"/>
        <v>HPExt</v>
      </c>
      <c r="CY509" s="14">
        <f t="shared" si="271"/>
        <v>4041</v>
      </c>
      <c r="CZ509" s="14">
        <f t="shared" si="272"/>
        <v>168.37</v>
      </c>
      <c r="DA509" s="14" t="str">
        <f t="shared" si="273"/>
        <v/>
      </c>
      <c r="DB509" s="14" t="str">
        <f t="shared" si="274"/>
        <v/>
      </c>
      <c r="DC509" s="14" t="str">
        <f t="shared" si="275"/>
        <v/>
      </c>
      <c r="DD509" s="14">
        <f t="shared" si="276"/>
        <v>24</v>
      </c>
      <c r="DE509" s="14">
        <f t="shared" si="277"/>
        <v>5</v>
      </c>
      <c r="DF509" s="14">
        <f t="shared" si="278"/>
        <v>26</v>
      </c>
      <c r="DG509" s="14">
        <f t="shared" si="279"/>
        <v>750</v>
      </c>
    </row>
    <row r="510" spans="77:111" ht="16.5" x14ac:dyDescent="0.2">
      <c r="BY510" s="13">
        <v>506</v>
      </c>
      <c r="BZ510" s="14">
        <f t="shared" si="262"/>
        <v>70</v>
      </c>
      <c r="CA510" s="14">
        <f t="shared" si="263"/>
        <v>2</v>
      </c>
      <c r="CB510" s="14">
        <f t="shared" si="248"/>
        <v>6</v>
      </c>
      <c r="CC510" s="14">
        <f t="shared" si="249"/>
        <v>2064026</v>
      </c>
      <c r="CD510" s="13" t="str">
        <f t="shared" si="250"/>
        <v>120级守护灵橙色-护手</v>
      </c>
      <c r="CE510" s="14">
        <f t="shared" si="251"/>
        <v>2</v>
      </c>
      <c r="CF510" s="14">
        <f t="shared" si="252"/>
        <v>4</v>
      </c>
      <c r="CG510" s="14">
        <f t="shared" si="264"/>
        <v>120</v>
      </c>
      <c r="CH510" s="14">
        <f t="shared" si="265"/>
        <v>120</v>
      </c>
      <c r="CI510" s="14">
        <f t="shared" si="253"/>
        <v>6</v>
      </c>
      <c r="CJ510" s="14" t="str">
        <f t="shared" si="266"/>
        <v/>
      </c>
      <c r="CK510" s="14">
        <f t="shared" si="254"/>
        <v>0</v>
      </c>
      <c r="CL510" s="14">
        <f t="shared" si="255"/>
        <v>0</v>
      </c>
      <c r="CM510" s="14">
        <f t="shared" si="256"/>
        <v>4041</v>
      </c>
      <c r="CN510" s="14">
        <f t="shared" si="257"/>
        <v>0</v>
      </c>
      <c r="CO510" s="14">
        <f t="shared" si="258"/>
        <v>0</v>
      </c>
      <c r="CP510" s="14">
        <f t="shared" si="259"/>
        <v>168.37</v>
      </c>
      <c r="CQ510" s="14">
        <f t="shared" si="267"/>
        <v>24</v>
      </c>
      <c r="CR510" s="14">
        <f t="shared" si="268"/>
        <v>5</v>
      </c>
      <c r="CS510" s="14">
        <f t="shared" si="269"/>
        <v>26</v>
      </c>
      <c r="CV510" s="14">
        <f t="shared" si="260"/>
        <v>3</v>
      </c>
      <c r="CW510" s="14">
        <f t="shared" si="261"/>
        <v>0</v>
      </c>
      <c r="CX510" s="14" t="str">
        <f t="shared" si="270"/>
        <v>HPExt</v>
      </c>
      <c r="CY510" s="14">
        <f t="shared" si="271"/>
        <v>4041</v>
      </c>
      <c r="CZ510" s="14">
        <f t="shared" si="272"/>
        <v>168.37</v>
      </c>
      <c r="DA510" s="14" t="str">
        <f t="shared" si="273"/>
        <v/>
      </c>
      <c r="DB510" s="14" t="str">
        <f t="shared" si="274"/>
        <v/>
      </c>
      <c r="DC510" s="14" t="str">
        <f t="shared" si="275"/>
        <v/>
      </c>
      <c r="DD510" s="14">
        <f t="shared" si="276"/>
        <v>24</v>
      </c>
      <c r="DE510" s="14">
        <f t="shared" si="277"/>
        <v>5</v>
      </c>
      <c r="DF510" s="14">
        <f t="shared" si="278"/>
        <v>26</v>
      </c>
      <c r="DG510" s="14">
        <f t="shared" si="279"/>
        <v>750</v>
      </c>
    </row>
    <row r="511" spans="77:111" ht="16.5" x14ac:dyDescent="0.2">
      <c r="BY511" s="13">
        <v>507</v>
      </c>
      <c r="BZ511" s="14">
        <f t="shared" si="262"/>
        <v>70</v>
      </c>
      <c r="CA511" s="14">
        <f t="shared" si="263"/>
        <v>2</v>
      </c>
      <c r="CB511" s="14">
        <f t="shared" si="248"/>
        <v>6</v>
      </c>
      <c r="CC511" s="14">
        <f t="shared" si="249"/>
        <v>2064027</v>
      </c>
      <c r="CD511" s="13" t="str">
        <f t="shared" si="250"/>
        <v>120级守护灵橙色-项链</v>
      </c>
      <c r="CE511" s="14">
        <f t="shared" si="251"/>
        <v>2</v>
      </c>
      <c r="CF511" s="14">
        <f t="shared" si="252"/>
        <v>4</v>
      </c>
      <c r="CG511" s="14">
        <f t="shared" si="264"/>
        <v>120</v>
      </c>
      <c r="CH511" s="14">
        <f t="shared" si="265"/>
        <v>120</v>
      </c>
      <c r="CI511" s="14">
        <f t="shared" si="253"/>
        <v>7</v>
      </c>
      <c r="CJ511" s="14" t="str">
        <f t="shared" si="266"/>
        <v/>
      </c>
      <c r="CK511" s="14">
        <f t="shared" si="254"/>
        <v>506</v>
      </c>
      <c r="CL511" s="14">
        <f t="shared" si="255"/>
        <v>314</v>
      </c>
      <c r="CM511" s="14">
        <f t="shared" si="256"/>
        <v>0</v>
      </c>
      <c r="CN511" s="14">
        <f t="shared" si="257"/>
        <v>21.1</v>
      </c>
      <c r="CO511" s="14">
        <f t="shared" si="258"/>
        <v>13.07</v>
      </c>
      <c r="CP511" s="14">
        <f t="shared" si="259"/>
        <v>0</v>
      </c>
      <c r="CQ511" s="14">
        <f t="shared" si="267"/>
        <v>24</v>
      </c>
      <c r="CR511" s="14">
        <f t="shared" si="268"/>
        <v>5</v>
      </c>
      <c r="CS511" s="14">
        <f t="shared" si="269"/>
        <v>26</v>
      </c>
      <c r="CV511" s="14">
        <f t="shared" si="260"/>
        <v>1</v>
      </c>
      <c r="CW511" s="14">
        <f t="shared" si="261"/>
        <v>2</v>
      </c>
      <c r="CX511" s="14" t="str">
        <f t="shared" si="270"/>
        <v>AtkExt</v>
      </c>
      <c r="CY511" s="14">
        <f t="shared" si="271"/>
        <v>506</v>
      </c>
      <c r="CZ511" s="14">
        <f t="shared" si="272"/>
        <v>21.1</v>
      </c>
      <c r="DA511" s="14" t="str">
        <f t="shared" si="273"/>
        <v>DefExt</v>
      </c>
      <c r="DB511" s="14">
        <f t="shared" si="274"/>
        <v>314</v>
      </c>
      <c r="DC511" s="14">
        <f t="shared" si="275"/>
        <v>13.07</v>
      </c>
      <c r="DD511" s="14">
        <f t="shared" si="276"/>
        <v>24</v>
      </c>
      <c r="DE511" s="14">
        <f t="shared" si="277"/>
        <v>5</v>
      </c>
      <c r="DF511" s="14">
        <f t="shared" si="278"/>
        <v>26</v>
      </c>
      <c r="DG511" s="14">
        <f t="shared" si="279"/>
        <v>750</v>
      </c>
    </row>
    <row r="512" spans="77:111" ht="16.5" x14ac:dyDescent="0.2">
      <c r="BY512" s="13">
        <v>508</v>
      </c>
      <c r="BZ512" s="14">
        <f t="shared" si="262"/>
        <v>70</v>
      </c>
      <c r="CA512" s="14">
        <f t="shared" si="263"/>
        <v>2</v>
      </c>
      <c r="CB512" s="14">
        <f t="shared" si="248"/>
        <v>6</v>
      </c>
      <c r="CC512" s="14">
        <f t="shared" si="249"/>
        <v>2064028</v>
      </c>
      <c r="CD512" s="13" t="str">
        <f t="shared" si="250"/>
        <v>120级守护灵橙色-戒指</v>
      </c>
      <c r="CE512" s="14">
        <f t="shared" si="251"/>
        <v>2</v>
      </c>
      <c r="CF512" s="14">
        <f t="shared" si="252"/>
        <v>4</v>
      </c>
      <c r="CG512" s="14">
        <f t="shared" si="264"/>
        <v>120</v>
      </c>
      <c r="CH512" s="14">
        <f t="shared" si="265"/>
        <v>120</v>
      </c>
      <c r="CI512" s="14">
        <f t="shared" si="253"/>
        <v>8</v>
      </c>
      <c r="CJ512" s="14" t="str">
        <f t="shared" si="266"/>
        <v/>
      </c>
      <c r="CK512" s="14">
        <f t="shared" si="254"/>
        <v>506</v>
      </c>
      <c r="CL512" s="14">
        <f t="shared" si="255"/>
        <v>0</v>
      </c>
      <c r="CM512" s="14">
        <f t="shared" si="256"/>
        <v>3367</v>
      </c>
      <c r="CN512" s="14">
        <f t="shared" si="257"/>
        <v>21.1</v>
      </c>
      <c r="CO512" s="14">
        <f t="shared" si="258"/>
        <v>0</v>
      </c>
      <c r="CP512" s="14">
        <f t="shared" si="259"/>
        <v>140.31</v>
      </c>
      <c r="CQ512" s="14">
        <f t="shared" si="267"/>
        <v>24</v>
      </c>
      <c r="CR512" s="14">
        <f t="shared" si="268"/>
        <v>5</v>
      </c>
      <c r="CS512" s="14">
        <f t="shared" si="269"/>
        <v>26</v>
      </c>
      <c r="CV512" s="14">
        <f t="shared" si="260"/>
        <v>1</v>
      </c>
      <c r="CW512" s="14">
        <f t="shared" si="261"/>
        <v>3</v>
      </c>
      <c r="CX512" s="14" t="str">
        <f t="shared" si="270"/>
        <v>AtkExt</v>
      </c>
      <c r="CY512" s="14">
        <f t="shared" si="271"/>
        <v>506</v>
      </c>
      <c r="CZ512" s="14">
        <f t="shared" si="272"/>
        <v>21.1</v>
      </c>
      <c r="DA512" s="14" t="str">
        <f t="shared" si="273"/>
        <v>HPExt</v>
      </c>
      <c r="DB512" s="14">
        <f t="shared" si="274"/>
        <v>3367</v>
      </c>
      <c r="DC512" s="14">
        <f t="shared" si="275"/>
        <v>140.31</v>
      </c>
      <c r="DD512" s="14">
        <f t="shared" si="276"/>
        <v>24</v>
      </c>
      <c r="DE512" s="14">
        <f t="shared" si="277"/>
        <v>5</v>
      </c>
      <c r="DF512" s="14">
        <f t="shared" si="278"/>
        <v>26</v>
      </c>
      <c r="DG512" s="14">
        <f t="shared" si="279"/>
        <v>750</v>
      </c>
    </row>
    <row r="513" spans="77:111" ht="16.5" x14ac:dyDescent="0.2">
      <c r="BY513" s="13">
        <v>509</v>
      </c>
      <c r="BZ513" s="14">
        <f t="shared" si="262"/>
        <v>71</v>
      </c>
      <c r="CA513" s="14">
        <f t="shared" si="263"/>
        <v>3</v>
      </c>
      <c r="CB513" s="14">
        <f t="shared" si="248"/>
        <v>6</v>
      </c>
      <c r="CC513" s="14">
        <f t="shared" si="249"/>
        <v>2064031</v>
      </c>
      <c r="CD513" s="13" t="str">
        <f t="shared" si="250"/>
        <v>120级寄灵人橙色套1-武器</v>
      </c>
      <c r="CE513" s="14">
        <f t="shared" si="251"/>
        <v>1</v>
      </c>
      <c r="CF513" s="14">
        <f t="shared" si="252"/>
        <v>4</v>
      </c>
      <c r="CG513" s="14">
        <f t="shared" si="264"/>
        <v>120</v>
      </c>
      <c r="CH513" s="14">
        <f t="shared" si="265"/>
        <v>120</v>
      </c>
      <c r="CI513" s="14">
        <f t="shared" si="253"/>
        <v>1</v>
      </c>
      <c r="CJ513" s="14">
        <f t="shared" si="266"/>
        <v>1061</v>
      </c>
      <c r="CK513" s="14">
        <f t="shared" si="254"/>
        <v>1492</v>
      </c>
      <c r="CL513" s="14">
        <f t="shared" si="255"/>
        <v>0</v>
      </c>
      <c r="CM513" s="14">
        <f t="shared" si="256"/>
        <v>0</v>
      </c>
      <c r="CN513" s="14">
        <f t="shared" si="257"/>
        <v>62.18</v>
      </c>
      <c r="CO513" s="14">
        <f t="shared" si="258"/>
        <v>0</v>
      </c>
      <c r="CP513" s="14">
        <f t="shared" si="259"/>
        <v>0</v>
      </c>
      <c r="CQ513" s="14">
        <f t="shared" si="267"/>
        <v>24</v>
      </c>
      <c r="CR513" s="14">
        <f t="shared" si="268"/>
        <v>5</v>
      </c>
      <c r="CS513" s="14">
        <f t="shared" si="269"/>
        <v>16</v>
      </c>
      <c r="CV513" s="14">
        <f t="shared" si="260"/>
        <v>1</v>
      </c>
      <c r="CW513" s="14">
        <f t="shared" si="261"/>
        <v>0</v>
      </c>
      <c r="CX513" s="14" t="str">
        <f t="shared" si="270"/>
        <v>AtkExt</v>
      </c>
      <c r="CY513" s="14">
        <f t="shared" si="271"/>
        <v>1492</v>
      </c>
      <c r="CZ513" s="14">
        <f t="shared" si="272"/>
        <v>62.18</v>
      </c>
      <c r="DA513" s="14" t="str">
        <f t="shared" si="273"/>
        <v/>
      </c>
      <c r="DB513" s="14" t="str">
        <f t="shared" si="274"/>
        <v/>
      </c>
      <c r="DC513" s="14" t="str">
        <f t="shared" si="275"/>
        <v/>
      </c>
      <c r="DD513" s="14">
        <f t="shared" si="276"/>
        <v>24</v>
      </c>
      <c r="DE513" s="14">
        <f t="shared" si="277"/>
        <v>5</v>
      </c>
      <c r="DF513" s="14">
        <f t="shared" si="278"/>
        <v>16</v>
      </c>
      <c r="DG513" s="14">
        <f t="shared" si="279"/>
        <v>750</v>
      </c>
    </row>
    <row r="514" spans="77:111" ht="16.5" x14ac:dyDescent="0.2">
      <c r="BY514" s="13">
        <v>510</v>
      </c>
      <c r="BZ514" s="14">
        <f t="shared" si="262"/>
        <v>71</v>
      </c>
      <c r="CA514" s="14">
        <f t="shared" si="263"/>
        <v>3</v>
      </c>
      <c r="CB514" s="14">
        <f t="shared" si="248"/>
        <v>6</v>
      </c>
      <c r="CC514" s="14">
        <f t="shared" si="249"/>
        <v>2064032</v>
      </c>
      <c r="CD514" s="13" t="str">
        <f t="shared" si="250"/>
        <v>120级寄灵人橙色套1-头盔</v>
      </c>
      <c r="CE514" s="14">
        <f t="shared" si="251"/>
        <v>1</v>
      </c>
      <c r="CF514" s="14">
        <f t="shared" si="252"/>
        <v>4</v>
      </c>
      <c r="CG514" s="14">
        <f t="shared" si="264"/>
        <v>120</v>
      </c>
      <c r="CH514" s="14">
        <f t="shared" si="265"/>
        <v>120</v>
      </c>
      <c r="CI514" s="14">
        <f t="shared" si="253"/>
        <v>2</v>
      </c>
      <c r="CJ514" s="14">
        <f t="shared" si="266"/>
        <v>1061</v>
      </c>
      <c r="CK514" s="14">
        <f t="shared" si="254"/>
        <v>0</v>
      </c>
      <c r="CL514" s="14">
        <f t="shared" si="255"/>
        <v>371</v>
      </c>
      <c r="CM514" s="14">
        <f t="shared" si="256"/>
        <v>0</v>
      </c>
      <c r="CN514" s="14">
        <f t="shared" si="257"/>
        <v>0</v>
      </c>
      <c r="CO514" s="14">
        <f t="shared" si="258"/>
        <v>15.45</v>
      </c>
      <c r="CP514" s="14">
        <f t="shared" si="259"/>
        <v>0</v>
      </c>
      <c r="CQ514" s="14">
        <f t="shared" si="267"/>
        <v>24</v>
      </c>
      <c r="CR514" s="14">
        <f t="shared" si="268"/>
        <v>5</v>
      </c>
      <c r="CS514" s="14">
        <f t="shared" si="269"/>
        <v>16</v>
      </c>
      <c r="CV514" s="14">
        <f t="shared" si="260"/>
        <v>2</v>
      </c>
      <c r="CW514" s="14">
        <f t="shared" si="261"/>
        <v>0</v>
      </c>
      <c r="CX514" s="14" t="str">
        <f t="shared" si="270"/>
        <v>DefExt</v>
      </c>
      <c r="CY514" s="14">
        <f t="shared" si="271"/>
        <v>371</v>
      </c>
      <c r="CZ514" s="14">
        <f t="shared" si="272"/>
        <v>15.45</v>
      </c>
      <c r="DA514" s="14" t="str">
        <f t="shared" si="273"/>
        <v/>
      </c>
      <c r="DB514" s="14" t="str">
        <f t="shared" si="274"/>
        <v/>
      </c>
      <c r="DC514" s="14" t="str">
        <f t="shared" si="275"/>
        <v/>
      </c>
      <c r="DD514" s="14">
        <f t="shared" si="276"/>
        <v>24</v>
      </c>
      <c r="DE514" s="14">
        <f t="shared" si="277"/>
        <v>5</v>
      </c>
      <c r="DF514" s="14">
        <f t="shared" si="278"/>
        <v>16</v>
      </c>
      <c r="DG514" s="14">
        <f t="shared" si="279"/>
        <v>750</v>
      </c>
    </row>
    <row r="515" spans="77:111" ht="16.5" x14ac:dyDescent="0.2">
      <c r="BY515" s="13">
        <v>511</v>
      </c>
      <c r="BZ515" s="14">
        <f t="shared" si="262"/>
        <v>71</v>
      </c>
      <c r="CA515" s="14">
        <f t="shared" si="263"/>
        <v>3</v>
      </c>
      <c r="CB515" s="14">
        <f t="shared" si="248"/>
        <v>6</v>
      </c>
      <c r="CC515" s="14">
        <f t="shared" si="249"/>
        <v>2064033</v>
      </c>
      <c r="CD515" s="13" t="str">
        <f t="shared" si="250"/>
        <v>120级寄灵人橙色套1-肩甲</v>
      </c>
      <c r="CE515" s="14">
        <f t="shared" si="251"/>
        <v>1</v>
      </c>
      <c r="CF515" s="14">
        <f t="shared" si="252"/>
        <v>4</v>
      </c>
      <c r="CG515" s="14">
        <f t="shared" si="264"/>
        <v>120</v>
      </c>
      <c r="CH515" s="14">
        <f t="shared" si="265"/>
        <v>120</v>
      </c>
      <c r="CI515" s="14">
        <f t="shared" si="253"/>
        <v>3</v>
      </c>
      <c r="CJ515" s="14">
        <f t="shared" si="266"/>
        <v>1061</v>
      </c>
      <c r="CK515" s="14">
        <f t="shared" si="254"/>
        <v>0</v>
      </c>
      <c r="CL515" s="14">
        <f t="shared" si="255"/>
        <v>185</v>
      </c>
      <c r="CM515" s="14">
        <f t="shared" si="256"/>
        <v>1125</v>
      </c>
      <c r="CN515" s="14">
        <f t="shared" si="257"/>
        <v>0</v>
      </c>
      <c r="CO515" s="14">
        <f t="shared" si="258"/>
        <v>7.73</v>
      </c>
      <c r="CP515" s="14">
        <f t="shared" si="259"/>
        <v>46.89</v>
      </c>
      <c r="CQ515" s="14">
        <f t="shared" si="267"/>
        <v>24</v>
      </c>
      <c r="CR515" s="14">
        <f t="shared" si="268"/>
        <v>5</v>
      </c>
      <c r="CS515" s="14">
        <f t="shared" si="269"/>
        <v>16</v>
      </c>
      <c r="CV515" s="14">
        <f t="shared" si="260"/>
        <v>2</v>
      </c>
      <c r="CW515" s="14">
        <f t="shared" si="261"/>
        <v>3</v>
      </c>
      <c r="CX515" s="14" t="str">
        <f t="shared" si="270"/>
        <v>DefExt</v>
      </c>
      <c r="CY515" s="14">
        <f t="shared" si="271"/>
        <v>185</v>
      </c>
      <c r="CZ515" s="14">
        <f t="shared" si="272"/>
        <v>7.73</v>
      </c>
      <c r="DA515" s="14" t="str">
        <f t="shared" si="273"/>
        <v>HPExt</v>
      </c>
      <c r="DB515" s="14">
        <f t="shared" si="274"/>
        <v>1125</v>
      </c>
      <c r="DC515" s="14">
        <f t="shared" si="275"/>
        <v>46.89</v>
      </c>
      <c r="DD515" s="14">
        <f t="shared" si="276"/>
        <v>24</v>
      </c>
      <c r="DE515" s="14">
        <f t="shared" si="277"/>
        <v>5</v>
      </c>
      <c r="DF515" s="14">
        <f t="shared" si="278"/>
        <v>16</v>
      </c>
      <c r="DG515" s="14">
        <f t="shared" si="279"/>
        <v>750</v>
      </c>
    </row>
    <row r="516" spans="77:111" ht="16.5" x14ac:dyDescent="0.2">
      <c r="BY516" s="13">
        <v>512</v>
      </c>
      <c r="BZ516" s="14">
        <f t="shared" si="262"/>
        <v>71</v>
      </c>
      <c r="CA516" s="14">
        <f t="shared" si="263"/>
        <v>3</v>
      </c>
      <c r="CB516" s="14">
        <f t="shared" si="248"/>
        <v>6</v>
      </c>
      <c r="CC516" s="14">
        <f t="shared" si="249"/>
        <v>2064034</v>
      </c>
      <c r="CD516" s="13" t="str">
        <f t="shared" si="250"/>
        <v>120级寄灵人橙色套1-衣服</v>
      </c>
      <c r="CE516" s="14">
        <f t="shared" si="251"/>
        <v>1</v>
      </c>
      <c r="CF516" s="14">
        <f t="shared" si="252"/>
        <v>4</v>
      </c>
      <c r="CG516" s="14">
        <f t="shared" si="264"/>
        <v>120</v>
      </c>
      <c r="CH516" s="14">
        <f t="shared" si="265"/>
        <v>120</v>
      </c>
      <c r="CI516" s="14">
        <f t="shared" si="253"/>
        <v>4</v>
      </c>
      <c r="CJ516" s="14">
        <f t="shared" si="266"/>
        <v>1061</v>
      </c>
      <c r="CK516" s="14">
        <f t="shared" si="254"/>
        <v>0</v>
      </c>
      <c r="CL516" s="14">
        <f t="shared" si="255"/>
        <v>371</v>
      </c>
      <c r="CM516" s="14">
        <f t="shared" si="256"/>
        <v>0</v>
      </c>
      <c r="CN516" s="14">
        <f t="shared" si="257"/>
        <v>0</v>
      </c>
      <c r="CO516" s="14">
        <f t="shared" si="258"/>
        <v>15.45</v>
      </c>
      <c r="CP516" s="14">
        <f t="shared" si="259"/>
        <v>0</v>
      </c>
      <c r="CQ516" s="14">
        <f t="shared" si="267"/>
        <v>24</v>
      </c>
      <c r="CR516" s="14">
        <f t="shared" si="268"/>
        <v>5</v>
      </c>
      <c r="CS516" s="14">
        <f t="shared" si="269"/>
        <v>16</v>
      </c>
      <c r="CV516" s="14">
        <f t="shared" si="260"/>
        <v>2</v>
      </c>
      <c r="CW516" s="14">
        <f t="shared" si="261"/>
        <v>0</v>
      </c>
      <c r="CX516" s="14" t="str">
        <f t="shared" si="270"/>
        <v>DefExt</v>
      </c>
      <c r="CY516" s="14">
        <f t="shared" si="271"/>
        <v>371</v>
      </c>
      <c r="CZ516" s="14">
        <f t="shared" si="272"/>
        <v>15.45</v>
      </c>
      <c r="DA516" s="14" t="str">
        <f t="shared" si="273"/>
        <v/>
      </c>
      <c r="DB516" s="14" t="str">
        <f t="shared" si="274"/>
        <v/>
      </c>
      <c r="DC516" s="14" t="str">
        <f t="shared" si="275"/>
        <v/>
      </c>
      <c r="DD516" s="14">
        <f t="shared" si="276"/>
        <v>24</v>
      </c>
      <c r="DE516" s="14">
        <f t="shared" si="277"/>
        <v>5</v>
      </c>
      <c r="DF516" s="14">
        <f t="shared" si="278"/>
        <v>16</v>
      </c>
      <c r="DG516" s="14">
        <f t="shared" si="279"/>
        <v>750</v>
      </c>
    </row>
    <row r="517" spans="77:111" ht="16.5" x14ac:dyDescent="0.2">
      <c r="BY517" s="13">
        <v>513</v>
      </c>
      <c r="BZ517" s="14">
        <f t="shared" si="262"/>
        <v>71</v>
      </c>
      <c r="CA517" s="14">
        <f t="shared" si="263"/>
        <v>3</v>
      </c>
      <c r="CB517" s="14">
        <f t="shared" ref="CB517:CB545" si="280">INDEX($BE$6:$BE$81,BZ517)</f>
        <v>6</v>
      </c>
      <c r="CC517" s="14">
        <f t="shared" ref="CC517:CC545" si="281">INDEX($BJ$6:$BJ$81,BZ517)+CI517</f>
        <v>2064035</v>
      </c>
      <c r="CD517" s="13" t="str">
        <f t="shared" ref="CD517:CD545" si="282">INDEX($BK$6:$BK$81,BZ517)&amp;"-"&amp;INDEX($BO$3:$BV$3,CI517)</f>
        <v>120级寄灵人橙色套1-鞋子</v>
      </c>
      <c r="CE517" s="14">
        <f t="shared" ref="CE517:CE545" si="283">INDEX($BH$6:$BH$81,BZ517)</f>
        <v>1</v>
      </c>
      <c r="CF517" s="14">
        <f t="shared" ref="CF517:CF545" si="284">INDEX($BG$6:$BG$81,BZ517)</f>
        <v>4</v>
      </c>
      <c r="CG517" s="14">
        <f t="shared" si="264"/>
        <v>120</v>
      </c>
      <c r="CH517" s="14">
        <f t="shared" si="265"/>
        <v>120</v>
      </c>
      <c r="CI517" s="14">
        <f t="shared" ref="CI517:CI545" si="285">BY517-INDEX($BN$5:$BN$81,BZ517)</f>
        <v>5</v>
      </c>
      <c r="CJ517" s="14">
        <f t="shared" si="266"/>
        <v>1061</v>
      </c>
      <c r="CK517" s="14">
        <f t="shared" ref="CK517:CK545" si="286">ROUND(INDEX(I$5:I$16,($CE517-1)*6+$CB517)*INDEX(W$5:W$12,$CI517)*INDEX($AF$5:$AF$8,$CF517),0)</f>
        <v>0</v>
      </c>
      <c r="CL517" s="14">
        <f t="shared" ref="CL517:CL545" si="287">ROUND(INDEX(J$5:J$16,($CE517-1)*6+$CB517)*INDEX(X$5:X$12,$CI517)*INDEX($AF$5:$AF$8,$CF517),0)</f>
        <v>0</v>
      </c>
      <c r="CM517" s="14">
        <f t="shared" ref="CM517:CM545" si="288">ROUND(INDEX(K$5:K$16,($CE517-1)*6+$CB517)*INDEX(Y$5:Y$12,$CI517)*INDEX($AF$5:$AF$8,$CF517),0)</f>
        <v>2251</v>
      </c>
      <c r="CN517" s="14">
        <f t="shared" ref="CN517:CN545" si="289">ROUND(INDEX(E$5:E$16,($CE517-1)*6+$CB517)*INDEX(W$5:W$12,$CI517),2)</f>
        <v>0</v>
      </c>
      <c r="CO517" s="14">
        <f t="shared" ref="CO517:CO545" si="290">ROUND(INDEX(F$5:F$16,($CE517-1)*6+$CB517)*INDEX(X$5:X$12,$CI517),2)</f>
        <v>0</v>
      </c>
      <c r="CP517" s="14">
        <f t="shared" ref="CP517:CP545" si="291">ROUND(INDEX(G$5:G$16,($CE517-1)*6+$CB517)*INDEX(Y$5:Y$12,$CI517),2)</f>
        <v>93.78</v>
      </c>
      <c r="CQ517" s="14">
        <f t="shared" si="267"/>
        <v>24</v>
      </c>
      <c r="CR517" s="14">
        <f t="shared" si="268"/>
        <v>5</v>
      </c>
      <c r="CS517" s="14">
        <f t="shared" si="269"/>
        <v>16</v>
      </c>
      <c r="CV517" s="14">
        <f t="shared" ref="CV517:CV545" si="292">INDEX(Z$5:Z$12,$CI517)</f>
        <v>3</v>
      </c>
      <c r="CW517" s="14">
        <f t="shared" ref="CW517:CW545" si="293">INDEX(AA$5:AA$12,$CI517)</f>
        <v>0</v>
      </c>
      <c r="CX517" s="14" t="str">
        <f t="shared" si="270"/>
        <v>HPExt</v>
      </c>
      <c r="CY517" s="14">
        <f t="shared" si="271"/>
        <v>2251</v>
      </c>
      <c r="CZ517" s="14">
        <f t="shared" si="272"/>
        <v>93.78</v>
      </c>
      <c r="DA517" s="14" t="str">
        <f t="shared" si="273"/>
        <v/>
      </c>
      <c r="DB517" s="14" t="str">
        <f t="shared" si="274"/>
        <v/>
      </c>
      <c r="DC517" s="14" t="str">
        <f t="shared" si="275"/>
        <v/>
      </c>
      <c r="DD517" s="14">
        <f t="shared" si="276"/>
        <v>24</v>
      </c>
      <c r="DE517" s="14">
        <f t="shared" si="277"/>
        <v>5</v>
      </c>
      <c r="DF517" s="14">
        <f t="shared" si="278"/>
        <v>16</v>
      </c>
      <c r="DG517" s="14">
        <f t="shared" si="279"/>
        <v>750</v>
      </c>
    </row>
    <row r="518" spans="77:111" ht="16.5" x14ac:dyDescent="0.2">
      <c r="BY518" s="13">
        <v>514</v>
      </c>
      <c r="BZ518" s="14">
        <f t="shared" ref="BZ518:BZ545" si="294">MATCH(BY518-1,$BN$5:$BN$81,1)</f>
        <v>72</v>
      </c>
      <c r="CA518" s="14">
        <f t="shared" ref="CA518:CA545" si="295">INDEX($BI$6:$BI$81,BZ518)</f>
        <v>4</v>
      </c>
      <c r="CB518" s="14">
        <f t="shared" si="280"/>
        <v>6</v>
      </c>
      <c r="CC518" s="14">
        <f t="shared" si="281"/>
        <v>2064041</v>
      </c>
      <c r="CD518" s="13" t="str">
        <f t="shared" si="282"/>
        <v>120级守护灵橙色套1-武器</v>
      </c>
      <c r="CE518" s="14">
        <f t="shared" si="283"/>
        <v>2</v>
      </c>
      <c r="CF518" s="14">
        <f t="shared" si="284"/>
        <v>4</v>
      </c>
      <c r="CG518" s="14">
        <f t="shared" ref="CG518:CG545" si="296">INDEX($D$5:$D$16,(CE518-1)*6+CB518)</f>
        <v>120</v>
      </c>
      <c r="CH518" s="14">
        <f t="shared" ref="CH518:CH545" si="297">INDEX($D$5:$D$16,(CE518-1)*6+CB518)</f>
        <v>120</v>
      </c>
      <c r="CI518" s="14">
        <f t="shared" si="285"/>
        <v>1</v>
      </c>
      <c r="CJ518" s="14">
        <f t="shared" ref="CJ518:CJ545" si="298">IF(INDEX($BL$6:$BL$81,BZ518)&gt;0,INDEX($BL$6:$BL$81,BZ518),"")</f>
        <v>2061</v>
      </c>
      <c r="CK518" s="14">
        <f t="shared" si="286"/>
        <v>1519</v>
      </c>
      <c r="CL518" s="14">
        <f t="shared" si="287"/>
        <v>0</v>
      </c>
      <c r="CM518" s="14">
        <f t="shared" si="288"/>
        <v>0</v>
      </c>
      <c r="CN518" s="14">
        <f t="shared" si="289"/>
        <v>63.31</v>
      </c>
      <c r="CO518" s="14">
        <f t="shared" si="290"/>
        <v>0</v>
      </c>
      <c r="CP518" s="14">
        <f t="shared" si="291"/>
        <v>0</v>
      </c>
      <c r="CQ518" s="14">
        <f t="shared" ref="CQ518:CQ545" si="299">(CB518-1)*4+CF518</f>
        <v>24</v>
      </c>
      <c r="CR518" s="14">
        <f t="shared" ref="CR518:CR545" si="300">INDEX($AY$5:$BB$16,CB518,CF518)</f>
        <v>5</v>
      </c>
      <c r="CS518" s="14">
        <f t="shared" ref="CS518:CS545" si="301">CE518*10+CB518</f>
        <v>26</v>
      </c>
      <c r="CV518" s="14">
        <f t="shared" si="292"/>
        <v>1</v>
      </c>
      <c r="CW518" s="14">
        <f t="shared" si="293"/>
        <v>0</v>
      </c>
      <c r="CX518" s="14" t="str">
        <f t="shared" ref="CX518:CX545" si="302">INDEX($U$3:$W$3,CV518)</f>
        <v>AtkExt</v>
      </c>
      <c r="CY518" s="14">
        <f t="shared" ref="CY518:CY545" si="303">INDEX(CK518:CM518,CV518)</f>
        <v>1519</v>
      </c>
      <c r="CZ518" s="14">
        <f t="shared" ref="CZ518:CZ545" si="304">INDEX(CN518:CP518,CV518)</f>
        <v>63.31</v>
      </c>
      <c r="DA518" s="14" t="str">
        <f t="shared" ref="DA518:DA545" si="305">IF(CW518&gt;0,INDEX($U$3:$W$3,CW518),"")</f>
        <v/>
      </c>
      <c r="DB518" s="14" t="str">
        <f t="shared" ref="DB518:DB545" si="306">IF(CW518&gt;0,INDEX(CK518:CM518,CW518),"")</f>
        <v/>
      </c>
      <c r="DC518" s="14" t="str">
        <f t="shared" ref="DC518:DC545" si="307">IF(CW518&gt;0,INDEX(CN518:CP518,CW518),"")</f>
        <v/>
      </c>
      <c r="DD518" s="14">
        <f t="shared" ref="DD518:DD545" si="308">(CB518-1)*4+CF518</f>
        <v>24</v>
      </c>
      <c r="DE518" s="14">
        <f t="shared" ref="DE518:DE545" si="309">INDEX($AY$5:$BB$16,CB518,CF518)</f>
        <v>5</v>
      </c>
      <c r="DF518" s="14">
        <f t="shared" ref="DF518:DF545" si="310">CE518*10+CB518</f>
        <v>26</v>
      </c>
      <c r="DG518" s="14">
        <f t="shared" ref="DG518:DG545" si="311">INDEX($N$5:$S$8,CF518,CB518)</f>
        <v>750</v>
      </c>
    </row>
    <row r="519" spans="77:111" ht="16.5" x14ac:dyDescent="0.2">
      <c r="BY519" s="13">
        <v>515</v>
      </c>
      <c r="BZ519" s="14">
        <f t="shared" si="294"/>
        <v>72</v>
      </c>
      <c r="CA519" s="14">
        <f t="shared" si="295"/>
        <v>4</v>
      </c>
      <c r="CB519" s="14">
        <f t="shared" si="280"/>
        <v>6</v>
      </c>
      <c r="CC519" s="14">
        <f t="shared" si="281"/>
        <v>2064042</v>
      </c>
      <c r="CD519" s="13" t="str">
        <f t="shared" si="282"/>
        <v>120级守护灵橙色套1-头盔</v>
      </c>
      <c r="CE519" s="14">
        <f t="shared" si="283"/>
        <v>2</v>
      </c>
      <c r="CF519" s="14">
        <f t="shared" si="284"/>
        <v>4</v>
      </c>
      <c r="CG519" s="14">
        <f t="shared" si="296"/>
        <v>120</v>
      </c>
      <c r="CH519" s="14">
        <f t="shared" si="297"/>
        <v>120</v>
      </c>
      <c r="CI519" s="14">
        <f t="shared" si="285"/>
        <v>2</v>
      </c>
      <c r="CJ519" s="14">
        <f t="shared" si="298"/>
        <v>2061</v>
      </c>
      <c r="CK519" s="14">
        <f t="shared" si="286"/>
        <v>0</v>
      </c>
      <c r="CL519" s="14">
        <f t="shared" si="287"/>
        <v>376</v>
      </c>
      <c r="CM519" s="14">
        <f t="shared" si="288"/>
        <v>0</v>
      </c>
      <c r="CN519" s="14">
        <f t="shared" si="289"/>
        <v>0</v>
      </c>
      <c r="CO519" s="14">
        <f t="shared" si="290"/>
        <v>15.69</v>
      </c>
      <c r="CP519" s="14">
        <f t="shared" si="291"/>
        <v>0</v>
      </c>
      <c r="CQ519" s="14">
        <f t="shared" si="299"/>
        <v>24</v>
      </c>
      <c r="CR519" s="14">
        <f t="shared" si="300"/>
        <v>5</v>
      </c>
      <c r="CS519" s="14">
        <f t="shared" si="301"/>
        <v>26</v>
      </c>
      <c r="CV519" s="14">
        <f t="shared" si="292"/>
        <v>2</v>
      </c>
      <c r="CW519" s="14">
        <f t="shared" si="293"/>
        <v>0</v>
      </c>
      <c r="CX519" s="14" t="str">
        <f t="shared" si="302"/>
        <v>DefExt</v>
      </c>
      <c r="CY519" s="14">
        <f t="shared" si="303"/>
        <v>376</v>
      </c>
      <c r="CZ519" s="14">
        <f t="shared" si="304"/>
        <v>15.69</v>
      </c>
      <c r="DA519" s="14" t="str">
        <f t="shared" si="305"/>
        <v/>
      </c>
      <c r="DB519" s="14" t="str">
        <f t="shared" si="306"/>
        <v/>
      </c>
      <c r="DC519" s="14" t="str">
        <f t="shared" si="307"/>
        <v/>
      </c>
      <c r="DD519" s="14">
        <f t="shared" si="308"/>
        <v>24</v>
      </c>
      <c r="DE519" s="14">
        <f t="shared" si="309"/>
        <v>5</v>
      </c>
      <c r="DF519" s="14">
        <f t="shared" si="310"/>
        <v>26</v>
      </c>
      <c r="DG519" s="14">
        <f t="shared" si="311"/>
        <v>750</v>
      </c>
    </row>
    <row r="520" spans="77:111" ht="16.5" x14ac:dyDescent="0.2">
      <c r="BY520" s="13">
        <v>516</v>
      </c>
      <c r="BZ520" s="14">
        <f t="shared" si="294"/>
        <v>72</v>
      </c>
      <c r="CA520" s="14">
        <f t="shared" si="295"/>
        <v>4</v>
      </c>
      <c r="CB520" s="14">
        <f t="shared" si="280"/>
        <v>6</v>
      </c>
      <c r="CC520" s="14">
        <f t="shared" si="281"/>
        <v>2064043</v>
      </c>
      <c r="CD520" s="13" t="str">
        <f t="shared" si="282"/>
        <v>120级守护灵橙色套1-肩甲</v>
      </c>
      <c r="CE520" s="14">
        <f t="shared" si="283"/>
        <v>2</v>
      </c>
      <c r="CF520" s="14">
        <f t="shared" si="284"/>
        <v>4</v>
      </c>
      <c r="CG520" s="14">
        <f t="shared" si="296"/>
        <v>120</v>
      </c>
      <c r="CH520" s="14">
        <f t="shared" si="297"/>
        <v>120</v>
      </c>
      <c r="CI520" s="14">
        <f t="shared" si="285"/>
        <v>3</v>
      </c>
      <c r="CJ520" s="14">
        <f t="shared" si="298"/>
        <v>2061</v>
      </c>
      <c r="CK520" s="14">
        <f t="shared" si="286"/>
        <v>0</v>
      </c>
      <c r="CL520" s="14">
        <f t="shared" si="287"/>
        <v>188</v>
      </c>
      <c r="CM520" s="14">
        <f t="shared" si="288"/>
        <v>2020</v>
      </c>
      <c r="CN520" s="14">
        <f t="shared" si="289"/>
        <v>0</v>
      </c>
      <c r="CO520" s="14">
        <f t="shared" si="290"/>
        <v>7.84</v>
      </c>
      <c r="CP520" s="14">
        <f t="shared" si="291"/>
        <v>84.18</v>
      </c>
      <c r="CQ520" s="14">
        <f t="shared" si="299"/>
        <v>24</v>
      </c>
      <c r="CR520" s="14">
        <f t="shared" si="300"/>
        <v>5</v>
      </c>
      <c r="CS520" s="14">
        <f t="shared" si="301"/>
        <v>26</v>
      </c>
      <c r="CV520" s="14">
        <f t="shared" si="292"/>
        <v>2</v>
      </c>
      <c r="CW520" s="14">
        <f t="shared" si="293"/>
        <v>3</v>
      </c>
      <c r="CX520" s="14" t="str">
        <f t="shared" si="302"/>
        <v>DefExt</v>
      </c>
      <c r="CY520" s="14">
        <f t="shared" si="303"/>
        <v>188</v>
      </c>
      <c r="CZ520" s="14">
        <f t="shared" si="304"/>
        <v>7.84</v>
      </c>
      <c r="DA520" s="14" t="str">
        <f t="shared" si="305"/>
        <v>HPExt</v>
      </c>
      <c r="DB520" s="14">
        <f t="shared" si="306"/>
        <v>2020</v>
      </c>
      <c r="DC520" s="14">
        <f t="shared" si="307"/>
        <v>84.18</v>
      </c>
      <c r="DD520" s="14">
        <f t="shared" si="308"/>
        <v>24</v>
      </c>
      <c r="DE520" s="14">
        <f t="shared" si="309"/>
        <v>5</v>
      </c>
      <c r="DF520" s="14">
        <f t="shared" si="310"/>
        <v>26</v>
      </c>
      <c r="DG520" s="14">
        <f t="shared" si="311"/>
        <v>750</v>
      </c>
    </row>
    <row r="521" spans="77:111" ht="16.5" x14ac:dyDescent="0.2">
      <c r="BY521" s="13">
        <v>517</v>
      </c>
      <c r="BZ521" s="14">
        <f t="shared" si="294"/>
        <v>72</v>
      </c>
      <c r="CA521" s="14">
        <f t="shared" si="295"/>
        <v>4</v>
      </c>
      <c r="CB521" s="14">
        <f t="shared" si="280"/>
        <v>6</v>
      </c>
      <c r="CC521" s="14">
        <f t="shared" si="281"/>
        <v>2064044</v>
      </c>
      <c r="CD521" s="13" t="str">
        <f t="shared" si="282"/>
        <v>120级守护灵橙色套1-衣服</v>
      </c>
      <c r="CE521" s="14">
        <f t="shared" si="283"/>
        <v>2</v>
      </c>
      <c r="CF521" s="14">
        <f t="shared" si="284"/>
        <v>4</v>
      </c>
      <c r="CG521" s="14">
        <f t="shared" si="296"/>
        <v>120</v>
      </c>
      <c r="CH521" s="14">
        <f t="shared" si="297"/>
        <v>120</v>
      </c>
      <c r="CI521" s="14">
        <f t="shared" si="285"/>
        <v>4</v>
      </c>
      <c r="CJ521" s="14">
        <f t="shared" si="298"/>
        <v>2061</v>
      </c>
      <c r="CK521" s="14">
        <f t="shared" si="286"/>
        <v>0</v>
      </c>
      <c r="CL521" s="14">
        <f t="shared" si="287"/>
        <v>376</v>
      </c>
      <c r="CM521" s="14">
        <f t="shared" si="288"/>
        <v>0</v>
      </c>
      <c r="CN521" s="14">
        <f t="shared" si="289"/>
        <v>0</v>
      </c>
      <c r="CO521" s="14">
        <f t="shared" si="290"/>
        <v>15.69</v>
      </c>
      <c r="CP521" s="14">
        <f t="shared" si="291"/>
        <v>0</v>
      </c>
      <c r="CQ521" s="14">
        <f t="shared" si="299"/>
        <v>24</v>
      </c>
      <c r="CR521" s="14">
        <f t="shared" si="300"/>
        <v>5</v>
      </c>
      <c r="CS521" s="14">
        <f t="shared" si="301"/>
        <v>26</v>
      </c>
      <c r="CV521" s="14">
        <f t="shared" si="292"/>
        <v>2</v>
      </c>
      <c r="CW521" s="14">
        <f t="shared" si="293"/>
        <v>0</v>
      </c>
      <c r="CX521" s="14" t="str">
        <f t="shared" si="302"/>
        <v>DefExt</v>
      </c>
      <c r="CY521" s="14">
        <f t="shared" si="303"/>
        <v>376</v>
      </c>
      <c r="CZ521" s="14">
        <f t="shared" si="304"/>
        <v>15.69</v>
      </c>
      <c r="DA521" s="14" t="str">
        <f t="shared" si="305"/>
        <v/>
      </c>
      <c r="DB521" s="14" t="str">
        <f t="shared" si="306"/>
        <v/>
      </c>
      <c r="DC521" s="14" t="str">
        <f t="shared" si="307"/>
        <v/>
      </c>
      <c r="DD521" s="14">
        <f t="shared" si="308"/>
        <v>24</v>
      </c>
      <c r="DE521" s="14">
        <f t="shared" si="309"/>
        <v>5</v>
      </c>
      <c r="DF521" s="14">
        <f t="shared" si="310"/>
        <v>26</v>
      </c>
      <c r="DG521" s="14">
        <f t="shared" si="311"/>
        <v>750</v>
      </c>
    </row>
    <row r="522" spans="77:111" ht="16.5" x14ac:dyDescent="0.2">
      <c r="BY522" s="13">
        <v>518</v>
      </c>
      <c r="BZ522" s="14">
        <f t="shared" si="294"/>
        <v>72</v>
      </c>
      <c r="CA522" s="14">
        <f t="shared" si="295"/>
        <v>4</v>
      </c>
      <c r="CB522" s="14">
        <f t="shared" si="280"/>
        <v>6</v>
      </c>
      <c r="CC522" s="14">
        <f t="shared" si="281"/>
        <v>2064045</v>
      </c>
      <c r="CD522" s="13" t="str">
        <f t="shared" si="282"/>
        <v>120级守护灵橙色套1-鞋子</v>
      </c>
      <c r="CE522" s="14">
        <f t="shared" si="283"/>
        <v>2</v>
      </c>
      <c r="CF522" s="14">
        <f t="shared" si="284"/>
        <v>4</v>
      </c>
      <c r="CG522" s="14">
        <f t="shared" si="296"/>
        <v>120</v>
      </c>
      <c r="CH522" s="14">
        <f t="shared" si="297"/>
        <v>120</v>
      </c>
      <c r="CI522" s="14">
        <f t="shared" si="285"/>
        <v>5</v>
      </c>
      <c r="CJ522" s="14">
        <f t="shared" si="298"/>
        <v>2061</v>
      </c>
      <c r="CK522" s="14">
        <f t="shared" si="286"/>
        <v>0</v>
      </c>
      <c r="CL522" s="14">
        <f t="shared" si="287"/>
        <v>0</v>
      </c>
      <c r="CM522" s="14">
        <f t="shared" si="288"/>
        <v>4041</v>
      </c>
      <c r="CN522" s="14">
        <f t="shared" si="289"/>
        <v>0</v>
      </c>
      <c r="CO522" s="14">
        <f t="shared" si="290"/>
        <v>0</v>
      </c>
      <c r="CP522" s="14">
        <f t="shared" si="291"/>
        <v>168.37</v>
      </c>
      <c r="CQ522" s="14">
        <f t="shared" si="299"/>
        <v>24</v>
      </c>
      <c r="CR522" s="14">
        <f t="shared" si="300"/>
        <v>5</v>
      </c>
      <c r="CS522" s="14">
        <f t="shared" si="301"/>
        <v>26</v>
      </c>
      <c r="CV522" s="14">
        <f t="shared" si="292"/>
        <v>3</v>
      </c>
      <c r="CW522" s="14">
        <f t="shared" si="293"/>
        <v>0</v>
      </c>
      <c r="CX522" s="14" t="str">
        <f t="shared" si="302"/>
        <v>HPExt</v>
      </c>
      <c r="CY522" s="14">
        <f t="shared" si="303"/>
        <v>4041</v>
      </c>
      <c r="CZ522" s="14">
        <f t="shared" si="304"/>
        <v>168.37</v>
      </c>
      <c r="DA522" s="14" t="str">
        <f t="shared" si="305"/>
        <v/>
      </c>
      <c r="DB522" s="14" t="str">
        <f t="shared" si="306"/>
        <v/>
      </c>
      <c r="DC522" s="14" t="str">
        <f t="shared" si="307"/>
        <v/>
      </c>
      <c r="DD522" s="14">
        <f t="shared" si="308"/>
        <v>24</v>
      </c>
      <c r="DE522" s="14">
        <f t="shared" si="309"/>
        <v>5</v>
      </c>
      <c r="DF522" s="14">
        <f t="shared" si="310"/>
        <v>26</v>
      </c>
      <c r="DG522" s="14">
        <f t="shared" si="311"/>
        <v>750</v>
      </c>
    </row>
    <row r="523" spans="77:111" ht="16.5" x14ac:dyDescent="0.2">
      <c r="BY523" s="13">
        <v>519</v>
      </c>
      <c r="BZ523" s="14">
        <f t="shared" si="294"/>
        <v>73</v>
      </c>
      <c r="CA523" s="14">
        <f t="shared" si="295"/>
        <v>5</v>
      </c>
      <c r="CB523" s="14">
        <f t="shared" si="280"/>
        <v>6</v>
      </c>
      <c r="CC523" s="14">
        <f t="shared" si="281"/>
        <v>2064051</v>
      </c>
      <c r="CD523" s="13" t="str">
        <f t="shared" si="282"/>
        <v>120级寄灵人橙色套2-武器</v>
      </c>
      <c r="CE523" s="14">
        <f t="shared" si="283"/>
        <v>1</v>
      </c>
      <c r="CF523" s="14">
        <f t="shared" si="284"/>
        <v>4</v>
      </c>
      <c r="CG523" s="14">
        <f t="shared" si="296"/>
        <v>120</v>
      </c>
      <c r="CH523" s="14">
        <f t="shared" si="297"/>
        <v>120</v>
      </c>
      <c r="CI523" s="14">
        <f t="shared" si="285"/>
        <v>1</v>
      </c>
      <c r="CJ523" s="14">
        <f t="shared" si="298"/>
        <v>1062</v>
      </c>
      <c r="CK523" s="14">
        <f t="shared" si="286"/>
        <v>1492</v>
      </c>
      <c r="CL523" s="14">
        <f t="shared" si="287"/>
        <v>0</v>
      </c>
      <c r="CM523" s="14">
        <f t="shared" si="288"/>
        <v>0</v>
      </c>
      <c r="CN523" s="14">
        <f t="shared" si="289"/>
        <v>62.18</v>
      </c>
      <c r="CO523" s="14">
        <f t="shared" si="290"/>
        <v>0</v>
      </c>
      <c r="CP523" s="14">
        <f t="shared" si="291"/>
        <v>0</v>
      </c>
      <c r="CQ523" s="14">
        <f t="shared" si="299"/>
        <v>24</v>
      </c>
      <c r="CR523" s="14">
        <f t="shared" si="300"/>
        <v>5</v>
      </c>
      <c r="CS523" s="14">
        <f t="shared" si="301"/>
        <v>16</v>
      </c>
      <c r="CV523" s="14">
        <f t="shared" si="292"/>
        <v>1</v>
      </c>
      <c r="CW523" s="14">
        <f t="shared" si="293"/>
        <v>0</v>
      </c>
      <c r="CX523" s="14" t="str">
        <f t="shared" si="302"/>
        <v>AtkExt</v>
      </c>
      <c r="CY523" s="14">
        <f t="shared" si="303"/>
        <v>1492</v>
      </c>
      <c r="CZ523" s="14">
        <f t="shared" si="304"/>
        <v>62.18</v>
      </c>
      <c r="DA523" s="14" t="str">
        <f t="shared" si="305"/>
        <v/>
      </c>
      <c r="DB523" s="14" t="str">
        <f t="shared" si="306"/>
        <v/>
      </c>
      <c r="DC523" s="14" t="str">
        <f t="shared" si="307"/>
        <v/>
      </c>
      <c r="DD523" s="14">
        <f t="shared" si="308"/>
        <v>24</v>
      </c>
      <c r="DE523" s="14">
        <f t="shared" si="309"/>
        <v>5</v>
      </c>
      <c r="DF523" s="14">
        <f t="shared" si="310"/>
        <v>16</v>
      </c>
      <c r="DG523" s="14">
        <f t="shared" si="311"/>
        <v>750</v>
      </c>
    </row>
    <row r="524" spans="77:111" ht="16.5" x14ac:dyDescent="0.2">
      <c r="BY524" s="13">
        <v>520</v>
      </c>
      <c r="BZ524" s="14">
        <f t="shared" si="294"/>
        <v>73</v>
      </c>
      <c r="CA524" s="14">
        <f t="shared" si="295"/>
        <v>5</v>
      </c>
      <c r="CB524" s="14">
        <f t="shared" si="280"/>
        <v>6</v>
      </c>
      <c r="CC524" s="14">
        <f t="shared" si="281"/>
        <v>2064052</v>
      </c>
      <c r="CD524" s="13" t="str">
        <f t="shared" si="282"/>
        <v>120级寄灵人橙色套2-头盔</v>
      </c>
      <c r="CE524" s="14">
        <f t="shared" si="283"/>
        <v>1</v>
      </c>
      <c r="CF524" s="14">
        <f t="shared" si="284"/>
        <v>4</v>
      </c>
      <c r="CG524" s="14">
        <f t="shared" si="296"/>
        <v>120</v>
      </c>
      <c r="CH524" s="14">
        <f t="shared" si="297"/>
        <v>120</v>
      </c>
      <c r="CI524" s="14">
        <f t="shared" si="285"/>
        <v>2</v>
      </c>
      <c r="CJ524" s="14">
        <f t="shared" si="298"/>
        <v>1062</v>
      </c>
      <c r="CK524" s="14">
        <f t="shared" si="286"/>
        <v>0</v>
      </c>
      <c r="CL524" s="14">
        <f t="shared" si="287"/>
        <v>371</v>
      </c>
      <c r="CM524" s="14">
        <f t="shared" si="288"/>
        <v>0</v>
      </c>
      <c r="CN524" s="14">
        <f t="shared" si="289"/>
        <v>0</v>
      </c>
      <c r="CO524" s="14">
        <f t="shared" si="290"/>
        <v>15.45</v>
      </c>
      <c r="CP524" s="14">
        <f t="shared" si="291"/>
        <v>0</v>
      </c>
      <c r="CQ524" s="14">
        <f t="shared" si="299"/>
        <v>24</v>
      </c>
      <c r="CR524" s="14">
        <f t="shared" si="300"/>
        <v>5</v>
      </c>
      <c r="CS524" s="14">
        <f t="shared" si="301"/>
        <v>16</v>
      </c>
      <c r="CV524" s="14">
        <f t="shared" si="292"/>
        <v>2</v>
      </c>
      <c r="CW524" s="14">
        <f t="shared" si="293"/>
        <v>0</v>
      </c>
      <c r="CX524" s="14" t="str">
        <f t="shared" si="302"/>
        <v>DefExt</v>
      </c>
      <c r="CY524" s="14">
        <f t="shared" si="303"/>
        <v>371</v>
      </c>
      <c r="CZ524" s="14">
        <f t="shared" si="304"/>
        <v>15.45</v>
      </c>
      <c r="DA524" s="14" t="str">
        <f t="shared" si="305"/>
        <v/>
      </c>
      <c r="DB524" s="14" t="str">
        <f t="shared" si="306"/>
        <v/>
      </c>
      <c r="DC524" s="14" t="str">
        <f t="shared" si="307"/>
        <v/>
      </c>
      <c r="DD524" s="14">
        <f t="shared" si="308"/>
        <v>24</v>
      </c>
      <c r="DE524" s="14">
        <f t="shared" si="309"/>
        <v>5</v>
      </c>
      <c r="DF524" s="14">
        <f t="shared" si="310"/>
        <v>16</v>
      </c>
      <c r="DG524" s="14">
        <f t="shared" si="311"/>
        <v>750</v>
      </c>
    </row>
    <row r="525" spans="77:111" ht="16.5" x14ac:dyDescent="0.2">
      <c r="BY525" s="13">
        <v>521</v>
      </c>
      <c r="BZ525" s="14">
        <f t="shared" si="294"/>
        <v>73</v>
      </c>
      <c r="CA525" s="14">
        <f t="shared" si="295"/>
        <v>5</v>
      </c>
      <c r="CB525" s="14">
        <f t="shared" si="280"/>
        <v>6</v>
      </c>
      <c r="CC525" s="14">
        <f t="shared" si="281"/>
        <v>2064053</v>
      </c>
      <c r="CD525" s="13" t="str">
        <f t="shared" si="282"/>
        <v>120级寄灵人橙色套2-肩甲</v>
      </c>
      <c r="CE525" s="14">
        <f t="shared" si="283"/>
        <v>1</v>
      </c>
      <c r="CF525" s="14">
        <f t="shared" si="284"/>
        <v>4</v>
      </c>
      <c r="CG525" s="14">
        <f t="shared" si="296"/>
        <v>120</v>
      </c>
      <c r="CH525" s="14">
        <f t="shared" si="297"/>
        <v>120</v>
      </c>
      <c r="CI525" s="14">
        <f t="shared" si="285"/>
        <v>3</v>
      </c>
      <c r="CJ525" s="14">
        <f t="shared" si="298"/>
        <v>1062</v>
      </c>
      <c r="CK525" s="14">
        <f t="shared" si="286"/>
        <v>0</v>
      </c>
      <c r="CL525" s="14">
        <f t="shared" si="287"/>
        <v>185</v>
      </c>
      <c r="CM525" s="14">
        <f t="shared" si="288"/>
        <v>1125</v>
      </c>
      <c r="CN525" s="14">
        <f t="shared" si="289"/>
        <v>0</v>
      </c>
      <c r="CO525" s="14">
        <f t="shared" si="290"/>
        <v>7.73</v>
      </c>
      <c r="CP525" s="14">
        <f t="shared" si="291"/>
        <v>46.89</v>
      </c>
      <c r="CQ525" s="14">
        <f t="shared" si="299"/>
        <v>24</v>
      </c>
      <c r="CR525" s="14">
        <f t="shared" si="300"/>
        <v>5</v>
      </c>
      <c r="CS525" s="14">
        <f t="shared" si="301"/>
        <v>16</v>
      </c>
      <c r="CV525" s="14">
        <f t="shared" si="292"/>
        <v>2</v>
      </c>
      <c r="CW525" s="14">
        <f t="shared" si="293"/>
        <v>3</v>
      </c>
      <c r="CX525" s="14" t="str">
        <f t="shared" si="302"/>
        <v>DefExt</v>
      </c>
      <c r="CY525" s="14">
        <f t="shared" si="303"/>
        <v>185</v>
      </c>
      <c r="CZ525" s="14">
        <f t="shared" si="304"/>
        <v>7.73</v>
      </c>
      <c r="DA525" s="14" t="str">
        <f t="shared" si="305"/>
        <v>HPExt</v>
      </c>
      <c r="DB525" s="14">
        <f t="shared" si="306"/>
        <v>1125</v>
      </c>
      <c r="DC525" s="14">
        <f t="shared" si="307"/>
        <v>46.89</v>
      </c>
      <c r="DD525" s="14">
        <f t="shared" si="308"/>
        <v>24</v>
      </c>
      <c r="DE525" s="14">
        <f t="shared" si="309"/>
        <v>5</v>
      </c>
      <c r="DF525" s="14">
        <f t="shared" si="310"/>
        <v>16</v>
      </c>
      <c r="DG525" s="14">
        <f t="shared" si="311"/>
        <v>750</v>
      </c>
    </row>
    <row r="526" spans="77:111" ht="16.5" x14ac:dyDescent="0.2">
      <c r="BY526" s="13">
        <v>522</v>
      </c>
      <c r="BZ526" s="14">
        <f t="shared" si="294"/>
        <v>73</v>
      </c>
      <c r="CA526" s="14">
        <f t="shared" si="295"/>
        <v>5</v>
      </c>
      <c r="CB526" s="14">
        <f t="shared" si="280"/>
        <v>6</v>
      </c>
      <c r="CC526" s="14">
        <f t="shared" si="281"/>
        <v>2064054</v>
      </c>
      <c r="CD526" s="13" t="str">
        <f t="shared" si="282"/>
        <v>120级寄灵人橙色套2-衣服</v>
      </c>
      <c r="CE526" s="14">
        <f t="shared" si="283"/>
        <v>1</v>
      </c>
      <c r="CF526" s="14">
        <f t="shared" si="284"/>
        <v>4</v>
      </c>
      <c r="CG526" s="14">
        <f t="shared" si="296"/>
        <v>120</v>
      </c>
      <c r="CH526" s="14">
        <f t="shared" si="297"/>
        <v>120</v>
      </c>
      <c r="CI526" s="14">
        <f t="shared" si="285"/>
        <v>4</v>
      </c>
      <c r="CJ526" s="14">
        <f t="shared" si="298"/>
        <v>1062</v>
      </c>
      <c r="CK526" s="14">
        <f t="shared" si="286"/>
        <v>0</v>
      </c>
      <c r="CL526" s="14">
        <f t="shared" si="287"/>
        <v>371</v>
      </c>
      <c r="CM526" s="14">
        <f t="shared" si="288"/>
        <v>0</v>
      </c>
      <c r="CN526" s="14">
        <f t="shared" si="289"/>
        <v>0</v>
      </c>
      <c r="CO526" s="14">
        <f t="shared" si="290"/>
        <v>15.45</v>
      </c>
      <c r="CP526" s="14">
        <f t="shared" si="291"/>
        <v>0</v>
      </c>
      <c r="CQ526" s="14">
        <f t="shared" si="299"/>
        <v>24</v>
      </c>
      <c r="CR526" s="14">
        <f t="shared" si="300"/>
        <v>5</v>
      </c>
      <c r="CS526" s="14">
        <f t="shared" si="301"/>
        <v>16</v>
      </c>
      <c r="CV526" s="14">
        <f t="shared" si="292"/>
        <v>2</v>
      </c>
      <c r="CW526" s="14">
        <f t="shared" si="293"/>
        <v>0</v>
      </c>
      <c r="CX526" s="14" t="str">
        <f t="shared" si="302"/>
        <v>DefExt</v>
      </c>
      <c r="CY526" s="14">
        <f t="shared" si="303"/>
        <v>371</v>
      </c>
      <c r="CZ526" s="14">
        <f t="shared" si="304"/>
        <v>15.45</v>
      </c>
      <c r="DA526" s="14" t="str">
        <f t="shared" si="305"/>
        <v/>
      </c>
      <c r="DB526" s="14" t="str">
        <f t="shared" si="306"/>
        <v/>
      </c>
      <c r="DC526" s="14" t="str">
        <f t="shared" si="307"/>
        <v/>
      </c>
      <c r="DD526" s="14">
        <f t="shared" si="308"/>
        <v>24</v>
      </c>
      <c r="DE526" s="14">
        <f t="shared" si="309"/>
        <v>5</v>
      </c>
      <c r="DF526" s="14">
        <f t="shared" si="310"/>
        <v>16</v>
      </c>
      <c r="DG526" s="14">
        <f t="shared" si="311"/>
        <v>750</v>
      </c>
    </row>
    <row r="527" spans="77:111" ht="16.5" x14ac:dyDescent="0.2">
      <c r="BY527" s="13">
        <v>523</v>
      </c>
      <c r="BZ527" s="14">
        <f t="shared" si="294"/>
        <v>73</v>
      </c>
      <c r="CA527" s="14">
        <f t="shared" si="295"/>
        <v>5</v>
      </c>
      <c r="CB527" s="14">
        <f t="shared" si="280"/>
        <v>6</v>
      </c>
      <c r="CC527" s="14">
        <f t="shared" si="281"/>
        <v>2064055</v>
      </c>
      <c r="CD527" s="13" t="str">
        <f t="shared" si="282"/>
        <v>120级寄灵人橙色套2-鞋子</v>
      </c>
      <c r="CE527" s="14">
        <f t="shared" si="283"/>
        <v>1</v>
      </c>
      <c r="CF527" s="14">
        <f t="shared" si="284"/>
        <v>4</v>
      </c>
      <c r="CG527" s="14">
        <f t="shared" si="296"/>
        <v>120</v>
      </c>
      <c r="CH527" s="14">
        <f t="shared" si="297"/>
        <v>120</v>
      </c>
      <c r="CI527" s="14">
        <f t="shared" si="285"/>
        <v>5</v>
      </c>
      <c r="CJ527" s="14">
        <f t="shared" si="298"/>
        <v>1062</v>
      </c>
      <c r="CK527" s="14">
        <f t="shared" si="286"/>
        <v>0</v>
      </c>
      <c r="CL527" s="14">
        <f t="shared" si="287"/>
        <v>0</v>
      </c>
      <c r="CM527" s="14">
        <f t="shared" si="288"/>
        <v>2251</v>
      </c>
      <c r="CN527" s="14">
        <f t="shared" si="289"/>
        <v>0</v>
      </c>
      <c r="CO527" s="14">
        <f t="shared" si="290"/>
        <v>0</v>
      </c>
      <c r="CP527" s="14">
        <f t="shared" si="291"/>
        <v>93.78</v>
      </c>
      <c r="CQ527" s="14">
        <f t="shared" si="299"/>
        <v>24</v>
      </c>
      <c r="CR527" s="14">
        <f t="shared" si="300"/>
        <v>5</v>
      </c>
      <c r="CS527" s="14">
        <f t="shared" si="301"/>
        <v>16</v>
      </c>
      <c r="CV527" s="14">
        <f t="shared" si="292"/>
        <v>3</v>
      </c>
      <c r="CW527" s="14">
        <f t="shared" si="293"/>
        <v>0</v>
      </c>
      <c r="CX527" s="14" t="str">
        <f t="shared" si="302"/>
        <v>HPExt</v>
      </c>
      <c r="CY527" s="14">
        <f t="shared" si="303"/>
        <v>2251</v>
      </c>
      <c r="CZ527" s="14">
        <f t="shared" si="304"/>
        <v>93.78</v>
      </c>
      <c r="DA527" s="14" t="str">
        <f t="shared" si="305"/>
        <v/>
      </c>
      <c r="DB527" s="14" t="str">
        <f t="shared" si="306"/>
        <v/>
      </c>
      <c r="DC527" s="14" t="str">
        <f t="shared" si="307"/>
        <v/>
      </c>
      <c r="DD527" s="14">
        <f t="shared" si="308"/>
        <v>24</v>
      </c>
      <c r="DE527" s="14">
        <f t="shared" si="309"/>
        <v>5</v>
      </c>
      <c r="DF527" s="14">
        <f t="shared" si="310"/>
        <v>16</v>
      </c>
      <c r="DG527" s="14">
        <f t="shared" si="311"/>
        <v>750</v>
      </c>
    </row>
    <row r="528" spans="77:111" ht="16.5" x14ac:dyDescent="0.2">
      <c r="BY528" s="13">
        <v>524</v>
      </c>
      <c r="BZ528" s="14">
        <f t="shared" si="294"/>
        <v>73</v>
      </c>
      <c r="CA528" s="14">
        <f t="shared" si="295"/>
        <v>5</v>
      </c>
      <c r="CB528" s="14">
        <f t="shared" si="280"/>
        <v>6</v>
      </c>
      <c r="CC528" s="14">
        <f t="shared" si="281"/>
        <v>2064056</v>
      </c>
      <c r="CD528" s="13" t="str">
        <f t="shared" si="282"/>
        <v>120级寄灵人橙色套2-护手</v>
      </c>
      <c r="CE528" s="14">
        <f t="shared" si="283"/>
        <v>1</v>
      </c>
      <c r="CF528" s="14">
        <f t="shared" si="284"/>
        <v>4</v>
      </c>
      <c r="CG528" s="14">
        <f t="shared" si="296"/>
        <v>120</v>
      </c>
      <c r="CH528" s="14">
        <f t="shared" si="297"/>
        <v>120</v>
      </c>
      <c r="CI528" s="14">
        <f t="shared" si="285"/>
        <v>6</v>
      </c>
      <c r="CJ528" s="14">
        <f t="shared" si="298"/>
        <v>1062</v>
      </c>
      <c r="CK528" s="14">
        <f t="shared" si="286"/>
        <v>0</v>
      </c>
      <c r="CL528" s="14">
        <f t="shared" si="287"/>
        <v>0</v>
      </c>
      <c r="CM528" s="14">
        <f t="shared" si="288"/>
        <v>2251</v>
      </c>
      <c r="CN528" s="14">
        <f t="shared" si="289"/>
        <v>0</v>
      </c>
      <c r="CO528" s="14">
        <f t="shared" si="290"/>
        <v>0</v>
      </c>
      <c r="CP528" s="14">
        <f t="shared" si="291"/>
        <v>93.78</v>
      </c>
      <c r="CQ528" s="14">
        <f t="shared" si="299"/>
        <v>24</v>
      </c>
      <c r="CR528" s="14">
        <f t="shared" si="300"/>
        <v>5</v>
      </c>
      <c r="CS528" s="14">
        <f t="shared" si="301"/>
        <v>16</v>
      </c>
      <c r="CV528" s="14">
        <f t="shared" si="292"/>
        <v>3</v>
      </c>
      <c r="CW528" s="14">
        <f t="shared" si="293"/>
        <v>0</v>
      </c>
      <c r="CX528" s="14" t="str">
        <f t="shared" si="302"/>
        <v>HPExt</v>
      </c>
      <c r="CY528" s="14">
        <f t="shared" si="303"/>
        <v>2251</v>
      </c>
      <c r="CZ528" s="14">
        <f t="shared" si="304"/>
        <v>93.78</v>
      </c>
      <c r="DA528" s="14" t="str">
        <f t="shared" si="305"/>
        <v/>
      </c>
      <c r="DB528" s="14" t="str">
        <f t="shared" si="306"/>
        <v/>
      </c>
      <c r="DC528" s="14" t="str">
        <f t="shared" si="307"/>
        <v/>
      </c>
      <c r="DD528" s="14">
        <f t="shared" si="308"/>
        <v>24</v>
      </c>
      <c r="DE528" s="14">
        <f t="shared" si="309"/>
        <v>5</v>
      </c>
      <c r="DF528" s="14">
        <f t="shared" si="310"/>
        <v>16</v>
      </c>
      <c r="DG528" s="14">
        <f t="shared" si="311"/>
        <v>750</v>
      </c>
    </row>
    <row r="529" spans="77:111" ht="16.5" x14ac:dyDescent="0.2">
      <c r="BY529" s="13">
        <v>525</v>
      </c>
      <c r="BZ529" s="14">
        <f t="shared" si="294"/>
        <v>74</v>
      </c>
      <c r="CA529" s="14">
        <f t="shared" si="295"/>
        <v>6</v>
      </c>
      <c r="CB529" s="14">
        <f t="shared" si="280"/>
        <v>6</v>
      </c>
      <c r="CC529" s="14">
        <f t="shared" si="281"/>
        <v>2064061</v>
      </c>
      <c r="CD529" s="13" t="str">
        <f t="shared" si="282"/>
        <v>120级守护灵橙色套2-武器</v>
      </c>
      <c r="CE529" s="14">
        <f t="shared" si="283"/>
        <v>2</v>
      </c>
      <c r="CF529" s="14">
        <f t="shared" si="284"/>
        <v>4</v>
      </c>
      <c r="CG529" s="14">
        <f t="shared" si="296"/>
        <v>120</v>
      </c>
      <c r="CH529" s="14">
        <f t="shared" si="297"/>
        <v>120</v>
      </c>
      <c r="CI529" s="14">
        <f t="shared" si="285"/>
        <v>1</v>
      </c>
      <c r="CJ529" s="14">
        <f t="shared" si="298"/>
        <v>2062</v>
      </c>
      <c r="CK529" s="14">
        <f t="shared" si="286"/>
        <v>1519</v>
      </c>
      <c r="CL529" s="14">
        <f t="shared" si="287"/>
        <v>0</v>
      </c>
      <c r="CM529" s="14">
        <f t="shared" si="288"/>
        <v>0</v>
      </c>
      <c r="CN529" s="14">
        <f t="shared" si="289"/>
        <v>63.31</v>
      </c>
      <c r="CO529" s="14">
        <f t="shared" si="290"/>
        <v>0</v>
      </c>
      <c r="CP529" s="14">
        <f t="shared" si="291"/>
        <v>0</v>
      </c>
      <c r="CQ529" s="14">
        <f t="shared" si="299"/>
        <v>24</v>
      </c>
      <c r="CR529" s="14">
        <f t="shared" si="300"/>
        <v>5</v>
      </c>
      <c r="CS529" s="14">
        <f t="shared" si="301"/>
        <v>26</v>
      </c>
      <c r="CV529" s="14">
        <f t="shared" si="292"/>
        <v>1</v>
      </c>
      <c r="CW529" s="14">
        <f t="shared" si="293"/>
        <v>0</v>
      </c>
      <c r="CX529" s="14" t="str">
        <f t="shared" si="302"/>
        <v>AtkExt</v>
      </c>
      <c r="CY529" s="14">
        <f t="shared" si="303"/>
        <v>1519</v>
      </c>
      <c r="CZ529" s="14">
        <f t="shared" si="304"/>
        <v>63.31</v>
      </c>
      <c r="DA529" s="14" t="str">
        <f t="shared" si="305"/>
        <v/>
      </c>
      <c r="DB529" s="14" t="str">
        <f t="shared" si="306"/>
        <v/>
      </c>
      <c r="DC529" s="14" t="str">
        <f t="shared" si="307"/>
        <v/>
      </c>
      <c r="DD529" s="14">
        <f t="shared" si="308"/>
        <v>24</v>
      </c>
      <c r="DE529" s="14">
        <f t="shared" si="309"/>
        <v>5</v>
      </c>
      <c r="DF529" s="14">
        <f t="shared" si="310"/>
        <v>26</v>
      </c>
      <c r="DG529" s="14">
        <f t="shared" si="311"/>
        <v>750</v>
      </c>
    </row>
    <row r="530" spans="77:111" ht="16.5" x14ac:dyDescent="0.2">
      <c r="BY530" s="13">
        <v>526</v>
      </c>
      <c r="BZ530" s="14">
        <f t="shared" si="294"/>
        <v>74</v>
      </c>
      <c r="CA530" s="14">
        <f t="shared" si="295"/>
        <v>6</v>
      </c>
      <c r="CB530" s="14">
        <f t="shared" si="280"/>
        <v>6</v>
      </c>
      <c r="CC530" s="14">
        <f t="shared" si="281"/>
        <v>2064062</v>
      </c>
      <c r="CD530" s="13" t="str">
        <f t="shared" si="282"/>
        <v>120级守护灵橙色套2-头盔</v>
      </c>
      <c r="CE530" s="14">
        <f t="shared" si="283"/>
        <v>2</v>
      </c>
      <c r="CF530" s="14">
        <f t="shared" si="284"/>
        <v>4</v>
      </c>
      <c r="CG530" s="14">
        <f t="shared" si="296"/>
        <v>120</v>
      </c>
      <c r="CH530" s="14">
        <f t="shared" si="297"/>
        <v>120</v>
      </c>
      <c r="CI530" s="14">
        <f t="shared" si="285"/>
        <v>2</v>
      </c>
      <c r="CJ530" s="14">
        <f t="shared" si="298"/>
        <v>2062</v>
      </c>
      <c r="CK530" s="14">
        <f t="shared" si="286"/>
        <v>0</v>
      </c>
      <c r="CL530" s="14">
        <f t="shared" si="287"/>
        <v>376</v>
      </c>
      <c r="CM530" s="14">
        <f t="shared" si="288"/>
        <v>0</v>
      </c>
      <c r="CN530" s="14">
        <f t="shared" si="289"/>
        <v>0</v>
      </c>
      <c r="CO530" s="14">
        <f t="shared" si="290"/>
        <v>15.69</v>
      </c>
      <c r="CP530" s="14">
        <f t="shared" si="291"/>
        <v>0</v>
      </c>
      <c r="CQ530" s="14">
        <f t="shared" si="299"/>
        <v>24</v>
      </c>
      <c r="CR530" s="14">
        <f t="shared" si="300"/>
        <v>5</v>
      </c>
      <c r="CS530" s="14">
        <f t="shared" si="301"/>
        <v>26</v>
      </c>
      <c r="CV530" s="14">
        <f t="shared" si="292"/>
        <v>2</v>
      </c>
      <c r="CW530" s="14">
        <f t="shared" si="293"/>
        <v>0</v>
      </c>
      <c r="CX530" s="14" t="str">
        <f t="shared" si="302"/>
        <v>DefExt</v>
      </c>
      <c r="CY530" s="14">
        <f t="shared" si="303"/>
        <v>376</v>
      </c>
      <c r="CZ530" s="14">
        <f t="shared" si="304"/>
        <v>15.69</v>
      </c>
      <c r="DA530" s="14" t="str">
        <f t="shared" si="305"/>
        <v/>
      </c>
      <c r="DB530" s="14" t="str">
        <f t="shared" si="306"/>
        <v/>
      </c>
      <c r="DC530" s="14" t="str">
        <f t="shared" si="307"/>
        <v/>
      </c>
      <c r="DD530" s="14">
        <f t="shared" si="308"/>
        <v>24</v>
      </c>
      <c r="DE530" s="14">
        <f t="shared" si="309"/>
        <v>5</v>
      </c>
      <c r="DF530" s="14">
        <f t="shared" si="310"/>
        <v>26</v>
      </c>
      <c r="DG530" s="14">
        <f t="shared" si="311"/>
        <v>750</v>
      </c>
    </row>
    <row r="531" spans="77:111" ht="16.5" x14ac:dyDescent="0.2">
      <c r="BY531" s="13">
        <v>527</v>
      </c>
      <c r="BZ531" s="14">
        <f t="shared" si="294"/>
        <v>74</v>
      </c>
      <c r="CA531" s="14">
        <f t="shared" si="295"/>
        <v>6</v>
      </c>
      <c r="CB531" s="14">
        <f t="shared" si="280"/>
        <v>6</v>
      </c>
      <c r="CC531" s="14">
        <f t="shared" si="281"/>
        <v>2064063</v>
      </c>
      <c r="CD531" s="13" t="str">
        <f t="shared" si="282"/>
        <v>120级守护灵橙色套2-肩甲</v>
      </c>
      <c r="CE531" s="14">
        <f t="shared" si="283"/>
        <v>2</v>
      </c>
      <c r="CF531" s="14">
        <f t="shared" si="284"/>
        <v>4</v>
      </c>
      <c r="CG531" s="14">
        <f t="shared" si="296"/>
        <v>120</v>
      </c>
      <c r="CH531" s="14">
        <f t="shared" si="297"/>
        <v>120</v>
      </c>
      <c r="CI531" s="14">
        <f t="shared" si="285"/>
        <v>3</v>
      </c>
      <c r="CJ531" s="14">
        <f t="shared" si="298"/>
        <v>2062</v>
      </c>
      <c r="CK531" s="14">
        <f t="shared" si="286"/>
        <v>0</v>
      </c>
      <c r="CL531" s="14">
        <f t="shared" si="287"/>
        <v>188</v>
      </c>
      <c r="CM531" s="14">
        <f t="shared" si="288"/>
        <v>2020</v>
      </c>
      <c r="CN531" s="14">
        <f t="shared" si="289"/>
        <v>0</v>
      </c>
      <c r="CO531" s="14">
        <f t="shared" si="290"/>
        <v>7.84</v>
      </c>
      <c r="CP531" s="14">
        <f t="shared" si="291"/>
        <v>84.18</v>
      </c>
      <c r="CQ531" s="14">
        <f t="shared" si="299"/>
        <v>24</v>
      </c>
      <c r="CR531" s="14">
        <f t="shared" si="300"/>
        <v>5</v>
      </c>
      <c r="CS531" s="14">
        <f t="shared" si="301"/>
        <v>26</v>
      </c>
      <c r="CV531" s="14">
        <f t="shared" si="292"/>
        <v>2</v>
      </c>
      <c r="CW531" s="14">
        <f t="shared" si="293"/>
        <v>3</v>
      </c>
      <c r="CX531" s="14" t="str">
        <f t="shared" si="302"/>
        <v>DefExt</v>
      </c>
      <c r="CY531" s="14">
        <f t="shared" si="303"/>
        <v>188</v>
      </c>
      <c r="CZ531" s="14">
        <f t="shared" si="304"/>
        <v>7.84</v>
      </c>
      <c r="DA531" s="14" t="str">
        <f t="shared" si="305"/>
        <v>HPExt</v>
      </c>
      <c r="DB531" s="14">
        <f t="shared" si="306"/>
        <v>2020</v>
      </c>
      <c r="DC531" s="14">
        <f t="shared" si="307"/>
        <v>84.18</v>
      </c>
      <c r="DD531" s="14">
        <f t="shared" si="308"/>
        <v>24</v>
      </c>
      <c r="DE531" s="14">
        <f t="shared" si="309"/>
        <v>5</v>
      </c>
      <c r="DF531" s="14">
        <f t="shared" si="310"/>
        <v>26</v>
      </c>
      <c r="DG531" s="14">
        <f t="shared" si="311"/>
        <v>750</v>
      </c>
    </row>
    <row r="532" spans="77:111" ht="16.5" x14ac:dyDescent="0.2">
      <c r="BY532" s="13">
        <v>528</v>
      </c>
      <c r="BZ532" s="14">
        <f t="shared" si="294"/>
        <v>74</v>
      </c>
      <c r="CA532" s="14">
        <f t="shared" si="295"/>
        <v>6</v>
      </c>
      <c r="CB532" s="14">
        <f t="shared" si="280"/>
        <v>6</v>
      </c>
      <c r="CC532" s="14">
        <f t="shared" si="281"/>
        <v>2064064</v>
      </c>
      <c r="CD532" s="13" t="str">
        <f t="shared" si="282"/>
        <v>120级守护灵橙色套2-衣服</v>
      </c>
      <c r="CE532" s="14">
        <f t="shared" si="283"/>
        <v>2</v>
      </c>
      <c r="CF532" s="14">
        <f t="shared" si="284"/>
        <v>4</v>
      </c>
      <c r="CG532" s="14">
        <f t="shared" si="296"/>
        <v>120</v>
      </c>
      <c r="CH532" s="14">
        <f t="shared" si="297"/>
        <v>120</v>
      </c>
      <c r="CI532" s="14">
        <f t="shared" si="285"/>
        <v>4</v>
      </c>
      <c r="CJ532" s="14">
        <f t="shared" si="298"/>
        <v>2062</v>
      </c>
      <c r="CK532" s="14">
        <f t="shared" si="286"/>
        <v>0</v>
      </c>
      <c r="CL532" s="14">
        <f t="shared" si="287"/>
        <v>376</v>
      </c>
      <c r="CM532" s="14">
        <f t="shared" si="288"/>
        <v>0</v>
      </c>
      <c r="CN532" s="14">
        <f t="shared" si="289"/>
        <v>0</v>
      </c>
      <c r="CO532" s="14">
        <f t="shared" si="290"/>
        <v>15.69</v>
      </c>
      <c r="CP532" s="14">
        <f t="shared" si="291"/>
        <v>0</v>
      </c>
      <c r="CQ532" s="14">
        <f t="shared" si="299"/>
        <v>24</v>
      </c>
      <c r="CR532" s="14">
        <f t="shared" si="300"/>
        <v>5</v>
      </c>
      <c r="CS532" s="14">
        <f t="shared" si="301"/>
        <v>26</v>
      </c>
      <c r="CV532" s="14">
        <f t="shared" si="292"/>
        <v>2</v>
      </c>
      <c r="CW532" s="14">
        <f t="shared" si="293"/>
        <v>0</v>
      </c>
      <c r="CX532" s="14" t="str">
        <f t="shared" si="302"/>
        <v>DefExt</v>
      </c>
      <c r="CY532" s="14">
        <f t="shared" si="303"/>
        <v>376</v>
      </c>
      <c r="CZ532" s="14">
        <f t="shared" si="304"/>
        <v>15.69</v>
      </c>
      <c r="DA532" s="14" t="str">
        <f t="shared" si="305"/>
        <v/>
      </c>
      <c r="DB532" s="14" t="str">
        <f t="shared" si="306"/>
        <v/>
      </c>
      <c r="DC532" s="14" t="str">
        <f t="shared" si="307"/>
        <v/>
      </c>
      <c r="DD532" s="14">
        <f t="shared" si="308"/>
        <v>24</v>
      </c>
      <c r="DE532" s="14">
        <f t="shared" si="309"/>
        <v>5</v>
      </c>
      <c r="DF532" s="14">
        <f t="shared" si="310"/>
        <v>26</v>
      </c>
      <c r="DG532" s="14">
        <f t="shared" si="311"/>
        <v>750</v>
      </c>
    </row>
    <row r="533" spans="77:111" ht="16.5" x14ac:dyDescent="0.2">
      <c r="BY533" s="13">
        <v>529</v>
      </c>
      <c r="BZ533" s="14">
        <f t="shared" si="294"/>
        <v>74</v>
      </c>
      <c r="CA533" s="14">
        <f t="shared" si="295"/>
        <v>6</v>
      </c>
      <c r="CB533" s="14">
        <f t="shared" si="280"/>
        <v>6</v>
      </c>
      <c r="CC533" s="14">
        <f t="shared" si="281"/>
        <v>2064065</v>
      </c>
      <c r="CD533" s="13" t="str">
        <f t="shared" si="282"/>
        <v>120级守护灵橙色套2-鞋子</v>
      </c>
      <c r="CE533" s="14">
        <f t="shared" si="283"/>
        <v>2</v>
      </c>
      <c r="CF533" s="14">
        <f t="shared" si="284"/>
        <v>4</v>
      </c>
      <c r="CG533" s="14">
        <f t="shared" si="296"/>
        <v>120</v>
      </c>
      <c r="CH533" s="14">
        <f t="shared" si="297"/>
        <v>120</v>
      </c>
      <c r="CI533" s="14">
        <f t="shared" si="285"/>
        <v>5</v>
      </c>
      <c r="CJ533" s="14">
        <f t="shared" si="298"/>
        <v>2062</v>
      </c>
      <c r="CK533" s="14">
        <f t="shared" si="286"/>
        <v>0</v>
      </c>
      <c r="CL533" s="14">
        <f t="shared" si="287"/>
        <v>0</v>
      </c>
      <c r="CM533" s="14">
        <f t="shared" si="288"/>
        <v>4041</v>
      </c>
      <c r="CN533" s="14">
        <f t="shared" si="289"/>
        <v>0</v>
      </c>
      <c r="CO533" s="14">
        <f t="shared" si="290"/>
        <v>0</v>
      </c>
      <c r="CP533" s="14">
        <f t="shared" si="291"/>
        <v>168.37</v>
      </c>
      <c r="CQ533" s="14">
        <f t="shared" si="299"/>
        <v>24</v>
      </c>
      <c r="CR533" s="14">
        <f t="shared" si="300"/>
        <v>5</v>
      </c>
      <c r="CS533" s="14">
        <f t="shared" si="301"/>
        <v>26</v>
      </c>
      <c r="CV533" s="14">
        <f t="shared" si="292"/>
        <v>3</v>
      </c>
      <c r="CW533" s="14">
        <f t="shared" si="293"/>
        <v>0</v>
      </c>
      <c r="CX533" s="14" t="str">
        <f t="shared" si="302"/>
        <v>HPExt</v>
      </c>
      <c r="CY533" s="14">
        <f t="shared" si="303"/>
        <v>4041</v>
      </c>
      <c r="CZ533" s="14">
        <f t="shared" si="304"/>
        <v>168.37</v>
      </c>
      <c r="DA533" s="14" t="str">
        <f t="shared" si="305"/>
        <v/>
      </c>
      <c r="DB533" s="14" t="str">
        <f t="shared" si="306"/>
        <v/>
      </c>
      <c r="DC533" s="14" t="str">
        <f t="shared" si="307"/>
        <v/>
      </c>
      <c r="DD533" s="14">
        <f t="shared" si="308"/>
        <v>24</v>
      </c>
      <c r="DE533" s="14">
        <f t="shared" si="309"/>
        <v>5</v>
      </c>
      <c r="DF533" s="14">
        <f t="shared" si="310"/>
        <v>26</v>
      </c>
      <c r="DG533" s="14">
        <f t="shared" si="311"/>
        <v>750</v>
      </c>
    </row>
    <row r="534" spans="77:111" ht="16.5" x14ac:dyDescent="0.2">
      <c r="BY534" s="13">
        <v>530</v>
      </c>
      <c r="BZ534" s="14">
        <f t="shared" si="294"/>
        <v>74</v>
      </c>
      <c r="CA534" s="14">
        <f t="shared" si="295"/>
        <v>6</v>
      </c>
      <c r="CB534" s="14">
        <f t="shared" si="280"/>
        <v>6</v>
      </c>
      <c r="CC534" s="14">
        <f t="shared" si="281"/>
        <v>2064066</v>
      </c>
      <c r="CD534" s="13" t="str">
        <f t="shared" si="282"/>
        <v>120级守护灵橙色套2-护手</v>
      </c>
      <c r="CE534" s="14">
        <f t="shared" si="283"/>
        <v>2</v>
      </c>
      <c r="CF534" s="14">
        <f t="shared" si="284"/>
        <v>4</v>
      </c>
      <c r="CG534" s="14">
        <f t="shared" si="296"/>
        <v>120</v>
      </c>
      <c r="CH534" s="14">
        <f t="shared" si="297"/>
        <v>120</v>
      </c>
      <c r="CI534" s="14">
        <f t="shared" si="285"/>
        <v>6</v>
      </c>
      <c r="CJ534" s="14">
        <f t="shared" si="298"/>
        <v>2062</v>
      </c>
      <c r="CK534" s="14">
        <f t="shared" si="286"/>
        <v>0</v>
      </c>
      <c r="CL534" s="14">
        <f t="shared" si="287"/>
        <v>0</v>
      </c>
      <c r="CM534" s="14">
        <f t="shared" si="288"/>
        <v>4041</v>
      </c>
      <c r="CN534" s="14">
        <f t="shared" si="289"/>
        <v>0</v>
      </c>
      <c r="CO534" s="14">
        <f t="shared" si="290"/>
        <v>0</v>
      </c>
      <c r="CP534" s="14">
        <f t="shared" si="291"/>
        <v>168.37</v>
      </c>
      <c r="CQ534" s="14">
        <f t="shared" si="299"/>
        <v>24</v>
      </c>
      <c r="CR534" s="14">
        <f t="shared" si="300"/>
        <v>5</v>
      </c>
      <c r="CS534" s="14">
        <f t="shared" si="301"/>
        <v>26</v>
      </c>
      <c r="CV534" s="14">
        <f t="shared" si="292"/>
        <v>3</v>
      </c>
      <c r="CW534" s="14">
        <f t="shared" si="293"/>
        <v>0</v>
      </c>
      <c r="CX534" s="14" t="str">
        <f t="shared" si="302"/>
        <v>HPExt</v>
      </c>
      <c r="CY534" s="14">
        <f t="shared" si="303"/>
        <v>4041</v>
      </c>
      <c r="CZ534" s="14">
        <f t="shared" si="304"/>
        <v>168.37</v>
      </c>
      <c r="DA534" s="14" t="str">
        <f t="shared" si="305"/>
        <v/>
      </c>
      <c r="DB534" s="14" t="str">
        <f t="shared" si="306"/>
        <v/>
      </c>
      <c r="DC534" s="14" t="str">
        <f t="shared" si="307"/>
        <v/>
      </c>
      <c r="DD534" s="14">
        <f t="shared" si="308"/>
        <v>24</v>
      </c>
      <c r="DE534" s="14">
        <f t="shared" si="309"/>
        <v>5</v>
      </c>
      <c r="DF534" s="14">
        <f t="shared" si="310"/>
        <v>26</v>
      </c>
      <c r="DG534" s="14">
        <f t="shared" si="311"/>
        <v>750</v>
      </c>
    </row>
    <row r="535" spans="77:111" ht="16.5" x14ac:dyDescent="0.2">
      <c r="BY535" s="13">
        <v>531</v>
      </c>
      <c r="BZ535" s="14">
        <f t="shared" si="294"/>
        <v>75</v>
      </c>
      <c r="CA535" s="14">
        <f t="shared" si="295"/>
        <v>7</v>
      </c>
      <c r="CB535" s="14">
        <f t="shared" si="280"/>
        <v>6</v>
      </c>
      <c r="CC535" s="14">
        <f t="shared" si="281"/>
        <v>2064071</v>
      </c>
      <c r="CD535" s="13" t="str">
        <f t="shared" si="282"/>
        <v>120级寄灵人橙色套3-武器</v>
      </c>
      <c r="CE535" s="14">
        <f t="shared" si="283"/>
        <v>1</v>
      </c>
      <c r="CF535" s="14">
        <f t="shared" si="284"/>
        <v>4</v>
      </c>
      <c r="CG535" s="14">
        <f t="shared" si="296"/>
        <v>120</v>
      </c>
      <c r="CH535" s="14">
        <f t="shared" si="297"/>
        <v>120</v>
      </c>
      <c r="CI535" s="14">
        <f t="shared" si="285"/>
        <v>1</v>
      </c>
      <c r="CJ535" s="14">
        <f t="shared" si="298"/>
        <v>1063</v>
      </c>
      <c r="CK535" s="14">
        <f t="shared" si="286"/>
        <v>1492</v>
      </c>
      <c r="CL535" s="14">
        <f t="shared" si="287"/>
        <v>0</v>
      </c>
      <c r="CM535" s="14">
        <f t="shared" si="288"/>
        <v>0</v>
      </c>
      <c r="CN535" s="14">
        <f t="shared" si="289"/>
        <v>62.18</v>
      </c>
      <c r="CO535" s="14">
        <f t="shared" si="290"/>
        <v>0</v>
      </c>
      <c r="CP535" s="14">
        <f t="shared" si="291"/>
        <v>0</v>
      </c>
      <c r="CQ535" s="14">
        <f t="shared" si="299"/>
        <v>24</v>
      </c>
      <c r="CR535" s="14">
        <f t="shared" si="300"/>
        <v>5</v>
      </c>
      <c r="CS535" s="14">
        <f t="shared" si="301"/>
        <v>16</v>
      </c>
      <c r="CV535" s="14">
        <f t="shared" si="292"/>
        <v>1</v>
      </c>
      <c r="CW535" s="14">
        <f t="shared" si="293"/>
        <v>0</v>
      </c>
      <c r="CX535" s="14" t="str">
        <f t="shared" si="302"/>
        <v>AtkExt</v>
      </c>
      <c r="CY535" s="14">
        <f t="shared" si="303"/>
        <v>1492</v>
      </c>
      <c r="CZ535" s="14">
        <f t="shared" si="304"/>
        <v>62.18</v>
      </c>
      <c r="DA535" s="14" t="str">
        <f t="shared" si="305"/>
        <v/>
      </c>
      <c r="DB535" s="14" t="str">
        <f t="shared" si="306"/>
        <v/>
      </c>
      <c r="DC535" s="14" t="str">
        <f t="shared" si="307"/>
        <v/>
      </c>
      <c r="DD535" s="14">
        <f t="shared" si="308"/>
        <v>24</v>
      </c>
      <c r="DE535" s="14">
        <f t="shared" si="309"/>
        <v>5</v>
      </c>
      <c r="DF535" s="14">
        <f t="shared" si="310"/>
        <v>16</v>
      </c>
      <c r="DG535" s="14">
        <f t="shared" si="311"/>
        <v>750</v>
      </c>
    </row>
    <row r="536" spans="77:111" ht="16.5" x14ac:dyDescent="0.2">
      <c r="BY536" s="13">
        <v>532</v>
      </c>
      <c r="BZ536" s="14">
        <f t="shared" si="294"/>
        <v>75</v>
      </c>
      <c r="CA536" s="14">
        <f t="shared" si="295"/>
        <v>7</v>
      </c>
      <c r="CB536" s="14">
        <f t="shared" si="280"/>
        <v>6</v>
      </c>
      <c r="CC536" s="14">
        <f t="shared" si="281"/>
        <v>2064072</v>
      </c>
      <c r="CD536" s="13" t="str">
        <f t="shared" si="282"/>
        <v>120级寄灵人橙色套3-头盔</v>
      </c>
      <c r="CE536" s="14">
        <f t="shared" si="283"/>
        <v>1</v>
      </c>
      <c r="CF536" s="14">
        <f t="shared" si="284"/>
        <v>4</v>
      </c>
      <c r="CG536" s="14">
        <f t="shared" si="296"/>
        <v>120</v>
      </c>
      <c r="CH536" s="14">
        <f t="shared" si="297"/>
        <v>120</v>
      </c>
      <c r="CI536" s="14">
        <f t="shared" si="285"/>
        <v>2</v>
      </c>
      <c r="CJ536" s="14">
        <f t="shared" si="298"/>
        <v>1063</v>
      </c>
      <c r="CK536" s="14">
        <f t="shared" si="286"/>
        <v>0</v>
      </c>
      <c r="CL536" s="14">
        <f t="shared" si="287"/>
        <v>371</v>
      </c>
      <c r="CM536" s="14">
        <f t="shared" si="288"/>
        <v>0</v>
      </c>
      <c r="CN536" s="14">
        <f t="shared" si="289"/>
        <v>0</v>
      </c>
      <c r="CO536" s="14">
        <f t="shared" si="290"/>
        <v>15.45</v>
      </c>
      <c r="CP536" s="14">
        <f t="shared" si="291"/>
        <v>0</v>
      </c>
      <c r="CQ536" s="14">
        <f t="shared" si="299"/>
        <v>24</v>
      </c>
      <c r="CR536" s="14">
        <f t="shared" si="300"/>
        <v>5</v>
      </c>
      <c r="CS536" s="14">
        <f t="shared" si="301"/>
        <v>16</v>
      </c>
      <c r="CV536" s="14">
        <f t="shared" si="292"/>
        <v>2</v>
      </c>
      <c r="CW536" s="14">
        <f t="shared" si="293"/>
        <v>0</v>
      </c>
      <c r="CX536" s="14" t="str">
        <f t="shared" si="302"/>
        <v>DefExt</v>
      </c>
      <c r="CY536" s="14">
        <f t="shared" si="303"/>
        <v>371</v>
      </c>
      <c r="CZ536" s="14">
        <f t="shared" si="304"/>
        <v>15.45</v>
      </c>
      <c r="DA536" s="14" t="str">
        <f t="shared" si="305"/>
        <v/>
      </c>
      <c r="DB536" s="14" t="str">
        <f t="shared" si="306"/>
        <v/>
      </c>
      <c r="DC536" s="14" t="str">
        <f t="shared" si="307"/>
        <v/>
      </c>
      <c r="DD536" s="14">
        <f t="shared" si="308"/>
        <v>24</v>
      </c>
      <c r="DE536" s="14">
        <f t="shared" si="309"/>
        <v>5</v>
      </c>
      <c r="DF536" s="14">
        <f t="shared" si="310"/>
        <v>16</v>
      </c>
      <c r="DG536" s="14">
        <f t="shared" si="311"/>
        <v>750</v>
      </c>
    </row>
    <row r="537" spans="77:111" ht="16.5" x14ac:dyDescent="0.2">
      <c r="BY537" s="13">
        <v>533</v>
      </c>
      <c r="BZ537" s="14">
        <f t="shared" si="294"/>
        <v>75</v>
      </c>
      <c r="CA537" s="14">
        <f t="shared" si="295"/>
        <v>7</v>
      </c>
      <c r="CB537" s="14">
        <f t="shared" si="280"/>
        <v>6</v>
      </c>
      <c r="CC537" s="14">
        <f t="shared" si="281"/>
        <v>2064073</v>
      </c>
      <c r="CD537" s="13" t="str">
        <f t="shared" si="282"/>
        <v>120级寄灵人橙色套3-肩甲</v>
      </c>
      <c r="CE537" s="14">
        <f t="shared" si="283"/>
        <v>1</v>
      </c>
      <c r="CF537" s="14">
        <f t="shared" si="284"/>
        <v>4</v>
      </c>
      <c r="CG537" s="14">
        <f t="shared" si="296"/>
        <v>120</v>
      </c>
      <c r="CH537" s="14">
        <f t="shared" si="297"/>
        <v>120</v>
      </c>
      <c r="CI537" s="14">
        <f t="shared" si="285"/>
        <v>3</v>
      </c>
      <c r="CJ537" s="14">
        <f t="shared" si="298"/>
        <v>1063</v>
      </c>
      <c r="CK537" s="14">
        <f t="shared" si="286"/>
        <v>0</v>
      </c>
      <c r="CL537" s="14">
        <f t="shared" si="287"/>
        <v>185</v>
      </c>
      <c r="CM537" s="14">
        <f t="shared" si="288"/>
        <v>1125</v>
      </c>
      <c r="CN537" s="14">
        <f t="shared" si="289"/>
        <v>0</v>
      </c>
      <c r="CO537" s="14">
        <f t="shared" si="290"/>
        <v>7.73</v>
      </c>
      <c r="CP537" s="14">
        <f t="shared" si="291"/>
        <v>46.89</v>
      </c>
      <c r="CQ537" s="14">
        <f t="shared" si="299"/>
        <v>24</v>
      </c>
      <c r="CR537" s="14">
        <f t="shared" si="300"/>
        <v>5</v>
      </c>
      <c r="CS537" s="14">
        <f t="shared" si="301"/>
        <v>16</v>
      </c>
      <c r="CV537" s="14">
        <f t="shared" si="292"/>
        <v>2</v>
      </c>
      <c r="CW537" s="14">
        <f t="shared" si="293"/>
        <v>3</v>
      </c>
      <c r="CX537" s="14" t="str">
        <f t="shared" si="302"/>
        <v>DefExt</v>
      </c>
      <c r="CY537" s="14">
        <f t="shared" si="303"/>
        <v>185</v>
      </c>
      <c r="CZ537" s="14">
        <f t="shared" si="304"/>
        <v>7.73</v>
      </c>
      <c r="DA537" s="14" t="str">
        <f t="shared" si="305"/>
        <v>HPExt</v>
      </c>
      <c r="DB537" s="14">
        <f t="shared" si="306"/>
        <v>1125</v>
      </c>
      <c r="DC537" s="14">
        <f t="shared" si="307"/>
        <v>46.89</v>
      </c>
      <c r="DD537" s="14">
        <f t="shared" si="308"/>
        <v>24</v>
      </c>
      <c r="DE537" s="14">
        <f t="shared" si="309"/>
        <v>5</v>
      </c>
      <c r="DF537" s="14">
        <f t="shared" si="310"/>
        <v>16</v>
      </c>
      <c r="DG537" s="14">
        <f t="shared" si="311"/>
        <v>750</v>
      </c>
    </row>
    <row r="538" spans="77:111" ht="16.5" x14ac:dyDescent="0.2">
      <c r="BY538" s="13">
        <v>534</v>
      </c>
      <c r="BZ538" s="14">
        <f t="shared" si="294"/>
        <v>75</v>
      </c>
      <c r="CA538" s="14">
        <f t="shared" si="295"/>
        <v>7</v>
      </c>
      <c r="CB538" s="14">
        <f t="shared" si="280"/>
        <v>6</v>
      </c>
      <c r="CC538" s="14">
        <f t="shared" si="281"/>
        <v>2064074</v>
      </c>
      <c r="CD538" s="13" t="str">
        <f t="shared" si="282"/>
        <v>120级寄灵人橙色套3-衣服</v>
      </c>
      <c r="CE538" s="14">
        <f t="shared" si="283"/>
        <v>1</v>
      </c>
      <c r="CF538" s="14">
        <f t="shared" si="284"/>
        <v>4</v>
      </c>
      <c r="CG538" s="14">
        <f t="shared" si="296"/>
        <v>120</v>
      </c>
      <c r="CH538" s="14">
        <f t="shared" si="297"/>
        <v>120</v>
      </c>
      <c r="CI538" s="14">
        <f t="shared" si="285"/>
        <v>4</v>
      </c>
      <c r="CJ538" s="14">
        <f t="shared" si="298"/>
        <v>1063</v>
      </c>
      <c r="CK538" s="14">
        <f t="shared" si="286"/>
        <v>0</v>
      </c>
      <c r="CL538" s="14">
        <f t="shared" si="287"/>
        <v>371</v>
      </c>
      <c r="CM538" s="14">
        <f t="shared" si="288"/>
        <v>0</v>
      </c>
      <c r="CN538" s="14">
        <f t="shared" si="289"/>
        <v>0</v>
      </c>
      <c r="CO538" s="14">
        <f t="shared" si="290"/>
        <v>15.45</v>
      </c>
      <c r="CP538" s="14">
        <f t="shared" si="291"/>
        <v>0</v>
      </c>
      <c r="CQ538" s="14">
        <f t="shared" si="299"/>
        <v>24</v>
      </c>
      <c r="CR538" s="14">
        <f t="shared" si="300"/>
        <v>5</v>
      </c>
      <c r="CS538" s="14">
        <f t="shared" si="301"/>
        <v>16</v>
      </c>
      <c r="CV538" s="14">
        <f t="shared" si="292"/>
        <v>2</v>
      </c>
      <c r="CW538" s="14">
        <f t="shared" si="293"/>
        <v>0</v>
      </c>
      <c r="CX538" s="14" t="str">
        <f t="shared" si="302"/>
        <v>DefExt</v>
      </c>
      <c r="CY538" s="14">
        <f t="shared" si="303"/>
        <v>371</v>
      </c>
      <c r="CZ538" s="14">
        <f t="shared" si="304"/>
        <v>15.45</v>
      </c>
      <c r="DA538" s="14" t="str">
        <f t="shared" si="305"/>
        <v/>
      </c>
      <c r="DB538" s="14" t="str">
        <f t="shared" si="306"/>
        <v/>
      </c>
      <c r="DC538" s="14" t="str">
        <f t="shared" si="307"/>
        <v/>
      </c>
      <c r="DD538" s="14">
        <f t="shared" si="308"/>
        <v>24</v>
      </c>
      <c r="DE538" s="14">
        <f t="shared" si="309"/>
        <v>5</v>
      </c>
      <c r="DF538" s="14">
        <f t="shared" si="310"/>
        <v>16</v>
      </c>
      <c r="DG538" s="14">
        <f t="shared" si="311"/>
        <v>750</v>
      </c>
    </row>
    <row r="539" spans="77:111" ht="16.5" x14ac:dyDescent="0.2">
      <c r="BY539" s="13">
        <v>535</v>
      </c>
      <c r="BZ539" s="14">
        <f t="shared" si="294"/>
        <v>75</v>
      </c>
      <c r="CA539" s="14">
        <f t="shared" si="295"/>
        <v>7</v>
      </c>
      <c r="CB539" s="14">
        <f t="shared" si="280"/>
        <v>6</v>
      </c>
      <c r="CC539" s="14">
        <f t="shared" si="281"/>
        <v>2064075</v>
      </c>
      <c r="CD539" s="13" t="str">
        <f t="shared" si="282"/>
        <v>120级寄灵人橙色套3-鞋子</v>
      </c>
      <c r="CE539" s="14">
        <f t="shared" si="283"/>
        <v>1</v>
      </c>
      <c r="CF539" s="14">
        <f t="shared" si="284"/>
        <v>4</v>
      </c>
      <c r="CG539" s="14">
        <f t="shared" si="296"/>
        <v>120</v>
      </c>
      <c r="CH539" s="14">
        <f t="shared" si="297"/>
        <v>120</v>
      </c>
      <c r="CI539" s="14">
        <f t="shared" si="285"/>
        <v>5</v>
      </c>
      <c r="CJ539" s="14">
        <f t="shared" si="298"/>
        <v>1063</v>
      </c>
      <c r="CK539" s="14">
        <f t="shared" si="286"/>
        <v>0</v>
      </c>
      <c r="CL539" s="14">
        <f t="shared" si="287"/>
        <v>0</v>
      </c>
      <c r="CM539" s="14">
        <f t="shared" si="288"/>
        <v>2251</v>
      </c>
      <c r="CN539" s="14">
        <f t="shared" si="289"/>
        <v>0</v>
      </c>
      <c r="CO539" s="14">
        <f t="shared" si="290"/>
        <v>0</v>
      </c>
      <c r="CP539" s="14">
        <f t="shared" si="291"/>
        <v>93.78</v>
      </c>
      <c r="CQ539" s="14">
        <f t="shared" si="299"/>
        <v>24</v>
      </c>
      <c r="CR539" s="14">
        <f t="shared" si="300"/>
        <v>5</v>
      </c>
      <c r="CS539" s="14">
        <f t="shared" si="301"/>
        <v>16</v>
      </c>
      <c r="CV539" s="14">
        <f t="shared" si="292"/>
        <v>3</v>
      </c>
      <c r="CW539" s="14">
        <f t="shared" si="293"/>
        <v>0</v>
      </c>
      <c r="CX539" s="14" t="str">
        <f t="shared" si="302"/>
        <v>HPExt</v>
      </c>
      <c r="CY539" s="14">
        <f t="shared" si="303"/>
        <v>2251</v>
      </c>
      <c r="CZ539" s="14">
        <f t="shared" si="304"/>
        <v>93.78</v>
      </c>
      <c r="DA539" s="14" t="str">
        <f t="shared" si="305"/>
        <v/>
      </c>
      <c r="DB539" s="14" t="str">
        <f t="shared" si="306"/>
        <v/>
      </c>
      <c r="DC539" s="14" t="str">
        <f t="shared" si="307"/>
        <v/>
      </c>
      <c r="DD539" s="14">
        <f t="shared" si="308"/>
        <v>24</v>
      </c>
      <c r="DE539" s="14">
        <f t="shared" si="309"/>
        <v>5</v>
      </c>
      <c r="DF539" s="14">
        <f t="shared" si="310"/>
        <v>16</v>
      </c>
      <c r="DG539" s="14">
        <f t="shared" si="311"/>
        <v>750</v>
      </c>
    </row>
    <row r="540" spans="77:111" ht="16.5" x14ac:dyDescent="0.2">
      <c r="BY540" s="13">
        <v>536</v>
      </c>
      <c r="BZ540" s="14">
        <f t="shared" si="294"/>
        <v>75</v>
      </c>
      <c r="CA540" s="14">
        <f t="shared" si="295"/>
        <v>7</v>
      </c>
      <c r="CB540" s="14">
        <f t="shared" si="280"/>
        <v>6</v>
      </c>
      <c r="CC540" s="14">
        <f t="shared" si="281"/>
        <v>2064076</v>
      </c>
      <c r="CD540" s="13" t="str">
        <f t="shared" si="282"/>
        <v>120级寄灵人橙色套3-护手</v>
      </c>
      <c r="CE540" s="14">
        <f t="shared" si="283"/>
        <v>1</v>
      </c>
      <c r="CF540" s="14">
        <f t="shared" si="284"/>
        <v>4</v>
      </c>
      <c r="CG540" s="14">
        <f t="shared" si="296"/>
        <v>120</v>
      </c>
      <c r="CH540" s="14">
        <f t="shared" si="297"/>
        <v>120</v>
      </c>
      <c r="CI540" s="14">
        <f t="shared" si="285"/>
        <v>6</v>
      </c>
      <c r="CJ540" s="14">
        <f t="shared" si="298"/>
        <v>1063</v>
      </c>
      <c r="CK540" s="14">
        <f t="shared" si="286"/>
        <v>0</v>
      </c>
      <c r="CL540" s="14">
        <f t="shared" si="287"/>
        <v>0</v>
      </c>
      <c r="CM540" s="14">
        <f t="shared" si="288"/>
        <v>2251</v>
      </c>
      <c r="CN540" s="14">
        <f t="shared" si="289"/>
        <v>0</v>
      </c>
      <c r="CO540" s="14">
        <f t="shared" si="290"/>
        <v>0</v>
      </c>
      <c r="CP540" s="14">
        <f t="shared" si="291"/>
        <v>93.78</v>
      </c>
      <c r="CQ540" s="14">
        <f t="shared" si="299"/>
        <v>24</v>
      </c>
      <c r="CR540" s="14">
        <f t="shared" si="300"/>
        <v>5</v>
      </c>
      <c r="CS540" s="14">
        <f t="shared" si="301"/>
        <v>16</v>
      </c>
      <c r="CV540" s="14">
        <f t="shared" si="292"/>
        <v>3</v>
      </c>
      <c r="CW540" s="14">
        <f t="shared" si="293"/>
        <v>0</v>
      </c>
      <c r="CX540" s="14" t="str">
        <f t="shared" si="302"/>
        <v>HPExt</v>
      </c>
      <c r="CY540" s="14">
        <f t="shared" si="303"/>
        <v>2251</v>
      </c>
      <c r="CZ540" s="14">
        <f t="shared" si="304"/>
        <v>93.78</v>
      </c>
      <c r="DA540" s="14" t="str">
        <f t="shared" si="305"/>
        <v/>
      </c>
      <c r="DB540" s="14" t="str">
        <f t="shared" si="306"/>
        <v/>
      </c>
      <c r="DC540" s="14" t="str">
        <f t="shared" si="307"/>
        <v/>
      </c>
      <c r="DD540" s="14">
        <f t="shared" si="308"/>
        <v>24</v>
      </c>
      <c r="DE540" s="14">
        <f t="shared" si="309"/>
        <v>5</v>
      </c>
      <c r="DF540" s="14">
        <f t="shared" si="310"/>
        <v>16</v>
      </c>
      <c r="DG540" s="14">
        <f t="shared" si="311"/>
        <v>750</v>
      </c>
    </row>
    <row r="541" spans="77:111" ht="16.5" x14ac:dyDescent="0.2">
      <c r="BY541" s="13">
        <v>537</v>
      </c>
      <c r="BZ541" s="14">
        <f t="shared" si="294"/>
        <v>76</v>
      </c>
      <c r="CA541" s="14">
        <f t="shared" si="295"/>
        <v>8</v>
      </c>
      <c r="CB541" s="14">
        <f t="shared" si="280"/>
        <v>6</v>
      </c>
      <c r="CC541" s="14">
        <f t="shared" si="281"/>
        <v>2064081</v>
      </c>
      <c r="CD541" s="13" t="str">
        <f t="shared" si="282"/>
        <v>120级守护灵橙色套3-武器</v>
      </c>
      <c r="CE541" s="14">
        <f t="shared" si="283"/>
        <v>2</v>
      </c>
      <c r="CF541" s="14">
        <f t="shared" si="284"/>
        <v>4</v>
      </c>
      <c r="CG541" s="14">
        <f t="shared" si="296"/>
        <v>120</v>
      </c>
      <c r="CH541" s="14">
        <f t="shared" si="297"/>
        <v>120</v>
      </c>
      <c r="CI541" s="14">
        <f t="shared" si="285"/>
        <v>1</v>
      </c>
      <c r="CJ541" s="14">
        <f t="shared" si="298"/>
        <v>2063</v>
      </c>
      <c r="CK541" s="14">
        <f t="shared" si="286"/>
        <v>1519</v>
      </c>
      <c r="CL541" s="14">
        <f t="shared" si="287"/>
        <v>0</v>
      </c>
      <c r="CM541" s="14">
        <f t="shared" si="288"/>
        <v>0</v>
      </c>
      <c r="CN541" s="14">
        <f t="shared" si="289"/>
        <v>63.31</v>
      </c>
      <c r="CO541" s="14">
        <f t="shared" si="290"/>
        <v>0</v>
      </c>
      <c r="CP541" s="14">
        <f t="shared" si="291"/>
        <v>0</v>
      </c>
      <c r="CQ541" s="14">
        <f t="shared" si="299"/>
        <v>24</v>
      </c>
      <c r="CR541" s="14">
        <f t="shared" si="300"/>
        <v>5</v>
      </c>
      <c r="CS541" s="14">
        <f t="shared" si="301"/>
        <v>26</v>
      </c>
      <c r="CV541" s="14">
        <f t="shared" si="292"/>
        <v>1</v>
      </c>
      <c r="CW541" s="14">
        <f t="shared" si="293"/>
        <v>0</v>
      </c>
      <c r="CX541" s="14" t="str">
        <f t="shared" si="302"/>
        <v>AtkExt</v>
      </c>
      <c r="CY541" s="14">
        <f t="shared" si="303"/>
        <v>1519</v>
      </c>
      <c r="CZ541" s="14">
        <f t="shared" si="304"/>
        <v>63.31</v>
      </c>
      <c r="DA541" s="14" t="str">
        <f t="shared" si="305"/>
        <v/>
      </c>
      <c r="DB541" s="14" t="str">
        <f t="shared" si="306"/>
        <v/>
      </c>
      <c r="DC541" s="14" t="str">
        <f t="shared" si="307"/>
        <v/>
      </c>
      <c r="DD541" s="14">
        <f t="shared" si="308"/>
        <v>24</v>
      </c>
      <c r="DE541" s="14">
        <f t="shared" si="309"/>
        <v>5</v>
      </c>
      <c r="DF541" s="14">
        <f t="shared" si="310"/>
        <v>26</v>
      </c>
      <c r="DG541" s="14">
        <f t="shared" si="311"/>
        <v>750</v>
      </c>
    </row>
    <row r="542" spans="77:111" ht="16.5" x14ac:dyDescent="0.2">
      <c r="BY542" s="13">
        <v>538</v>
      </c>
      <c r="BZ542" s="14">
        <f t="shared" si="294"/>
        <v>76</v>
      </c>
      <c r="CA542" s="14">
        <f t="shared" si="295"/>
        <v>8</v>
      </c>
      <c r="CB542" s="14">
        <f t="shared" si="280"/>
        <v>6</v>
      </c>
      <c r="CC542" s="14">
        <f t="shared" si="281"/>
        <v>2064082</v>
      </c>
      <c r="CD542" s="13" t="str">
        <f t="shared" si="282"/>
        <v>120级守护灵橙色套3-头盔</v>
      </c>
      <c r="CE542" s="14">
        <f t="shared" si="283"/>
        <v>2</v>
      </c>
      <c r="CF542" s="14">
        <f t="shared" si="284"/>
        <v>4</v>
      </c>
      <c r="CG542" s="14">
        <f t="shared" si="296"/>
        <v>120</v>
      </c>
      <c r="CH542" s="14">
        <f t="shared" si="297"/>
        <v>120</v>
      </c>
      <c r="CI542" s="14">
        <f t="shared" si="285"/>
        <v>2</v>
      </c>
      <c r="CJ542" s="14">
        <f t="shared" si="298"/>
        <v>2063</v>
      </c>
      <c r="CK542" s="14">
        <f t="shared" si="286"/>
        <v>0</v>
      </c>
      <c r="CL542" s="14">
        <f t="shared" si="287"/>
        <v>376</v>
      </c>
      <c r="CM542" s="14">
        <f t="shared" si="288"/>
        <v>0</v>
      </c>
      <c r="CN542" s="14">
        <f t="shared" si="289"/>
        <v>0</v>
      </c>
      <c r="CO542" s="14">
        <f t="shared" si="290"/>
        <v>15.69</v>
      </c>
      <c r="CP542" s="14">
        <f t="shared" si="291"/>
        <v>0</v>
      </c>
      <c r="CQ542" s="14">
        <f t="shared" si="299"/>
        <v>24</v>
      </c>
      <c r="CR542" s="14">
        <f t="shared" si="300"/>
        <v>5</v>
      </c>
      <c r="CS542" s="14">
        <f t="shared" si="301"/>
        <v>26</v>
      </c>
      <c r="CV542" s="14">
        <f t="shared" si="292"/>
        <v>2</v>
      </c>
      <c r="CW542" s="14">
        <f t="shared" si="293"/>
        <v>0</v>
      </c>
      <c r="CX542" s="14" t="str">
        <f t="shared" si="302"/>
        <v>DefExt</v>
      </c>
      <c r="CY542" s="14">
        <f t="shared" si="303"/>
        <v>376</v>
      </c>
      <c r="CZ542" s="14">
        <f t="shared" si="304"/>
        <v>15.69</v>
      </c>
      <c r="DA542" s="14" t="str">
        <f t="shared" si="305"/>
        <v/>
      </c>
      <c r="DB542" s="14" t="str">
        <f t="shared" si="306"/>
        <v/>
      </c>
      <c r="DC542" s="14" t="str">
        <f t="shared" si="307"/>
        <v/>
      </c>
      <c r="DD542" s="14">
        <f t="shared" si="308"/>
        <v>24</v>
      </c>
      <c r="DE542" s="14">
        <f t="shared" si="309"/>
        <v>5</v>
      </c>
      <c r="DF542" s="14">
        <f t="shared" si="310"/>
        <v>26</v>
      </c>
      <c r="DG542" s="14">
        <f t="shared" si="311"/>
        <v>750</v>
      </c>
    </row>
    <row r="543" spans="77:111" ht="16.5" x14ac:dyDescent="0.2">
      <c r="BY543" s="13">
        <v>539</v>
      </c>
      <c r="BZ543" s="14">
        <f t="shared" si="294"/>
        <v>76</v>
      </c>
      <c r="CA543" s="14">
        <f t="shared" si="295"/>
        <v>8</v>
      </c>
      <c r="CB543" s="14">
        <f t="shared" si="280"/>
        <v>6</v>
      </c>
      <c r="CC543" s="14">
        <f t="shared" si="281"/>
        <v>2064083</v>
      </c>
      <c r="CD543" s="13" t="str">
        <f t="shared" si="282"/>
        <v>120级守护灵橙色套3-肩甲</v>
      </c>
      <c r="CE543" s="14">
        <f t="shared" si="283"/>
        <v>2</v>
      </c>
      <c r="CF543" s="14">
        <f t="shared" si="284"/>
        <v>4</v>
      </c>
      <c r="CG543" s="14">
        <f t="shared" si="296"/>
        <v>120</v>
      </c>
      <c r="CH543" s="14">
        <f t="shared" si="297"/>
        <v>120</v>
      </c>
      <c r="CI543" s="14">
        <f t="shared" si="285"/>
        <v>3</v>
      </c>
      <c r="CJ543" s="14">
        <f t="shared" si="298"/>
        <v>2063</v>
      </c>
      <c r="CK543" s="14">
        <f t="shared" si="286"/>
        <v>0</v>
      </c>
      <c r="CL543" s="14">
        <f t="shared" si="287"/>
        <v>188</v>
      </c>
      <c r="CM543" s="14">
        <f t="shared" si="288"/>
        <v>2020</v>
      </c>
      <c r="CN543" s="14">
        <f t="shared" si="289"/>
        <v>0</v>
      </c>
      <c r="CO543" s="14">
        <f t="shared" si="290"/>
        <v>7.84</v>
      </c>
      <c r="CP543" s="14">
        <f t="shared" si="291"/>
        <v>84.18</v>
      </c>
      <c r="CQ543" s="14">
        <f t="shared" si="299"/>
        <v>24</v>
      </c>
      <c r="CR543" s="14">
        <f t="shared" si="300"/>
        <v>5</v>
      </c>
      <c r="CS543" s="14">
        <f t="shared" si="301"/>
        <v>26</v>
      </c>
      <c r="CV543" s="14">
        <f t="shared" si="292"/>
        <v>2</v>
      </c>
      <c r="CW543" s="14">
        <f t="shared" si="293"/>
        <v>3</v>
      </c>
      <c r="CX543" s="14" t="str">
        <f t="shared" si="302"/>
        <v>DefExt</v>
      </c>
      <c r="CY543" s="14">
        <f t="shared" si="303"/>
        <v>188</v>
      </c>
      <c r="CZ543" s="14">
        <f t="shared" si="304"/>
        <v>7.84</v>
      </c>
      <c r="DA543" s="14" t="str">
        <f t="shared" si="305"/>
        <v>HPExt</v>
      </c>
      <c r="DB543" s="14">
        <f t="shared" si="306"/>
        <v>2020</v>
      </c>
      <c r="DC543" s="14">
        <f t="shared" si="307"/>
        <v>84.18</v>
      </c>
      <c r="DD543" s="14">
        <f t="shared" si="308"/>
        <v>24</v>
      </c>
      <c r="DE543" s="14">
        <f t="shared" si="309"/>
        <v>5</v>
      </c>
      <c r="DF543" s="14">
        <f t="shared" si="310"/>
        <v>26</v>
      </c>
      <c r="DG543" s="14">
        <f t="shared" si="311"/>
        <v>750</v>
      </c>
    </row>
    <row r="544" spans="77:111" ht="16.5" x14ac:dyDescent="0.2">
      <c r="BY544" s="13">
        <v>540</v>
      </c>
      <c r="BZ544" s="14">
        <f t="shared" si="294"/>
        <v>76</v>
      </c>
      <c r="CA544" s="14">
        <f t="shared" si="295"/>
        <v>8</v>
      </c>
      <c r="CB544" s="14">
        <f t="shared" si="280"/>
        <v>6</v>
      </c>
      <c r="CC544" s="14">
        <f t="shared" si="281"/>
        <v>2064084</v>
      </c>
      <c r="CD544" s="13" t="str">
        <f t="shared" si="282"/>
        <v>120级守护灵橙色套3-衣服</v>
      </c>
      <c r="CE544" s="14">
        <f t="shared" si="283"/>
        <v>2</v>
      </c>
      <c r="CF544" s="14">
        <f t="shared" si="284"/>
        <v>4</v>
      </c>
      <c r="CG544" s="14">
        <f t="shared" si="296"/>
        <v>120</v>
      </c>
      <c r="CH544" s="14">
        <f t="shared" si="297"/>
        <v>120</v>
      </c>
      <c r="CI544" s="14">
        <f t="shared" si="285"/>
        <v>4</v>
      </c>
      <c r="CJ544" s="14">
        <f t="shared" si="298"/>
        <v>2063</v>
      </c>
      <c r="CK544" s="14">
        <f t="shared" si="286"/>
        <v>0</v>
      </c>
      <c r="CL544" s="14">
        <f t="shared" si="287"/>
        <v>376</v>
      </c>
      <c r="CM544" s="14">
        <f t="shared" si="288"/>
        <v>0</v>
      </c>
      <c r="CN544" s="14">
        <f t="shared" si="289"/>
        <v>0</v>
      </c>
      <c r="CO544" s="14">
        <f t="shared" si="290"/>
        <v>15.69</v>
      </c>
      <c r="CP544" s="14">
        <f t="shared" si="291"/>
        <v>0</v>
      </c>
      <c r="CQ544" s="14">
        <f t="shared" si="299"/>
        <v>24</v>
      </c>
      <c r="CR544" s="14">
        <f t="shared" si="300"/>
        <v>5</v>
      </c>
      <c r="CS544" s="14">
        <f t="shared" si="301"/>
        <v>26</v>
      </c>
      <c r="CV544" s="14">
        <f t="shared" si="292"/>
        <v>2</v>
      </c>
      <c r="CW544" s="14">
        <f t="shared" si="293"/>
        <v>0</v>
      </c>
      <c r="CX544" s="14" t="str">
        <f t="shared" si="302"/>
        <v>DefExt</v>
      </c>
      <c r="CY544" s="14">
        <f t="shared" si="303"/>
        <v>376</v>
      </c>
      <c r="CZ544" s="14">
        <f t="shared" si="304"/>
        <v>15.69</v>
      </c>
      <c r="DA544" s="14" t="str">
        <f t="shared" si="305"/>
        <v/>
      </c>
      <c r="DB544" s="14" t="str">
        <f t="shared" si="306"/>
        <v/>
      </c>
      <c r="DC544" s="14" t="str">
        <f t="shared" si="307"/>
        <v/>
      </c>
      <c r="DD544" s="14">
        <f t="shared" si="308"/>
        <v>24</v>
      </c>
      <c r="DE544" s="14">
        <f t="shared" si="309"/>
        <v>5</v>
      </c>
      <c r="DF544" s="14">
        <f t="shared" si="310"/>
        <v>26</v>
      </c>
      <c r="DG544" s="14">
        <f t="shared" si="311"/>
        <v>750</v>
      </c>
    </row>
    <row r="545" spans="77:111" ht="16.5" x14ac:dyDescent="0.2">
      <c r="BY545" s="13">
        <v>541</v>
      </c>
      <c r="BZ545" s="14">
        <f t="shared" si="294"/>
        <v>76</v>
      </c>
      <c r="CA545" s="14">
        <f t="shared" si="295"/>
        <v>8</v>
      </c>
      <c r="CB545" s="14">
        <f t="shared" si="280"/>
        <v>6</v>
      </c>
      <c r="CC545" s="14">
        <f t="shared" si="281"/>
        <v>2064085</v>
      </c>
      <c r="CD545" s="13" t="str">
        <f t="shared" si="282"/>
        <v>120级守护灵橙色套3-鞋子</v>
      </c>
      <c r="CE545" s="14">
        <f t="shared" si="283"/>
        <v>2</v>
      </c>
      <c r="CF545" s="14">
        <f t="shared" si="284"/>
        <v>4</v>
      </c>
      <c r="CG545" s="14">
        <f t="shared" si="296"/>
        <v>120</v>
      </c>
      <c r="CH545" s="14">
        <f t="shared" si="297"/>
        <v>120</v>
      </c>
      <c r="CI545" s="14">
        <f t="shared" si="285"/>
        <v>5</v>
      </c>
      <c r="CJ545" s="14">
        <f t="shared" si="298"/>
        <v>2063</v>
      </c>
      <c r="CK545" s="14">
        <f t="shared" si="286"/>
        <v>0</v>
      </c>
      <c r="CL545" s="14">
        <f t="shared" si="287"/>
        <v>0</v>
      </c>
      <c r="CM545" s="14">
        <f t="shared" si="288"/>
        <v>4041</v>
      </c>
      <c r="CN545" s="14">
        <f t="shared" si="289"/>
        <v>0</v>
      </c>
      <c r="CO545" s="14">
        <f t="shared" si="290"/>
        <v>0</v>
      </c>
      <c r="CP545" s="14">
        <f t="shared" si="291"/>
        <v>168.37</v>
      </c>
      <c r="CQ545" s="14">
        <f t="shared" si="299"/>
        <v>24</v>
      </c>
      <c r="CR545" s="14">
        <f t="shared" si="300"/>
        <v>5</v>
      </c>
      <c r="CS545" s="14">
        <f t="shared" si="301"/>
        <v>26</v>
      </c>
      <c r="CV545" s="14">
        <f t="shared" si="292"/>
        <v>3</v>
      </c>
      <c r="CW545" s="14">
        <f t="shared" si="293"/>
        <v>0</v>
      </c>
      <c r="CX545" s="14" t="str">
        <f t="shared" si="302"/>
        <v>HPExt</v>
      </c>
      <c r="CY545" s="14">
        <f t="shared" si="303"/>
        <v>4041</v>
      </c>
      <c r="CZ545" s="14">
        <f t="shared" si="304"/>
        <v>168.37</v>
      </c>
      <c r="DA545" s="14" t="str">
        <f t="shared" si="305"/>
        <v/>
      </c>
      <c r="DB545" s="14" t="str">
        <f t="shared" si="306"/>
        <v/>
      </c>
      <c r="DC545" s="14" t="str">
        <f t="shared" si="307"/>
        <v/>
      </c>
      <c r="DD545" s="14">
        <f t="shared" si="308"/>
        <v>24</v>
      </c>
      <c r="DE545" s="14">
        <f t="shared" si="309"/>
        <v>5</v>
      </c>
      <c r="DF545" s="14">
        <f t="shared" si="310"/>
        <v>26</v>
      </c>
      <c r="DG545" s="14">
        <f t="shared" si="311"/>
        <v>750</v>
      </c>
    </row>
    <row r="546" spans="77:111" ht="16.5" x14ac:dyDescent="0.2">
      <c r="BY546" s="13">
        <v>542</v>
      </c>
      <c r="BZ546" s="14">
        <f t="shared" ref="BZ546" si="312">MATCH(BY546-1,$BN$5:$BN$81,1)</f>
        <v>76</v>
      </c>
      <c r="CA546" s="14">
        <f t="shared" ref="CA546" si="313">INDEX($BI$6:$BI$81,BZ546)</f>
        <v>8</v>
      </c>
      <c r="CB546" s="14">
        <f t="shared" ref="CB546" si="314">INDEX($BE$6:$BE$81,BZ546)</f>
        <v>6</v>
      </c>
      <c r="CC546" s="14">
        <f t="shared" ref="CC546" si="315">INDEX($BJ$6:$BJ$81,BZ546)+CI546</f>
        <v>2064086</v>
      </c>
      <c r="CD546" s="13" t="str">
        <f t="shared" ref="CD546" si="316">INDEX($BK$6:$BK$81,BZ546)&amp;"-"&amp;INDEX($BO$3:$BV$3,CI546)</f>
        <v>120级守护灵橙色套3-护手</v>
      </c>
      <c r="CE546" s="14">
        <f t="shared" ref="CE546" si="317">INDEX($BH$6:$BH$81,BZ546)</f>
        <v>2</v>
      </c>
      <c r="CF546" s="14">
        <f t="shared" ref="CF546" si="318">INDEX($BG$6:$BG$81,BZ546)</f>
        <v>4</v>
      </c>
      <c r="CG546" s="14">
        <f t="shared" ref="CG546" si="319">INDEX($D$5:$D$16,(CE546-1)*6+CB546)</f>
        <v>120</v>
      </c>
      <c r="CH546" s="14">
        <f t="shared" ref="CH546" si="320">INDEX($D$5:$D$16,(CE546-1)*6+CB546)</f>
        <v>120</v>
      </c>
      <c r="CI546" s="14">
        <f t="shared" ref="CI546" si="321">BY546-INDEX($BN$5:$BN$81,BZ546)</f>
        <v>6</v>
      </c>
      <c r="CJ546" s="14">
        <f t="shared" ref="CJ546" si="322">IF(INDEX($BL$6:$BL$81,BZ546)&gt;0,INDEX($BL$6:$BL$81,BZ546),"")</f>
        <v>2063</v>
      </c>
      <c r="CK546" s="14">
        <f t="shared" ref="CK546" si="323">ROUND(INDEX(I$5:I$16,($CE546-1)*6+$CB546)*INDEX(W$5:W$12,$CI546)*INDEX($AF$5:$AF$8,$CF546),0)</f>
        <v>0</v>
      </c>
      <c r="CL546" s="14">
        <f t="shared" ref="CL546" si="324">ROUND(INDEX(J$5:J$16,($CE546-1)*6+$CB546)*INDEX(X$5:X$12,$CI546)*INDEX($AF$5:$AF$8,$CF546),0)</f>
        <v>0</v>
      </c>
      <c r="CM546" s="14">
        <f t="shared" ref="CM546" si="325">ROUND(INDEX(K$5:K$16,($CE546-1)*6+$CB546)*INDEX(Y$5:Y$12,$CI546)*INDEX($AF$5:$AF$8,$CF546),0)</f>
        <v>4041</v>
      </c>
      <c r="CN546" s="14">
        <f t="shared" ref="CN546" si="326">ROUND(INDEX(E$5:E$16,($CE546-1)*6+$CB546)*INDEX(W$5:W$12,$CI546),2)</f>
        <v>0</v>
      </c>
      <c r="CO546" s="14">
        <f t="shared" ref="CO546" si="327">ROUND(INDEX(F$5:F$16,($CE546-1)*6+$CB546)*INDEX(X$5:X$12,$CI546),2)</f>
        <v>0</v>
      </c>
      <c r="CP546" s="14">
        <f t="shared" ref="CP546" si="328">ROUND(INDEX(G$5:G$16,($CE546-1)*6+$CB546)*INDEX(Y$5:Y$12,$CI546),2)</f>
        <v>168.37</v>
      </c>
      <c r="CQ546" s="14">
        <f t="shared" ref="CQ546" si="329">(CB546-1)*4+CF546</f>
        <v>24</v>
      </c>
      <c r="CR546" s="14">
        <f t="shared" ref="CR546" si="330">INDEX($AY$5:$BB$16,CB546,CF546)</f>
        <v>5</v>
      </c>
      <c r="CS546" s="14">
        <f t="shared" ref="CS546" si="331">CE546*10+CB546</f>
        <v>26</v>
      </c>
      <c r="CV546" s="14">
        <f t="shared" ref="CV546" si="332">INDEX(Z$5:Z$12,$CI546)</f>
        <v>3</v>
      </c>
      <c r="CW546" s="14">
        <f t="shared" ref="CW546" si="333">INDEX(AA$5:AA$12,$CI546)</f>
        <v>0</v>
      </c>
      <c r="CX546" s="14" t="str">
        <f t="shared" ref="CX546" si="334">INDEX($U$3:$W$3,CV546)</f>
        <v>HPExt</v>
      </c>
      <c r="CY546" s="14">
        <f t="shared" ref="CY546" si="335">INDEX(CK546:CM546,CV546)</f>
        <v>4041</v>
      </c>
      <c r="CZ546" s="14">
        <f t="shared" ref="CZ546" si="336">INDEX(CN546:CP546,CV546)</f>
        <v>168.37</v>
      </c>
      <c r="DA546" s="14" t="str">
        <f t="shared" ref="DA546" si="337">IF(CW546&gt;0,INDEX($U$3:$W$3,CW546),"")</f>
        <v/>
      </c>
      <c r="DB546" s="14" t="str">
        <f t="shared" ref="DB546" si="338">IF(CW546&gt;0,INDEX(CK546:CM546,CW546),"")</f>
        <v/>
      </c>
      <c r="DC546" s="14" t="str">
        <f t="shared" ref="DC546" si="339">IF(CW546&gt;0,INDEX(CN546:CP546,CW546),"")</f>
        <v/>
      </c>
      <c r="DD546" s="14">
        <f t="shared" ref="DD546" si="340">(CB546-1)*4+CF546</f>
        <v>24</v>
      </c>
      <c r="DE546" s="14">
        <f t="shared" ref="DE546" si="341">INDEX($AY$5:$BB$16,CB546,CF546)</f>
        <v>5</v>
      </c>
      <c r="DF546" s="14">
        <f t="shared" ref="DF546" si="342">CE546*10+CB546</f>
        <v>26</v>
      </c>
      <c r="DG546" s="14">
        <f t="shared" ref="DG546" si="343">INDEX($N$5:$S$8,CF546,CB546)</f>
        <v>750</v>
      </c>
    </row>
    <row r="547" spans="77:111" ht="16.5" x14ac:dyDescent="0.2">
      <c r="BY547" s="13"/>
      <c r="BZ547" s="14"/>
      <c r="CA547" s="14"/>
      <c r="CB547" s="14"/>
      <c r="CC547" s="14"/>
      <c r="CD547" s="13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  <c r="CS547" s="14"/>
    </row>
    <row r="548" spans="77:111" x14ac:dyDescent="0.2">
      <c r="BY548" s="16"/>
      <c r="BZ548" s="16"/>
      <c r="CA548" s="16"/>
      <c r="CB548" s="16"/>
      <c r="CC548" s="16"/>
      <c r="CD548" s="16"/>
      <c r="CE548" s="16"/>
      <c r="CF548" s="16"/>
      <c r="CG548" s="16"/>
      <c r="CH548" s="16"/>
      <c r="CI548" s="16"/>
      <c r="CJ548" s="16"/>
    </row>
    <row r="549" spans="77:111" x14ac:dyDescent="0.2">
      <c r="BY549" s="16"/>
      <c r="BZ549" s="16"/>
      <c r="CA549" s="16"/>
      <c r="CB549" s="16"/>
      <c r="CC549" s="16"/>
      <c r="CD549" s="16"/>
      <c r="CE549" s="16"/>
      <c r="CF549" s="16"/>
      <c r="CG549" s="16"/>
      <c r="CH549" s="16"/>
      <c r="CI549" s="16"/>
      <c r="CJ549" s="16"/>
    </row>
    <row r="550" spans="77:111" x14ac:dyDescent="0.2">
      <c r="BY550" s="16"/>
      <c r="BZ550" s="16"/>
      <c r="CA550" s="16"/>
      <c r="CB550" s="16"/>
      <c r="CC550" s="16"/>
      <c r="CD550" s="16"/>
      <c r="CE550" s="16"/>
      <c r="CF550" s="16"/>
      <c r="CG550" s="16"/>
      <c r="CH550" s="16"/>
      <c r="CI550" s="16"/>
      <c r="CJ550" s="16"/>
    </row>
    <row r="551" spans="77:111" x14ac:dyDescent="0.2">
      <c r="BY551" s="16"/>
      <c r="BZ551" s="16"/>
      <c r="CA551" s="16"/>
      <c r="CB551" s="16"/>
      <c r="CC551" s="16"/>
      <c r="CD551" s="16"/>
      <c r="CE551" s="16"/>
      <c r="CF551" s="16"/>
      <c r="CG551" s="16"/>
      <c r="CH551" s="16"/>
      <c r="CI551" s="16"/>
      <c r="CJ551" s="16"/>
    </row>
    <row r="552" spans="77:111" x14ac:dyDescent="0.2">
      <c r="BY552" s="16"/>
      <c r="BZ552" s="16"/>
      <c r="CA552" s="16"/>
      <c r="CB552" s="16"/>
      <c r="CC552" s="16"/>
      <c r="CD552" s="16"/>
      <c r="CE552" s="16"/>
      <c r="CF552" s="16"/>
      <c r="CG552" s="16"/>
      <c r="CH552" s="16"/>
      <c r="CI552" s="16"/>
      <c r="CJ552" s="16"/>
    </row>
  </sheetData>
  <mergeCells count="4">
    <mergeCell ref="DN3:DS3"/>
    <mergeCell ref="DU3:DZ3"/>
    <mergeCell ref="EC3:EJ3"/>
    <mergeCell ref="M3:S3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8" sqref="C38"/>
    </sheetView>
  </sheetViews>
  <sheetFormatPr defaultRowHeight="14.25" x14ac:dyDescent="0.2"/>
  <cols>
    <col min="2" max="2" width="15" customWidth="1"/>
    <col min="3" max="4" width="17.875" customWidth="1"/>
    <col min="5" max="5" width="24.875" customWidth="1"/>
    <col min="6" max="7" width="14" customWidth="1"/>
    <col min="8" max="8" width="67.375" customWidth="1"/>
    <col min="9" max="10" width="15.625" customWidth="1"/>
  </cols>
  <sheetData>
    <row r="1" spans="1:8" ht="15" x14ac:dyDescent="0.2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9" t="s">
        <v>25</v>
      </c>
    </row>
    <row r="2" spans="1:8" x14ac:dyDescent="0.2">
      <c r="A2" t="s">
        <v>26</v>
      </c>
      <c r="B2" t="s">
        <v>27</v>
      </c>
      <c r="C2" t="s">
        <v>27</v>
      </c>
      <c r="D2" t="s">
        <v>28</v>
      </c>
      <c r="E2" t="s">
        <v>29</v>
      </c>
      <c r="F2" t="s">
        <v>30</v>
      </c>
      <c r="G2" t="s">
        <v>26</v>
      </c>
      <c r="H2" t="s">
        <v>29</v>
      </c>
    </row>
    <row r="3" spans="1:8" ht="15" x14ac:dyDescent="0.2">
      <c r="A3" s="22" t="s">
        <v>31</v>
      </c>
      <c r="B3" s="22" t="s">
        <v>32</v>
      </c>
      <c r="C3" s="22" t="s">
        <v>33</v>
      </c>
      <c r="D3" s="22" t="s">
        <v>34</v>
      </c>
      <c r="E3" s="22" t="s">
        <v>35</v>
      </c>
      <c r="F3" s="22" t="s">
        <v>36</v>
      </c>
      <c r="G3" s="22" t="s">
        <v>37</v>
      </c>
      <c r="H3" s="22" t="s">
        <v>38</v>
      </c>
    </row>
    <row r="4" spans="1:8" ht="16.5" x14ac:dyDescent="0.2">
      <c r="A4" s="13">
        <v>1</v>
      </c>
      <c r="B4" s="13" t="s">
        <v>39</v>
      </c>
      <c r="C4" s="21" t="s">
        <v>40</v>
      </c>
      <c r="D4" s="21" t="b">
        <v>0</v>
      </c>
      <c r="E4" s="21" t="str">
        <f>C4&amp;" +%d"</f>
        <v>基础攻击 +%d</v>
      </c>
      <c r="F4" s="21">
        <v>1</v>
      </c>
      <c r="G4" s="21">
        <v>10</v>
      </c>
      <c r="H4" s="21" t="s">
        <v>41</v>
      </c>
    </row>
    <row r="5" spans="1:8" ht="16.5" x14ac:dyDescent="0.2">
      <c r="A5" s="13">
        <v>2</v>
      </c>
      <c r="B5" s="13" t="s">
        <v>42</v>
      </c>
      <c r="C5" s="21" t="s">
        <v>43</v>
      </c>
      <c r="D5" s="21" t="b">
        <v>0</v>
      </c>
      <c r="E5" s="21" t="str">
        <f>C5&amp;" +%d"</f>
        <v>基础防御 +%d</v>
      </c>
      <c r="F5" s="21">
        <v>1</v>
      </c>
      <c r="G5" s="21">
        <v>20</v>
      </c>
      <c r="H5" s="21" t="s">
        <v>44</v>
      </c>
    </row>
    <row r="6" spans="1:8" ht="16.5" x14ac:dyDescent="0.2">
      <c r="A6" s="13">
        <v>3</v>
      </c>
      <c r="B6" s="21" t="s">
        <v>45</v>
      </c>
      <c r="C6" s="21" t="s">
        <v>46</v>
      </c>
      <c r="D6" s="21" t="b">
        <v>0</v>
      </c>
      <c r="E6" s="21" t="str">
        <f>C6&amp;" +%d"</f>
        <v>基础生命 +%d</v>
      </c>
      <c r="F6" s="21">
        <v>1</v>
      </c>
      <c r="G6" s="21">
        <v>1</v>
      </c>
      <c r="H6" s="21" t="s">
        <v>47</v>
      </c>
    </row>
    <row r="7" spans="1:8" ht="16.5" x14ac:dyDescent="0.2">
      <c r="A7" s="13">
        <v>4</v>
      </c>
      <c r="B7" s="13" t="s">
        <v>48</v>
      </c>
      <c r="C7" s="13" t="s">
        <v>49</v>
      </c>
      <c r="D7" s="21" t="b">
        <v>0</v>
      </c>
      <c r="E7" s="21" t="str">
        <f>C7&amp;" +%f%%"</f>
        <v>暴击率 +%f%%</v>
      </c>
      <c r="F7" s="21">
        <v>100</v>
      </c>
      <c r="G7" s="21">
        <v>100000</v>
      </c>
      <c r="H7" s="21" t="s">
        <v>50</v>
      </c>
    </row>
    <row r="8" spans="1:8" ht="16.5" x14ac:dyDescent="0.2">
      <c r="A8" s="13">
        <v>5</v>
      </c>
      <c r="B8" s="21" t="s">
        <v>51</v>
      </c>
      <c r="C8" s="13" t="s">
        <v>52</v>
      </c>
      <c r="D8" s="21" t="b">
        <v>0</v>
      </c>
      <c r="E8" s="21" t="str">
        <f t="shared" ref="E8:E18" si="0">C8&amp;" +%f%%"</f>
        <v>暴击伤害 +%f%%</v>
      </c>
      <c r="F8" s="21">
        <v>100</v>
      </c>
      <c r="G8" s="21">
        <v>50000</v>
      </c>
      <c r="H8" s="21" t="s">
        <v>53</v>
      </c>
    </row>
    <row r="9" spans="1:8" ht="16.5" x14ac:dyDescent="0.2">
      <c r="A9" s="13">
        <v>6</v>
      </c>
      <c r="B9" s="13" t="s">
        <v>54</v>
      </c>
      <c r="C9" s="13" t="s">
        <v>55</v>
      </c>
      <c r="D9" s="21" t="b">
        <v>0</v>
      </c>
      <c r="E9" s="21" t="str">
        <f t="shared" si="0"/>
        <v>效果命中 +%f%%</v>
      </c>
      <c r="F9" s="21">
        <v>100</v>
      </c>
      <c r="G9" s="21">
        <v>75000</v>
      </c>
      <c r="H9" s="21" t="s">
        <v>56</v>
      </c>
    </row>
    <row r="10" spans="1:8" ht="15.75" customHeight="1" x14ac:dyDescent="0.2">
      <c r="A10" s="13">
        <v>7</v>
      </c>
      <c r="B10" s="21" t="s">
        <v>57</v>
      </c>
      <c r="C10" s="13" t="s">
        <v>58</v>
      </c>
      <c r="D10" s="21" t="b">
        <v>0</v>
      </c>
      <c r="E10" s="21" t="str">
        <f t="shared" si="0"/>
        <v>效果抵抗 +%f%%</v>
      </c>
      <c r="F10" s="21">
        <v>100</v>
      </c>
      <c r="G10" s="21">
        <v>75000</v>
      </c>
      <c r="H10" s="21" t="s">
        <v>59</v>
      </c>
    </row>
    <row r="11" spans="1:8" ht="18" customHeight="1" x14ac:dyDescent="0.2">
      <c r="A11" s="13">
        <v>8</v>
      </c>
      <c r="B11" s="13" t="s">
        <v>60</v>
      </c>
      <c r="C11" s="13" t="s">
        <v>61</v>
      </c>
      <c r="D11" s="21" t="b">
        <v>1</v>
      </c>
      <c r="E11" s="21" t="str">
        <f t="shared" si="0"/>
        <v>攻击百分比加成 +%f%%</v>
      </c>
      <c r="F11" s="21">
        <v>100</v>
      </c>
      <c r="G11" s="21">
        <v>0</v>
      </c>
      <c r="H11" s="21" t="s">
        <v>62</v>
      </c>
    </row>
    <row r="12" spans="1:8" ht="18" customHeight="1" x14ac:dyDescent="0.2">
      <c r="A12" s="13">
        <v>9</v>
      </c>
      <c r="B12" s="13" t="s">
        <v>63</v>
      </c>
      <c r="C12" s="13" t="s">
        <v>64</v>
      </c>
      <c r="D12" s="21" t="b">
        <v>1</v>
      </c>
      <c r="E12" s="21" t="str">
        <f t="shared" si="0"/>
        <v>防御百分比加成 +%f%%</v>
      </c>
      <c r="F12" s="21">
        <v>100</v>
      </c>
      <c r="G12" s="21">
        <v>0</v>
      </c>
      <c r="H12" s="21" t="s">
        <v>65</v>
      </c>
    </row>
    <row r="13" spans="1:8" ht="18" customHeight="1" x14ac:dyDescent="0.2">
      <c r="A13" s="13">
        <v>10</v>
      </c>
      <c r="B13" s="13" t="s">
        <v>66</v>
      </c>
      <c r="C13" s="13" t="s">
        <v>67</v>
      </c>
      <c r="D13" s="21" t="b">
        <v>1</v>
      </c>
      <c r="E13" s="21" t="str">
        <f t="shared" si="0"/>
        <v>生命百分比加成 +%f%%</v>
      </c>
      <c r="F13" s="21">
        <v>100</v>
      </c>
      <c r="G13" s="21">
        <v>0</v>
      </c>
      <c r="H13" s="21" t="s">
        <v>68</v>
      </c>
    </row>
    <row r="14" spans="1:8" ht="16.5" x14ac:dyDescent="0.2">
      <c r="A14" s="13">
        <v>11</v>
      </c>
      <c r="B14" s="21" t="s">
        <v>69</v>
      </c>
      <c r="C14" s="21" t="s">
        <v>70</v>
      </c>
      <c r="D14" s="21" t="b">
        <v>1</v>
      </c>
      <c r="E14" s="21" t="str">
        <f t="shared" si="0"/>
        <v>攻击 +%f%%</v>
      </c>
      <c r="F14" s="21">
        <v>100</v>
      </c>
      <c r="G14" s="21">
        <v>0</v>
      </c>
      <c r="H14" s="21" t="s">
        <v>71</v>
      </c>
    </row>
    <row r="15" spans="1:8" ht="16.5" x14ac:dyDescent="0.2">
      <c r="A15" s="13">
        <v>12</v>
      </c>
      <c r="B15" s="21" t="s">
        <v>72</v>
      </c>
      <c r="C15" s="21" t="s">
        <v>73</v>
      </c>
      <c r="D15" s="21" t="b">
        <v>1</v>
      </c>
      <c r="E15" s="21" t="str">
        <f t="shared" si="0"/>
        <v>防御 +%f%%</v>
      </c>
      <c r="F15" s="21">
        <v>100</v>
      </c>
      <c r="G15" s="21">
        <v>0</v>
      </c>
      <c r="H15" s="21" t="s">
        <v>74</v>
      </c>
    </row>
    <row r="16" spans="1:8" ht="16.5" x14ac:dyDescent="0.2">
      <c r="A16" s="13">
        <v>13</v>
      </c>
      <c r="B16" s="21" t="s">
        <v>75</v>
      </c>
      <c r="C16" s="21" t="s">
        <v>76</v>
      </c>
      <c r="D16" s="21" t="b">
        <v>1</v>
      </c>
      <c r="E16" s="21" t="str">
        <f t="shared" si="0"/>
        <v>生命 +%f%%</v>
      </c>
      <c r="F16" s="21">
        <v>100</v>
      </c>
      <c r="G16" s="21">
        <v>0</v>
      </c>
      <c r="H16" s="21" t="s">
        <v>77</v>
      </c>
    </row>
    <row r="17" spans="1:8" ht="16.5" x14ac:dyDescent="0.2">
      <c r="A17" s="13">
        <v>14</v>
      </c>
      <c r="B17" s="21" t="s">
        <v>78</v>
      </c>
      <c r="C17" s="21" t="s">
        <v>79</v>
      </c>
      <c r="D17" s="21" t="b">
        <v>0</v>
      </c>
      <c r="E17" s="21" t="str">
        <f t="shared" si="0"/>
        <v>格挡 +%f%%</v>
      </c>
      <c r="F17" s="21">
        <v>100</v>
      </c>
      <c r="G17" s="21">
        <v>0</v>
      </c>
      <c r="H17" s="21" t="s">
        <v>80</v>
      </c>
    </row>
    <row r="18" spans="1:8" ht="16.5" x14ac:dyDescent="0.2">
      <c r="A18" s="13">
        <v>15</v>
      </c>
      <c r="B18" s="21" t="s">
        <v>81</v>
      </c>
      <c r="C18" s="21" t="s">
        <v>82</v>
      </c>
      <c r="D18" s="21" t="b">
        <v>0</v>
      </c>
      <c r="E18" s="21" t="str">
        <f t="shared" si="0"/>
        <v>穿透 +%f%%</v>
      </c>
      <c r="F18" s="21">
        <v>100</v>
      </c>
      <c r="G18" s="21">
        <v>100000</v>
      </c>
      <c r="H18" s="21" t="s">
        <v>83</v>
      </c>
    </row>
    <row r="19" spans="1:8" ht="16.5" x14ac:dyDescent="0.2">
      <c r="A19" s="13">
        <v>16</v>
      </c>
      <c r="B19" s="13" t="s">
        <v>84</v>
      </c>
      <c r="C19" s="21" t="s">
        <v>85</v>
      </c>
      <c r="D19" s="21" t="b">
        <v>1</v>
      </c>
      <c r="E19" s="21" t="str">
        <f>C19&amp;" +%d"</f>
        <v>防御基值 +%d</v>
      </c>
      <c r="F19" s="21">
        <v>1</v>
      </c>
      <c r="G19" s="21">
        <v>0</v>
      </c>
      <c r="H19" s="21" t="s">
        <v>86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81"/>
  <sheetViews>
    <sheetView topLeftCell="A28" workbookViewId="0">
      <selection activeCell="F50" sqref="F50"/>
    </sheetView>
  </sheetViews>
  <sheetFormatPr defaultRowHeight="14.25" x14ac:dyDescent="0.2"/>
  <cols>
    <col min="1" max="2" width="9" style="20" customWidth="1"/>
    <col min="3" max="3" width="9.25" style="20" customWidth="1"/>
    <col min="4" max="4" width="10" style="20" customWidth="1"/>
    <col min="5" max="5" width="11.125" style="20" customWidth="1"/>
    <col min="6" max="6" width="10.625" style="20" customWidth="1"/>
    <col min="7" max="7" width="10.125" style="20" customWidth="1"/>
    <col min="8" max="8" width="10.375" style="20" customWidth="1"/>
    <col min="9" max="9" width="10" style="20" customWidth="1"/>
    <col min="10" max="11" width="9" style="20"/>
    <col min="12" max="12" width="11.125" style="20" customWidth="1"/>
    <col min="13" max="13" width="10.125" style="20" customWidth="1"/>
    <col min="14" max="14" width="9.375" style="20" customWidth="1"/>
    <col min="15" max="15" width="9" style="20"/>
    <col min="16" max="16" width="9.75" style="20" customWidth="1"/>
    <col min="17" max="18" width="9" style="20"/>
    <col min="19" max="19" width="11" style="20" customWidth="1"/>
    <col min="20" max="20" width="11.125" style="20" customWidth="1"/>
    <col min="21" max="21" width="11.375" style="20" customWidth="1"/>
    <col min="22" max="22" width="10.5" style="20" customWidth="1"/>
    <col min="23" max="16384" width="9" style="20"/>
  </cols>
  <sheetData>
    <row r="2" spans="1:22" ht="28.5" x14ac:dyDescent="0.2">
      <c r="A2" s="15" t="s">
        <v>87</v>
      </c>
      <c r="B2" s="23">
        <v>0.5</v>
      </c>
      <c r="C2" s="15" t="s">
        <v>88</v>
      </c>
      <c r="D2" s="23">
        <v>1</v>
      </c>
      <c r="E2" s="15" t="s">
        <v>89</v>
      </c>
      <c r="F2" s="23">
        <v>2</v>
      </c>
      <c r="G2" s="15" t="s">
        <v>90</v>
      </c>
      <c r="H2" s="14">
        <f>B2*F2+D2</f>
        <v>2</v>
      </c>
      <c r="I2" s="15" t="s">
        <v>91</v>
      </c>
      <c r="J2" s="23">
        <v>5</v>
      </c>
      <c r="K2" s="15" t="s">
        <v>92</v>
      </c>
      <c r="L2" s="23">
        <v>5</v>
      </c>
    </row>
    <row r="3" spans="1:22" ht="25.5" customHeight="1" x14ac:dyDescent="0.2">
      <c r="E3" s="15" t="s">
        <v>93</v>
      </c>
      <c r="F3" s="23">
        <v>3</v>
      </c>
    </row>
    <row r="4" spans="1:22" ht="20.25" x14ac:dyDescent="0.2">
      <c r="K4" s="62" t="s">
        <v>113</v>
      </c>
      <c r="L4" s="62"/>
      <c r="P4" s="63" t="s">
        <v>112</v>
      </c>
      <c r="Q4" s="63"/>
      <c r="R4" s="63"/>
      <c r="S4" s="63"/>
      <c r="T4" s="63"/>
      <c r="U4" s="63"/>
      <c r="V4" s="63"/>
    </row>
    <row r="5" spans="1:22" ht="17.25" x14ac:dyDescent="0.2">
      <c r="K5" s="12" t="s">
        <v>114</v>
      </c>
      <c r="L5" s="12" t="s">
        <v>111</v>
      </c>
      <c r="P5" s="12" t="s">
        <v>110</v>
      </c>
      <c r="Q5" s="12" t="s">
        <v>111</v>
      </c>
      <c r="R5" s="12" t="s">
        <v>111</v>
      </c>
      <c r="S5" s="12" t="s">
        <v>16</v>
      </c>
      <c r="T5" s="12" t="s">
        <v>132</v>
      </c>
      <c r="U5" s="12" t="s">
        <v>133</v>
      </c>
      <c r="V5" s="12" t="s">
        <v>131</v>
      </c>
    </row>
    <row r="6" spans="1:22" ht="16.5" x14ac:dyDescent="0.2">
      <c r="B6" s="22" t="s">
        <v>94</v>
      </c>
      <c r="C6" s="22" t="s">
        <v>109</v>
      </c>
      <c r="D6" s="22" t="s">
        <v>544</v>
      </c>
      <c r="E6" s="22" t="s">
        <v>545</v>
      </c>
      <c r="F6" s="22" t="s">
        <v>551</v>
      </c>
      <c r="G6" s="22"/>
      <c r="H6" s="22"/>
      <c r="K6" s="13" t="s">
        <v>14</v>
      </c>
      <c r="L6" s="13">
        <v>0.7</v>
      </c>
      <c r="P6" s="13">
        <v>1</v>
      </c>
      <c r="Q6" s="13">
        <v>1</v>
      </c>
      <c r="R6" s="13">
        <v>1</v>
      </c>
      <c r="S6" s="13">
        <v>20</v>
      </c>
      <c r="T6" s="13"/>
      <c r="U6" s="13"/>
      <c r="V6" s="13"/>
    </row>
    <row r="7" spans="1:22" ht="16.5" x14ac:dyDescent="0.2">
      <c r="A7" s="13" t="s">
        <v>95</v>
      </c>
      <c r="B7" s="13">
        <v>1</v>
      </c>
      <c r="C7" s="13">
        <v>6</v>
      </c>
      <c r="D7" s="13">
        <v>0.25</v>
      </c>
      <c r="E7" s="13">
        <v>21</v>
      </c>
      <c r="F7" s="13">
        <f>L9*Q10</f>
        <v>1.7550000000000001</v>
      </c>
      <c r="G7" s="13"/>
      <c r="H7" s="13"/>
      <c r="K7" s="13" t="s">
        <v>115</v>
      </c>
      <c r="L7" s="13">
        <v>1</v>
      </c>
      <c r="P7" s="13">
        <v>2</v>
      </c>
      <c r="Q7" s="13">
        <v>1.1000000000000001</v>
      </c>
      <c r="R7" s="13">
        <v>1</v>
      </c>
      <c r="S7" s="13">
        <v>30</v>
      </c>
      <c r="T7" s="13"/>
      <c r="U7" s="13"/>
      <c r="V7" s="28">
        <v>0.2</v>
      </c>
    </row>
    <row r="8" spans="1:22" ht="16.5" x14ac:dyDescent="0.2">
      <c r="A8" s="13" t="s">
        <v>96</v>
      </c>
      <c r="B8" s="13">
        <v>1</v>
      </c>
      <c r="C8" s="13">
        <v>9</v>
      </c>
      <c r="D8" s="13">
        <v>0.25</v>
      </c>
      <c r="E8" s="13">
        <v>21</v>
      </c>
      <c r="F8" s="13">
        <f>L9*Q10</f>
        <v>1.7550000000000001</v>
      </c>
      <c r="G8" s="13"/>
      <c r="H8" s="13"/>
      <c r="K8" s="13" t="s">
        <v>17</v>
      </c>
      <c r="L8" s="13">
        <v>1.1499999999999999</v>
      </c>
      <c r="P8" s="13">
        <v>3</v>
      </c>
      <c r="Q8" s="13">
        <v>1.1499999999999999</v>
      </c>
      <c r="R8" s="13">
        <v>1</v>
      </c>
      <c r="S8" s="13">
        <v>50</v>
      </c>
      <c r="T8" s="28">
        <v>0.2</v>
      </c>
      <c r="U8" s="13"/>
      <c r="V8" s="28">
        <v>0.2</v>
      </c>
    </row>
    <row r="9" spans="1:22" ht="16.5" x14ac:dyDescent="0.2">
      <c r="K9" s="13" t="s">
        <v>116</v>
      </c>
      <c r="L9" s="13">
        <v>1.3</v>
      </c>
      <c r="M9" s="39"/>
      <c r="O9" s="39"/>
      <c r="P9" s="13">
        <v>4</v>
      </c>
      <c r="Q9" s="13">
        <v>1.2</v>
      </c>
      <c r="R9" s="13">
        <v>1</v>
      </c>
      <c r="S9" s="13">
        <v>80</v>
      </c>
      <c r="T9" s="28">
        <v>0.25</v>
      </c>
      <c r="U9" s="28">
        <v>0.25</v>
      </c>
      <c r="V9" s="28">
        <v>0.25</v>
      </c>
    </row>
    <row r="10" spans="1:22" ht="16.5" x14ac:dyDescent="0.2">
      <c r="K10" s="13" t="s">
        <v>654</v>
      </c>
      <c r="L10" s="13">
        <v>1.5</v>
      </c>
      <c r="P10" s="13">
        <v>5</v>
      </c>
      <c r="Q10" s="13">
        <v>1.35</v>
      </c>
      <c r="R10" s="13">
        <v>1</v>
      </c>
      <c r="S10" s="13">
        <v>120</v>
      </c>
      <c r="T10" s="28">
        <v>0.4</v>
      </c>
      <c r="U10" s="28">
        <v>0.4</v>
      </c>
      <c r="V10" s="28">
        <v>0.4</v>
      </c>
    </row>
    <row r="11" spans="1:22" x14ac:dyDescent="0.2">
      <c r="P11" s="16"/>
      <c r="Q11" s="16"/>
      <c r="R11" s="16"/>
      <c r="S11" s="16"/>
    </row>
    <row r="12" spans="1:22" ht="20.25" x14ac:dyDescent="0.2">
      <c r="A12" s="63" t="s">
        <v>97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S12" s="16"/>
    </row>
    <row r="13" spans="1:22" ht="17.25" x14ac:dyDescent="0.2">
      <c r="A13" s="12" t="s">
        <v>98</v>
      </c>
      <c r="B13" s="12" t="s">
        <v>538</v>
      </c>
      <c r="C13" s="12" t="s">
        <v>539</v>
      </c>
      <c r="D13" s="12" t="s">
        <v>99</v>
      </c>
      <c r="E13" s="12" t="s">
        <v>100</v>
      </c>
      <c r="F13" s="12" t="s">
        <v>101</v>
      </c>
      <c r="G13" s="12" t="s">
        <v>540</v>
      </c>
      <c r="H13" s="12" t="s">
        <v>467</v>
      </c>
      <c r="I13" s="12" t="s">
        <v>468</v>
      </c>
      <c r="J13" s="12" t="s">
        <v>103</v>
      </c>
      <c r="K13" s="12" t="s">
        <v>104</v>
      </c>
      <c r="L13" s="12" t="s">
        <v>102</v>
      </c>
      <c r="M13" s="12" t="s">
        <v>105</v>
      </c>
      <c r="N13" s="12" t="s">
        <v>550</v>
      </c>
      <c r="O13" s="12" t="s">
        <v>15</v>
      </c>
      <c r="S13" s="16"/>
      <c r="V13" s="12" t="s">
        <v>471</v>
      </c>
    </row>
    <row r="14" spans="1:22" ht="16.5" x14ac:dyDescent="0.2">
      <c r="A14" s="13">
        <v>1</v>
      </c>
      <c r="B14" s="13">
        <v>1</v>
      </c>
      <c r="C14" s="13">
        <v>10</v>
      </c>
      <c r="D14" s="13">
        <v>15</v>
      </c>
      <c r="E14" s="14">
        <f t="shared" ref="E14:E34" si="0">D14/2</f>
        <v>7.5</v>
      </c>
      <c r="F14" s="14">
        <f t="shared" ref="F14" si="1">D14*$C$7/2</f>
        <v>45</v>
      </c>
      <c r="G14" s="13">
        <v>100</v>
      </c>
      <c r="H14" s="13">
        <v>0</v>
      </c>
      <c r="I14" s="13">
        <v>500</v>
      </c>
      <c r="J14" s="14">
        <f>G14</f>
        <v>100</v>
      </c>
      <c r="K14" s="14">
        <f>H14</f>
        <v>0</v>
      </c>
      <c r="L14" s="14">
        <f>I14</f>
        <v>500</v>
      </c>
      <c r="M14" s="17">
        <f t="shared" ref="M14" si="2">D14/J14</f>
        <v>0.15</v>
      </c>
      <c r="N14" s="14">
        <f t="shared" ref="N14" si="3">(1+M14)*(1+M14)</f>
        <v>1.3224999999999998</v>
      </c>
      <c r="O14" s="14">
        <v>50</v>
      </c>
      <c r="Q14" s="24"/>
      <c r="S14" s="16"/>
      <c r="U14" s="15" t="s">
        <v>472</v>
      </c>
      <c r="V14" s="28">
        <v>0.5</v>
      </c>
    </row>
    <row r="15" spans="1:22" ht="16.5" x14ac:dyDescent="0.2">
      <c r="A15" s="13">
        <v>2</v>
      </c>
      <c r="B15" s="13">
        <v>10</v>
      </c>
      <c r="C15" s="13">
        <v>40</v>
      </c>
      <c r="D15" s="14">
        <f>ROUND(J15*M15,2)</f>
        <v>13.77</v>
      </c>
      <c r="E15" s="14">
        <f t="shared" si="0"/>
        <v>6.8849999999999998</v>
      </c>
      <c r="F15" s="14">
        <f t="shared" ref="F15:F34" si="4">D15*$C$7/2</f>
        <v>41.31</v>
      </c>
      <c r="G15" s="14">
        <v>10</v>
      </c>
      <c r="H15" s="14">
        <f>ROUND(E14*($B15-B14)*$D$7,0)</f>
        <v>17</v>
      </c>
      <c r="I15" s="14">
        <f>G15*$C$7/2</f>
        <v>30</v>
      </c>
      <c r="J15" s="14">
        <f>J14+D14*($B15-$B14)+G15</f>
        <v>245</v>
      </c>
      <c r="K15" s="14">
        <f t="shared" ref="K15:L15" si="5">K14+E14*($B15-$B14)+H15</f>
        <v>84.5</v>
      </c>
      <c r="L15" s="14">
        <f t="shared" si="5"/>
        <v>935</v>
      </c>
      <c r="M15" s="38">
        <v>5.62E-2</v>
      </c>
      <c r="N15" s="14">
        <f t="shared" ref="N15:N34" si="6">(1+M15)*(1+M15)</f>
        <v>1.11555844</v>
      </c>
      <c r="O15" s="14">
        <f>ROUND((O$14+K15*3)/50,0)*50</f>
        <v>300</v>
      </c>
      <c r="P15" s="20">
        <v>300</v>
      </c>
      <c r="Q15" s="24"/>
      <c r="S15" s="16"/>
      <c r="U15" s="15" t="s">
        <v>473</v>
      </c>
      <c r="V15" s="28">
        <v>0.2</v>
      </c>
    </row>
    <row r="16" spans="1:22" ht="16.5" x14ac:dyDescent="0.2">
      <c r="A16" s="13">
        <v>3</v>
      </c>
      <c r="B16" s="13">
        <v>20</v>
      </c>
      <c r="C16" s="13">
        <v>40</v>
      </c>
      <c r="D16" s="14">
        <f t="shared" ref="D16" si="7">ROUND(J16*M16,2)</f>
        <v>25.17</v>
      </c>
      <c r="E16" s="14">
        <f t="shared" ref="E16" si="8">D16/2</f>
        <v>12.585000000000001</v>
      </c>
      <c r="F16" s="14">
        <f t="shared" ref="F16" si="9">D16*$C$7/2</f>
        <v>75.510000000000005</v>
      </c>
      <c r="G16" s="14">
        <f>ROUND(D15*($B16-$B15)*$D$7,0)</f>
        <v>34</v>
      </c>
      <c r="H16" s="14">
        <f>ROUND(E15*($B16-$B15)*$D$7,0)</f>
        <v>17</v>
      </c>
      <c r="I16" s="14">
        <f t="shared" ref="I16" si="10">G16*$C$7/2</f>
        <v>102</v>
      </c>
      <c r="J16" s="14">
        <f>J15+D15*($B16-$B15)+G16</f>
        <v>416.7</v>
      </c>
      <c r="K16" s="14">
        <f t="shared" ref="K16:K34" si="11">K15+E15*($B16-$B15)+H16</f>
        <v>170.35</v>
      </c>
      <c r="L16" s="14">
        <f t="shared" ref="L16:L34" si="12">L15+F15*($B16-$B15)+I16</f>
        <v>1450.1</v>
      </c>
      <c r="M16" s="38">
        <v>6.0400000000000002E-2</v>
      </c>
      <c r="N16" s="14">
        <f t="shared" si="6"/>
        <v>1.12444816</v>
      </c>
      <c r="O16" s="14">
        <f t="shared" ref="O16:O35" si="13">ROUND((O$14+K16*3)/50,0)*50</f>
        <v>550</v>
      </c>
      <c r="P16" s="20">
        <v>500</v>
      </c>
      <c r="Q16" s="24"/>
      <c r="S16" s="16"/>
      <c r="U16" s="15" t="s">
        <v>474</v>
      </c>
      <c r="V16" s="28">
        <v>0.2</v>
      </c>
    </row>
    <row r="17" spans="1:22" ht="16.5" x14ac:dyDescent="0.2">
      <c r="A17" s="13">
        <v>4</v>
      </c>
      <c r="B17" s="13">
        <v>30</v>
      </c>
      <c r="C17" s="13">
        <v>40</v>
      </c>
      <c r="D17" s="14">
        <f t="shared" ref="D17:D34" si="14">ROUND(J17*M17,2)</f>
        <v>30.13</v>
      </c>
      <c r="E17" s="14">
        <f t="shared" si="0"/>
        <v>15.065</v>
      </c>
      <c r="F17" s="14">
        <f t="shared" si="4"/>
        <v>90.39</v>
      </c>
      <c r="G17" s="14">
        <f t="shared" ref="G17:G34" si="15">ROUND(D16*($B17-$B16)*$D$7,0)</f>
        <v>63</v>
      </c>
      <c r="H17" s="14">
        <f t="shared" ref="H17:H34" si="16">ROUND(E16*($B17-$B16)*$D$7,0)</f>
        <v>31</v>
      </c>
      <c r="I17" s="14">
        <f t="shared" ref="I17:I34" si="17">G17*$C$7/2</f>
        <v>189</v>
      </c>
      <c r="J17" s="14">
        <f t="shared" ref="J17:J34" si="18">J16+D16*($B17-$B16)+G17</f>
        <v>731.4</v>
      </c>
      <c r="K17" s="14">
        <f t="shared" si="11"/>
        <v>327.2</v>
      </c>
      <c r="L17" s="14">
        <f t="shared" si="12"/>
        <v>2394.1999999999998</v>
      </c>
      <c r="M17" s="38">
        <v>4.1200000000000001E-2</v>
      </c>
      <c r="N17" s="14">
        <f t="shared" si="6"/>
        <v>1.0840974399999999</v>
      </c>
      <c r="O17" s="14">
        <f t="shared" si="13"/>
        <v>1050</v>
      </c>
      <c r="P17" s="20">
        <v>1000</v>
      </c>
      <c r="Q17" s="24"/>
      <c r="S17" s="16"/>
      <c r="U17" s="15" t="s">
        <v>475</v>
      </c>
      <c r="V17" s="28">
        <v>0.1</v>
      </c>
    </row>
    <row r="18" spans="1:22" ht="16.5" x14ac:dyDescent="0.2">
      <c r="A18" s="13">
        <v>5</v>
      </c>
      <c r="B18" s="13">
        <v>40</v>
      </c>
      <c r="C18" s="13">
        <v>80</v>
      </c>
      <c r="D18" s="14">
        <f t="shared" si="14"/>
        <v>37.659999999999997</v>
      </c>
      <c r="E18" s="14">
        <f t="shared" si="0"/>
        <v>18.829999999999998</v>
      </c>
      <c r="F18" s="14">
        <f t="shared" si="4"/>
        <v>112.97999999999999</v>
      </c>
      <c r="G18" s="14">
        <f t="shared" si="15"/>
        <v>75</v>
      </c>
      <c r="H18" s="14">
        <f t="shared" si="16"/>
        <v>38</v>
      </c>
      <c r="I18" s="14">
        <f t="shared" si="17"/>
        <v>225</v>
      </c>
      <c r="J18" s="14">
        <f t="shared" si="18"/>
        <v>1107.7</v>
      </c>
      <c r="K18" s="14">
        <f t="shared" si="11"/>
        <v>515.85</v>
      </c>
      <c r="L18" s="14">
        <f t="shared" si="12"/>
        <v>3523.1</v>
      </c>
      <c r="M18" s="38">
        <v>3.4000000000000002E-2</v>
      </c>
      <c r="N18" s="14">
        <f t="shared" si="6"/>
        <v>1.069156</v>
      </c>
      <c r="O18" s="14">
        <f t="shared" si="13"/>
        <v>1600</v>
      </c>
      <c r="P18" s="20">
        <v>1500</v>
      </c>
      <c r="Q18" s="24"/>
      <c r="S18" s="16"/>
    </row>
    <row r="19" spans="1:22" ht="17.25" x14ac:dyDescent="0.2">
      <c r="A19" s="13">
        <v>6</v>
      </c>
      <c r="B19" s="13">
        <v>50</v>
      </c>
      <c r="C19" s="13">
        <v>80</v>
      </c>
      <c r="D19" s="14">
        <f t="shared" si="14"/>
        <v>48.85</v>
      </c>
      <c r="E19" s="14">
        <f t="shared" si="0"/>
        <v>24.425000000000001</v>
      </c>
      <c r="F19" s="14">
        <f t="shared" si="4"/>
        <v>146.55000000000001</v>
      </c>
      <c r="G19" s="14">
        <f t="shared" si="15"/>
        <v>94</v>
      </c>
      <c r="H19" s="14">
        <f t="shared" si="16"/>
        <v>47</v>
      </c>
      <c r="I19" s="14">
        <f t="shared" si="17"/>
        <v>282</v>
      </c>
      <c r="J19" s="14">
        <f t="shared" si="18"/>
        <v>1578.3</v>
      </c>
      <c r="K19" s="14">
        <f t="shared" si="11"/>
        <v>751.15</v>
      </c>
      <c r="L19" s="14">
        <f t="shared" si="12"/>
        <v>4934.8999999999996</v>
      </c>
      <c r="M19" s="38">
        <v>3.0949999999999998E-2</v>
      </c>
      <c r="N19" s="14">
        <f t="shared" si="6"/>
        <v>1.0628579025</v>
      </c>
      <c r="O19" s="14">
        <f t="shared" si="13"/>
        <v>2300</v>
      </c>
      <c r="P19" s="20">
        <v>2500</v>
      </c>
      <c r="R19" s="12" t="s">
        <v>665</v>
      </c>
      <c r="S19" s="12" t="s">
        <v>666</v>
      </c>
      <c r="T19" s="12" t="s">
        <v>667</v>
      </c>
    </row>
    <row r="20" spans="1:22" ht="16.5" x14ac:dyDescent="0.2">
      <c r="A20" s="13">
        <v>7</v>
      </c>
      <c r="B20" s="13">
        <v>60</v>
      </c>
      <c r="C20" s="13">
        <v>80</v>
      </c>
      <c r="D20" s="14">
        <f t="shared" si="14"/>
        <v>60.19</v>
      </c>
      <c r="E20" s="14">
        <f t="shared" si="0"/>
        <v>30.094999999999999</v>
      </c>
      <c r="F20" s="14">
        <f t="shared" si="4"/>
        <v>180.57</v>
      </c>
      <c r="G20" s="14">
        <f t="shared" si="15"/>
        <v>122</v>
      </c>
      <c r="H20" s="14">
        <f t="shared" si="16"/>
        <v>61</v>
      </c>
      <c r="I20" s="14">
        <f t="shared" si="17"/>
        <v>366</v>
      </c>
      <c r="J20" s="14">
        <f t="shared" si="18"/>
        <v>2188.8000000000002</v>
      </c>
      <c r="K20" s="14">
        <f t="shared" si="11"/>
        <v>1056.4000000000001</v>
      </c>
      <c r="L20" s="14">
        <f t="shared" si="12"/>
        <v>6766.4</v>
      </c>
      <c r="M20" s="38">
        <v>2.75E-2</v>
      </c>
      <c r="N20" s="14">
        <f t="shared" si="6"/>
        <v>1.0557562500000002</v>
      </c>
      <c r="O20" s="14">
        <f t="shared" si="13"/>
        <v>3200</v>
      </c>
      <c r="P20" s="20">
        <v>3200</v>
      </c>
      <c r="Q20" s="13" t="s">
        <v>15</v>
      </c>
      <c r="R20" s="13">
        <v>0</v>
      </c>
      <c r="S20" s="13">
        <v>0</v>
      </c>
      <c r="T20" s="13">
        <v>0</v>
      </c>
    </row>
    <row r="21" spans="1:22" ht="16.5" x14ac:dyDescent="0.2">
      <c r="A21" s="13">
        <v>8</v>
      </c>
      <c r="B21" s="13">
        <v>70</v>
      </c>
      <c r="C21" s="13">
        <v>80</v>
      </c>
      <c r="D21" s="14">
        <f t="shared" si="14"/>
        <v>75.19</v>
      </c>
      <c r="E21" s="14">
        <f t="shared" si="0"/>
        <v>37.594999999999999</v>
      </c>
      <c r="F21" s="14">
        <f t="shared" si="4"/>
        <v>225.57</v>
      </c>
      <c r="G21" s="14">
        <f t="shared" si="15"/>
        <v>150</v>
      </c>
      <c r="H21" s="14">
        <f t="shared" si="16"/>
        <v>75</v>
      </c>
      <c r="I21" s="14">
        <f t="shared" si="17"/>
        <v>450</v>
      </c>
      <c r="J21" s="14">
        <f t="shared" si="18"/>
        <v>2940.7000000000003</v>
      </c>
      <c r="K21" s="14">
        <f t="shared" si="11"/>
        <v>1432.3500000000001</v>
      </c>
      <c r="L21" s="14">
        <f t="shared" si="12"/>
        <v>9022.0999999999985</v>
      </c>
      <c r="M21" s="38">
        <v>2.5569999999999999E-2</v>
      </c>
      <c r="N21" s="14">
        <f t="shared" si="6"/>
        <v>1.0517938249000003</v>
      </c>
      <c r="O21" s="14">
        <f t="shared" si="13"/>
        <v>4350</v>
      </c>
      <c r="P21" s="33">
        <v>4500</v>
      </c>
      <c r="Q21" s="13" t="s">
        <v>17</v>
      </c>
      <c r="R21" s="13">
        <v>50</v>
      </c>
      <c r="S21" s="13">
        <v>0</v>
      </c>
      <c r="T21" s="13">
        <v>500</v>
      </c>
    </row>
    <row r="22" spans="1:22" ht="16.5" x14ac:dyDescent="0.2">
      <c r="A22" s="13">
        <v>9</v>
      </c>
      <c r="B22" s="13">
        <v>80</v>
      </c>
      <c r="C22" s="13">
        <v>100</v>
      </c>
      <c r="D22" s="14">
        <f t="shared" si="14"/>
        <v>97.79</v>
      </c>
      <c r="E22" s="14">
        <f t="shared" si="0"/>
        <v>48.895000000000003</v>
      </c>
      <c r="F22" s="14">
        <f t="shared" si="4"/>
        <v>293.37</v>
      </c>
      <c r="G22" s="14">
        <f t="shared" si="15"/>
        <v>188</v>
      </c>
      <c r="H22" s="14">
        <f t="shared" si="16"/>
        <v>94</v>
      </c>
      <c r="I22" s="14">
        <f t="shared" si="17"/>
        <v>564</v>
      </c>
      <c r="J22" s="14">
        <f t="shared" si="18"/>
        <v>3880.6000000000004</v>
      </c>
      <c r="K22" s="14">
        <f t="shared" si="11"/>
        <v>1902.3000000000002</v>
      </c>
      <c r="L22" s="14">
        <f t="shared" si="12"/>
        <v>11841.8</v>
      </c>
      <c r="M22" s="38">
        <v>2.52E-2</v>
      </c>
      <c r="N22" s="14">
        <f t="shared" si="6"/>
        <v>1.0510350399999997</v>
      </c>
      <c r="O22" s="14">
        <f t="shared" si="13"/>
        <v>5750</v>
      </c>
      <c r="P22" s="33">
        <v>5750</v>
      </c>
      <c r="Q22" s="13" t="s">
        <v>116</v>
      </c>
      <c r="R22" s="13">
        <v>100</v>
      </c>
      <c r="S22" s="13">
        <v>0</v>
      </c>
      <c r="T22" s="13">
        <v>500</v>
      </c>
    </row>
    <row r="23" spans="1:22" ht="16.5" x14ac:dyDescent="0.2">
      <c r="A23" s="13">
        <v>10</v>
      </c>
      <c r="B23" s="13">
        <v>85</v>
      </c>
      <c r="C23" s="13">
        <v>100</v>
      </c>
      <c r="D23" s="14">
        <f t="shared" si="14"/>
        <v>112.83</v>
      </c>
      <c r="E23" s="14">
        <f t="shared" si="0"/>
        <v>56.414999999999999</v>
      </c>
      <c r="F23" s="14">
        <f t="shared" si="4"/>
        <v>338.49</v>
      </c>
      <c r="G23" s="14">
        <f t="shared" si="15"/>
        <v>122</v>
      </c>
      <c r="H23" s="14">
        <f t="shared" si="16"/>
        <v>61</v>
      </c>
      <c r="I23" s="14">
        <f t="shared" si="17"/>
        <v>366</v>
      </c>
      <c r="J23" s="14">
        <f t="shared" si="18"/>
        <v>4491.55</v>
      </c>
      <c r="K23" s="14">
        <f t="shared" si="11"/>
        <v>2207.7750000000001</v>
      </c>
      <c r="L23" s="14">
        <f t="shared" si="12"/>
        <v>13674.65</v>
      </c>
      <c r="M23" s="38">
        <v>2.512E-2</v>
      </c>
      <c r="N23" s="14">
        <f t="shared" si="6"/>
        <v>1.0508710144</v>
      </c>
      <c r="O23" s="14">
        <f t="shared" si="13"/>
        <v>6650</v>
      </c>
      <c r="P23" s="33">
        <v>6500</v>
      </c>
      <c r="Q23" s="13" t="s">
        <v>669</v>
      </c>
      <c r="R23" s="13">
        <v>150</v>
      </c>
      <c r="S23" s="13">
        <v>0</v>
      </c>
      <c r="T23" s="13">
        <v>750</v>
      </c>
    </row>
    <row r="24" spans="1:22" ht="17.25" x14ac:dyDescent="0.2">
      <c r="A24" s="13">
        <v>11</v>
      </c>
      <c r="B24" s="13">
        <v>90</v>
      </c>
      <c r="C24" s="13">
        <v>100</v>
      </c>
      <c r="D24" s="14">
        <f t="shared" si="14"/>
        <v>131.58000000000001</v>
      </c>
      <c r="E24" s="14">
        <f t="shared" si="0"/>
        <v>65.790000000000006</v>
      </c>
      <c r="F24" s="14">
        <f t="shared" si="4"/>
        <v>394.74</v>
      </c>
      <c r="G24" s="14">
        <f t="shared" si="15"/>
        <v>141</v>
      </c>
      <c r="H24" s="14">
        <f t="shared" si="16"/>
        <v>71</v>
      </c>
      <c r="I24" s="14">
        <f t="shared" si="17"/>
        <v>423</v>
      </c>
      <c r="J24" s="14">
        <f t="shared" si="18"/>
        <v>5196.7</v>
      </c>
      <c r="K24" s="14">
        <f t="shared" si="11"/>
        <v>2560.85</v>
      </c>
      <c r="L24" s="14">
        <f t="shared" si="12"/>
        <v>15790.1</v>
      </c>
      <c r="M24" s="38">
        <v>2.5319999999999999E-2</v>
      </c>
      <c r="N24" s="14">
        <f t="shared" si="6"/>
        <v>1.0512811023999999</v>
      </c>
      <c r="O24" s="14">
        <f t="shared" si="13"/>
        <v>7750</v>
      </c>
      <c r="P24" s="33">
        <v>7750</v>
      </c>
      <c r="R24" s="12" t="s">
        <v>665</v>
      </c>
      <c r="S24" s="12" t="s">
        <v>666</v>
      </c>
      <c r="T24" s="12" t="s">
        <v>667</v>
      </c>
    </row>
    <row r="25" spans="1:22" ht="16.5" x14ac:dyDescent="0.2">
      <c r="A25" s="13">
        <v>12</v>
      </c>
      <c r="B25" s="13">
        <v>95</v>
      </c>
      <c r="C25" s="13">
        <v>100</v>
      </c>
      <c r="D25" s="14">
        <f t="shared" si="14"/>
        <v>150.47</v>
      </c>
      <c r="E25" s="14">
        <f t="shared" si="0"/>
        <v>75.234999999999999</v>
      </c>
      <c r="F25" s="14">
        <f t="shared" si="4"/>
        <v>451.40999999999997</v>
      </c>
      <c r="G25" s="14">
        <f t="shared" si="15"/>
        <v>164</v>
      </c>
      <c r="H25" s="14">
        <f t="shared" si="16"/>
        <v>82</v>
      </c>
      <c r="I25" s="14">
        <f t="shared" si="17"/>
        <v>492</v>
      </c>
      <c r="J25" s="14">
        <f t="shared" si="18"/>
        <v>6018.6</v>
      </c>
      <c r="K25" s="14">
        <f t="shared" si="11"/>
        <v>2971.8</v>
      </c>
      <c r="L25" s="14">
        <f t="shared" si="12"/>
        <v>18255.8</v>
      </c>
      <c r="M25" s="38">
        <v>2.5000000000000001E-2</v>
      </c>
      <c r="N25" s="14">
        <f t="shared" si="6"/>
        <v>1.0506249999999999</v>
      </c>
      <c r="O25" s="14">
        <f t="shared" si="13"/>
        <v>8950</v>
      </c>
      <c r="P25" s="33">
        <v>9000</v>
      </c>
      <c r="Q25" s="13" t="s">
        <v>15</v>
      </c>
      <c r="R25" s="13">
        <v>0</v>
      </c>
      <c r="S25" s="13">
        <v>0</v>
      </c>
      <c r="T25" s="13">
        <v>0</v>
      </c>
    </row>
    <row r="26" spans="1:22" ht="16.5" x14ac:dyDescent="0.2">
      <c r="A26" s="13">
        <v>13</v>
      </c>
      <c r="B26" s="13">
        <v>100</v>
      </c>
      <c r="C26" s="13">
        <v>120</v>
      </c>
      <c r="D26" s="14">
        <f t="shared" si="14"/>
        <v>173.97</v>
      </c>
      <c r="E26" s="14">
        <f t="shared" si="0"/>
        <v>86.984999999999999</v>
      </c>
      <c r="F26" s="14">
        <f t="shared" si="4"/>
        <v>521.91</v>
      </c>
      <c r="G26" s="14">
        <f t="shared" si="15"/>
        <v>188</v>
      </c>
      <c r="H26" s="14">
        <f t="shared" si="16"/>
        <v>94</v>
      </c>
      <c r="I26" s="14">
        <f t="shared" si="17"/>
        <v>564</v>
      </c>
      <c r="J26" s="14">
        <f t="shared" si="18"/>
        <v>6958.9500000000007</v>
      </c>
      <c r="K26" s="14">
        <f t="shared" si="11"/>
        <v>3441.9750000000004</v>
      </c>
      <c r="L26" s="14">
        <f t="shared" si="12"/>
        <v>21076.85</v>
      </c>
      <c r="M26" s="38">
        <v>2.5000000000000001E-2</v>
      </c>
      <c r="N26" s="14">
        <f t="shared" si="6"/>
        <v>1.0506249999999999</v>
      </c>
      <c r="O26" s="14">
        <f t="shared" si="13"/>
        <v>10400</v>
      </c>
      <c r="P26" s="33">
        <v>10000</v>
      </c>
      <c r="Q26" s="13" t="s">
        <v>17</v>
      </c>
      <c r="R26" s="13">
        <v>100</v>
      </c>
      <c r="S26" s="13">
        <v>0</v>
      </c>
      <c r="T26" s="13">
        <v>500</v>
      </c>
    </row>
    <row r="27" spans="1:22" ht="16.5" x14ac:dyDescent="0.2">
      <c r="A27" s="13">
        <v>14</v>
      </c>
      <c r="B27" s="13">
        <v>105</v>
      </c>
      <c r="C27" s="13">
        <v>120</v>
      </c>
      <c r="D27" s="14">
        <f t="shared" si="14"/>
        <v>201.15</v>
      </c>
      <c r="E27" s="14">
        <f t="shared" si="0"/>
        <v>100.575</v>
      </c>
      <c r="F27" s="14">
        <f t="shared" si="4"/>
        <v>603.45000000000005</v>
      </c>
      <c r="G27" s="14">
        <f t="shared" si="15"/>
        <v>217</v>
      </c>
      <c r="H27" s="14">
        <f t="shared" si="16"/>
        <v>109</v>
      </c>
      <c r="I27" s="14">
        <f t="shared" si="17"/>
        <v>651</v>
      </c>
      <c r="J27" s="14">
        <f t="shared" si="18"/>
        <v>8045.8000000000011</v>
      </c>
      <c r="K27" s="14">
        <f t="shared" si="11"/>
        <v>3985.9000000000005</v>
      </c>
      <c r="L27" s="14">
        <f t="shared" si="12"/>
        <v>24337.399999999998</v>
      </c>
      <c r="M27" s="38">
        <v>2.5000000000000001E-2</v>
      </c>
      <c r="N27" s="14">
        <f t="shared" si="6"/>
        <v>1.0506249999999999</v>
      </c>
      <c r="O27" s="14">
        <f t="shared" si="13"/>
        <v>12000</v>
      </c>
      <c r="P27" s="33">
        <v>12000</v>
      </c>
      <c r="Q27" s="13" t="s">
        <v>116</v>
      </c>
      <c r="R27" s="13">
        <v>200</v>
      </c>
      <c r="S27" s="13">
        <v>0</v>
      </c>
      <c r="T27" s="13">
        <v>1000</v>
      </c>
    </row>
    <row r="28" spans="1:22" ht="16.5" x14ac:dyDescent="0.2">
      <c r="A28" s="13">
        <v>15</v>
      </c>
      <c r="B28" s="13">
        <v>110</v>
      </c>
      <c r="C28" s="13">
        <v>120</v>
      </c>
      <c r="D28" s="14">
        <f t="shared" si="14"/>
        <v>232.56</v>
      </c>
      <c r="E28" s="14">
        <f t="shared" si="0"/>
        <v>116.28</v>
      </c>
      <c r="F28" s="14">
        <f t="shared" si="4"/>
        <v>697.68000000000006</v>
      </c>
      <c r="G28" s="14">
        <f t="shared" si="15"/>
        <v>251</v>
      </c>
      <c r="H28" s="14">
        <f t="shared" si="16"/>
        <v>126</v>
      </c>
      <c r="I28" s="14">
        <f t="shared" si="17"/>
        <v>753</v>
      </c>
      <c r="J28" s="14">
        <f t="shared" si="18"/>
        <v>9302.5500000000011</v>
      </c>
      <c r="K28" s="14">
        <f t="shared" si="11"/>
        <v>4614.7750000000005</v>
      </c>
      <c r="L28" s="14">
        <f t="shared" si="12"/>
        <v>28107.649999999998</v>
      </c>
      <c r="M28" s="38">
        <v>2.5000000000000001E-2</v>
      </c>
      <c r="N28" s="14">
        <f t="shared" si="6"/>
        <v>1.0506249999999999</v>
      </c>
      <c r="O28" s="14">
        <f t="shared" si="13"/>
        <v>13900</v>
      </c>
      <c r="P28" s="33">
        <v>14000</v>
      </c>
      <c r="Q28" s="13" t="s">
        <v>669</v>
      </c>
      <c r="R28" s="13">
        <v>450</v>
      </c>
      <c r="S28" s="13">
        <v>0</v>
      </c>
      <c r="T28" s="13">
        <v>2500</v>
      </c>
    </row>
    <row r="29" spans="1:22" ht="16.5" x14ac:dyDescent="0.2">
      <c r="A29" s="13">
        <v>16</v>
      </c>
      <c r="B29" s="13">
        <v>115</v>
      </c>
      <c r="C29" s="13">
        <v>120</v>
      </c>
      <c r="D29" s="14">
        <f t="shared" si="14"/>
        <v>268.91000000000003</v>
      </c>
      <c r="E29" s="14">
        <f t="shared" si="0"/>
        <v>134.45500000000001</v>
      </c>
      <c r="F29" s="14">
        <f t="shared" si="4"/>
        <v>806.73</v>
      </c>
      <c r="G29" s="14">
        <f t="shared" si="15"/>
        <v>291</v>
      </c>
      <c r="H29" s="14">
        <f t="shared" si="16"/>
        <v>145</v>
      </c>
      <c r="I29" s="14">
        <f t="shared" si="17"/>
        <v>873</v>
      </c>
      <c r="J29" s="14">
        <f t="shared" si="18"/>
        <v>10756.35</v>
      </c>
      <c r="K29" s="14">
        <f t="shared" si="11"/>
        <v>5341.1750000000002</v>
      </c>
      <c r="L29" s="14">
        <f t="shared" si="12"/>
        <v>32469.05</v>
      </c>
      <c r="M29" s="38">
        <v>2.5000000000000001E-2</v>
      </c>
      <c r="N29" s="14">
        <f t="shared" si="6"/>
        <v>1.0506249999999999</v>
      </c>
      <c r="O29" s="14">
        <f t="shared" si="13"/>
        <v>16050</v>
      </c>
      <c r="P29" s="33">
        <v>16000</v>
      </c>
      <c r="Q29" s="24"/>
    </row>
    <row r="30" spans="1:22" ht="16.5" x14ac:dyDescent="0.2">
      <c r="A30" s="13">
        <v>17</v>
      </c>
      <c r="B30" s="13">
        <v>120</v>
      </c>
      <c r="C30" s="13">
        <v>140</v>
      </c>
      <c r="D30" s="14">
        <f t="shared" si="14"/>
        <v>310.92</v>
      </c>
      <c r="E30" s="14">
        <f t="shared" si="0"/>
        <v>155.46</v>
      </c>
      <c r="F30" s="14">
        <f t="shared" si="4"/>
        <v>932.76</v>
      </c>
      <c r="G30" s="14">
        <f t="shared" si="15"/>
        <v>336</v>
      </c>
      <c r="H30" s="14">
        <f t="shared" si="16"/>
        <v>168</v>
      </c>
      <c r="I30" s="14">
        <f t="shared" si="17"/>
        <v>1008</v>
      </c>
      <c r="J30" s="14">
        <f t="shared" si="18"/>
        <v>12436.900000000001</v>
      </c>
      <c r="K30" s="14">
        <f t="shared" si="11"/>
        <v>6181.4500000000007</v>
      </c>
      <c r="L30" s="14">
        <f t="shared" si="12"/>
        <v>37510.699999999997</v>
      </c>
      <c r="M30" s="38">
        <v>2.5000000000000001E-2</v>
      </c>
      <c r="N30" s="14">
        <f t="shared" si="6"/>
        <v>1.0506249999999999</v>
      </c>
      <c r="O30" s="14">
        <f t="shared" si="13"/>
        <v>18600</v>
      </c>
      <c r="P30" s="33">
        <v>18000</v>
      </c>
      <c r="Q30" s="24"/>
    </row>
    <row r="31" spans="1:22" ht="16.5" x14ac:dyDescent="0.2">
      <c r="A31" s="13">
        <v>18</v>
      </c>
      <c r="B31" s="13">
        <v>125</v>
      </c>
      <c r="C31" s="13">
        <v>140</v>
      </c>
      <c r="D31" s="14">
        <f t="shared" si="14"/>
        <v>359.51</v>
      </c>
      <c r="E31" s="14">
        <f t="shared" si="0"/>
        <v>179.755</v>
      </c>
      <c r="F31" s="14">
        <f t="shared" si="4"/>
        <v>1078.53</v>
      </c>
      <c r="G31" s="14">
        <f t="shared" si="15"/>
        <v>389</v>
      </c>
      <c r="H31" s="14">
        <f t="shared" si="16"/>
        <v>194</v>
      </c>
      <c r="I31" s="14">
        <f t="shared" si="17"/>
        <v>1167</v>
      </c>
      <c r="J31" s="14">
        <f t="shared" si="18"/>
        <v>14380.500000000002</v>
      </c>
      <c r="K31" s="14">
        <f t="shared" si="11"/>
        <v>7152.7500000000009</v>
      </c>
      <c r="L31" s="14">
        <f t="shared" si="12"/>
        <v>43341.5</v>
      </c>
      <c r="M31" s="38">
        <v>2.5000000000000001E-2</v>
      </c>
      <c r="N31" s="14">
        <f t="shared" si="6"/>
        <v>1.0506249999999999</v>
      </c>
      <c r="O31" s="14">
        <f t="shared" si="13"/>
        <v>21500</v>
      </c>
      <c r="P31" s="33">
        <v>21500</v>
      </c>
      <c r="Q31" s="24"/>
    </row>
    <row r="32" spans="1:22" ht="16.5" x14ac:dyDescent="0.2">
      <c r="A32" s="13">
        <v>19</v>
      </c>
      <c r="B32" s="13">
        <v>130</v>
      </c>
      <c r="C32" s="13">
        <v>140</v>
      </c>
      <c r="D32" s="14">
        <f t="shared" si="14"/>
        <v>415.68</v>
      </c>
      <c r="E32" s="14">
        <f t="shared" si="0"/>
        <v>207.84</v>
      </c>
      <c r="F32" s="14">
        <f t="shared" si="4"/>
        <v>1247.04</v>
      </c>
      <c r="G32" s="14">
        <f t="shared" si="15"/>
        <v>449</v>
      </c>
      <c r="H32" s="14">
        <f t="shared" si="16"/>
        <v>225</v>
      </c>
      <c r="I32" s="14">
        <f t="shared" si="17"/>
        <v>1347</v>
      </c>
      <c r="J32" s="14">
        <f t="shared" si="18"/>
        <v>16627.050000000003</v>
      </c>
      <c r="K32" s="14">
        <f t="shared" si="11"/>
        <v>8276.5250000000015</v>
      </c>
      <c r="L32" s="14">
        <f t="shared" si="12"/>
        <v>50081.15</v>
      </c>
      <c r="M32" s="38">
        <v>2.5000000000000001E-2</v>
      </c>
      <c r="N32" s="14">
        <f t="shared" si="6"/>
        <v>1.0506249999999999</v>
      </c>
      <c r="O32" s="14">
        <f t="shared" si="13"/>
        <v>24900</v>
      </c>
      <c r="P32" s="33">
        <v>25000</v>
      </c>
      <c r="Q32" s="24"/>
    </row>
    <row r="33" spans="1:17" ht="16.5" x14ac:dyDescent="0.2">
      <c r="A33" s="13">
        <v>20</v>
      </c>
      <c r="B33" s="13">
        <v>135</v>
      </c>
      <c r="C33" s="13">
        <v>140</v>
      </c>
      <c r="D33" s="14">
        <f t="shared" si="14"/>
        <v>480.64</v>
      </c>
      <c r="E33" s="14">
        <f t="shared" si="0"/>
        <v>240.32</v>
      </c>
      <c r="F33" s="14">
        <f t="shared" si="4"/>
        <v>1441.92</v>
      </c>
      <c r="G33" s="14">
        <f t="shared" si="15"/>
        <v>520</v>
      </c>
      <c r="H33" s="14">
        <f t="shared" si="16"/>
        <v>260</v>
      </c>
      <c r="I33" s="14">
        <f t="shared" si="17"/>
        <v>1560</v>
      </c>
      <c r="J33" s="14">
        <f t="shared" si="18"/>
        <v>19225.450000000004</v>
      </c>
      <c r="K33" s="14">
        <f t="shared" si="11"/>
        <v>9575.7250000000022</v>
      </c>
      <c r="L33" s="14">
        <f t="shared" si="12"/>
        <v>57876.35</v>
      </c>
      <c r="M33" s="38">
        <v>2.5000000000000001E-2</v>
      </c>
      <c r="N33" s="14">
        <f t="shared" si="6"/>
        <v>1.0506249999999999</v>
      </c>
      <c r="O33" s="14">
        <f t="shared" si="13"/>
        <v>28800</v>
      </c>
      <c r="P33" s="33">
        <v>29000</v>
      </c>
      <c r="Q33" s="24"/>
    </row>
    <row r="34" spans="1:17" ht="16.5" x14ac:dyDescent="0.2">
      <c r="A34" s="13">
        <v>21</v>
      </c>
      <c r="B34" s="13">
        <v>140</v>
      </c>
      <c r="C34" s="13">
        <v>150</v>
      </c>
      <c r="D34" s="14">
        <f t="shared" si="14"/>
        <v>555.74</v>
      </c>
      <c r="E34" s="14">
        <f t="shared" si="0"/>
        <v>277.87</v>
      </c>
      <c r="F34" s="14">
        <f t="shared" si="4"/>
        <v>1667.22</v>
      </c>
      <c r="G34" s="14">
        <f t="shared" si="15"/>
        <v>601</v>
      </c>
      <c r="H34" s="14">
        <f t="shared" si="16"/>
        <v>300</v>
      </c>
      <c r="I34" s="14">
        <f t="shared" si="17"/>
        <v>1803</v>
      </c>
      <c r="J34" s="14">
        <f t="shared" si="18"/>
        <v>22229.650000000005</v>
      </c>
      <c r="K34" s="14">
        <f t="shared" si="11"/>
        <v>11077.325000000003</v>
      </c>
      <c r="L34" s="14">
        <f t="shared" si="12"/>
        <v>66888.95</v>
      </c>
      <c r="M34" s="38">
        <v>2.5000000000000001E-2</v>
      </c>
      <c r="N34" s="14">
        <f t="shared" si="6"/>
        <v>1.0506249999999999</v>
      </c>
      <c r="O34" s="14">
        <f t="shared" si="13"/>
        <v>33300</v>
      </c>
      <c r="P34" s="33">
        <v>33300</v>
      </c>
      <c r="Q34" s="24"/>
    </row>
    <row r="35" spans="1:17" ht="16.5" x14ac:dyDescent="0.2">
      <c r="A35" s="13" t="s">
        <v>107</v>
      </c>
      <c r="B35" s="13">
        <v>150</v>
      </c>
      <c r="C35" s="13"/>
      <c r="D35" s="13"/>
      <c r="E35" s="13"/>
      <c r="F35" s="13"/>
      <c r="G35" s="13"/>
      <c r="H35" s="13"/>
      <c r="I35" s="13"/>
      <c r="J35" s="14">
        <f t="shared" ref="J35" si="19">J34+D34*($B35-$B34)+G35</f>
        <v>27787.050000000003</v>
      </c>
      <c r="K35" s="14">
        <f t="shared" ref="K35" si="20">K34+E34*($B35-$B34)+H35</f>
        <v>13856.025000000001</v>
      </c>
      <c r="L35" s="14">
        <f t="shared" ref="L35" si="21">L34+F34*($B35-$B34)+I35</f>
        <v>83561.149999999994</v>
      </c>
      <c r="M35" s="13"/>
      <c r="N35" s="13"/>
      <c r="O35" s="14">
        <f t="shared" si="13"/>
        <v>41600</v>
      </c>
      <c r="P35" s="33">
        <v>42000</v>
      </c>
      <c r="Q35" s="24"/>
    </row>
    <row r="36" spans="1:17" x14ac:dyDescent="0.2">
      <c r="Q36" s="24"/>
    </row>
    <row r="37" spans="1:17" x14ac:dyDescent="0.2">
      <c r="Q37" s="24"/>
    </row>
    <row r="38" spans="1:17" ht="13.5" customHeight="1" x14ac:dyDescent="0.2">
      <c r="Q38" s="24"/>
    </row>
    <row r="39" spans="1:17" x14ac:dyDescent="0.2">
      <c r="Q39" s="24"/>
    </row>
    <row r="40" spans="1:17" ht="20.25" x14ac:dyDescent="0.2">
      <c r="A40" s="63" t="s">
        <v>108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Q40" s="24"/>
    </row>
    <row r="41" spans="1:17" ht="17.25" x14ac:dyDescent="0.2">
      <c r="A41" s="12" t="s">
        <v>98</v>
      </c>
      <c r="B41" s="12" t="s">
        <v>538</v>
      </c>
      <c r="C41" s="12" t="s">
        <v>539</v>
      </c>
      <c r="D41" s="12" t="s">
        <v>99</v>
      </c>
      <c r="E41" s="12" t="s">
        <v>100</v>
      </c>
      <c r="F41" s="12" t="s">
        <v>101</v>
      </c>
      <c r="G41" s="12" t="s">
        <v>541</v>
      </c>
      <c r="H41" s="12" t="s">
        <v>542</v>
      </c>
      <c r="I41" s="12" t="s">
        <v>543</v>
      </c>
      <c r="J41" s="12" t="s">
        <v>103</v>
      </c>
      <c r="K41" s="12" t="s">
        <v>104</v>
      </c>
      <c r="L41" s="12" t="s">
        <v>102</v>
      </c>
      <c r="M41" s="12" t="s">
        <v>105</v>
      </c>
      <c r="N41" s="12" t="s">
        <v>106</v>
      </c>
      <c r="O41" s="12" t="s">
        <v>15</v>
      </c>
      <c r="Q41" s="24"/>
    </row>
    <row r="42" spans="1:17" ht="16.5" x14ac:dyDescent="0.2">
      <c r="A42" s="13">
        <v>1</v>
      </c>
      <c r="B42" s="13">
        <v>1</v>
      </c>
      <c r="C42" s="13">
        <v>10</v>
      </c>
      <c r="D42" s="13">
        <v>15</v>
      </c>
      <c r="E42" s="14">
        <f>D42/2</f>
        <v>7.5</v>
      </c>
      <c r="F42" s="14">
        <f>INT(D42*$C$8/2)</f>
        <v>67</v>
      </c>
      <c r="G42" s="13">
        <v>350</v>
      </c>
      <c r="H42" s="13">
        <v>100</v>
      </c>
      <c r="I42" s="13">
        <v>750</v>
      </c>
      <c r="J42" s="14">
        <f>G42</f>
        <v>350</v>
      </c>
      <c r="K42" s="14">
        <f>H42</f>
        <v>100</v>
      </c>
      <c r="L42" s="14">
        <f>I42</f>
        <v>750</v>
      </c>
      <c r="M42" s="17">
        <f t="shared" ref="M42:M43" si="22">D42/J42</f>
        <v>4.2857142857142858E-2</v>
      </c>
      <c r="N42" s="14">
        <f>(1+M42)*(1+M42)</f>
        <v>1.0875510204081633</v>
      </c>
      <c r="O42" s="14">
        <v>100</v>
      </c>
    </row>
    <row r="43" spans="1:17" ht="16.5" x14ac:dyDescent="0.2">
      <c r="A43" s="13">
        <v>2</v>
      </c>
      <c r="B43" s="13">
        <v>10</v>
      </c>
      <c r="C43" s="13">
        <v>20</v>
      </c>
      <c r="D43" s="14">
        <f>D15</f>
        <v>13.77</v>
      </c>
      <c r="E43" s="14">
        <f t="shared" ref="E43" si="23">D43/2</f>
        <v>6.8849999999999998</v>
      </c>
      <c r="F43" s="14">
        <f t="shared" ref="F43" si="24">INT(D43*$C$8/2)</f>
        <v>61</v>
      </c>
      <c r="G43" s="14">
        <v>25</v>
      </c>
      <c r="H43" s="14">
        <v>10</v>
      </c>
      <c r="I43" s="14">
        <f t="shared" ref="I43" si="25">G43*$C$8</f>
        <v>225</v>
      </c>
      <c r="J43" s="14">
        <f>J42+D42*($B43-$B42)+G43</f>
        <v>510</v>
      </c>
      <c r="K43" s="14">
        <f t="shared" ref="K43" si="26">K42+E42*($B43-$B42)+H43</f>
        <v>177.5</v>
      </c>
      <c r="L43" s="14">
        <f t="shared" ref="L43" si="27">L42+F42*($B43-$B42)+I43</f>
        <v>1578</v>
      </c>
      <c r="M43" s="17">
        <f t="shared" si="22"/>
        <v>2.7E-2</v>
      </c>
      <c r="N43" s="14">
        <f t="shared" ref="N43" si="28">(1+M43)*(1+M43)</f>
        <v>1.0547289999999998</v>
      </c>
      <c r="O43" s="14">
        <f>ROUND((O$42+K43*3)/50,0)*50</f>
        <v>650</v>
      </c>
    </row>
    <row r="44" spans="1:17" ht="16.5" x14ac:dyDescent="0.2">
      <c r="A44" s="13">
        <v>3</v>
      </c>
      <c r="B44" s="13">
        <v>20</v>
      </c>
      <c r="C44" s="13">
        <v>30</v>
      </c>
      <c r="D44" s="14">
        <f>D16</f>
        <v>25.17</v>
      </c>
      <c r="E44" s="14">
        <f t="shared" ref="E44" si="29">D44/2</f>
        <v>12.585000000000001</v>
      </c>
      <c r="F44" s="14">
        <f t="shared" ref="F44" si="30">INT(D44*$C$8/2)</f>
        <v>113</v>
      </c>
      <c r="G44" s="14">
        <f t="shared" ref="G44" si="31">ROUND(D43*($B44-B43)*$D$7,0)</f>
        <v>34</v>
      </c>
      <c r="H44" s="14">
        <f t="shared" ref="H44" si="32">ROUND(E43*($B44-B43)*$D$7,0)</f>
        <v>17</v>
      </c>
      <c r="I44" s="14">
        <f t="shared" ref="I44" si="33">G44*$C$8</f>
        <v>306</v>
      </c>
      <c r="J44" s="14">
        <f t="shared" ref="J44:J63" si="34">J43+D43*($B44-$B43)+G44</f>
        <v>681.7</v>
      </c>
      <c r="K44" s="14">
        <f t="shared" ref="K44:K63" si="35">K43+E43*($B44-$B43)+H44</f>
        <v>263.35000000000002</v>
      </c>
      <c r="L44" s="14">
        <f t="shared" ref="L44:L63" si="36">L43+F43*($B44-$B43)+I44</f>
        <v>2494</v>
      </c>
      <c r="M44" s="17">
        <f t="shared" ref="M44" si="37">D44/J44</f>
        <v>3.6922399882646326E-2</v>
      </c>
      <c r="N44" s="14">
        <f t="shared" ref="N44" si="38">(1+M44)*(1+M44)</f>
        <v>1.0752080633783865</v>
      </c>
      <c r="O44" s="14">
        <f t="shared" ref="O44:O63" si="39">ROUND((O$42+K44*3)/50,0)*50</f>
        <v>900</v>
      </c>
    </row>
    <row r="45" spans="1:17" ht="16.5" x14ac:dyDescent="0.2">
      <c r="A45" s="13">
        <v>4</v>
      </c>
      <c r="B45" s="13">
        <v>30</v>
      </c>
      <c r="C45" s="13">
        <v>40</v>
      </c>
      <c r="D45" s="14">
        <f t="shared" ref="D45:D62" si="40">D17</f>
        <v>30.13</v>
      </c>
      <c r="E45" s="14">
        <f t="shared" ref="E45:E62" si="41">D45/2</f>
        <v>15.065</v>
      </c>
      <c r="F45" s="14">
        <f t="shared" ref="F45:F62" si="42">INT(D45*$C$8/2)</f>
        <v>135</v>
      </c>
      <c r="G45" s="14">
        <f t="shared" ref="G45" si="43">ROUND(D44*($B45-B44)*$D$7,0)</f>
        <v>63</v>
      </c>
      <c r="H45" s="14">
        <f t="shared" ref="H45" si="44">ROUND(E44*($B45-B44)*$D$7,0)</f>
        <v>31</v>
      </c>
      <c r="I45" s="14">
        <f t="shared" ref="I45" si="45">G45*$C$8</f>
        <v>567</v>
      </c>
      <c r="J45" s="14">
        <f t="shared" si="34"/>
        <v>996.40000000000009</v>
      </c>
      <c r="K45" s="14">
        <f t="shared" si="35"/>
        <v>420.20000000000005</v>
      </c>
      <c r="L45" s="14">
        <f t="shared" si="36"/>
        <v>4191</v>
      </c>
      <c r="M45" s="17">
        <f t="shared" ref="M45:M62" si="46">D45/J45</f>
        <v>3.0238859895624245E-2</v>
      </c>
      <c r="N45" s="14">
        <f t="shared" ref="N45:N62" si="47">(1+M45)*(1+M45)</f>
        <v>1.0613921084390356</v>
      </c>
      <c r="O45" s="14">
        <f t="shared" si="39"/>
        <v>1350</v>
      </c>
    </row>
    <row r="46" spans="1:17" ht="16.5" x14ac:dyDescent="0.2">
      <c r="A46" s="13">
        <v>5</v>
      </c>
      <c r="B46" s="13">
        <v>40</v>
      </c>
      <c r="C46" s="13">
        <v>50</v>
      </c>
      <c r="D46" s="14">
        <f t="shared" si="40"/>
        <v>37.659999999999997</v>
      </c>
      <c r="E46" s="14">
        <f t="shared" si="41"/>
        <v>18.829999999999998</v>
      </c>
      <c r="F46" s="14">
        <f t="shared" si="42"/>
        <v>169</v>
      </c>
      <c r="G46" s="14">
        <f t="shared" ref="G46:G62" si="48">ROUND(D45*($B46-B45)*$D$7,0)</f>
        <v>75</v>
      </c>
      <c r="H46" s="14">
        <f t="shared" ref="H46:H62" si="49">ROUND(E45*($B46-B45)*$D$7,0)</f>
        <v>38</v>
      </c>
      <c r="I46" s="14">
        <f t="shared" ref="I46:I62" si="50">G46*$C$8</f>
        <v>675</v>
      </c>
      <c r="J46" s="14">
        <f t="shared" si="34"/>
        <v>1372.7</v>
      </c>
      <c r="K46" s="14">
        <f t="shared" si="35"/>
        <v>608.85</v>
      </c>
      <c r="L46" s="14">
        <f t="shared" si="36"/>
        <v>6216</v>
      </c>
      <c r="M46" s="17">
        <f t="shared" si="46"/>
        <v>2.7434982151963282E-2</v>
      </c>
      <c r="N46" s="14">
        <f t="shared" si="47"/>
        <v>1.0556226425496051</v>
      </c>
      <c r="O46" s="14">
        <f t="shared" si="39"/>
        <v>1950</v>
      </c>
    </row>
    <row r="47" spans="1:17" ht="16.5" x14ac:dyDescent="0.2">
      <c r="A47" s="13">
        <v>6</v>
      </c>
      <c r="B47" s="13">
        <v>50</v>
      </c>
      <c r="C47" s="13">
        <v>60</v>
      </c>
      <c r="D47" s="14">
        <f t="shared" si="40"/>
        <v>48.85</v>
      </c>
      <c r="E47" s="14">
        <f t="shared" si="41"/>
        <v>24.425000000000001</v>
      </c>
      <c r="F47" s="14">
        <f t="shared" si="42"/>
        <v>219</v>
      </c>
      <c r="G47" s="14">
        <f t="shared" si="48"/>
        <v>94</v>
      </c>
      <c r="H47" s="14">
        <f t="shared" si="49"/>
        <v>47</v>
      </c>
      <c r="I47" s="14">
        <f t="shared" si="50"/>
        <v>846</v>
      </c>
      <c r="J47" s="14">
        <f t="shared" si="34"/>
        <v>1843.3</v>
      </c>
      <c r="K47" s="14">
        <f t="shared" si="35"/>
        <v>844.15</v>
      </c>
      <c r="L47" s="14">
        <f t="shared" si="36"/>
        <v>8752</v>
      </c>
      <c r="M47" s="17">
        <f t="shared" si="46"/>
        <v>2.650138338848804E-2</v>
      </c>
      <c r="N47" s="14">
        <f t="shared" si="47"/>
        <v>1.0537050900984795</v>
      </c>
      <c r="O47" s="14">
        <f t="shared" si="39"/>
        <v>2650</v>
      </c>
    </row>
    <row r="48" spans="1:17" ht="16.5" x14ac:dyDescent="0.2">
      <c r="A48" s="13">
        <v>7</v>
      </c>
      <c r="B48" s="13">
        <v>60</v>
      </c>
      <c r="C48" s="13">
        <v>70</v>
      </c>
      <c r="D48" s="14">
        <f t="shared" si="40"/>
        <v>60.19</v>
      </c>
      <c r="E48" s="14">
        <f t="shared" si="41"/>
        <v>30.094999999999999</v>
      </c>
      <c r="F48" s="14">
        <f t="shared" si="42"/>
        <v>270</v>
      </c>
      <c r="G48" s="14">
        <f t="shared" si="48"/>
        <v>122</v>
      </c>
      <c r="H48" s="14">
        <f t="shared" si="49"/>
        <v>61</v>
      </c>
      <c r="I48" s="14">
        <f t="shared" si="50"/>
        <v>1098</v>
      </c>
      <c r="J48" s="14">
        <f t="shared" si="34"/>
        <v>2453.8000000000002</v>
      </c>
      <c r="K48" s="14">
        <f t="shared" si="35"/>
        <v>1149.4000000000001</v>
      </c>
      <c r="L48" s="14">
        <f t="shared" si="36"/>
        <v>12040</v>
      </c>
      <c r="M48" s="17">
        <f t="shared" si="46"/>
        <v>2.4529301491564102E-2</v>
      </c>
      <c r="N48" s="14">
        <f t="shared" si="47"/>
        <v>1.0496602896147924</v>
      </c>
      <c r="O48" s="14">
        <f t="shared" si="39"/>
        <v>3550</v>
      </c>
    </row>
    <row r="49" spans="1:15" ht="16.5" x14ac:dyDescent="0.2">
      <c r="A49" s="13">
        <v>8</v>
      </c>
      <c r="B49" s="13">
        <v>70</v>
      </c>
      <c r="C49" s="13">
        <v>80</v>
      </c>
      <c r="D49" s="14">
        <f t="shared" si="40"/>
        <v>75.19</v>
      </c>
      <c r="E49" s="14">
        <f t="shared" si="41"/>
        <v>37.594999999999999</v>
      </c>
      <c r="F49" s="14">
        <f t="shared" si="42"/>
        <v>338</v>
      </c>
      <c r="G49" s="14">
        <f t="shared" si="48"/>
        <v>150</v>
      </c>
      <c r="H49" s="14">
        <f t="shared" si="49"/>
        <v>75</v>
      </c>
      <c r="I49" s="14">
        <f t="shared" si="50"/>
        <v>1350</v>
      </c>
      <c r="J49" s="14">
        <f t="shared" si="34"/>
        <v>3205.7000000000003</v>
      </c>
      <c r="K49" s="14">
        <f t="shared" si="35"/>
        <v>1525.3500000000001</v>
      </c>
      <c r="L49" s="14">
        <f t="shared" si="36"/>
        <v>16090</v>
      </c>
      <c r="M49" s="17">
        <f t="shared" si="46"/>
        <v>2.3455095610943007E-2</v>
      </c>
      <c r="N49" s="14">
        <f t="shared" si="47"/>
        <v>1.0474603327320045</v>
      </c>
      <c r="O49" s="14">
        <f t="shared" si="39"/>
        <v>4700</v>
      </c>
    </row>
    <row r="50" spans="1:15" ht="16.5" x14ac:dyDescent="0.2">
      <c r="A50" s="13">
        <v>9</v>
      </c>
      <c r="B50" s="13">
        <v>80</v>
      </c>
      <c r="C50" s="13">
        <v>85</v>
      </c>
      <c r="D50" s="14">
        <f t="shared" si="40"/>
        <v>97.79</v>
      </c>
      <c r="E50" s="14">
        <f t="shared" si="41"/>
        <v>48.895000000000003</v>
      </c>
      <c r="F50" s="14">
        <f t="shared" si="42"/>
        <v>440</v>
      </c>
      <c r="G50" s="14">
        <f t="shared" si="48"/>
        <v>188</v>
      </c>
      <c r="H50" s="14">
        <f t="shared" si="49"/>
        <v>94</v>
      </c>
      <c r="I50" s="14">
        <f t="shared" si="50"/>
        <v>1692</v>
      </c>
      <c r="J50" s="14">
        <f t="shared" si="34"/>
        <v>4145.6000000000004</v>
      </c>
      <c r="K50" s="14">
        <f t="shared" si="35"/>
        <v>1995.3000000000002</v>
      </c>
      <c r="L50" s="14">
        <f t="shared" si="36"/>
        <v>21162</v>
      </c>
      <c r="M50" s="17">
        <f t="shared" si="46"/>
        <v>2.3588865302971825E-2</v>
      </c>
      <c r="N50" s="14">
        <f t="shared" si="47"/>
        <v>1.0477341651722256</v>
      </c>
      <c r="O50" s="14">
        <f t="shared" si="39"/>
        <v>6100</v>
      </c>
    </row>
    <row r="51" spans="1:15" ht="16.5" x14ac:dyDescent="0.2">
      <c r="A51" s="13">
        <v>10</v>
      </c>
      <c r="B51" s="13">
        <v>85</v>
      </c>
      <c r="C51" s="13">
        <v>90</v>
      </c>
      <c r="D51" s="14">
        <f t="shared" si="40"/>
        <v>112.83</v>
      </c>
      <c r="E51" s="14">
        <f t="shared" si="41"/>
        <v>56.414999999999999</v>
      </c>
      <c r="F51" s="14">
        <f t="shared" si="42"/>
        <v>507</v>
      </c>
      <c r="G51" s="14">
        <f t="shared" si="48"/>
        <v>122</v>
      </c>
      <c r="H51" s="14">
        <f t="shared" si="49"/>
        <v>61</v>
      </c>
      <c r="I51" s="14">
        <f t="shared" si="50"/>
        <v>1098</v>
      </c>
      <c r="J51" s="14">
        <f t="shared" si="34"/>
        <v>4756.55</v>
      </c>
      <c r="K51" s="14">
        <f t="shared" si="35"/>
        <v>2300.7750000000001</v>
      </c>
      <c r="L51" s="14">
        <f t="shared" si="36"/>
        <v>24460</v>
      </c>
      <c r="M51" s="17">
        <f t="shared" si="46"/>
        <v>2.372097423552785E-2</v>
      </c>
      <c r="N51" s="14">
        <f t="shared" si="47"/>
        <v>1.0480046330897381</v>
      </c>
      <c r="O51" s="14">
        <f t="shared" si="39"/>
        <v>7000</v>
      </c>
    </row>
    <row r="52" spans="1:15" ht="16.5" x14ac:dyDescent="0.2">
      <c r="A52" s="13">
        <v>11</v>
      </c>
      <c r="B52" s="13">
        <v>90</v>
      </c>
      <c r="C52" s="13">
        <v>95</v>
      </c>
      <c r="D52" s="14">
        <f t="shared" si="40"/>
        <v>131.58000000000001</v>
      </c>
      <c r="E52" s="14">
        <f t="shared" si="41"/>
        <v>65.790000000000006</v>
      </c>
      <c r="F52" s="14">
        <f t="shared" si="42"/>
        <v>592</v>
      </c>
      <c r="G52" s="14">
        <f t="shared" si="48"/>
        <v>141</v>
      </c>
      <c r="H52" s="14">
        <f t="shared" si="49"/>
        <v>71</v>
      </c>
      <c r="I52" s="14">
        <f t="shared" si="50"/>
        <v>1269</v>
      </c>
      <c r="J52" s="14">
        <f t="shared" si="34"/>
        <v>5461.7</v>
      </c>
      <c r="K52" s="14">
        <f t="shared" si="35"/>
        <v>2653.85</v>
      </c>
      <c r="L52" s="14">
        <f t="shared" si="36"/>
        <v>28264</v>
      </c>
      <c r="M52" s="17">
        <f t="shared" si="46"/>
        <v>2.4091400113517774E-2</v>
      </c>
      <c r="N52" s="14">
        <f t="shared" si="47"/>
        <v>1.0487631957864652</v>
      </c>
      <c r="O52" s="14">
        <f t="shared" si="39"/>
        <v>8050</v>
      </c>
    </row>
    <row r="53" spans="1:15" ht="16.5" x14ac:dyDescent="0.2">
      <c r="A53" s="13">
        <v>12</v>
      </c>
      <c r="B53" s="13">
        <v>95</v>
      </c>
      <c r="C53" s="13">
        <v>100</v>
      </c>
      <c r="D53" s="14">
        <f t="shared" si="40"/>
        <v>150.47</v>
      </c>
      <c r="E53" s="14">
        <f t="shared" si="41"/>
        <v>75.234999999999999</v>
      </c>
      <c r="F53" s="14">
        <f t="shared" si="42"/>
        <v>677</v>
      </c>
      <c r="G53" s="14">
        <f t="shared" si="48"/>
        <v>164</v>
      </c>
      <c r="H53" s="14">
        <f t="shared" si="49"/>
        <v>82</v>
      </c>
      <c r="I53" s="14">
        <f t="shared" si="50"/>
        <v>1476</v>
      </c>
      <c r="J53" s="14">
        <f t="shared" si="34"/>
        <v>6283.6</v>
      </c>
      <c r="K53" s="14">
        <f t="shared" si="35"/>
        <v>3064.8</v>
      </c>
      <c r="L53" s="14">
        <f t="shared" si="36"/>
        <v>32700</v>
      </c>
      <c r="M53" s="17">
        <f t="shared" si="46"/>
        <v>2.3946463810554458E-2</v>
      </c>
      <c r="N53" s="14">
        <f t="shared" si="47"/>
        <v>1.048466360750139</v>
      </c>
      <c r="O53" s="14">
        <f t="shared" si="39"/>
        <v>9300</v>
      </c>
    </row>
    <row r="54" spans="1:15" ht="16.5" x14ac:dyDescent="0.2">
      <c r="A54" s="13">
        <v>13</v>
      </c>
      <c r="B54" s="13">
        <v>100</v>
      </c>
      <c r="C54" s="13">
        <v>105</v>
      </c>
      <c r="D54" s="14">
        <f t="shared" si="40"/>
        <v>173.97</v>
      </c>
      <c r="E54" s="14">
        <f t="shared" si="41"/>
        <v>86.984999999999999</v>
      </c>
      <c r="F54" s="14">
        <f t="shared" si="42"/>
        <v>782</v>
      </c>
      <c r="G54" s="14">
        <f t="shared" si="48"/>
        <v>188</v>
      </c>
      <c r="H54" s="14">
        <f t="shared" si="49"/>
        <v>94</v>
      </c>
      <c r="I54" s="14">
        <f t="shared" si="50"/>
        <v>1692</v>
      </c>
      <c r="J54" s="14">
        <f t="shared" si="34"/>
        <v>7223.9500000000007</v>
      </c>
      <c r="K54" s="14">
        <f t="shared" si="35"/>
        <v>3534.9750000000004</v>
      </c>
      <c r="L54" s="14">
        <f t="shared" si="36"/>
        <v>37777</v>
      </c>
      <c r="M54" s="17">
        <f t="shared" si="46"/>
        <v>2.4082392596847982E-2</v>
      </c>
      <c r="N54" s="14">
        <f t="shared" si="47"/>
        <v>1.0487447468268849</v>
      </c>
      <c r="O54" s="14">
        <f t="shared" si="39"/>
        <v>10700</v>
      </c>
    </row>
    <row r="55" spans="1:15" ht="16.5" x14ac:dyDescent="0.2">
      <c r="A55" s="13">
        <v>14</v>
      </c>
      <c r="B55" s="13">
        <v>105</v>
      </c>
      <c r="C55" s="13">
        <v>110</v>
      </c>
      <c r="D55" s="14">
        <f t="shared" si="40"/>
        <v>201.15</v>
      </c>
      <c r="E55" s="14">
        <f t="shared" si="41"/>
        <v>100.575</v>
      </c>
      <c r="F55" s="14">
        <f t="shared" si="42"/>
        <v>905</v>
      </c>
      <c r="G55" s="14">
        <f t="shared" si="48"/>
        <v>217</v>
      </c>
      <c r="H55" s="14">
        <f t="shared" si="49"/>
        <v>109</v>
      </c>
      <c r="I55" s="14">
        <f t="shared" si="50"/>
        <v>1953</v>
      </c>
      <c r="J55" s="14">
        <f t="shared" si="34"/>
        <v>8310.8000000000011</v>
      </c>
      <c r="K55" s="14">
        <f t="shared" si="35"/>
        <v>4078.9000000000005</v>
      </c>
      <c r="L55" s="14">
        <f t="shared" si="36"/>
        <v>43640</v>
      </c>
      <c r="M55" s="17">
        <f t="shared" si="46"/>
        <v>2.4203446118303891E-2</v>
      </c>
      <c r="N55" s="14">
        <f t="shared" si="47"/>
        <v>1.0489926990406093</v>
      </c>
      <c r="O55" s="14">
        <f t="shared" si="39"/>
        <v>12350</v>
      </c>
    </row>
    <row r="56" spans="1:15" ht="16.5" x14ac:dyDescent="0.2">
      <c r="A56" s="13">
        <v>15</v>
      </c>
      <c r="B56" s="13">
        <v>110</v>
      </c>
      <c r="C56" s="13">
        <v>115</v>
      </c>
      <c r="D56" s="14">
        <f t="shared" si="40"/>
        <v>232.56</v>
      </c>
      <c r="E56" s="14">
        <f t="shared" si="41"/>
        <v>116.28</v>
      </c>
      <c r="F56" s="14">
        <f t="shared" si="42"/>
        <v>1046</v>
      </c>
      <c r="G56" s="14">
        <f t="shared" si="48"/>
        <v>251</v>
      </c>
      <c r="H56" s="14">
        <f t="shared" si="49"/>
        <v>126</v>
      </c>
      <c r="I56" s="14">
        <f t="shared" si="50"/>
        <v>2259</v>
      </c>
      <c r="J56" s="14">
        <f t="shared" si="34"/>
        <v>9567.5500000000011</v>
      </c>
      <c r="K56" s="14">
        <f t="shared" si="35"/>
        <v>4707.7750000000005</v>
      </c>
      <c r="L56" s="14">
        <f t="shared" si="36"/>
        <v>50424</v>
      </c>
      <c r="M56" s="17">
        <f t="shared" si="46"/>
        <v>2.4307163275864768E-2</v>
      </c>
      <c r="N56" s="14">
        <f t="shared" si="47"/>
        <v>1.049205164738249</v>
      </c>
      <c r="O56" s="14">
        <f t="shared" si="39"/>
        <v>14200</v>
      </c>
    </row>
    <row r="57" spans="1:15" ht="16.5" x14ac:dyDescent="0.2">
      <c r="A57" s="13">
        <v>16</v>
      </c>
      <c r="B57" s="13">
        <v>115</v>
      </c>
      <c r="C57" s="13">
        <v>120</v>
      </c>
      <c r="D57" s="14">
        <f t="shared" si="40"/>
        <v>268.91000000000003</v>
      </c>
      <c r="E57" s="14">
        <f t="shared" si="41"/>
        <v>134.45500000000001</v>
      </c>
      <c r="F57" s="14">
        <f t="shared" si="42"/>
        <v>1210</v>
      </c>
      <c r="G57" s="14">
        <f t="shared" si="48"/>
        <v>291</v>
      </c>
      <c r="H57" s="14">
        <f t="shared" si="49"/>
        <v>145</v>
      </c>
      <c r="I57" s="14">
        <f t="shared" si="50"/>
        <v>2619</v>
      </c>
      <c r="J57" s="14">
        <f t="shared" si="34"/>
        <v>11021.35</v>
      </c>
      <c r="K57" s="14">
        <f t="shared" si="35"/>
        <v>5434.1750000000002</v>
      </c>
      <c r="L57" s="14">
        <f t="shared" si="36"/>
        <v>58273</v>
      </c>
      <c r="M57" s="17">
        <f t="shared" si="46"/>
        <v>2.4399007381128449E-2</v>
      </c>
      <c r="N57" s="14">
        <f t="shared" si="47"/>
        <v>1.0493933263234412</v>
      </c>
      <c r="O57" s="14">
        <f t="shared" si="39"/>
        <v>16400</v>
      </c>
    </row>
    <row r="58" spans="1:15" ht="16.5" x14ac:dyDescent="0.2">
      <c r="A58" s="13">
        <v>17</v>
      </c>
      <c r="B58" s="13">
        <v>120</v>
      </c>
      <c r="C58" s="13">
        <v>125</v>
      </c>
      <c r="D58" s="14">
        <f t="shared" si="40"/>
        <v>310.92</v>
      </c>
      <c r="E58" s="14">
        <f t="shared" si="41"/>
        <v>155.46</v>
      </c>
      <c r="F58" s="14">
        <f t="shared" si="42"/>
        <v>1399</v>
      </c>
      <c r="G58" s="14">
        <f t="shared" si="48"/>
        <v>336</v>
      </c>
      <c r="H58" s="14">
        <f t="shared" si="49"/>
        <v>168</v>
      </c>
      <c r="I58" s="14">
        <f t="shared" si="50"/>
        <v>3024</v>
      </c>
      <c r="J58" s="14">
        <f t="shared" si="34"/>
        <v>12701.900000000001</v>
      </c>
      <c r="K58" s="14">
        <f t="shared" si="35"/>
        <v>6274.4500000000007</v>
      </c>
      <c r="L58" s="14">
        <f t="shared" si="36"/>
        <v>67347</v>
      </c>
      <c r="M58" s="17">
        <f t="shared" si="46"/>
        <v>2.4478227666727023E-2</v>
      </c>
      <c r="N58" s="14">
        <f t="shared" si="47"/>
        <v>1.0495556389631582</v>
      </c>
      <c r="O58" s="14">
        <f t="shared" si="39"/>
        <v>18900</v>
      </c>
    </row>
    <row r="59" spans="1:15" ht="16.5" x14ac:dyDescent="0.2">
      <c r="A59" s="13">
        <v>18</v>
      </c>
      <c r="B59" s="13">
        <v>125</v>
      </c>
      <c r="C59" s="13">
        <v>130</v>
      </c>
      <c r="D59" s="14">
        <f t="shared" si="40"/>
        <v>359.51</v>
      </c>
      <c r="E59" s="14">
        <f t="shared" si="41"/>
        <v>179.755</v>
      </c>
      <c r="F59" s="14">
        <f t="shared" si="42"/>
        <v>1617</v>
      </c>
      <c r="G59" s="14">
        <f t="shared" si="48"/>
        <v>389</v>
      </c>
      <c r="H59" s="14">
        <f t="shared" si="49"/>
        <v>194</v>
      </c>
      <c r="I59" s="14">
        <f t="shared" si="50"/>
        <v>3501</v>
      </c>
      <c r="J59" s="14">
        <f t="shared" si="34"/>
        <v>14645.500000000002</v>
      </c>
      <c r="K59" s="14">
        <f t="shared" si="35"/>
        <v>7245.7500000000009</v>
      </c>
      <c r="L59" s="14">
        <f t="shared" si="36"/>
        <v>77843</v>
      </c>
      <c r="M59" s="17">
        <f t="shared" si="46"/>
        <v>2.4547471919702295E-2</v>
      </c>
      <c r="N59" s="14">
        <f t="shared" si="47"/>
        <v>1.0496975222170533</v>
      </c>
      <c r="O59" s="14">
        <f t="shared" si="39"/>
        <v>21850</v>
      </c>
    </row>
    <row r="60" spans="1:15" ht="16.5" x14ac:dyDescent="0.2">
      <c r="A60" s="13">
        <v>19</v>
      </c>
      <c r="B60" s="13">
        <v>130</v>
      </c>
      <c r="C60" s="13">
        <v>135</v>
      </c>
      <c r="D60" s="14">
        <f t="shared" si="40"/>
        <v>415.68</v>
      </c>
      <c r="E60" s="14">
        <f t="shared" si="41"/>
        <v>207.84</v>
      </c>
      <c r="F60" s="14">
        <f t="shared" si="42"/>
        <v>1870</v>
      </c>
      <c r="G60" s="14">
        <f t="shared" si="48"/>
        <v>449</v>
      </c>
      <c r="H60" s="14">
        <f t="shared" si="49"/>
        <v>225</v>
      </c>
      <c r="I60" s="14">
        <f t="shared" si="50"/>
        <v>4041</v>
      </c>
      <c r="J60" s="14">
        <f t="shared" si="34"/>
        <v>16892.050000000003</v>
      </c>
      <c r="K60" s="14">
        <f t="shared" si="35"/>
        <v>8369.5250000000015</v>
      </c>
      <c r="L60" s="14">
        <f t="shared" si="36"/>
        <v>89969</v>
      </c>
      <c r="M60" s="17">
        <f t="shared" si="46"/>
        <v>2.4608025668879735E-2</v>
      </c>
      <c r="N60" s="14">
        <f t="shared" si="47"/>
        <v>1.0498216062650796</v>
      </c>
      <c r="O60" s="14">
        <f t="shared" si="39"/>
        <v>25200</v>
      </c>
    </row>
    <row r="61" spans="1:15" ht="16.5" x14ac:dyDescent="0.2">
      <c r="A61" s="13">
        <v>20</v>
      </c>
      <c r="B61" s="13">
        <v>135</v>
      </c>
      <c r="C61" s="13">
        <v>140</v>
      </c>
      <c r="D61" s="14">
        <f t="shared" si="40"/>
        <v>480.64</v>
      </c>
      <c r="E61" s="14">
        <f t="shared" si="41"/>
        <v>240.32</v>
      </c>
      <c r="F61" s="14">
        <f t="shared" si="42"/>
        <v>2162</v>
      </c>
      <c r="G61" s="14">
        <f t="shared" si="48"/>
        <v>520</v>
      </c>
      <c r="H61" s="14">
        <f t="shared" si="49"/>
        <v>260</v>
      </c>
      <c r="I61" s="14">
        <f t="shared" si="50"/>
        <v>4680</v>
      </c>
      <c r="J61" s="14">
        <f t="shared" si="34"/>
        <v>19490.450000000004</v>
      </c>
      <c r="K61" s="14">
        <f t="shared" si="35"/>
        <v>9668.7250000000022</v>
      </c>
      <c r="L61" s="14">
        <f t="shared" si="36"/>
        <v>103999</v>
      </c>
      <c r="M61" s="17">
        <f t="shared" si="46"/>
        <v>2.4660282343404071E-2</v>
      </c>
      <c r="N61" s="14">
        <f t="shared" si="47"/>
        <v>1.0499286942120647</v>
      </c>
      <c r="O61" s="14">
        <f t="shared" si="39"/>
        <v>29100</v>
      </c>
    </row>
    <row r="62" spans="1:15" ht="16.5" x14ac:dyDescent="0.2">
      <c r="A62" s="13">
        <v>21</v>
      </c>
      <c r="B62" s="13">
        <v>140</v>
      </c>
      <c r="C62" s="13">
        <v>150</v>
      </c>
      <c r="D62" s="14">
        <f t="shared" si="40"/>
        <v>555.74</v>
      </c>
      <c r="E62" s="14">
        <f t="shared" si="41"/>
        <v>277.87</v>
      </c>
      <c r="F62" s="14">
        <f t="shared" si="42"/>
        <v>2500</v>
      </c>
      <c r="G62" s="14">
        <f t="shared" si="48"/>
        <v>601</v>
      </c>
      <c r="H62" s="14">
        <f t="shared" si="49"/>
        <v>300</v>
      </c>
      <c r="I62" s="14">
        <f t="shared" si="50"/>
        <v>5409</v>
      </c>
      <c r="J62" s="14">
        <f t="shared" si="34"/>
        <v>22494.650000000005</v>
      </c>
      <c r="K62" s="14">
        <f t="shared" si="35"/>
        <v>11170.325000000003</v>
      </c>
      <c r="L62" s="14">
        <f t="shared" si="36"/>
        <v>120218</v>
      </c>
      <c r="M62" s="17">
        <f t="shared" si="46"/>
        <v>2.4705429957789959E-2</v>
      </c>
      <c r="N62" s="14">
        <f t="shared" si="47"/>
        <v>1.0500212181849793</v>
      </c>
      <c r="O62" s="14">
        <f t="shared" si="39"/>
        <v>33600</v>
      </c>
    </row>
    <row r="63" spans="1:15" ht="16.5" x14ac:dyDescent="0.2">
      <c r="A63" s="13"/>
      <c r="B63" s="13">
        <v>150</v>
      </c>
      <c r="C63" s="13"/>
      <c r="D63" s="13"/>
      <c r="E63" s="13"/>
      <c r="F63" s="13"/>
      <c r="G63" s="13"/>
      <c r="H63" s="13"/>
      <c r="I63" s="13"/>
      <c r="J63" s="14">
        <f t="shared" si="34"/>
        <v>28052.050000000003</v>
      </c>
      <c r="K63" s="14">
        <f t="shared" si="35"/>
        <v>13949.025000000001</v>
      </c>
      <c r="L63" s="14">
        <f t="shared" si="36"/>
        <v>145218</v>
      </c>
      <c r="M63" s="13"/>
      <c r="N63" s="13"/>
      <c r="O63" s="14">
        <f t="shared" si="39"/>
        <v>41950</v>
      </c>
    </row>
    <row r="64" spans="1:15" ht="17.25" customHeight="1" x14ac:dyDescent="0.2"/>
    <row r="65" spans="1:22" ht="17.25" customHeight="1" x14ac:dyDescent="0.2"/>
    <row r="66" spans="1:22" ht="20.25" x14ac:dyDescent="0.2">
      <c r="A66" s="63" t="s">
        <v>117</v>
      </c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</row>
    <row r="67" spans="1:22" ht="21" customHeight="1" x14ac:dyDescent="0.2">
      <c r="A67" s="25"/>
      <c r="B67" s="63" t="s">
        <v>95</v>
      </c>
      <c r="C67" s="63"/>
      <c r="D67" s="63"/>
      <c r="E67" s="63"/>
      <c r="F67" s="63"/>
      <c r="G67" s="63"/>
      <c r="H67" s="63"/>
      <c r="I67" s="63"/>
      <c r="J67" s="63"/>
      <c r="L67" s="16"/>
      <c r="M67" s="16"/>
      <c r="N67" s="63" t="s">
        <v>120</v>
      </c>
      <c r="O67" s="63"/>
      <c r="P67" s="63"/>
      <c r="Q67" s="63"/>
      <c r="R67" s="63"/>
      <c r="S67" s="63"/>
      <c r="T67" s="63"/>
      <c r="U67" s="63"/>
      <c r="V67" s="63"/>
    </row>
    <row r="68" spans="1:22" ht="20.25" customHeight="1" x14ac:dyDescent="0.2">
      <c r="B68" s="12" t="s">
        <v>39</v>
      </c>
      <c r="C68" s="12" t="s">
        <v>42</v>
      </c>
      <c r="D68" s="12" t="s">
        <v>45</v>
      </c>
      <c r="E68" s="12" t="s">
        <v>126</v>
      </c>
      <c r="F68" s="12" t="s">
        <v>127</v>
      </c>
      <c r="G68" s="12" t="s">
        <v>66</v>
      </c>
      <c r="H68" s="12" t="s">
        <v>118</v>
      </c>
      <c r="I68" s="12" t="s">
        <v>119</v>
      </c>
      <c r="J68" s="12" t="s">
        <v>75</v>
      </c>
      <c r="M68" s="16"/>
      <c r="N68" s="12" t="s">
        <v>39</v>
      </c>
      <c r="O68" s="12" t="s">
        <v>42</v>
      </c>
      <c r="P68" s="12" t="s">
        <v>45</v>
      </c>
      <c r="Q68" s="12" t="s">
        <v>126</v>
      </c>
      <c r="R68" s="12" t="s">
        <v>127</v>
      </c>
      <c r="S68" s="12" t="s">
        <v>66</v>
      </c>
      <c r="T68" s="12" t="s">
        <v>118</v>
      </c>
      <c r="U68" s="12" t="s">
        <v>119</v>
      </c>
      <c r="V68" s="12" t="s">
        <v>75</v>
      </c>
    </row>
    <row r="69" spans="1:22" ht="24.75" customHeight="1" x14ac:dyDescent="0.2">
      <c r="A69" s="15" t="s">
        <v>121</v>
      </c>
      <c r="B69" s="14">
        <f>INT(J35*$Q$10*$L$9)</f>
        <v>48766</v>
      </c>
      <c r="C69" s="14">
        <f>INT(K35*$Q$10*$L$9)</f>
        <v>24317</v>
      </c>
      <c r="D69" s="14">
        <f>INT(L35*$Q$10*$L$9)</f>
        <v>146649</v>
      </c>
      <c r="E69" s="26">
        <v>1</v>
      </c>
      <c r="F69" s="26">
        <v>1</v>
      </c>
      <c r="G69" s="26">
        <v>1</v>
      </c>
      <c r="H69" s="14">
        <f>INT(B69/$Q$10)</f>
        <v>36122</v>
      </c>
      <c r="I69" s="14">
        <f>INT(C69/$Q$10)</f>
        <v>18012</v>
      </c>
      <c r="J69" s="14">
        <f>INT(D69/$Q$10)</f>
        <v>108628</v>
      </c>
      <c r="M69" s="15" t="s">
        <v>121</v>
      </c>
      <c r="N69" s="14">
        <f>INT(J63*$Q$10*$L$10)</f>
        <v>56805</v>
      </c>
      <c r="O69" s="14">
        <f>INT(K63*$Q$10*$L$10)</f>
        <v>28246</v>
      </c>
      <c r="P69" s="14">
        <f>INT(L63*$Q$10*$L$10)</f>
        <v>294066</v>
      </c>
      <c r="Q69" s="14"/>
      <c r="R69" s="14"/>
      <c r="S69" s="14"/>
      <c r="T69" s="14">
        <f>(N69)</f>
        <v>56805</v>
      </c>
      <c r="U69" s="14">
        <f>(O69)</f>
        <v>28246</v>
      </c>
      <c r="V69" s="14">
        <f>(P69)</f>
        <v>294066</v>
      </c>
    </row>
    <row r="70" spans="1:22" ht="24.75" customHeight="1" x14ac:dyDescent="0.2"/>
    <row r="71" spans="1:22" ht="30" customHeight="1" x14ac:dyDescent="0.2">
      <c r="A71" s="15" t="s">
        <v>128</v>
      </c>
      <c r="B71" s="26">
        <v>1</v>
      </c>
      <c r="C71" s="26">
        <v>1</v>
      </c>
      <c r="D71" s="26">
        <v>1</v>
      </c>
      <c r="E71" s="14"/>
      <c r="F71" s="14"/>
      <c r="G71" s="14"/>
      <c r="H71" s="14"/>
      <c r="I71" s="14"/>
      <c r="J71" s="14"/>
      <c r="M71" s="15" t="s">
        <v>128</v>
      </c>
      <c r="N71" s="26">
        <v>1</v>
      </c>
      <c r="O71" s="26">
        <v>1</v>
      </c>
      <c r="P71" s="26">
        <v>1</v>
      </c>
      <c r="Q71" s="14"/>
      <c r="R71" s="14"/>
      <c r="S71" s="14"/>
      <c r="T71" s="14"/>
      <c r="U71" s="14"/>
      <c r="V71" s="14"/>
    </row>
    <row r="72" spans="1:22" ht="25.5" customHeight="1" x14ac:dyDescent="0.2">
      <c r="A72" s="15" t="s">
        <v>122</v>
      </c>
      <c r="B72" s="26">
        <v>0.35</v>
      </c>
      <c r="C72" s="26">
        <v>0.35</v>
      </c>
      <c r="D72" s="26">
        <v>0.35</v>
      </c>
      <c r="E72" s="26"/>
      <c r="F72" s="26"/>
      <c r="G72" s="26"/>
      <c r="H72" s="26"/>
      <c r="I72" s="26"/>
      <c r="J72" s="26"/>
      <c r="M72" s="15" t="s">
        <v>122</v>
      </c>
      <c r="N72" s="17">
        <v>0.35</v>
      </c>
      <c r="O72" s="17">
        <v>0.35</v>
      </c>
      <c r="P72" s="17">
        <v>0.35</v>
      </c>
      <c r="Q72" s="26"/>
      <c r="R72" s="26"/>
      <c r="S72" s="26"/>
      <c r="T72" s="14"/>
      <c r="U72" s="14"/>
      <c r="V72" s="14"/>
    </row>
    <row r="73" spans="1:22" ht="25.5" customHeight="1" x14ac:dyDescent="0.2">
      <c r="A73" s="15" t="s">
        <v>123</v>
      </c>
      <c r="B73" s="14"/>
      <c r="C73" s="14"/>
      <c r="D73" s="14"/>
      <c r="E73" s="26"/>
      <c r="F73" s="26"/>
      <c r="G73" s="26"/>
      <c r="H73" s="26"/>
      <c r="I73" s="26"/>
      <c r="J73" s="26"/>
      <c r="M73" s="15" t="s">
        <v>124</v>
      </c>
      <c r="N73" s="14"/>
      <c r="O73" s="14"/>
      <c r="P73" s="14"/>
      <c r="Q73" s="14"/>
      <c r="R73" s="14"/>
      <c r="S73" s="14"/>
      <c r="T73" s="26">
        <v>1</v>
      </c>
      <c r="U73" s="26">
        <v>1</v>
      </c>
      <c r="V73" s="26">
        <v>1</v>
      </c>
    </row>
    <row r="74" spans="1:22" ht="27" customHeight="1" x14ac:dyDescent="0.2">
      <c r="A74" s="15" t="s">
        <v>125</v>
      </c>
      <c r="B74" s="14"/>
      <c r="C74" s="14"/>
      <c r="D74" s="14"/>
      <c r="E74" s="26">
        <v>0.5</v>
      </c>
      <c r="F74" s="26">
        <v>0.5</v>
      </c>
      <c r="G74" s="26">
        <v>0.5</v>
      </c>
      <c r="H74" s="26">
        <v>1</v>
      </c>
      <c r="I74" s="26">
        <v>1</v>
      </c>
      <c r="J74" s="26">
        <v>1</v>
      </c>
      <c r="M74" s="15" t="s">
        <v>123</v>
      </c>
      <c r="N74" s="14"/>
      <c r="O74" s="14"/>
      <c r="P74" s="14"/>
      <c r="Q74" s="14"/>
      <c r="R74" s="14"/>
      <c r="S74" s="14"/>
      <c r="T74" s="14"/>
      <c r="U74" s="14"/>
      <c r="V74" s="14"/>
    </row>
    <row r="75" spans="1:22" ht="30" customHeight="1" x14ac:dyDescent="0.2">
      <c r="M75" s="15" t="s">
        <v>125</v>
      </c>
      <c r="N75" s="14"/>
      <c r="O75" s="14"/>
      <c r="P75" s="14"/>
      <c r="Q75" s="26"/>
      <c r="R75" s="26"/>
      <c r="S75" s="26"/>
      <c r="T75" s="14"/>
      <c r="U75" s="14"/>
      <c r="V75" s="14"/>
    </row>
    <row r="76" spans="1:22" ht="25.5" customHeight="1" x14ac:dyDescent="0.2"/>
    <row r="77" spans="1:22" ht="25.5" customHeight="1" x14ac:dyDescent="0.2">
      <c r="A77" s="63" t="s">
        <v>129</v>
      </c>
      <c r="B77" s="63"/>
      <c r="C77" s="63"/>
      <c r="D77" s="63"/>
      <c r="E77" s="63"/>
      <c r="F77" s="63"/>
      <c r="G77" s="63"/>
      <c r="H77" s="63"/>
      <c r="I77" s="63"/>
      <c r="J77" s="63"/>
      <c r="M77" s="63" t="s">
        <v>129</v>
      </c>
      <c r="N77" s="63"/>
      <c r="O77" s="63"/>
      <c r="P77" s="63"/>
      <c r="Q77" s="63"/>
      <c r="R77" s="63"/>
      <c r="S77" s="63"/>
      <c r="T77" s="63"/>
      <c r="U77" s="63"/>
      <c r="V77" s="63"/>
    </row>
    <row r="78" spans="1:22" ht="17.25" x14ac:dyDescent="0.2">
      <c r="B78" s="12" t="s">
        <v>39</v>
      </c>
      <c r="C78" s="12" t="s">
        <v>42</v>
      </c>
      <c r="D78" s="12" t="s">
        <v>45</v>
      </c>
      <c r="E78" s="12" t="s">
        <v>126</v>
      </c>
      <c r="F78" s="12" t="s">
        <v>127</v>
      </c>
      <c r="G78" s="12" t="s">
        <v>66</v>
      </c>
      <c r="H78" s="12" t="s">
        <v>69</v>
      </c>
      <c r="I78" s="12" t="s">
        <v>119</v>
      </c>
      <c r="J78" s="12" t="s">
        <v>75</v>
      </c>
      <c r="N78" s="12" t="s">
        <v>39</v>
      </c>
      <c r="O78" s="12" t="s">
        <v>42</v>
      </c>
      <c r="P78" s="12" t="s">
        <v>45</v>
      </c>
      <c r="Q78" s="12" t="s">
        <v>126</v>
      </c>
      <c r="R78" s="12" t="s">
        <v>127</v>
      </c>
      <c r="S78" s="12" t="s">
        <v>66</v>
      </c>
      <c r="T78" s="12" t="s">
        <v>69</v>
      </c>
      <c r="U78" s="12" t="s">
        <v>119</v>
      </c>
      <c r="V78" s="12" t="s">
        <v>75</v>
      </c>
    </row>
    <row r="79" spans="1:22" ht="31.5" customHeight="1" x14ac:dyDescent="0.2">
      <c r="A79" s="15" t="s">
        <v>122</v>
      </c>
      <c r="B79" s="14">
        <f>INT(B69*B72)</f>
        <v>17068</v>
      </c>
      <c r="C79" s="14">
        <f>INT(C69*C72)</f>
        <v>8510</v>
      </c>
      <c r="D79" s="14">
        <f>INT(D69*D72)</f>
        <v>51327</v>
      </c>
      <c r="E79" s="17">
        <f t="shared" ref="E79:G81" si="51">E$69*E72</f>
        <v>0</v>
      </c>
      <c r="F79" s="17">
        <f t="shared" si="51"/>
        <v>0</v>
      </c>
      <c r="G79" s="17">
        <f t="shared" si="51"/>
        <v>0</v>
      </c>
      <c r="H79" s="13"/>
      <c r="I79" s="13"/>
      <c r="J79" s="13"/>
      <c r="M79" s="15" t="s">
        <v>122</v>
      </c>
      <c r="N79" s="14">
        <f>INT(N69*N72)</f>
        <v>19881</v>
      </c>
      <c r="O79" s="14">
        <f>INT(O69*O72)</f>
        <v>9886</v>
      </c>
      <c r="P79" s="14">
        <f>INT(P69*P72)</f>
        <v>102923</v>
      </c>
      <c r="Q79" s="14"/>
      <c r="R79" s="14"/>
      <c r="S79" s="14"/>
      <c r="T79" s="14"/>
      <c r="U79" s="14"/>
      <c r="V79" s="14"/>
    </row>
    <row r="80" spans="1:22" ht="29.25" customHeight="1" x14ac:dyDescent="0.2">
      <c r="A80" s="15" t="s">
        <v>123</v>
      </c>
      <c r="B80" s="14"/>
      <c r="C80" s="14"/>
      <c r="D80" s="14"/>
      <c r="E80" s="27">
        <f t="shared" ref="E80:G80" si="52">INT(E$69*E73)</f>
        <v>0</v>
      </c>
      <c r="F80" s="27">
        <f t="shared" si="52"/>
        <v>0</v>
      </c>
      <c r="G80" s="27">
        <f t="shared" si="52"/>
        <v>0</v>
      </c>
      <c r="H80" s="27">
        <f t="shared" ref="H80:J81" si="53">INT(H$69*H73)</f>
        <v>0</v>
      </c>
      <c r="I80" s="27">
        <f t="shared" si="53"/>
        <v>0</v>
      </c>
      <c r="J80" s="27">
        <f t="shared" si="53"/>
        <v>0</v>
      </c>
      <c r="M80" s="15" t="s">
        <v>124</v>
      </c>
      <c r="N80" s="14"/>
      <c r="O80" s="14"/>
      <c r="P80" s="14"/>
      <c r="Q80" s="26">
        <v>0.5</v>
      </c>
      <c r="R80" s="26">
        <v>0.5</v>
      </c>
      <c r="S80" s="26">
        <v>0.5</v>
      </c>
      <c r="T80" s="14">
        <f>T69*T73/$L$10</f>
        <v>37870</v>
      </c>
      <c r="U80" s="14">
        <f>U69*U73/$L$10</f>
        <v>18830.666666666668</v>
      </c>
      <c r="V80" s="14">
        <f>V69*V73/$L$10</f>
        <v>196044</v>
      </c>
    </row>
    <row r="81" spans="1:22" ht="27.75" customHeight="1" x14ac:dyDescent="0.2">
      <c r="A81" s="15" t="s">
        <v>125</v>
      </c>
      <c r="B81" s="14"/>
      <c r="C81" s="14"/>
      <c r="D81" s="14"/>
      <c r="E81" s="17">
        <f t="shared" si="51"/>
        <v>0.5</v>
      </c>
      <c r="F81" s="17">
        <f t="shared" si="51"/>
        <v>0.5</v>
      </c>
      <c r="G81" s="17">
        <f t="shared" si="51"/>
        <v>0.5</v>
      </c>
      <c r="H81" s="27">
        <f t="shared" si="53"/>
        <v>36122</v>
      </c>
      <c r="I81" s="27">
        <f t="shared" si="53"/>
        <v>18012</v>
      </c>
      <c r="J81" s="27">
        <f t="shared" si="53"/>
        <v>108628</v>
      </c>
      <c r="M81" s="15" t="s">
        <v>130</v>
      </c>
      <c r="N81" s="14">
        <f>INT(B69*T10)</f>
        <v>19506</v>
      </c>
      <c r="O81" s="14">
        <f>INT(C69*U10)</f>
        <v>9726</v>
      </c>
      <c r="P81" s="14">
        <f>INT(D69*V10)</f>
        <v>58659</v>
      </c>
      <c r="Q81" s="14"/>
      <c r="R81" s="14"/>
      <c r="S81" s="14"/>
      <c r="T81" s="14"/>
      <c r="U81" s="14"/>
      <c r="V81" s="14"/>
    </row>
  </sheetData>
  <mergeCells count="9">
    <mergeCell ref="K4:L4"/>
    <mergeCell ref="P4:V4"/>
    <mergeCell ref="A77:J77"/>
    <mergeCell ref="B67:J67"/>
    <mergeCell ref="N67:V67"/>
    <mergeCell ref="A66:V66"/>
    <mergeCell ref="A40:N40"/>
    <mergeCell ref="M77:V77"/>
    <mergeCell ref="A12:O1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81"/>
  <sheetViews>
    <sheetView workbookViewId="0">
      <selection activeCell="N5" sqref="N5"/>
    </sheetView>
  </sheetViews>
  <sheetFormatPr defaultRowHeight="14.25" x14ac:dyDescent="0.2"/>
  <cols>
    <col min="1" max="2" width="9" style="37" customWidth="1"/>
    <col min="3" max="3" width="9.25" style="37" customWidth="1"/>
    <col min="4" max="4" width="10" style="37" customWidth="1"/>
    <col min="5" max="5" width="11.125" style="37" customWidth="1"/>
    <col min="6" max="6" width="10.625" style="37" customWidth="1"/>
    <col min="7" max="7" width="10.125" style="37" customWidth="1"/>
    <col min="8" max="8" width="10.375" style="37" customWidth="1"/>
    <col min="9" max="9" width="10" style="37" customWidth="1"/>
    <col min="10" max="11" width="9" style="37"/>
    <col min="12" max="12" width="11.125" style="37" customWidth="1"/>
    <col min="13" max="13" width="10.125" style="37" customWidth="1"/>
    <col min="14" max="14" width="9.375" style="37" customWidth="1"/>
    <col min="15" max="15" width="9" style="37"/>
    <col min="16" max="16" width="9.75" style="37" customWidth="1"/>
    <col min="17" max="18" width="9" style="37"/>
    <col min="19" max="19" width="11" style="37" customWidth="1"/>
    <col min="20" max="20" width="11.125" style="37" customWidth="1"/>
    <col min="21" max="21" width="11.375" style="37" customWidth="1"/>
    <col min="22" max="22" width="10.5" style="37" customWidth="1"/>
    <col min="23" max="16384" width="9" style="37"/>
  </cols>
  <sheetData>
    <row r="2" spans="1:22" ht="28.5" x14ac:dyDescent="0.2">
      <c r="A2" s="15" t="s">
        <v>87</v>
      </c>
      <c r="B2" s="23">
        <v>0.5</v>
      </c>
      <c r="C2" s="15" t="s">
        <v>88</v>
      </c>
      <c r="D2" s="23">
        <v>1</v>
      </c>
      <c r="E2" s="15" t="s">
        <v>89</v>
      </c>
      <c r="F2" s="23">
        <v>2</v>
      </c>
      <c r="G2" s="15" t="s">
        <v>90</v>
      </c>
      <c r="H2" s="14">
        <f>B2*F2+D2</f>
        <v>2</v>
      </c>
      <c r="I2" s="15" t="s">
        <v>91</v>
      </c>
      <c r="J2" s="23">
        <v>5</v>
      </c>
      <c r="K2" s="15" t="s">
        <v>92</v>
      </c>
      <c r="L2" s="23">
        <v>5</v>
      </c>
    </row>
    <row r="3" spans="1:22" ht="25.5" customHeight="1" x14ac:dyDescent="0.2">
      <c r="E3" s="15" t="s">
        <v>93</v>
      </c>
      <c r="F3" s="23">
        <v>3</v>
      </c>
    </row>
    <row r="4" spans="1:22" ht="20.25" x14ac:dyDescent="0.2">
      <c r="K4" s="62" t="s">
        <v>113</v>
      </c>
      <c r="L4" s="62"/>
      <c r="P4" s="63" t="s">
        <v>112</v>
      </c>
      <c r="Q4" s="63"/>
      <c r="R4" s="63"/>
      <c r="S4" s="63"/>
      <c r="T4" s="63"/>
      <c r="U4" s="63"/>
      <c r="V4" s="63"/>
    </row>
    <row r="5" spans="1:22" ht="17.25" x14ac:dyDescent="0.2">
      <c r="K5" s="12" t="s">
        <v>114</v>
      </c>
      <c r="L5" s="12" t="s">
        <v>111</v>
      </c>
      <c r="P5" s="12" t="s">
        <v>110</v>
      </c>
      <c r="Q5" s="12" t="s">
        <v>111</v>
      </c>
      <c r="R5" s="12" t="s">
        <v>111</v>
      </c>
      <c r="S5" s="12" t="s">
        <v>16</v>
      </c>
      <c r="T5" s="12" t="s">
        <v>132</v>
      </c>
      <c r="U5" s="12" t="s">
        <v>133</v>
      </c>
      <c r="V5" s="12" t="s">
        <v>131</v>
      </c>
    </row>
    <row r="6" spans="1:22" ht="16.5" x14ac:dyDescent="0.2">
      <c r="B6" s="22" t="s">
        <v>94</v>
      </c>
      <c r="C6" s="22" t="s">
        <v>109</v>
      </c>
      <c r="D6" s="22" t="s">
        <v>544</v>
      </c>
      <c r="E6" s="22" t="s">
        <v>545</v>
      </c>
      <c r="F6" s="22" t="s">
        <v>551</v>
      </c>
      <c r="G6" s="22"/>
      <c r="H6" s="22"/>
      <c r="K6" s="13" t="s">
        <v>14</v>
      </c>
      <c r="L6" s="13">
        <v>0.7</v>
      </c>
      <c r="P6" s="13">
        <v>1</v>
      </c>
      <c r="Q6" s="13">
        <v>1</v>
      </c>
      <c r="R6" s="13">
        <v>1</v>
      </c>
      <c r="S6" s="13">
        <v>20</v>
      </c>
      <c r="T6" s="13"/>
      <c r="U6" s="13"/>
      <c r="V6" s="13"/>
    </row>
    <row r="7" spans="1:22" ht="16.5" x14ac:dyDescent="0.2">
      <c r="A7" s="13" t="s">
        <v>95</v>
      </c>
      <c r="B7" s="13">
        <v>1</v>
      </c>
      <c r="C7" s="13">
        <v>6</v>
      </c>
      <c r="D7" s="13">
        <v>0.25</v>
      </c>
      <c r="E7" s="13">
        <v>21</v>
      </c>
      <c r="F7" s="13">
        <f>L9*Q10</f>
        <v>1.7550000000000001</v>
      </c>
      <c r="G7" s="13"/>
      <c r="H7" s="13"/>
      <c r="K7" s="13" t="s">
        <v>115</v>
      </c>
      <c r="L7" s="13">
        <v>1</v>
      </c>
      <c r="P7" s="13">
        <v>2</v>
      </c>
      <c r="Q7" s="13">
        <v>1.1000000000000001</v>
      </c>
      <c r="R7" s="13">
        <v>1</v>
      </c>
      <c r="S7" s="13">
        <v>30</v>
      </c>
      <c r="T7" s="13"/>
      <c r="U7" s="13"/>
      <c r="V7" s="28">
        <v>0.2</v>
      </c>
    </row>
    <row r="8" spans="1:22" ht="16.5" x14ac:dyDescent="0.2">
      <c r="A8" s="13" t="s">
        <v>96</v>
      </c>
      <c r="B8" s="13">
        <v>1</v>
      </c>
      <c r="C8" s="13">
        <v>9</v>
      </c>
      <c r="D8" s="13">
        <v>0.25</v>
      </c>
      <c r="E8" s="13">
        <v>21</v>
      </c>
      <c r="F8" s="13">
        <f>L9*Q10</f>
        <v>1.7550000000000001</v>
      </c>
      <c r="G8" s="13"/>
      <c r="H8" s="13"/>
      <c r="K8" s="13" t="s">
        <v>17</v>
      </c>
      <c r="L8" s="13">
        <v>1.1499999999999999</v>
      </c>
      <c r="P8" s="13">
        <v>3</v>
      </c>
      <c r="Q8" s="13">
        <v>1.1499999999999999</v>
      </c>
      <c r="R8" s="13">
        <v>1</v>
      </c>
      <c r="S8" s="13">
        <v>50</v>
      </c>
      <c r="T8" s="28">
        <v>0.2</v>
      </c>
      <c r="U8" s="13"/>
      <c r="V8" s="28">
        <v>0.2</v>
      </c>
    </row>
    <row r="9" spans="1:22" ht="16.5" x14ac:dyDescent="0.2">
      <c r="K9" s="13" t="s">
        <v>116</v>
      </c>
      <c r="L9" s="13">
        <v>1.3</v>
      </c>
      <c r="M9" s="39">
        <v>1.75</v>
      </c>
      <c r="O9" s="39">
        <v>2</v>
      </c>
      <c r="P9" s="13">
        <v>4</v>
      </c>
      <c r="Q9" s="13">
        <v>1.2</v>
      </c>
      <c r="R9" s="13">
        <v>1</v>
      </c>
      <c r="S9" s="13">
        <v>80</v>
      </c>
      <c r="T9" s="28">
        <v>0.25</v>
      </c>
      <c r="U9" s="28">
        <v>0.25</v>
      </c>
      <c r="V9" s="28">
        <v>0.25</v>
      </c>
    </row>
    <row r="10" spans="1:22" ht="16.5" x14ac:dyDescent="0.2">
      <c r="K10" s="13" t="s">
        <v>654</v>
      </c>
      <c r="L10" s="13">
        <v>1.5</v>
      </c>
      <c r="P10" s="13">
        <v>5</v>
      </c>
      <c r="Q10" s="13">
        <v>1.35</v>
      </c>
      <c r="R10" s="13">
        <v>1</v>
      </c>
      <c r="S10" s="13">
        <v>120</v>
      </c>
      <c r="T10" s="28">
        <v>0.4</v>
      </c>
      <c r="U10" s="28">
        <v>0.4</v>
      </c>
      <c r="V10" s="28">
        <v>0.4</v>
      </c>
    </row>
    <row r="11" spans="1:22" x14ac:dyDescent="0.2">
      <c r="P11" s="16"/>
      <c r="Q11" s="16"/>
      <c r="R11" s="16"/>
      <c r="S11" s="16"/>
    </row>
    <row r="12" spans="1:22" ht="20.25" x14ac:dyDescent="0.2">
      <c r="A12" s="63" t="s">
        <v>97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S12" s="16"/>
    </row>
    <row r="13" spans="1:22" ht="17.25" x14ac:dyDescent="0.2">
      <c r="A13" s="12" t="s">
        <v>98</v>
      </c>
      <c r="B13" s="12" t="s">
        <v>538</v>
      </c>
      <c r="C13" s="12" t="s">
        <v>539</v>
      </c>
      <c r="D13" s="12" t="s">
        <v>99</v>
      </c>
      <c r="E13" s="12" t="s">
        <v>100</v>
      </c>
      <c r="F13" s="12" t="s">
        <v>101</v>
      </c>
      <c r="G13" s="12" t="s">
        <v>540</v>
      </c>
      <c r="H13" s="12" t="s">
        <v>467</v>
      </c>
      <c r="I13" s="12" t="s">
        <v>468</v>
      </c>
      <c r="J13" s="12" t="s">
        <v>103</v>
      </c>
      <c r="K13" s="12" t="s">
        <v>104</v>
      </c>
      <c r="L13" s="12" t="s">
        <v>102</v>
      </c>
      <c r="M13" s="12" t="s">
        <v>105</v>
      </c>
      <c r="N13" s="12" t="s">
        <v>550</v>
      </c>
      <c r="O13" s="12" t="s">
        <v>15</v>
      </c>
      <c r="S13" s="16"/>
      <c r="V13" s="12" t="s">
        <v>471</v>
      </c>
    </row>
    <row r="14" spans="1:22" ht="16.5" x14ac:dyDescent="0.2">
      <c r="A14" s="13">
        <v>1</v>
      </c>
      <c r="B14" s="13">
        <v>1</v>
      </c>
      <c r="C14" s="13">
        <v>10</v>
      </c>
      <c r="D14" s="13">
        <v>10</v>
      </c>
      <c r="E14" s="14">
        <f t="shared" ref="E14:E34" si="0">D14/2</f>
        <v>5</v>
      </c>
      <c r="F14" s="14">
        <f t="shared" ref="F14:F34" si="1">D14*$C$7/2</f>
        <v>30</v>
      </c>
      <c r="G14" s="13">
        <v>50</v>
      </c>
      <c r="H14" s="13">
        <v>0</v>
      </c>
      <c r="I14" s="13">
        <v>200</v>
      </c>
      <c r="J14" s="14">
        <f>G14</f>
        <v>50</v>
      </c>
      <c r="K14" s="14">
        <f>H14</f>
        <v>0</v>
      </c>
      <c r="L14" s="14">
        <f>I14</f>
        <v>200</v>
      </c>
      <c r="M14" s="17">
        <f t="shared" ref="M14" si="2">D14/J14</f>
        <v>0.2</v>
      </c>
      <c r="N14" s="14">
        <f t="shared" ref="N14:N34" si="3">(1+M14)*(1+M14)</f>
        <v>1.44</v>
      </c>
      <c r="O14" s="14">
        <v>50</v>
      </c>
      <c r="Q14" s="24"/>
      <c r="S14" s="16"/>
      <c r="U14" s="15" t="s">
        <v>472</v>
      </c>
      <c r="V14" s="28">
        <v>0.5</v>
      </c>
    </row>
    <row r="15" spans="1:22" ht="16.5" x14ac:dyDescent="0.2">
      <c r="A15" s="13">
        <v>2</v>
      </c>
      <c r="B15" s="13">
        <v>10</v>
      </c>
      <c r="C15" s="13">
        <v>40</v>
      </c>
      <c r="D15" s="14">
        <f>ROUND(J15*M15,2)</f>
        <v>10</v>
      </c>
      <c r="E15" s="14">
        <f t="shared" si="0"/>
        <v>5</v>
      </c>
      <c r="F15" s="14">
        <f t="shared" si="1"/>
        <v>30</v>
      </c>
      <c r="G15" s="14">
        <v>10</v>
      </c>
      <c r="H15" s="14">
        <f>ROUND(E14*($B15-B14)*$D$7,0)</f>
        <v>11</v>
      </c>
      <c r="I15" s="14">
        <f>G15*$C$7/2</f>
        <v>30</v>
      </c>
      <c r="J15" s="14">
        <f>J14+D14*($B15-$B14)+G15</f>
        <v>150</v>
      </c>
      <c r="K15" s="14">
        <f t="shared" ref="K15:L30" si="4">K14+E14*($B15-$B14)+H15</f>
        <v>56</v>
      </c>
      <c r="L15" s="14">
        <f t="shared" si="4"/>
        <v>500</v>
      </c>
      <c r="M15" s="38">
        <v>6.6650000000000001E-2</v>
      </c>
      <c r="N15" s="14">
        <f t="shared" si="3"/>
        <v>1.1377422225000002</v>
      </c>
      <c r="O15" s="14">
        <f>ROUND((O$14+K15*3)/50,0)*50</f>
        <v>200</v>
      </c>
      <c r="Q15" s="24"/>
      <c r="S15" s="16"/>
      <c r="U15" s="15" t="s">
        <v>473</v>
      </c>
      <c r="V15" s="28">
        <v>0.2</v>
      </c>
    </row>
    <row r="16" spans="1:22" ht="16.5" x14ac:dyDescent="0.2">
      <c r="A16" s="13">
        <v>3</v>
      </c>
      <c r="B16" s="13">
        <v>20</v>
      </c>
      <c r="C16" s="13">
        <v>40</v>
      </c>
      <c r="D16" s="14">
        <f t="shared" ref="D16:D34" si="5">ROUND(J16*M16,2)</f>
        <v>15</v>
      </c>
      <c r="E16" s="14">
        <f t="shared" si="0"/>
        <v>7.5</v>
      </c>
      <c r="F16" s="14">
        <f t="shared" si="1"/>
        <v>45</v>
      </c>
      <c r="G16" s="14">
        <f>ROUND(D15*($B16-$B15)*$D$7,0)</f>
        <v>25</v>
      </c>
      <c r="H16" s="14">
        <f>ROUND(E15*($B16-$B15)*$D$7,0)</f>
        <v>13</v>
      </c>
      <c r="I16" s="14">
        <f t="shared" ref="I16:I34" si="6">G16*$C$7/2</f>
        <v>75</v>
      </c>
      <c r="J16" s="14">
        <f>J15+D15*($B16-$B15)+G16</f>
        <v>275</v>
      </c>
      <c r="K16" s="14">
        <f t="shared" si="4"/>
        <v>119</v>
      </c>
      <c r="L16" s="14">
        <f t="shared" si="4"/>
        <v>875</v>
      </c>
      <c r="M16" s="38">
        <v>5.4550000000000001E-2</v>
      </c>
      <c r="N16" s="14">
        <f t="shared" si="3"/>
        <v>1.1120757025000003</v>
      </c>
      <c r="O16" s="14">
        <f t="shared" ref="O16:O35" si="7">ROUND((O$14+K16*3)/50,0)*50</f>
        <v>400</v>
      </c>
      <c r="Q16" s="24"/>
      <c r="S16" s="16"/>
      <c r="U16" s="15" t="s">
        <v>474</v>
      </c>
      <c r="V16" s="28">
        <v>0.2</v>
      </c>
    </row>
    <row r="17" spans="1:22" ht="16.5" x14ac:dyDescent="0.2">
      <c r="A17" s="13">
        <v>4</v>
      </c>
      <c r="B17" s="13">
        <v>30</v>
      </c>
      <c r="C17" s="13">
        <v>40</v>
      </c>
      <c r="D17" s="14">
        <f t="shared" si="5"/>
        <v>20</v>
      </c>
      <c r="E17" s="14">
        <f t="shared" si="0"/>
        <v>10</v>
      </c>
      <c r="F17" s="14">
        <f t="shared" si="1"/>
        <v>60</v>
      </c>
      <c r="G17" s="14">
        <f t="shared" ref="G17:H32" si="8">ROUND(D16*($B17-$B16)*$D$7,0)</f>
        <v>38</v>
      </c>
      <c r="H17" s="14">
        <f t="shared" si="8"/>
        <v>19</v>
      </c>
      <c r="I17" s="14">
        <f t="shared" si="6"/>
        <v>114</v>
      </c>
      <c r="J17" s="14">
        <f t="shared" ref="J17:L32" si="9">J16+D16*($B17-$B16)+G17</f>
        <v>463</v>
      </c>
      <c r="K17" s="14">
        <f t="shared" si="4"/>
        <v>213</v>
      </c>
      <c r="L17" s="14">
        <f t="shared" si="4"/>
        <v>1439</v>
      </c>
      <c r="M17" s="38">
        <v>4.3200000000000002E-2</v>
      </c>
      <c r="N17" s="14">
        <f t="shared" si="3"/>
        <v>1.0882662399999998</v>
      </c>
      <c r="O17" s="14">
        <f t="shared" si="7"/>
        <v>700</v>
      </c>
      <c r="Q17" s="24"/>
      <c r="S17" s="16"/>
      <c r="U17" s="15" t="s">
        <v>475</v>
      </c>
      <c r="V17" s="28">
        <v>0.1</v>
      </c>
    </row>
    <row r="18" spans="1:22" ht="16.5" x14ac:dyDescent="0.2">
      <c r="A18" s="13">
        <v>5</v>
      </c>
      <c r="B18" s="13">
        <v>40</v>
      </c>
      <c r="C18" s="13">
        <v>80</v>
      </c>
      <c r="D18" s="14">
        <f t="shared" si="5"/>
        <v>25</v>
      </c>
      <c r="E18" s="14">
        <f t="shared" si="0"/>
        <v>12.5</v>
      </c>
      <c r="F18" s="14">
        <f t="shared" si="1"/>
        <v>75</v>
      </c>
      <c r="G18" s="14">
        <f t="shared" si="8"/>
        <v>50</v>
      </c>
      <c r="H18" s="14">
        <f t="shared" si="8"/>
        <v>25</v>
      </c>
      <c r="I18" s="14">
        <f t="shared" si="6"/>
        <v>150</v>
      </c>
      <c r="J18" s="14">
        <f t="shared" si="9"/>
        <v>713</v>
      </c>
      <c r="K18" s="14">
        <f t="shared" si="4"/>
        <v>338</v>
      </c>
      <c r="L18" s="14">
        <f t="shared" si="4"/>
        <v>2189</v>
      </c>
      <c r="M18" s="38">
        <v>3.5060000000000001E-2</v>
      </c>
      <c r="N18" s="14">
        <f t="shared" si="3"/>
        <v>1.0713492036000003</v>
      </c>
      <c r="O18" s="14">
        <f t="shared" si="7"/>
        <v>1050</v>
      </c>
      <c r="Q18" s="24"/>
      <c r="S18" s="16"/>
    </row>
    <row r="19" spans="1:22" ht="17.25" x14ac:dyDescent="0.2">
      <c r="A19" s="13">
        <v>6</v>
      </c>
      <c r="B19" s="13">
        <v>50</v>
      </c>
      <c r="C19" s="13">
        <v>80</v>
      </c>
      <c r="D19" s="14">
        <f t="shared" si="5"/>
        <v>30</v>
      </c>
      <c r="E19" s="14">
        <f t="shared" si="0"/>
        <v>15</v>
      </c>
      <c r="F19" s="14">
        <f t="shared" si="1"/>
        <v>90</v>
      </c>
      <c r="G19" s="14">
        <f t="shared" si="8"/>
        <v>63</v>
      </c>
      <c r="H19" s="14">
        <f t="shared" si="8"/>
        <v>31</v>
      </c>
      <c r="I19" s="14">
        <f t="shared" si="6"/>
        <v>189</v>
      </c>
      <c r="J19" s="14">
        <f t="shared" si="9"/>
        <v>1026</v>
      </c>
      <c r="K19" s="14">
        <f t="shared" si="4"/>
        <v>494</v>
      </c>
      <c r="L19" s="14">
        <f t="shared" si="4"/>
        <v>3128</v>
      </c>
      <c r="M19" s="38">
        <v>2.9239999999999999E-2</v>
      </c>
      <c r="N19" s="14">
        <f t="shared" si="3"/>
        <v>1.0593349775999998</v>
      </c>
      <c r="O19" s="14">
        <f t="shared" si="7"/>
        <v>1550</v>
      </c>
      <c r="R19" s="12" t="s">
        <v>659</v>
      </c>
      <c r="S19" s="12" t="s">
        <v>178</v>
      </c>
      <c r="T19" s="12" t="s">
        <v>667</v>
      </c>
    </row>
    <row r="20" spans="1:22" ht="16.5" x14ac:dyDescent="0.2">
      <c r="A20" s="13">
        <v>7</v>
      </c>
      <c r="B20" s="13">
        <v>60</v>
      </c>
      <c r="C20" s="13">
        <v>80</v>
      </c>
      <c r="D20" s="14">
        <f t="shared" si="5"/>
        <v>35.03</v>
      </c>
      <c r="E20" s="14">
        <f t="shared" si="0"/>
        <v>17.515000000000001</v>
      </c>
      <c r="F20" s="14">
        <f t="shared" si="1"/>
        <v>105.09</v>
      </c>
      <c r="G20" s="14">
        <f t="shared" si="8"/>
        <v>75</v>
      </c>
      <c r="H20" s="14">
        <f t="shared" si="8"/>
        <v>38</v>
      </c>
      <c r="I20" s="14">
        <f t="shared" si="6"/>
        <v>225</v>
      </c>
      <c r="J20" s="14">
        <f t="shared" si="9"/>
        <v>1401</v>
      </c>
      <c r="K20" s="14">
        <f t="shared" si="4"/>
        <v>682</v>
      </c>
      <c r="L20" s="14">
        <f t="shared" si="4"/>
        <v>4253</v>
      </c>
      <c r="M20" s="38">
        <v>2.5000000000000001E-2</v>
      </c>
      <c r="N20" s="14">
        <f t="shared" si="3"/>
        <v>1.0506249999999999</v>
      </c>
      <c r="O20" s="14">
        <f t="shared" si="7"/>
        <v>2100</v>
      </c>
      <c r="Q20" s="13" t="s">
        <v>15</v>
      </c>
      <c r="R20" s="13">
        <v>0</v>
      </c>
      <c r="S20" s="13">
        <v>0</v>
      </c>
      <c r="T20" s="13">
        <v>0</v>
      </c>
    </row>
    <row r="21" spans="1:22" ht="16.5" x14ac:dyDescent="0.2">
      <c r="A21" s="13">
        <v>8</v>
      </c>
      <c r="B21" s="13">
        <v>70</v>
      </c>
      <c r="C21" s="13">
        <v>80</v>
      </c>
      <c r="D21" s="14">
        <f t="shared" si="5"/>
        <v>45.98</v>
      </c>
      <c r="E21" s="14">
        <f t="shared" si="0"/>
        <v>22.99</v>
      </c>
      <c r="F21" s="14">
        <f t="shared" si="1"/>
        <v>137.94</v>
      </c>
      <c r="G21" s="14">
        <f t="shared" si="8"/>
        <v>88</v>
      </c>
      <c r="H21" s="14">
        <f t="shared" si="8"/>
        <v>44</v>
      </c>
      <c r="I21" s="14">
        <f t="shared" si="6"/>
        <v>264</v>
      </c>
      <c r="J21" s="14">
        <f t="shared" si="9"/>
        <v>1839.3</v>
      </c>
      <c r="K21" s="14">
        <f t="shared" si="4"/>
        <v>901.15</v>
      </c>
      <c r="L21" s="14">
        <f t="shared" si="4"/>
        <v>5567.9</v>
      </c>
      <c r="M21" s="38">
        <v>2.5000000000000001E-2</v>
      </c>
      <c r="N21" s="14">
        <f t="shared" si="3"/>
        <v>1.0506249999999999</v>
      </c>
      <c r="O21" s="14">
        <f t="shared" si="7"/>
        <v>2750</v>
      </c>
      <c r="Q21" s="13" t="s">
        <v>17</v>
      </c>
      <c r="R21" s="13">
        <v>20</v>
      </c>
      <c r="S21" s="13">
        <v>0</v>
      </c>
      <c r="T21" s="13">
        <v>100</v>
      </c>
    </row>
    <row r="22" spans="1:22" ht="16.5" x14ac:dyDescent="0.2">
      <c r="A22" s="13">
        <v>9</v>
      </c>
      <c r="B22" s="13">
        <v>80</v>
      </c>
      <c r="C22" s="13">
        <v>100</v>
      </c>
      <c r="D22" s="14">
        <f t="shared" si="5"/>
        <v>60.35</v>
      </c>
      <c r="E22" s="14">
        <f t="shared" si="0"/>
        <v>30.175000000000001</v>
      </c>
      <c r="F22" s="14">
        <f t="shared" si="1"/>
        <v>181.05</v>
      </c>
      <c r="G22" s="14">
        <f t="shared" si="8"/>
        <v>115</v>
      </c>
      <c r="H22" s="14">
        <f t="shared" si="8"/>
        <v>57</v>
      </c>
      <c r="I22" s="14">
        <f t="shared" si="6"/>
        <v>345</v>
      </c>
      <c r="J22" s="14">
        <f t="shared" si="9"/>
        <v>2414.1</v>
      </c>
      <c r="K22" s="14">
        <f t="shared" si="4"/>
        <v>1188.05</v>
      </c>
      <c r="L22" s="14">
        <f t="shared" si="4"/>
        <v>7292.2999999999993</v>
      </c>
      <c r="M22" s="38">
        <v>2.5000000000000001E-2</v>
      </c>
      <c r="N22" s="14">
        <f t="shared" si="3"/>
        <v>1.0506249999999999</v>
      </c>
      <c r="O22" s="14">
        <f t="shared" si="7"/>
        <v>3600</v>
      </c>
      <c r="Q22" s="13" t="s">
        <v>116</v>
      </c>
      <c r="R22" s="13">
        <v>50</v>
      </c>
      <c r="S22" s="13">
        <v>0</v>
      </c>
      <c r="T22" s="13">
        <v>300</v>
      </c>
    </row>
    <row r="23" spans="1:22" ht="16.5" x14ac:dyDescent="0.2">
      <c r="A23" s="13">
        <v>10</v>
      </c>
      <c r="B23" s="13">
        <v>85</v>
      </c>
      <c r="C23" s="13">
        <v>100</v>
      </c>
      <c r="D23" s="14">
        <f t="shared" si="5"/>
        <v>69.77</v>
      </c>
      <c r="E23" s="14">
        <f t="shared" si="0"/>
        <v>34.884999999999998</v>
      </c>
      <c r="F23" s="14">
        <f t="shared" si="1"/>
        <v>209.31</v>
      </c>
      <c r="G23" s="14">
        <f t="shared" si="8"/>
        <v>75</v>
      </c>
      <c r="H23" s="14">
        <f t="shared" si="8"/>
        <v>38</v>
      </c>
      <c r="I23" s="14">
        <f t="shared" si="6"/>
        <v>225</v>
      </c>
      <c r="J23" s="14">
        <f t="shared" si="9"/>
        <v>2790.85</v>
      </c>
      <c r="K23" s="14">
        <f t="shared" si="4"/>
        <v>1376.925</v>
      </c>
      <c r="L23" s="14">
        <f t="shared" si="4"/>
        <v>8422.5499999999993</v>
      </c>
      <c r="M23" s="38">
        <v>2.5000000000000001E-2</v>
      </c>
      <c r="N23" s="14">
        <f t="shared" si="3"/>
        <v>1.0506249999999999</v>
      </c>
      <c r="O23" s="14">
        <f t="shared" si="7"/>
        <v>4200</v>
      </c>
      <c r="Q23" s="13" t="s">
        <v>654</v>
      </c>
      <c r="R23" s="13">
        <v>100</v>
      </c>
      <c r="S23" s="13">
        <v>0</v>
      </c>
      <c r="T23" s="13">
        <v>500</v>
      </c>
    </row>
    <row r="24" spans="1:22" ht="17.25" x14ac:dyDescent="0.2">
      <c r="A24" s="13">
        <v>11</v>
      </c>
      <c r="B24" s="13">
        <v>90</v>
      </c>
      <c r="C24" s="13">
        <v>100</v>
      </c>
      <c r="D24" s="14">
        <f t="shared" si="5"/>
        <v>80.67</v>
      </c>
      <c r="E24" s="14">
        <f t="shared" si="0"/>
        <v>40.335000000000001</v>
      </c>
      <c r="F24" s="14">
        <f t="shared" si="1"/>
        <v>242.01</v>
      </c>
      <c r="G24" s="14">
        <f t="shared" si="8"/>
        <v>87</v>
      </c>
      <c r="H24" s="14">
        <f t="shared" si="8"/>
        <v>44</v>
      </c>
      <c r="I24" s="14">
        <f t="shared" si="6"/>
        <v>261</v>
      </c>
      <c r="J24" s="14">
        <f t="shared" si="9"/>
        <v>3226.7</v>
      </c>
      <c r="K24" s="14">
        <f t="shared" si="4"/>
        <v>1595.35</v>
      </c>
      <c r="L24" s="14">
        <f t="shared" si="4"/>
        <v>9730.0999999999985</v>
      </c>
      <c r="M24" s="38">
        <v>2.5000000000000001E-2</v>
      </c>
      <c r="N24" s="14">
        <f t="shared" si="3"/>
        <v>1.0506249999999999</v>
      </c>
      <c r="O24" s="14">
        <f t="shared" si="7"/>
        <v>4850</v>
      </c>
      <c r="R24" s="12" t="s">
        <v>659</v>
      </c>
      <c r="S24" s="12" t="s">
        <v>178</v>
      </c>
      <c r="T24" s="12" t="s">
        <v>667</v>
      </c>
    </row>
    <row r="25" spans="1:22" ht="16.5" x14ac:dyDescent="0.2">
      <c r="A25" s="13">
        <v>12</v>
      </c>
      <c r="B25" s="13">
        <v>95</v>
      </c>
      <c r="C25" s="13">
        <v>100</v>
      </c>
      <c r="D25" s="14">
        <f t="shared" si="5"/>
        <v>93.28</v>
      </c>
      <c r="E25" s="14">
        <f t="shared" si="0"/>
        <v>46.64</v>
      </c>
      <c r="F25" s="14">
        <f t="shared" si="1"/>
        <v>279.84000000000003</v>
      </c>
      <c r="G25" s="14">
        <f t="shared" si="8"/>
        <v>101</v>
      </c>
      <c r="H25" s="14">
        <f t="shared" si="8"/>
        <v>50</v>
      </c>
      <c r="I25" s="14">
        <f t="shared" si="6"/>
        <v>303</v>
      </c>
      <c r="J25" s="14">
        <f t="shared" si="9"/>
        <v>3731.0499999999997</v>
      </c>
      <c r="K25" s="14">
        <f t="shared" si="4"/>
        <v>1847.0249999999999</v>
      </c>
      <c r="L25" s="14">
        <f t="shared" si="4"/>
        <v>11243.149999999998</v>
      </c>
      <c r="M25" s="38">
        <v>2.5000000000000001E-2</v>
      </c>
      <c r="N25" s="14">
        <f t="shared" si="3"/>
        <v>1.0506249999999999</v>
      </c>
      <c r="O25" s="14">
        <f t="shared" si="7"/>
        <v>5600</v>
      </c>
      <c r="Q25" s="13" t="s">
        <v>15</v>
      </c>
      <c r="R25" s="13">
        <v>0</v>
      </c>
      <c r="S25" s="13">
        <v>0</v>
      </c>
      <c r="T25" s="13">
        <v>0</v>
      </c>
    </row>
    <row r="26" spans="1:22" ht="16.5" x14ac:dyDescent="0.2">
      <c r="A26" s="13">
        <v>13</v>
      </c>
      <c r="B26" s="13">
        <v>100</v>
      </c>
      <c r="C26" s="13">
        <v>120</v>
      </c>
      <c r="D26" s="14">
        <f t="shared" si="5"/>
        <v>107.86</v>
      </c>
      <c r="E26" s="14">
        <f t="shared" si="0"/>
        <v>53.93</v>
      </c>
      <c r="F26" s="14">
        <f t="shared" si="1"/>
        <v>323.58</v>
      </c>
      <c r="G26" s="14">
        <f t="shared" si="8"/>
        <v>117</v>
      </c>
      <c r="H26" s="14">
        <f t="shared" si="8"/>
        <v>58</v>
      </c>
      <c r="I26" s="14">
        <f t="shared" si="6"/>
        <v>351</v>
      </c>
      <c r="J26" s="14">
        <f t="shared" si="9"/>
        <v>4314.45</v>
      </c>
      <c r="K26" s="14">
        <f t="shared" si="4"/>
        <v>2138.2249999999999</v>
      </c>
      <c r="L26" s="14">
        <f t="shared" si="4"/>
        <v>12993.349999999999</v>
      </c>
      <c r="M26" s="38">
        <v>2.5000000000000001E-2</v>
      </c>
      <c r="N26" s="14">
        <f t="shared" si="3"/>
        <v>1.0506249999999999</v>
      </c>
      <c r="O26" s="14">
        <f t="shared" si="7"/>
        <v>6450</v>
      </c>
      <c r="Q26" s="13" t="s">
        <v>17</v>
      </c>
      <c r="R26" s="13">
        <v>50</v>
      </c>
      <c r="S26" s="13">
        <v>0</v>
      </c>
      <c r="T26" s="13">
        <v>200</v>
      </c>
    </row>
    <row r="27" spans="1:22" ht="16.5" x14ac:dyDescent="0.2">
      <c r="A27" s="13">
        <v>14</v>
      </c>
      <c r="B27" s="13">
        <v>105</v>
      </c>
      <c r="C27" s="13">
        <v>120</v>
      </c>
      <c r="D27" s="14">
        <f t="shared" si="5"/>
        <v>124.72</v>
      </c>
      <c r="E27" s="14">
        <f t="shared" si="0"/>
        <v>62.36</v>
      </c>
      <c r="F27" s="14">
        <f t="shared" si="1"/>
        <v>374.15999999999997</v>
      </c>
      <c r="G27" s="14">
        <f t="shared" si="8"/>
        <v>135</v>
      </c>
      <c r="H27" s="14">
        <f t="shared" si="8"/>
        <v>67</v>
      </c>
      <c r="I27" s="14">
        <f t="shared" si="6"/>
        <v>405</v>
      </c>
      <c r="J27" s="14">
        <f t="shared" si="9"/>
        <v>4988.75</v>
      </c>
      <c r="K27" s="14">
        <f t="shared" si="4"/>
        <v>2474.875</v>
      </c>
      <c r="L27" s="14">
        <f t="shared" si="4"/>
        <v>15016.249999999998</v>
      </c>
      <c r="M27" s="38">
        <v>2.5000000000000001E-2</v>
      </c>
      <c r="N27" s="14">
        <f t="shared" si="3"/>
        <v>1.0506249999999999</v>
      </c>
      <c r="O27" s="14">
        <f t="shared" si="7"/>
        <v>7450</v>
      </c>
      <c r="Q27" s="13" t="s">
        <v>116</v>
      </c>
      <c r="R27" s="13">
        <v>100</v>
      </c>
      <c r="S27" s="13">
        <v>0</v>
      </c>
      <c r="T27" s="13">
        <v>500</v>
      </c>
    </row>
    <row r="28" spans="1:22" ht="16.5" x14ac:dyDescent="0.2">
      <c r="A28" s="13">
        <v>15</v>
      </c>
      <c r="B28" s="13">
        <v>110</v>
      </c>
      <c r="C28" s="13">
        <v>120</v>
      </c>
      <c r="D28" s="14">
        <f t="shared" si="5"/>
        <v>144.21</v>
      </c>
      <c r="E28" s="14">
        <f t="shared" si="0"/>
        <v>72.105000000000004</v>
      </c>
      <c r="F28" s="14">
        <f t="shared" si="1"/>
        <v>432.63</v>
      </c>
      <c r="G28" s="14">
        <f t="shared" si="8"/>
        <v>156</v>
      </c>
      <c r="H28" s="14">
        <f t="shared" si="8"/>
        <v>78</v>
      </c>
      <c r="I28" s="14">
        <f t="shared" si="6"/>
        <v>468</v>
      </c>
      <c r="J28" s="14">
        <f t="shared" si="9"/>
        <v>5768.35</v>
      </c>
      <c r="K28" s="14">
        <f t="shared" si="4"/>
        <v>2864.6750000000002</v>
      </c>
      <c r="L28" s="14">
        <f t="shared" si="4"/>
        <v>17355.05</v>
      </c>
      <c r="M28" s="38">
        <v>2.5000000000000001E-2</v>
      </c>
      <c r="N28" s="14">
        <f t="shared" si="3"/>
        <v>1.0506249999999999</v>
      </c>
      <c r="O28" s="14">
        <f t="shared" si="7"/>
        <v>8650</v>
      </c>
      <c r="Q28" s="13" t="s">
        <v>654</v>
      </c>
      <c r="R28" s="13">
        <v>200</v>
      </c>
      <c r="S28" s="13">
        <v>0</v>
      </c>
      <c r="T28" s="13">
        <v>1000</v>
      </c>
    </row>
    <row r="29" spans="1:22" ht="16.5" x14ac:dyDescent="0.2">
      <c r="A29" s="13">
        <v>16</v>
      </c>
      <c r="B29" s="13">
        <v>115</v>
      </c>
      <c r="C29" s="13">
        <v>120</v>
      </c>
      <c r="D29" s="14">
        <f t="shared" si="5"/>
        <v>166.74</v>
      </c>
      <c r="E29" s="14">
        <f t="shared" si="0"/>
        <v>83.37</v>
      </c>
      <c r="F29" s="14">
        <f t="shared" si="1"/>
        <v>500.22</v>
      </c>
      <c r="G29" s="14">
        <f t="shared" si="8"/>
        <v>180</v>
      </c>
      <c r="H29" s="14">
        <f t="shared" si="8"/>
        <v>90</v>
      </c>
      <c r="I29" s="14">
        <f t="shared" si="6"/>
        <v>540</v>
      </c>
      <c r="J29" s="14">
        <f t="shared" si="9"/>
        <v>6669.4000000000005</v>
      </c>
      <c r="K29" s="14">
        <f t="shared" si="4"/>
        <v>3315.2000000000003</v>
      </c>
      <c r="L29" s="14">
        <f t="shared" si="4"/>
        <v>20058.2</v>
      </c>
      <c r="M29" s="38">
        <v>2.5000000000000001E-2</v>
      </c>
      <c r="N29" s="14">
        <f t="shared" si="3"/>
        <v>1.0506249999999999</v>
      </c>
      <c r="O29" s="14">
        <f t="shared" si="7"/>
        <v>10000</v>
      </c>
      <c r="Q29" s="24"/>
    </row>
    <row r="30" spans="1:22" ht="16.5" x14ac:dyDescent="0.2">
      <c r="A30" s="13">
        <v>17</v>
      </c>
      <c r="B30" s="13">
        <v>120</v>
      </c>
      <c r="C30" s="13">
        <v>140</v>
      </c>
      <c r="D30" s="14">
        <f t="shared" si="5"/>
        <v>192.78</v>
      </c>
      <c r="E30" s="14">
        <f t="shared" si="0"/>
        <v>96.39</v>
      </c>
      <c r="F30" s="14">
        <f t="shared" si="1"/>
        <v>578.34</v>
      </c>
      <c r="G30" s="14">
        <f t="shared" si="8"/>
        <v>208</v>
      </c>
      <c r="H30" s="14">
        <f t="shared" si="8"/>
        <v>104</v>
      </c>
      <c r="I30" s="14">
        <f t="shared" si="6"/>
        <v>624</v>
      </c>
      <c r="J30" s="14">
        <f t="shared" si="9"/>
        <v>7711.1</v>
      </c>
      <c r="K30" s="14">
        <f t="shared" si="4"/>
        <v>3836.05</v>
      </c>
      <c r="L30" s="14">
        <f t="shared" si="4"/>
        <v>23183.300000000003</v>
      </c>
      <c r="M30" s="38">
        <v>2.5000000000000001E-2</v>
      </c>
      <c r="N30" s="14">
        <f t="shared" si="3"/>
        <v>1.0506249999999999</v>
      </c>
      <c r="O30" s="14">
        <f t="shared" si="7"/>
        <v>11550</v>
      </c>
      <c r="Q30" s="24"/>
    </row>
    <row r="31" spans="1:22" ht="16.5" x14ac:dyDescent="0.2">
      <c r="A31" s="13">
        <v>18</v>
      </c>
      <c r="B31" s="13">
        <v>125</v>
      </c>
      <c r="C31" s="13">
        <v>140</v>
      </c>
      <c r="D31" s="14">
        <f t="shared" si="5"/>
        <v>222.9</v>
      </c>
      <c r="E31" s="14">
        <f t="shared" si="0"/>
        <v>111.45</v>
      </c>
      <c r="F31" s="14">
        <f t="shared" si="1"/>
        <v>668.7</v>
      </c>
      <c r="G31" s="14">
        <f t="shared" si="8"/>
        <v>241</v>
      </c>
      <c r="H31" s="14">
        <f t="shared" si="8"/>
        <v>120</v>
      </c>
      <c r="I31" s="14">
        <f t="shared" si="6"/>
        <v>723</v>
      </c>
      <c r="J31" s="14">
        <f t="shared" si="9"/>
        <v>8916</v>
      </c>
      <c r="K31" s="14">
        <f t="shared" si="9"/>
        <v>4438</v>
      </c>
      <c r="L31" s="14">
        <f t="shared" si="9"/>
        <v>26798.000000000004</v>
      </c>
      <c r="M31" s="38">
        <v>2.5000000000000001E-2</v>
      </c>
      <c r="N31" s="14">
        <f t="shared" si="3"/>
        <v>1.0506249999999999</v>
      </c>
      <c r="O31" s="14">
        <f t="shared" si="7"/>
        <v>13350</v>
      </c>
      <c r="Q31" s="24"/>
    </row>
    <row r="32" spans="1:22" ht="16.5" x14ac:dyDescent="0.2">
      <c r="A32" s="13">
        <v>19</v>
      </c>
      <c r="B32" s="13">
        <v>130</v>
      </c>
      <c r="C32" s="13">
        <v>140</v>
      </c>
      <c r="D32" s="14">
        <f t="shared" si="5"/>
        <v>257.74</v>
      </c>
      <c r="E32" s="14">
        <f t="shared" si="0"/>
        <v>128.87</v>
      </c>
      <c r="F32" s="14">
        <f t="shared" si="1"/>
        <v>773.22</v>
      </c>
      <c r="G32" s="14">
        <f t="shared" si="8"/>
        <v>279</v>
      </c>
      <c r="H32" s="14">
        <f t="shared" si="8"/>
        <v>139</v>
      </c>
      <c r="I32" s="14">
        <f t="shared" si="6"/>
        <v>837</v>
      </c>
      <c r="J32" s="14">
        <f t="shared" si="9"/>
        <v>10309.5</v>
      </c>
      <c r="K32" s="14">
        <f t="shared" si="9"/>
        <v>5134.25</v>
      </c>
      <c r="L32" s="14">
        <f t="shared" si="9"/>
        <v>30978.500000000004</v>
      </c>
      <c r="M32" s="38">
        <v>2.5000000000000001E-2</v>
      </c>
      <c r="N32" s="14">
        <f t="shared" si="3"/>
        <v>1.0506249999999999</v>
      </c>
      <c r="O32" s="14">
        <f t="shared" si="7"/>
        <v>15450</v>
      </c>
      <c r="Q32" s="24"/>
    </row>
    <row r="33" spans="1:17" ht="16.5" x14ac:dyDescent="0.2">
      <c r="A33" s="13">
        <v>20</v>
      </c>
      <c r="B33" s="13">
        <v>135</v>
      </c>
      <c r="C33" s="13">
        <v>140</v>
      </c>
      <c r="D33" s="14">
        <f t="shared" si="5"/>
        <v>298.01</v>
      </c>
      <c r="E33" s="14">
        <f t="shared" si="0"/>
        <v>149.005</v>
      </c>
      <c r="F33" s="14">
        <f t="shared" si="1"/>
        <v>894.03</v>
      </c>
      <c r="G33" s="14">
        <f t="shared" ref="G33:H34" si="10">ROUND(D32*($B33-$B32)*$D$7,0)</f>
        <v>322</v>
      </c>
      <c r="H33" s="14">
        <f t="shared" si="10"/>
        <v>161</v>
      </c>
      <c r="I33" s="14">
        <f t="shared" si="6"/>
        <v>966</v>
      </c>
      <c r="J33" s="14">
        <f t="shared" ref="J33:L35" si="11">J32+D32*($B33-$B32)+G33</f>
        <v>11920.2</v>
      </c>
      <c r="K33" s="14">
        <f t="shared" si="11"/>
        <v>5939.6</v>
      </c>
      <c r="L33" s="14">
        <f t="shared" si="11"/>
        <v>35810.600000000006</v>
      </c>
      <c r="M33" s="38">
        <v>2.5000000000000001E-2</v>
      </c>
      <c r="N33" s="14">
        <f t="shared" si="3"/>
        <v>1.0506249999999999</v>
      </c>
      <c r="O33" s="14">
        <f t="shared" si="7"/>
        <v>17850</v>
      </c>
      <c r="Q33" s="24"/>
    </row>
    <row r="34" spans="1:17" ht="16.5" x14ac:dyDescent="0.2">
      <c r="A34" s="13">
        <v>21</v>
      </c>
      <c r="B34" s="13">
        <v>140</v>
      </c>
      <c r="C34" s="13">
        <v>150</v>
      </c>
      <c r="D34" s="14">
        <f t="shared" si="5"/>
        <v>344.58</v>
      </c>
      <c r="E34" s="14">
        <f t="shared" si="0"/>
        <v>172.29</v>
      </c>
      <c r="F34" s="14">
        <f t="shared" si="1"/>
        <v>1033.74</v>
      </c>
      <c r="G34" s="14">
        <f t="shared" si="10"/>
        <v>373</v>
      </c>
      <c r="H34" s="14">
        <f t="shared" si="10"/>
        <v>186</v>
      </c>
      <c r="I34" s="14">
        <f t="shared" si="6"/>
        <v>1119</v>
      </c>
      <c r="J34" s="14">
        <f t="shared" si="11"/>
        <v>13783.25</v>
      </c>
      <c r="K34" s="14">
        <f t="shared" si="11"/>
        <v>6870.625</v>
      </c>
      <c r="L34" s="14">
        <f t="shared" si="11"/>
        <v>41399.750000000007</v>
      </c>
      <c r="M34" s="38">
        <v>2.5000000000000001E-2</v>
      </c>
      <c r="N34" s="14">
        <f t="shared" si="3"/>
        <v>1.0506249999999999</v>
      </c>
      <c r="O34" s="14">
        <f t="shared" si="7"/>
        <v>20650</v>
      </c>
      <c r="Q34" s="24"/>
    </row>
    <row r="35" spans="1:17" ht="16.5" x14ac:dyDescent="0.2">
      <c r="A35" s="13" t="s">
        <v>107</v>
      </c>
      <c r="B35" s="13">
        <v>150</v>
      </c>
      <c r="C35" s="13"/>
      <c r="D35" s="13"/>
      <c r="E35" s="13"/>
      <c r="F35" s="13"/>
      <c r="G35" s="13"/>
      <c r="H35" s="13"/>
      <c r="I35" s="13"/>
      <c r="J35" s="14">
        <f t="shared" si="11"/>
        <v>17229.05</v>
      </c>
      <c r="K35" s="14">
        <f t="shared" si="11"/>
        <v>8593.5249999999996</v>
      </c>
      <c r="L35" s="14">
        <f t="shared" si="11"/>
        <v>51737.150000000009</v>
      </c>
      <c r="M35" s="13"/>
      <c r="N35" s="13"/>
      <c r="O35" s="14">
        <f t="shared" si="7"/>
        <v>25850</v>
      </c>
      <c r="Q35" s="24"/>
    </row>
    <row r="36" spans="1:17" x14ac:dyDescent="0.2">
      <c r="Q36" s="24"/>
    </row>
    <row r="37" spans="1:17" x14ac:dyDescent="0.2">
      <c r="Q37" s="24"/>
    </row>
    <row r="38" spans="1:17" ht="13.5" customHeight="1" x14ac:dyDescent="0.2">
      <c r="Q38" s="24"/>
    </row>
    <row r="39" spans="1:17" x14ac:dyDescent="0.2">
      <c r="Q39" s="24"/>
    </row>
    <row r="40" spans="1:17" ht="20.25" x14ac:dyDescent="0.2">
      <c r="A40" s="63" t="s">
        <v>108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Q40" s="24"/>
    </row>
    <row r="41" spans="1:17" ht="17.25" x14ac:dyDescent="0.2">
      <c r="A41" s="12" t="s">
        <v>98</v>
      </c>
      <c r="B41" s="12" t="s">
        <v>538</v>
      </c>
      <c r="C41" s="12" t="s">
        <v>539</v>
      </c>
      <c r="D41" s="12" t="s">
        <v>99</v>
      </c>
      <c r="E41" s="12" t="s">
        <v>100</v>
      </c>
      <c r="F41" s="12" t="s">
        <v>101</v>
      </c>
      <c r="G41" s="12" t="s">
        <v>541</v>
      </c>
      <c r="H41" s="12" t="s">
        <v>542</v>
      </c>
      <c r="I41" s="12" t="s">
        <v>543</v>
      </c>
      <c r="J41" s="12" t="s">
        <v>103</v>
      </c>
      <c r="K41" s="12" t="s">
        <v>104</v>
      </c>
      <c r="L41" s="12" t="s">
        <v>102</v>
      </c>
      <c r="M41" s="12" t="s">
        <v>105</v>
      </c>
      <c r="N41" s="12" t="s">
        <v>106</v>
      </c>
      <c r="O41" s="12" t="s">
        <v>15</v>
      </c>
      <c r="Q41" s="24"/>
    </row>
    <row r="42" spans="1:17" ht="16.5" x14ac:dyDescent="0.2">
      <c r="A42" s="13">
        <v>1</v>
      </c>
      <c r="B42" s="13">
        <v>1</v>
      </c>
      <c r="C42" s="13">
        <v>10</v>
      </c>
      <c r="D42" s="13">
        <v>10</v>
      </c>
      <c r="E42" s="14">
        <f>D42/2</f>
        <v>5</v>
      </c>
      <c r="F42" s="14">
        <f>INT(D42*$C$8/2)</f>
        <v>45</v>
      </c>
      <c r="G42" s="13">
        <v>100</v>
      </c>
      <c r="H42" s="13">
        <v>100</v>
      </c>
      <c r="I42" s="13">
        <v>1500</v>
      </c>
      <c r="J42" s="14">
        <f>G42</f>
        <v>100</v>
      </c>
      <c r="K42" s="14">
        <f>H42</f>
        <v>100</v>
      </c>
      <c r="L42" s="14">
        <f>I42</f>
        <v>1500</v>
      </c>
      <c r="M42" s="17">
        <f t="shared" ref="M42:M62" si="12">D42/J42</f>
        <v>0.1</v>
      </c>
      <c r="N42" s="14">
        <f>(1+M42)*(1+M42)</f>
        <v>1.2100000000000002</v>
      </c>
      <c r="O42" s="14">
        <v>100</v>
      </c>
    </row>
    <row r="43" spans="1:17" ht="16.5" x14ac:dyDescent="0.2">
      <c r="A43" s="13">
        <v>2</v>
      </c>
      <c r="B43" s="13">
        <v>10</v>
      </c>
      <c r="C43" s="13">
        <v>20</v>
      </c>
      <c r="D43" s="14">
        <f>D15</f>
        <v>10</v>
      </c>
      <c r="E43" s="14">
        <f t="shared" ref="E43:E62" si="13">D43/2</f>
        <v>5</v>
      </c>
      <c r="F43" s="14">
        <f t="shared" ref="F43:F62" si="14">INT(D43*$C$8/2)</f>
        <v>45</v>
      </c>
      <c r="G43" s="14">
        <v>25</v>
      </c>
      <c r="H43" s="14">
        <v>10</v>
      </c>
      <c r="I43" s="14">
        <f t="shared" ref="I43:I62" si="15">G43*$C$8</f>
        <v>225</v>
      </c>
      <c r="J43" s="14">
        <f>J42+D42*($B43-$B42)+G43</f>
        <v>215</v>
      </c>
      <c r="K43" s="14">
        <f t="shared" ref="K43:L58" si="16">K42+E42*($B43-$B42)+H43</f>
        <v>155</v>
      </c>
      <c r="L43" s="14">
        <f t="shared" si="16"/>
        <v>2130</v>
      </c>
      <c r="M43" s="17">
        <f t="shared" si="12"/>
        <v>4.6511627906976744E-2</v>
      </c>
      <c r="N43" s="14">
        <f t="shared" ref="N43:N62" si="17">(1+M43)*(1+M43)</f>
        <v>1.0951865873445108</v>
      </c>
      <c r="O43" s="14">
        <f>ROUND((O$42+K43*3)/50,0)*50</f>
        <v>550</v>
      </c>
    </row>
    <row r="44" spans="1:17" ht="16.5" x14ac:dyDescent="0.2">
      <c r="A44" s="13">
        <v>3</v>
      </c>
      <c r="B44" s="13">
        <v>20</v>
      </c>
      <c r="C44" s="13">
        <v>30</v>
      </c>
      <c r="D44" s="14">
        <f>D16</f>
        <v>15</v>
      </c>
      <c r="E44" s="14">
        <f t="shared" si="13"/>
        <v>7.5</v>
      </c>
      <c r="F44" s="14">
        <f t="shared" si="14"/>
        <v>67</v>
      </c>
      <c r="G44" s="14">
        <f t="shared" ref="G44:G62" si="18">ROUND(D43*($B44-B43)*$D$7,0)</f>
        <v>25</v>
      </c>
      <c r="H44" s="14">
        <f t="shared" ref="H44:H62" si="19">ROUND(E43*($B44-B43)*$D$7,0)</f>
        <v>13</v>
      </c>
      <c r="I44" s="14">
        <f t="shared" si="15"/>
        <v>225</v>
      </c>
      <c r="J44" s="14">
        <f t="shared" ref="J44:L59" si="20">J43+D43*($B44-$B43)+G44</f>
        <v>340</v>
      </c>
      <c r="K44" s="14">
        <f t="shared" si="16"/>
        <v>218</v>
      </c>
      <c r="L44" s="14">
        <f t="shared" si="16"/>
        <v>2805</v>
      </c>
      <c r="M44" s="17">
        <f t="shared" si="12"/>
        <v>4.4117647058823532E-2</v>
      </c>
      <c r="N44" s="14">
        <f t="shared" si="17"/>
        <v>1.0901816608996542</v>
      </c>
      <c r="O44" s="14">
        <f t="shared" ref="O44:O63" si="21">ROUND((O$42+K44*3)/50,0)*50</f>
        <v>750</v>
      </c>
    </row>
    <row r="45" spans="1:17" ht="16.5" x14ac:dyDescent="0.2">
      <c r="A45" s="13">
        <v>4</v>
      </c>
      <c r="B45" s="13">
        <v>30</v>
      </c>
      <c r="C45" s="13">
        <v>40</v>
      </c>
      <c r="D45" s="14">
        <f t="shared" ref="D45:D62" si="22">D17</f>
        <v>20</v>
      </c>
      <c r="E45" s="14">
        <f t="shared" si="13"/>
        <v>10</v>
      </c>
      <c r="F45" s="14">
        <f t="shared" si="14"/>
        <v>90</v>
      </c>
      <c r="G45" s="14">
        <f t="shared" si="18"/>
        <v>38</v>
      </c>
      <c r="H45" s="14">
        <f t="shared" si="19"/>
        <v>19</v>
      </c>
      <c r="I45" s="14">
        <f t="shared" si="15"/>
        <v>342</v>
      </c>
      <c r="J45" s="14">
        <f t="shared" si="20"/>
        <v>528</v>
      </c>
      <c r="K45" s="14">
        <f t="shared" si="16"/>
        <v>312</v>
      </c>
      <c r="L45" s="14">
        <f t="shared" si="16"/>
        <v>3817</v>
      </c>
      <c r="M45" s="17">
        <f t="shared" si="12"/>
        <v>3.787878787878788E-2</v>
      </c>
      <c r="N45" s="14">
        <f t="shared" si="17"/>
        <v>1.0771923783287418</v>
      </c>
      <c r="O45" s="14">
        <f t="shared" si="21"/>
        <v>1050</v>
      </c>
    </row>
    <row r="46" spans="1:17" ht="16.5" x14ac:dyDescent="0.2">
      <c r="A46" s="13">
        <v>5</v>
      </c>
      <c r="B46" s="13">
        <v>40</v>
      </c>
      <c r="C46" s="13">
        <v>50</v>
      </c>
      <c r="D46" s="14">
        <f t="shared" si="22"/>
        <v>25</v>
      </c>
      <c r="E46" s="14">
        <f t="shared" si="13"/>
        <v>12.5</v>
      </c>
      <c r="F46" s="14">
        <f t="shared" si="14"/>
        <v>112</v>
      </c>
      <c r="G46" s="14">
        <f t="shared" si="18"/>
        <v>50</v>
      </c>
      <c r="H46" s="14">
        <f t="shared" si="19"/>
        <v>25</v>
      </c>
      <c r="I46" s="14">
        <f t="shared" si="15"/>
        <v>450</v>
      </c>
      <c r="J46" s="14">
        <f t="shared" si="20"/>
        <v>778</v>
      </c>
      <c r="K46" s="14">
        <f t="shared" si="16"/>
        <v>437</v>
      </c>
      <c r="L46" s="14">
        <f t="shared" si="16"/>
        <v>5167</v>
      </c>
      <c r="M46" s="17">
        <f t="shared" si="12"/>
        <v>3.2133676092544985E-2</v>
      </c>
      <c r="N46" s="14">
        <f t="shared" si="17"/>
        <v>1.0652999253243107</v>
      </c>
      <c r="O46" s="14">
        <f t="shared" si="21"/>
        <v>1400</v>
      </c>
    </row>
    <row r="47" spans="1:17" ht="16.5" x14ac:dyDescent="0.2">
      <c r="A47" s="13">
        <v>6</v>
      </c>
      <c r="B47" s="13">
        <v>50</v>
      </c>
      <c r="C47" s="13">
        <v>60</v>
      </c>
      <c r="D47" s="14">
        <f t="shared" si="22"/>
        <v>30</v>
      </c>
      <c r="E47" s="14">
        <f t="shared" si="13"/>
        <v>15</v>
      </c>
      <c r="F47" s="14">
        <f t="shared" si="14"/>
        <v>135</v>
      </c>
      <c r="G47" s="14">
        <f t="shared" si="18"/>
        <v>63</v>
      </c>
      <c r="H47" s="14">
        <f t="shared" si="19"/>
        <v>31</v>
      </c>
      <c r="I47" s="14">
        <f t="shared" si="15"/>
        <v>567</v>
      </c>
      <c r="J47" s="14">
        <f t="shared" si="20"/>
        <v>1091</v>
      </c>
      <c r="K47" s="14">
        <f t="shared" si="16"/>
        <v>593</v>
      </c>
      <c r="L47" s="14">
        <f t="shared" si="16"/>
        <v>6854</v>
      </c>
      <c r="M47" s="17">
        <f t="shared" si="12"/>
        <v>2.7497708524289642E-2</v>
      </c>
      <c r="N47" s="14">
        <f t="shared" si="17"/>
        <v>1.0557515410226659</v>
      </c>
      <c r="O47" s="14">
        <f t="shared" si="21"/>
        <v>1900</v>
      </c>
    </row>
    <row r="48" spans="1:17" ht="16.5" x14ac:dyDescent="0.2">
      <c r="A48" s="13">
        <v>7</v>
      </c>
      <c r="B48" s="13">
        <v>60</v>
      </c>
      <c r="C48" s="13">
        <v>70</v>
      </c>
      <c r="D48" s="14">
        <f t="shared" si="22"/>
        <v>35.03</v>
      </c>
      <c r="E48" s="14">
        <f t="shared" si="13"/>
        <v>17.515000000000001</v>
      </c>
      <c r="F48" s="14">
        <f t="shared" si="14"/>
        <v>157</v>
      </c>
      <c r="G48" s="14">
        <f t="shared" si="18"/>
        <v>75</v>
      </c>
      <c r="H48" s="14">
        <f t="shared" si="19"/>
        <v>38</v>
      </c>
      <c r="I48" s="14">
        <f t="shared" si="15"/>
        <v>675</v>
      </c>
      <c r="J48" s="14">
        <f t="shared" si="20"/>
        <v>1466</v>
      </c>
      <c r="K48" s="14">
        <f t="shared" si="16"/>
        <v>781</v>
      </c>
      <c r="L48" s="14">
        <f t="shared" si="16"/>
        <v>8879</v>
      </c>
      <c r="M48" s="17">
        <f t="shared" si="12"/>
        <v>2.3894952251023192E-2</v>
      </c>
      <c r="N48" s="14">
        <f t="shared" si="17"/>
        <v>1.0483608732451251</v>
      </c>
      <c r="O48" s="14">
        <f t="shared" si="21"/>
        <v>2450</v>
      </c>
    </row>
    <row r="49" spans="1:15" ht="16.5" x14ac:dyDescent="0.2">
      <c r="A49" s="13">
        <v>8</v>
      </c>
      <c r="B49" s="13">
        <v>70</v>
      </c>
      <c r="C49" s="13">
        <v>80</v>
      </c>
      <c r="D49" s="14">
        <f t="shared" si="22"/>
        <v>45.98</v>
      </c>
      <c r="E49" s="14">
        <f t="shared" si="13"/>
        <v>22.99</v>
      </c>
      <c r="F49" s="14">
        <f t="shared" si="14"/>
        <v>206</v>
      </c>
      <c r="G49" s="14">
        <f t="shared" si="18"/>
        <v>88</v>
      </c>
      <c r="H49" s="14">
        <f t="shared" si="19"/>
        <v>44</v>
      </c>
      <c r="I49" s="14">
        <f t="shared" si="15"/>
        <v>792</v>
      </c>
      <c r="J49" s="14">
        <f t="shared" si="20"/>
        <v>1904.3</v>
      </c>
      <c r="K49" s="14">
        <f t="shared" si="16"/>
        <v>1000.15</v>
      </c>
      <c r="L49" s="14">
        <f t="shared" si="16"/>
        <v>11241</v>
      </c>
      <c r="M49" s="17">
        <f t="shared" si="12"/>
        <v>2.4145355248647797E-2</v>
      </c>
      <c r="N49" s="14">
        <f t="shared" si="17"/>
        <v>1.0488737086773787</v>
      </c>
      <c r="O49" s="14">
        <f t="shared" si="21"/>
        <v>3100</v>
      </c>
    </row>
    <row r="50" spans="1:15" ht="16.5" x14ac:dyDescent="0.2">
      <c r="A50" s="13">
        <v>9</v>
      </c>
      <c r="B50" s="13">
        <v>80</v>
      </c>
      <c r="C50" s="13">
        <v>85</v>
      </c>
      <c r="D50" s="14">
        <f t="shared" si="22"/>
        <v>60.35</v>
      </c>
      <c r="E50" s="14">
        <f t="shared" si="13"/>
        <v>30.175000000000001</v>
      </c>
      <c r="F50" s="14">
        <f t="shared" si="14"/>
        <v>271</v>
      </c>
      <c r="G50" s="14">
        <f t="shared" si="18"/>
        <v>115</v>
      </c>
      <c r="H50" s="14">
        <f t="shared" si="19"/>
        <v>57</v>
      </c>
      <c r="I50" s="14">
        <f t="shared" si="15"/>
        <v>1035</v>
      </c>
      <c r="J50" s="14">
        <f t="shared" si="20"/>
        <v>2479.1</v>
      </c>
      <c r="K50" s="14">
        <f t="shared" si="16"/>
        <v>1287.05</v>
      </c>
      <c r="L50" s="14">
        <f t="shared" si="16"/>
        <v>14336</v>
      </c>
      <c r="M50" s="17">
        <f t="shared" si="12"/>
        <v>2.4343511758299383E-2</v>
      </c>
      <c r="N50" s="14">
        <f t="shared" si="17"/>
        <v>1.049279630081325</v>
      </c>
      <c r="O50" s="14">
        <f t="shared" si="21"/>
        <v>3950</v>
      </c>
    </row>
    <row r="51" spans="1:15" ht="16.5" x14ac:dyDescent="0.2">
      <c r="A51" s="13">
        <v>10</v>
      </c>
      <c r="B51" s="13">
        <v>85</v>
      </c>
      <c r="C51" s="13">
        <v>90</v>
      </c>
      <c r="D51" s="14">
        <f t="shared" si="22"/>
        <v>69.77</v>
      </c>
      <c r="E51" s="14">
        <f t="shared" si="13"/>
        <v>34.884999999999998</v>
      </c>
      <c r="F51" s="14">
        <f t="shared" si="14"/>
        <v>313</v>
      </c>
      <c r="G51" s="14">
        <f t="shared" si="18"/>
        <v>75</v>
      </c>
      <c r="H51" s="14">
        <f t="shared" si="19"/>
        <v>38</v>
      </c>
      <c r="I51" s="14">
        <f t="shared" si="15"/>
        <v>675</v>
      </c>
      <c r="J51" s="14">
        <f t="shared" si="20"/>
        <v>2855.85</v>
      </c>
      <c r="K51" s="14">
        <f t="shared" si="16"/>
        <v>1475.925</v>
      </c>
      <c r="L51" s="14">
        <f t="shared" si="16"/>
        <v>16366</v>
      </c>
      <c r="M51" s="17">
        <f t="shared" si="12"/>
        <v>2.4430554826058791E-2</v>
      </c>
      <c r="N51" s="14">
        <f t="shared" si="17"/>
        <v>1.0494579616612267</v>
      </c>
      <c r="O51" s="14">
        <f t="shared" si="21"/>
        <v>4550</v>
      </c>
    </row>
    <row r="52" spans="1:15" ht="16.5" x14ac:dyDescent="0.2">
      <c r="A52" s="13">
        <v>11</v>
      </c>
      <c r="B52" s="13">
        <v>90</v>
      </c>
      <c r="C52" s="13">
        <v>95</v>
      </c>
      <c r="D52" s="14">
        <f t="shared" si="22"/>
        <v>80.67</v>
      </c>
      <c r="E52" s="14">
        <f t="shared" si="13"/>
        <v>40.335000000000001</v>
      </c>
      <c r="F52" s="14">
        <f t="shared" si="14"/>
        <v>363</v>
      </c>
      <c r="G52" s="14">
        <f t="shared" si="18"/>
        <v>87</v>
      </c>
      <c r="H52" s="14">
        <f t="shared" si="19"/>
        <v>44</v>
      </c>
      <c r="I52" s="14">
        <f t="shared" si="15"/>
        <v>783</v>
      </c>
      <c r="J52" s="14">
        <f t="shared" si="20"/>
        <v>3291.7</v>
      </c>
      <c r="K52" s="14">
        <f t="shared" si="16"/>
        <v>1694.35</v>
      </c>
      <c r="L52" s="14">
        <f t="shared" si="16"/>
        <v>18714</v>
      </c>
      <c r="M52" s="17">
        <f t="shared" si="12"/>
        <v>2.4507093599052163E-2</v>
      </c>
      <c r="N52" s="14">
        <f t="shared" si="17"/>
        <v>1.049614784834777</v>
      </c>
      <c r="O52" s="14">
        <f t="shared" si="21"/>
        <v>5200</v>
      </c>
    </row>
    <row r="53" spans="1:15" ht="16.5" x14ac:dyDescent="0.2">
      <c r="A53" s="13">
        <v>12</v>
      </c>
      <c r="B53" s="13">
        <v>95</v>
      </c>
      <c r="C53" s="13">
        <v>100</v>
      </c>
      <c r="D53" s="14">
        <f t="shared" si="22"/>
        <v>93.28</v>
      </c>
      <c r="E53" s="14">
        <f t="shared" si="13"/>
        <v>46.64</v>
      </c>
      <c r="F53" s="14">
        <f t="shared" si="14"/>
        <v>419</v>
      </c>
      <c r="G53" s="14">
        <f t="shared" si="18"/>
        <v>101</v>
      </c>
      <c r="H53" s="14">
        <f t="shared" si="19"/>
        <v>50</v>
      </c>
      <c r="I53" s="14">
        <f t="shared" si="15"/>
        <v>909</v>
      </c>
      <c r="J53" s="14">
        <f t="shared" si="20"/>
        <v>3796.0499999999997</v>
      </c>
      <c r="K53" s="14">
        <f t="shared" si="16"/>
        <v>1946.0249999999999</v>
      </c>
      <c r="L53" s="14">
        <f t="shared" si="16"/>
        <v>21438</v>
      </c>
      <c r="M53" s="17">
        <f t="shared" si="12"/>
        <v>2.4572911315709753E-2</v>
      </c>
      <c r="N53" s="14">
        <f t="shared" si="17"/>
        <v>1.0497496506019495</v>
      </c>
      <c r="O53" s="14">
        <f t="shared" si="21"/>
        <v>5950</v>
      </c>
    </row>
    <row r="54" spans="1:15" ht="16.5" x14ac:dyDescent="0.2">
      <c r="A54" s="13">
        <v>13</v>
      </c>
      <c r="B54" s="13">
        <v>100</v>
      </c>
      <c r="C54" s="13">
        <v>105</v>
      </c>
      <c r="D54" s="14">
        <f t="shared" si="22"/>
        <v>107.86</v>
      </c>
      <c r="E54" s="14">
        <f t="shared" si="13"/>
        <v>53.93</v>
      </c>
      <c r="F54" s="14">
        <f t="shared" si="14"/>
        <v>485</v>
      </c>
      <c r="G54" s="14">
        <f t="shared" si="18"/>
        <v>117</v>
      </c>
      <c r="H54" s="14">
        <f t="shared" si="19"/>
        <v>58</v>
      </c>
      <c r="I54" s="14">
        <f t="shared" si="15"/>
        <v>1053</v>
      </c>
      <c r="J54" s="14">
        <f t="shared" si="20"/>
        <v>4379.45</v>
      </c>
      <c r="K54" s="14">
        <f t="shared" si="16"/>
        <v>2237.2249999999999</v>
      </c>
      <c r="L54" s="14">
        <f t="shared" si="16"/>
        <v>24586</v>
      </c>
      <c r="M54" s="17">
        <f t="shared" si="12"/>
        <v>2.4628663416639076E-2</v>
      </c>
      <c r="N54" s="14">
        <f t="shared" si="17"/>
        <v>1.0498638978949681</v>
      </c>
      <c r="O54" s="14">
        <f t="shared" si="21"/>
        <v>6800</v>
      </c>
    </row>
    <row r="55" spans="1:15" ht="16.5" x14ac:dyDescent="0.2">
      <c r="A55" s="13">
        <v>14</v>
      </c>
      <c r="B55" s="13">
        <v>105</v>
      </c>
      <c r="C55" s="13">
        <v>110</v>
      </c>
      <c r="D55" s="14">
        <f t="shared" si="22"/>
        <v>124.72</v>
      </c>
      <c r="E55" s="14">
        <f t="shared" si="13"/>
        <v>62.36</v>
      </c>
      <c r="F55" s="14">
        <f t="shared" si="14"/>
        <v>561</v>
      </c>
      <c r="G55" s="14">
        <f t="shared" si="18"/>
        <v>135</v>
      </c>
      <c r="H55" s="14">
        <f t="shared" si="19"/>
        <v>67</v>
      </c>
      <c r="I55" s="14">
        <f t="shared" si="15"/>
        <v>1215</v>
      </c>
      <c r="J55" s="14">
        <f t="shared" si="20"/>
        <v>5053.75</v>
      </c>
      <c r="K55" s="14">
        <f t="shared" si="16"/>
        <v>2573.875</v>
      </c>
      <c r="L55" s="14">
        <f t="shared" si="16"/>
        <v>28226</v>
      </c>
      <c r="M55" s="17">
        <f t="shared" si="12"/>
        <v>2.4678703932723225E-2</v>
      </c>
      <c r="N55" s="14">
        <f t="shared" si="17"/>
        <v>1.0499664462932454</v>
      </c>
      <c r="O55" s="14">
        <f t="shared" si="21"/>
        <v>7800</v>
      </c>
    </row>
    <row r="56" spans="1:15" ht="16.5" x14ac:dyDescent="0.2">
      <c r="A56" s="13">
        <v>15</v>
      </c>
      <c r="B56" s="13">
        <v>110</v>
      </c>
      <c r="C56" s="13">
        <v>115</v>
      </c>
      <c r="D56" s="14">
        <f t="shared" si="22"/>
        <v>144.21</v>
      </c>
      <c r="E56" s="14">
        <f t="shared" si="13"/>
        <v>72.105000000000004</v>
      </c>
      <c r="F56" s="14">
        <f t="shared" si="14"/>
        <v>648</v>
      </c>
      <c r="G56" s="14">
        <f t="shared" si="18"/>
        <v>156</v>
      </c>
      <c r="H56" s="14">
        <f t="shared" si="19"/>
        <v>78</v>
      </c>
      <c r="I56" s="14">
        <f t="shared" si="15"/>
        <v>1404</v>
      </c>
      <c r="J56" s="14">
        <f t="shared" si="20"/>
        <v>5833.35</v>
      </c>
      <c r="K56" s="14">
        <f t="shared" si="16"/>
        <v>2963.6750000000002</v>
      </c>
      <c r="L56" s="14">
        <f t="shared" si="16"/>
        <v>32435</v>
      </c>
      <c r="M56" s="17">
        <f t="shared" si="12"/>
        <v>2.4721643652446706E-2</v>
      </c>
      <c r="N56" s="14">
        <f t="shared" si="17"/>
        <v>1.0500544469697719</v>
      </c>
      <c r="O56" s="14">
        <f t="shared" si="21"/>
        <v>9000</v>
      </c>
    </row>
    <row r="57" spans="1:15" ht="16.5" x14ac:dyDescent="0.2">
      <c r="A57" s="13">
        <v>16</v>
      </c>
      <c r="B57" s="13">
        <v>115</v>
      </c>
      <c r="C57" s="13">
        <v>120</v>
      </c>
      <c r="D57" s="14">
        <f t="shared" si="22"/>
        <v>166.74</v>
      </c>
      <c r="E57" s="14">
        <f t="shared" si="13"/>
        <v>83.37</v>
      </c>
      <c r="F57" s="14">
        <f t="shared" si="14"/>
        <v>750</v>
      </c>
      <c r="G57" s="14">
        <f t="shared" si="18"/>
        <v>180</v>
      </c>
      <c r="H57" s="14">
        <f t="shared" si="19"/>
        <v>90</v>
      </c>
      <c r="I57" s="14">
        <f t="shared" si="15"/>
        <v>1620</v>
      </c>
      <c r="J57" s="14">
        <f t="shared" si="20"/>
        <v>6734.4000000000005</v>
      </c>
      <c r="K57" s="14">
        <f t="shared" si="16"/>
        <v>3414.2000000000003</v>
      </c>
      <c r="L57" s="14">
        <f t="shared" si="16"/>
        <v>37295</v>
      </c>
      <c r="M57" s="17">
        <f t="shared" si="12"/>
        <v>2.4759444048467569E-2</v>
      </c>
      <c r="N57" s="14">
        <f t="shared" si="17"/>
        <v>1.0501319181665243</v>
      </c>
      <c r="O57" s="14">
        <f t="shared" si="21"/>
        <v>10350</v>
      </c>
    </row>
    <row r="58" spans="1:15" ht="16.5" x14ac:dyDescent="0.2">
      <c r="A58" s="13">
        <v>17</v>
      </c>
      <c r="B58" s="13">
        <v>120</v>
      </c>
      <c r="C58" s="13">
        <v>125</v>
      </c>
      <c r="D58" s="14">
        <f t="shared" si="22"/>
        <v>192.78</v>
      </c>
      <c r="E58" s="14">
        <f t="shared" si="13"/>
        <v>96.39</v>
      </c>
      <c r="F58" s="14">
        <f t="shared" si="14"/>
        <v>867</v>
      </c>
      <c r="G58" s="14">
        <f t="shared" si="18"/>
        <v>208</v>
      </c>
      <c r="H58" s="14">
        <f t="shared" si="19"/>
        <v>104</v>
      </c>
      <c r="I58" s="14">
        <f t="shared" si="15"/>
        <v>1872</v>
      </c>
      <c r="J58" s="14">
        <f t="shared" si="20"/>
        <v>7776.1</v>
      </c>
      <c r="K58" s="14">
        <f t="shared" si="16"/>
        <v>3935.05</v>
      </c>
      <c r="L58" s="14">
        <f t="shared" si="16"/>
        <v>42917</v>
      </c>
      <c r="M58" s="17">
        <f t="shared" si="12"/>
        <v>2.47913478478929E-2</v>
      </c>
      <c r="N58" s="14">
        <f t="shared" si="17"/>
        <v>1.0501973066239012</v>
      </c>
      <c r="O58" s="14">
        <f t="shared" si="21"/>
        <v>11900</v>
      </c>
    </row>
    <row r="59" spans="1:15" ht="16.5" x14ac:dyDescent="0.2">
      <c r="A59" s="13">
        <v>18</v>
      </c>
      <c r="B59" s="13">
        <v>125</v>
      </c>
      <c r="C59" s="13">
        <v>130</v>
      </c>
      <c r="D59" s="14">
        <f t="shared" si="22"/>
        <v>222.9</v>
      </c>
      <c r="E59" s="14">
        <f t="shared" si="13"/>
        <v>111.45</v>
      </c>
      <c r="F59" s="14">
        <f t="shared" si="14"/>
        <v>1003</v>
      </c>
      <c r="G59" s="14">
        <f t="shared" si="18"/>
        <v>241</v>
      </c>
      <c r="H59" s="14">
        <f t="shared" si="19"/>
        <v>120</v>
      </c>
      <c r="I59" s="14">
        <f t="shared" si="15"/>
        <v>2169</v>
      </c>
      <c r="J59" s="14">
        <f t="shared" si="20"/>
        <v>8981</v>
      </c>
      <c r="K59" s="14">
        <f t="shared" si="20"/>
        <v>4537</v>
      </c>
      <c r="L59" s="14">
        <f t="shared" si="20"/>
        <v>49421</v>
      </c>
      <c r="M59" s="17">
        <f t="shared" si="12"/>
        <v>2.4819062465204322E-2</v>
      </c>
      <c r="N59" s="14">
        <f t="shared" si="17"/>
        <v>1.0502541107920602</v>
      </c>
      <c r="O59" s="14">
        <f t="shared" si="21"/>
        <v>13700</v>
      </c>
    </row>
    <row r="60" spans="1:15" ht="16.5" x14ac:dyDescent="0.2">
      <c r="A60" s="13">
        <v>19</v>
      </c>
      <c r="B60" s="13">
        <v>130</v>
      </c>
      <c r="C60" s="13">
        <v>135</v>
      </c>
      <c r="D60" s="14">
        <f t="shared" si="22"/>
        <v>257.74</v>
      </c>
      <c r="E60" s="14">
        <f t="shared" si="13"/>
        <v>128.87</v>
      </c>
      <c r="F60" s="14">
        <f t="shared" si="14"/>
        <v>1159</v>
      </c>
      <c r="G60" s="14">
        <f t="shared" si="18"/>
        <v>279</v>
      </c>
      <c r="H60" s="14">
        <f t="shared" si="19"/>
        <v>139</v>
      </c>
      <c r="I60" s="14">
        <f t="shared" si="15"/>
        <v>2511</v>
      </c>
      <c r="J60" s="14">
        <f t="shared" ref="J60:L63" si="23">J59+D59*($B60-$B59)+G60</f>
        <v>10374.5</v>
      </c>
      <c r="K60" s="14">
        <f t="shared" si="23"/>
        <v>5233.25</v>
      </c>
      <c r="L60" s="14">
        <f t="shared" si="23"/>
        <v>56947</v>
      </c>
      <c r="M60" s="17">
        <f t="shared" si="12"/>
        <v>2.4843606920815463E-2</v>
      </c>
      <c r="N60" s="14">
        <f t="shared" si="17"/>
        <v>1.0503044186464672</v>
      </c>
      <c r="O60" s="14">
        <f t="shared" si="21"/>
        <v>15800</v>
      </c>
    </row>
    <row r="61" spans="1:15" ht="16.5" x14ac:dyDescent="0.2">
      <c r="A61" s="13">
        <v>20</v>
      </c>
      <c r="B61" s="13">
        <v>135</v>
      </c>
      <c r="C61" s="13">
        <v>140</v>
      </c>
      <c r="D61" s="14">
        <f t="shared" si="22"/>
        <v>298.01</v>
      </c>
      <c r="E61" s="14">
        <f t="shared" si="13"/>
        <v>149.005</v>
      </c>
      <c r="F61" s="14">
        <f t="shared" si="14"/>
        <v>1341</v>
      </c>
      <c r="G61" s="14">
        <f t="shared" si="18"/>
        <v>322</v>
      </c>
      <c r="H61" s="14">
        <f t="shared" si="19"/>
        <v>161</v>
      </c>
      <c r="I61" s="14">
        <f t="shared" si="15"/>
        <v>2898</v>
      </c>
      <c r="J61" s="14">
        <f t="shared" si="23"/>
        <v>11985.2</v>
      </c>
      <c r="K61" s="14">
        <f t="shared" si="23"/>
        <v>6038.6</v>
      </c>
      <c r="L61" s="14">
        <f t="shared" si="23"/>
        <v>65640</v>
      </c>
      <c r="M61" s="17">
        <f t="shared" si="12"/>
        <v>2.486483329439642E-2</v>
      </c>
      <c r="N61" s="14">
        <f t="shared" si="17"/>
        <v>1.0503479265235509</v>
      </c>
      <c r="O61" s="14">
        <f t="shared" si="21"/>
        <v>18200</v>
      </c>
    </row>
    <row r="62" spans="1:15" ht="16.5" x14ac:dyDescent="0.2">
      <c r="A62" s="13">
        <v>21</v>
      </c>
      <c r="B62" s="13">
        <v>140</v>
      </c>
      <c r="C62" s="13">
        <v>150</v>
      </c>
      <c r="D62" s="14">
        <f t="shared" si="22"/>
        <v>344.58</v>
      </c>
      <c r="E62" s="14">
        <f t="shared" si="13"/>
        <v>172.29</v>
      </c>
      <c r="F62" s="14">
        <f t="shared" si="14"/>
        <v>1550</v>
      </c>
      <c r="G62" s="14">
        <f t="shared" si="18"/>
        <v>373</v>
      </c>
      <c r="H62" s="14">
        <f t="shared" si="19"/>
        <v>186</v>
      </c>
      <c r="I62" s="14">
        <f t="shared" si="15"/>
        <v>3357</v>
      </c>
      <c r="J62" s="14">
        <f t="shared" si="23"/>
        <v>13848.25</v>
      </c>
      <c r="K62" s="14">
        <f t="shared" si="23"/>
        <v>6969.625</v>
      </c>
      <c r="L62" s="14">
        <f t="shared" si="23"/>
        <v>75702</v>
      </c>
      <c r="M62" s="17">
        <f t="shared" si="12"/>
        <v>2.488256638925496E-2</v>
      </c>
      <c r="N62" s="14">
        <f t="shared" si="17"/>
        <v>1.0503842748886254</v>
      </c>
      <c r="O62" s="14">
        <f t="shared" si="21"/>
        <v>21000</v>
      </c>
    </row>
    <row r="63" spans="1:15" ht="16.5" x14ac:dyDescent="0.2">
      <c r="A63" s="13"/>
      <c r="B63" s="13">
        <v>150</v>
      </c>
      <c r="C63" s="13"/>
      <c r="D63" s="13"/>
      <c r="E63" s="13"/>
      <c r="F63" s="13"/>
      <c r="G63" s="13"/>
      <c r="H63" s="13"/>
      <c r="I63" s="13"/>
      <c r="J63" s="14">
        <f t="shared" si="23"/>
        <v>17294.05</v>
      </c>
      <c r="K63" s="14">
        <f t="shared" si="23"/>
        <v>8692.5249999999996</v>
      </c>
      <c r="L63" s="14">
        <f t="shared" si="23"/>
        <v>91202</v>
      </c>
      <c r="M63" s="13"/>
      <c r="N63" s="13"/>
      <c r="O63" s="14">
        <f t="shared" si="21"/>
        <v>26200</v>
      </c>
    </row>
    <row r="64" spans="1:15" ht="17.25" customHeight="1" x14ac:dyDescent="0.2"/>
    <row r="65" spans="1:22" ht="17.25" customHeight="1" x14ac:dyDescent="0.2"/>
    <row r="66" spans="1:22" ht="20.25" x14ac:dyDescent="0.2">
      <c r="A66" s="63" t="s">
        <v>117</v>
      </c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</row>
    <row r="67" spans="1:22" ht="21" customHeight="1" x14ac:dyDescent="0.2">
      <c r="A67" s="41"/>
      <c r="B67" s="63" t="s">
        <v>95</v>
      </c>
      <c r="C67" s="63"/>
      <c r="D67" s="63"/>
      <c r="E67" s="63"/>
      <c r="F67" s="63"/>
      <c r="G67" s="63"/>
      <c r="H67" s="63"/>
      <c r="I67" s="63"/>
      <c r="J67" s="63"/>
      <c r="L67" s="16"/>
      <c r="M67" s="16"/>
      <c r="N67" s="63" t="s">
        <v>120</v>
      </c>
      <c r="O67" s="63"/>
      <c r="P67" s="63"/>
      <c r="Q67" s="63"/>
      <c r="R67" s="63"/>
      <c r="S67" s="63"/>
      <c r="T67" s="63"/>
      <c r="U67" s="63"/>
      <c r="V67" s="63"/>
    </row>
    <row r="68" spans="1:22" ht="20.25" customHeight="1" x14ac:dyDescent="0.2">
      <c r="B68" s="12" t="s">
        <v>39</v>
      </c>
      <c r="C68" s="12" t="s">
        <v>42</v>
      </c>
      <c r="D68" s="12" t="s">
        <v>45</v>
      </c>
      <c r="E68" s="12" t="s">
        <v>126</v>
      </c>
      <c r="F68" s="12" t="s">
        <v>127</v>
      </c>
      <c r="G68" s="12" t="s">
        <v>66</v>
      </c>
      <c r="H68" s="12" t="s">
        <v>118</v>
      </c>
      <c r="I68" s="12" t="s">
        <v>119</v>
      </c>
      <c r="J68" s="12" t="s">
        <v>75</v>
      </c>
      <c r="M68" s="16"/>
      <c r="N68" s="12" t="s">
        <v>39</v>
      </c>
      <c r="O68" s="12" t="s">
        <v>42</v>
      </c>
      <c r="P68" s="12" t="s">
        <v>45</v>
      </c>
      <c r="Q68" s="12" t="s">
        <v>126</v>
      </c>
      <c r="R68" s="12" t="s">
        <v>127</v>
      </c>
      <c r="S68" s="12" t="s">
        <v>66</v>
      </c>
      <c r="T68" s="12" t="s">
        <v>118</v>
      </c>
      <c r="U68" s="12" t="s">
        <v>119</v>
      </c>
      <c r="V68" s="12" t="s">
        <v>75</v>
      </c>
    </row>
    <row r="69" spans="1:22" ht="24.75" customHeight="1" x14ac:dyDescent="0.2">
      <c r="A69" s="15" t="s">
        <v>121</v>
      </c>
      <c r="B69" s="14">
        <f>INT(J35*$Q$10*$L$9)</f>
        <v>30236</v>
      </c>
      <c r="C69" s="14">
        <f>INT(K35*$Q$10*$L$9)</f>
        <v>15081</v>
      </c>
      <c r="D69" s="14">
        <f>INT(L35*$Q$10*$L$9)</f>
        <v>90798</v>
      </c>
      <c r="E69" s="26">
        <v>1</v>
      </c>
      <c r="F69" s="26">
        <v>1</v>
      </c>
      <c r="G69" s="26">
        <v>1</v>
      </c>
      <c r="H69" s="14">
        <f>INT(B69/$Q$10)</f>
        <v>22397</v>
      </c>
      <c r="I69" s="14">
        <f>INT(C69/$Q$10)</f>
        <v>11171</v>
      </c>
      <c r="J69" s="14">
        <f>INT(D69/$Q$10)</f>
        <v>67257</v>
      </c>
      <c r="M69" s="15" t="s">
        <v>121</v>
      </c>
      <c r="N69" s="14">
        <f>INT(J63*$Q$10*$L$10)</f>
        <v>35020</v>
      </c>
      <c r="O69" s="14">
        <f>INT(K63*$Q$10*$L$10)</f>
        <v>17602</v>
      </c>
      <c r="P69" s="14">
        <f>INT(L63*$Q$10*$L$10)</f>
        <v>184684</v>
      </c>
      <c r="Q69" s="14"/>
      <c r="R69" s="14"/>
      <c r="S69" s="14"/>
      <c r="T69" s="14">
        <f>(N69)</f>
        <v>35020</v>
      </c>
      <c r="U69" s="14">
        <f>(O69)</f>
        <v>17602</v>
      </c>
      <c r="V69" s="14">
        <f>(P69)</f>
        <v>184684</v>
      </c>
    </row>
    <row r="70" spans="1:22" ht="24.75" customHeight="1" x14ac:dyDescent="0.2"/>
    <row r="71" spans="1:22" ht="30" customHeight="1" x14ac:dyDescent="0.2">
      <c r="A71" s="15" t="s">
        <v>128</v>
      </c>
      <c r="B71" s="26">
        <v>1</v>
      </c>
      <c r="C71" s="26">
        <v>1</v>
      </c>
      <c r="D71" s="26">
        <v>1</v>
      </c>
      <c r="E71" s="14"/>
      <c r="F71" s="14"/>
      <c r="G71" s="14"/>
      <c r="H71" s="14"/>
      <c r="I71" s="14"/>
      <c r="J71" s="14"/>
      <c r="M71" s="15" t="s">
        <v>128</v>
      </c>
      <c r="N71" s="26">
        <v>1</v>
      </c>
      <c r="O71" s="26">
        <v>1</v>
      </c>
      <c r="P71" s="26">
        <v>1</v>
      </c>
      <c r="Q71" s="14"/>
      <c r="R71" s="14"/>
      <c r="S71" s="14"/>
      <c r="T71" s="14"/>
      <c r="U71" s="14"/>
      <c r="V71" s="14"/>
    </row>
    <row r="72" spans="1:22" ht="25.5" customHeight="1" x14ac:dyDescent="0.2">
      <c r="A72" s="15" t="s">
        <v>122</v>
      </c>
      <c r="B72" s="26">
        <v>0.35</v>
      </c>
      <c r="C72" s="26">
        <v>0.35</v>
      </c>
      <c r="D72" s="26">
        <v>0.35</v>
      </c>
      <c r="E72" s="26"/>
      <c r="F72" s="26"/>
      <c r="G72" s="26"/>
      <c r="H72" s="26"/>
      <c r="I72" s="26"/>
      <c r="J72" s="26"/>
      <c r="M72" s="15" t="s">
        <v>122</v>
      </c>
      <c r="N72" s="17">
        <v>0.35</v>
      </c>
      <c r="O72" s="17">
        <v>0.35</v>
      </c>
      <c r="P72" s="17">
        <v>0.35</v>
      </c>
      <c r="Q72" s="26"/>
      <c r="R72" s="26"/>
      <c r="S72" s="26"/>
      <c r="T72" s="14"/>
      <c r="U72" s="14"/>
      <c r="V72" s="14"/>
    </row>
    <row r="73" spans="1:22" ht="25.5" customHeight="1" x14ac:dyDescent="0.2">
      <c r="A73" s="15" t="s">
        <v>123</v>
      </c>
      <c r="B73" s="14"/>
      <c r="C73" s="14"/>
      <c r="D73" s="14"/>
      <c r="E73" s="26"/>
      <c r="F73" s="26"/>
      <c r="G73" s="26"/>
      <c r="H73" s="26"/>
      <c r="I73" s="26"/>
      <c r="J73" s="26"/>
      <c r="M73" s="15" t="s">
        <v>124</v>
      </c>
      <c r="N73" s="14"/>
      <c r="O73" s="14"/>
      <c r="P73" s="14"/>
      <c r="Q73" s="14"/>
      <c r="R73" s="14"/>
      <c r="S73" s="14"/>
      <c r="T73" s="26">
        <v>1</v>
      </c>
      <c r="U73" s="26">
        <v>1</v>
      </c>
      <c r="V73" s="26">
        <v>1</v>
      </c>
    </row>
    <row r="74" spans="1:22" ht="27" customHeight="1" x14ac:dyDescent="0.2">
      <c r="A74" s="15" t="s">
        <v>125</v>
      </c>
      <c r="B74" s="14"/>
      <c r="C74" s="14"/>
      <c r="D74" s="14"/>
      <c r="E74" s="26">
        <v>0.5</v>
      </c>
      <c r="F74" s="26">
        <v>0.5</v>
      </c>
      <c r="G74" s="26">
        <v>0.5</v>
      </c>
      <c r="H74" s="26">
        <v>1</v>
      </c>
      <c r="I74" s="26">
        <v>1</v>
      </c>
      <c r="J74" s="26">
        <v>1</v>
      </c>
      <c r="M74" s="15" t="s">
        <v>123</v>
      </c>
      <c r="N74" s="14"/>
      <c r="O74" s="14"/>
      <c r="P74" s="14"/>
      <c r="Q74" s="14"/>
      <c r="R74" s="14"/>
      <c r="S74" s="14"/>
      <c r="T74" s="14"/>
      <c r="U74" s="14"/>
      <c r="V74" s="14"/>
    </row>
    <row r="75" spans="1:22" ht="30" customHeight="1" x14ac:dyDescent="0.2">
      <c r="M75" s="15" t="s">
        <v>125</v>
      </c>
      <c r="N75" s="14"/>
      <c r="O75" s="14"/>
      <c r="P75" s="14"/>
      <c r="Q75" s="26"/>
      <c r="R75" s="26"/>
      <c r="S75" s="26"/>
      <c r="T75" s="14"/>
      <c r="U75" s="14"/>
      <c r="V75" s="14"/>
    </row>
    <row r="76" spans="1:22" ht="25.5" customHeight="1" x14ac:dyDescent="0.2"/>
    <row r="77" spans="1:22" ht="25.5" customHeight="1" x14ac:dyDescent="0.2">
      <c r="A77" s="63" t="s">
        <v>129</v>
      </c>
      <c r="B77" s="63"/>
      <c r="C77" s="63"/>
      <c r="D77" s="63"/>
      <c r="E77" s="63"/>
      <c r="F77" s="63"/>
      <c r="G77" s="63"/>
      <c r="H77" s="63"/>
      <c r="I77" s="63"/>
      <c r="J77" s="63"/>
      <c r="M77" s="63" t="s">
        <v>129</v>
      </c>
      <c r="N77" s="63"/>
      <c r="O77" s="63"/>
      <c r="P77" s="63"/>
      <c r="Q77" s="63"/>
      <c r="R77" s="63"/>
      <c r="S77" s="63"/>
      <c r="T77" s="63"/>
      <c r="U77" s="63"/>
      <c r="V77" s="63"/>
    </row>
    <row r="78" spans="1:22" ht="17.25" x14ac:dyDescent="0.2">
      <c r="B78" s="12" t="s">
        <v>39</v>
      </c>
      <c r="C78" s="12" t="s">
        <v>42</v>
      </c>
      <c r="D78" s="12" t="s">
        <v>45</v>
      </c>
      <c r="E78" s="12" t="s">
        <v>126</v>
      </c>
      <c r="F78" s="12" t="s">
        <v>127</v>
      </c>
      <c r="G78" s="12" t="s">
        <v>66</v>
      </c>
      <c r="H78" s="12" t="s">
        <v>69</v>
      </c>
      <c r="I78" s="12" t="s">
        <v>119</v>
      </c>
      <c r="J78" s="12" t="s">
        <v>75</v>
      </c>
      <c r="N78" s="12" t="s">
        <v>39</v>
      </c>
      <c r="O78" s="12" t="s">
        <v>42</v>
      </c>
      <c r="P78" s="12" t="s">
        <v>45</v>
      </c>
      <c r="Q78" s="12" t="s">
        <v>126</v>
      </c>
      <c r="R78" s="12" t="s">
        <v>127</v>
      </c>
      <c r="S78" s="12" t="s">
        <v>66</v>
      </c>
      <c r="T78" s="12" t="s">
        <v>69</v>
      </c>
      <c r="U78" s="12" t="s">
        <v>119</v>
      </c>
      <c r="V78" s="12" t="s">
        <v>75</v>
      </c>
    </row>
    <row r="79" spans="1:22" ht="31.5" customHeight="1" x14ac:dyDescent="0.2">
      <c r="A79" s="15" t="s">
        <v>122</v>
      </c>
      <c r="B79" s="14">
        <f>INT(B69*B72)</f>
        <v>10582</v>
      </c>
      <c r="C79" s="14">
        <f>INT(C69*C72)</f>
        <v>5278</v>
      </c>
      <c r="D79" s="14">
        <f>INT(D69*D72)</f>
        <v>31779</v>
      </c>
      <c r="E79" s="17">
        <f t="shared" ref="E79:G81" si="24">E$69*E72</f>
        <v>0</v>
      </c>
      <c r="F79" s="17">
        <f t="shared" si="24"/>
        <v>0</v>
      </c>
      <c r="G79" s="17">
        <f t="shared" si="24"/>
        <v>0</v>
      </c>
      <c r="H79" s="13"/>
      <c r="I79" s="13"/>
      <c r="J79" s="13"/>
      <c r="M79" s="15" t="s">
        <v>122</v>
      </c>
      <c r="N79" s="14">
        <f>INT(N69*N72)</f>
        <v>12257</v>
      </c>
      <c r="O79" s="14">
        <f>INT(O69*O72)</f>
        <v>6160</v>
      </c>
      <c r="P79" s="14">
        <f>INT(P69*P72)</f>
        <v>64639</v>
      </c>
      <c r="Q79" s="14"/>
      <c r="R79" s="14"/>
      <c r="S79" s="14"/>
      <c r="T79" s="14"/>
      <c r="U79" s="14"/>
      <c r="V79" s="14"/>
    </row>
    <row r="80" spans="1:22" ht="29.25" customHeight="1" x14ac:dyDescent="0.2">
      <c r="A80" s="15" t="s">
        <v>123</v>
      </c>
      <c r="B80" s="14"/>
      <c r="C80" s="14"/>
      <c r="D80" s="14"/>
      <c r="E80" s="27">
        <f t="shared" ref="E80:J81" si="25">INT(E$69*E73)</f>
        <v>0</v>
      </c>
      <c r="F80" s="27">
        <f t="shared" si="25"/>
        <v>0</v>
      </c>
      <c r="G80" s="27">
        <f t="shared" si="25"/>
        <v>0</v>
      </c>
      <c r="H80" s="27">
        <f t="shared" si="25"/>
        <v>0</v>
      </c>
      <c r="I80" s="27">
        <f t="shared" si="25"/>
        <v>0</v>
      </c>
      <c r="J80" s="27">
        <f t="shared" si="25"/>
        <v>0</v>
      </c>
      <c r="M80" s="15" t="s">
        <v>124</v>
      </c>
      <c r="N80" s="14"/>
      <c r="O80" s="14"/>
      <c r="P80" s="14"/>
      <c r="Q80" s="26">
        <v>0.5</v>
      </c>
      <c r="R80" s="26">
        <v>0.5</v>
      </c>
      <c r="S80" s="26">
        <v>0.5</v>
      </c>
      <c r="T80" s="14">
        <f>T69*T73/$L$10</f>
        <v>23346.666666666668</v>
      </c>
      <c r="U80" s="14">
        <f>U69*U73/$L$10</f>
        <v>11734.666666666666</v>
      </c>
      <c r="V80" s="14">
        <f>V69*V73/$L$10</f>
        <v>123122.66666666667</v>
      </c>
    </row>
    <row r="81" spans="1:22" ht="27.75" customHeight="1" x14ac:dyDescent="0.2">
      <c r="A81" s="15" t="s">
        <v>125</v>
      </c>
      <c r="B81" s="14"/>
      <c r="C81" s="14"/>
      <c r="D81" s="14"/>
      <c r="E81" s="17">
        <f t="shared" si="24"/>
        <v>0.5</v>
      </c>
      <c r="F81" s="17">
        <f t="shared" si="24"/>
        <v>0.5</v>
      </c>
      <c r="G81" s="17">
        <f t="shared" si="24"/>
        <v>0.5</v>
      </c>
      <c r="H81" s="27">
        <f t="shared" si="25"/>
        <v>22397</v>
      </c>
      <c r="I81" s="27">
        <f t="shared" si="25"/>
        <v>11171</v>
      </c>
      <c r="J81" s="27">
        <f t="shared" si="25"/>
        <v>67257</v>
      </c>
      <c r="M81" s="15" t="s">
        <v>130</v>
      </c>
      <c r="N81" s="14">
        <f>INT(B69*T10)</f>
        <v>12094</v>
      </c>
      <c r="O81" s="14">
        <f>INT(C69*U10)</f>
        <v>6032</v>
      </c>
      <c r="P81" s="14">
        <f>INT(D69*V10)</f>
        <v>36319</v>
      </c>
      <c r="Q81" s="14"/>
      <c r="R81" s="14"/>
      <c r="S81" s="14"/>
      <c r="T81" s="14"/>
      <c r="U81" s="14"/>
      <c r="V81" s="14"/>
    </row>
  </sheetData>
  <mergeCells count="9">
    <mergeCell ref="A77:J77"/>
    <mergeCell ref="M77:V77"/>
    <mergeCell ref="K4:L4"/>
    <mergeCell ref="P4:V4"/>
    <mergeCell ref="A12:O12"/>
    <mergeCell ref="A40:N40"/>
    <mergeCell ref="A66:V66"/>
    <mergeCell ref="B67:J67"/>
    <mergeCell ref="N67:V67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7" sqref="G7"/>
    </sheetView>
  </sheetViews>
  <sheetFormatPr defaultRowHeight="14.25" x14ac:dyDescent="0.2"/>
  <cols>
    <col min="1" max="1" width="9.625" bestFit="1" customWidth="1"/>
    <col min="2" max="2" width="12" customWidth="1"/>
    <col min="3" max="3" width="9.125" bestFit="1" customWidth="1"/>
    <col min="4" max="4" width="10.25" customWidth="1"/>
    <col min="5" max="5" width="10.75" customWidth="1"/>
    <col min="6" max="6" width="13.125" style="20" customWidth="1"/>
    <col min="7" max="7" width="25.375" style="20" customWidth="1"/>
    <col min="8" max="8" width="9.125" style="20" customWidth="1"/>
    <col min="9" max="10" width="9" style="20" customWidth="1"/>
    <col min="11" max="11" width="55.875" customWidth="1"/>
    <col min="12" max="12" width="64.75" customWidth="1"/>
  </cols>
  <sheetData>
    <row r="3" spans="1:12" ht="17.25" x14ac:dyDescent="0.2">
      <c r="A3" s="12" t="s">
        <v>13</v>
      </c>
      <c r="B3" s="12" t="s">
        <v>171</v>
      </c>
      <c r="C3" s="12" t="s">
        <v>172</v>
      </c>
      <c r="D3" s="12" t="s">
        <v>173</v>
      </c>
      <c r="E3" s="12" t="s">
        <v>174</v>
      </c>
      <c r="F3" s="12" t="s">
        <v>269</v>
      </c>
      <c r="G3" s="12" t="s">
        <v>261</v>
      </c>
      <c r="H3" s="12" t="s">
        <v>69</v>
      </c>
      <c r="I3" s="12" t="s">
        <v>119</v>
      </c>
      <c r="J3" s="12" t="s">
        <v>75</v>
      </c>
      <c r="K3" s="12" t="s">
        <v>208</v>
      </c>
      <c r="L3" s="12" t="s">
        <v>209</v>
      </c>
    </row>
    <row r="4" spans="1:12" ht="82.5" x14ac:dyDescent="0.2">
      <c r="A4" s="13">
        <v>1101001</v>
      </c>
      <c r="B4" s="13" t="s">
        <v>135</v>
      </c>
      <c r="C4" s="13">
        <v>1</v>
      </c>
      <c r="D4" s="13">
        <v>3</v>
      </c>
      <c r="E4" s="13">
        <f>INDEX(新属性投放!$L$6:$L$10,卡牌属性!D5)</f>
        <v>1.1499999999999999</v>
      </c>
      <c r="F4" s="13"/>
      <c r="G4" s="13"/>
      <c r="H4" s="13"/>
      <c r="I4" s="13"/>
      <c r="J4" s="13"/>
      <c r="K4" s="13" t="s">
        <v>212</v>
      </c>
      <c r="L4" s="13"/>
    </row>
    <row r="5" spans="1:12" ht="66.75" customHeight="1" x14ac:dyDescent="0.2">
      <c r="A5" s="13">
        <v>1101002</v>
      </c>
      <c r="B5" s="13" t="s">
        <v>136</v>
      </c>
      <c r="C5" s="13">
        <v>1</v>
      </c>
      <c r="D5" s="13">
        <v>2</v>
      </c>
      <c r="E5" s="13">
        <f>INDEX(新属性投放!$L$6:$L$10,卡牌属性!D6)</f>
        <v>1</v>
      </c>
      <c r="F5" s="13"/>
      <c r="G5" s="13"/>
      <c r="H5" s="13"/>
      <c r="I5" s="13"/>
      <c r="J5" s="13"/>
      <c r="K5" s="13" t="s">
        <v>213</v>
      </c>
      <c r="L5" s="13"/>
    </row>
    <row r="6" spans="1:12" ht="50.25" customHeight="1" x14ac:dyDescent="0.2">
      <c r="A6" s="13">
        <v>1101003</v>
      </c>
      <c r="B6" s="13" t="s">
        <v>137</v>
      </c>
      <c r="C6" s="13">
        <v>1</v>
      </c>
      <c r="D6" s="13">
        <v>3</v>
      </c>
      <c r="E6" s="13">
        <f>INDEX(新属性投放!$L$6:$L$10,卡牌属性!D7)</f>
        <v>1.1499999999999999</v>
      </c>
      <c r="F6" s="13"/>
      <c r="G6" s="13"/>
      <c r="H6" s="13"/>
      <c r="I6" s="13"/>
      <c r="J6" s="13"/>
      <c r="K6" s="13" t="s">
        <v>216</v>
      </c>
      <c r="L6" s="13"/>
    </row>
    <row r="7" spans="1:12" ht="56.25" customHeight="1" x14ac:dyDescent="0.2">
      <c r="A7" s="13">
        <v>1101004</v>
      </c>
      <c r="B7" s="13" t="s">
        <v>138</v>
      </c>
      <c r="C7" s="13">
        <v>1</v>
      </c>
      <c r="D7" s="13">
        <v>4</v>
      </c>
      <c r="E7" s="13">
        <f>INDEX(新属性投放!$L$6:$L$10,卡牌属性!D8)</f>
        <v>1.3</v>
      </c>
      <c r="F7" s="13"/>
      <c r="G7" s="13"/>
      <c r="H7" s="13"/>
      <c r="I7" s="13"/>
      <c r="J7" s="13"/>
      <c r="K7" s="13" t="s">
        <v>225</v>
      </c>
      <c r="L7" s="13"/>
    </row>
    <row r="8" spans="1:12" ht="54" customHeight="1" x14ac:dyDescent="0.2">
      <c r="A8" s="13">
        <v>1101005</v>
      </c>
      <c r="B8" s="13" t="s">
        <v>139</v>
      </c>
      <c r="C8" s="13">
        <v>1</v>
      </c>
      <c r="D8" s="13">
        <v>4</v>
      </c>
      <c r="E8" s="13">
        <f>INDEX(新属性投放!$L$6:$L$10,卡牌属性!D9)</f>
        <v>1.3</v>
      </c>
      <c r="F8" s="13"/>
      <c r="G8" s="13"/>
      <c r="H8" s="13"/>
      <c r="I8" s="13"/>
      <c r="J8" s="13"/>
      <c r="K8" s="13" t="s">
        <v>233</v>
      </c>
      <c r="L8" s="13"/>
    </row>
    <row r="9" spans="1:12" ht="54.75" customHeight="1" x14ac:dyDescent="0.2">
      <c r="A9" s="13">
        <v>1101006</v>
      </c>
      <c r="B9" s="13" t="s">
        <v>140</v>
      </c>
      <c r="C9" s="13">
        <v>1</v>
      </c>
      <c r="D9" s="13">
        <v>3</v>
      </c>
      <c r="E9" s="13">
        <f>INDEX(新属性投放!$L$6:$L$10,卡牌属性!D10)</f>
        <v>1.3</v>
      </c>
      <c r="F9" s="13"/>
      <c r="G9" s="13"/>
      <c r="H9" s="13"/>
      <c r="I9" s="13"/>
      <c r="J9" s="13"/>
      <c r="K9" s="13" t="s">
        <v>228</v>
      </c>
      <c r="L9" s="13"/>
    </row>
    <row r="10" spans="1:12" ht="69" customHeight="1" x14ac:dyDescent="0.2">
      <c r="A10" s="13">
        <v>1101007</v>
      </c>
      <c r="B10" s="13" t="s">
        <v>141</v>
      </c>
      <c r="C10" s="13">
        <v>1</v>
      </c>
      <c r="D10" s="13">
        <v>4</v>
      </c>
      <c r="E10" s="13">
        <f>INDEX(新属性投放!$L$6:$L$10,卡牌属性!D11)</f>
        <v>1.3</v>
      </c>
      <c r="F10" s="13"/>
      <c r="G10" s="13"/>
      <c r="H10" s="13"/>
      <c r="I10" s="13"/>
      <c r="J10" s="13"/>
      <c r="K10" s="13" t="s">
        <v>222</v>
      </c>
      <c r="L10" s="13"/>
    </row>
    <row r="11" spans="1:12" ht="69.75" customHeight="1" x14ac:dyDescent="0.2">
      <c r="A11" s="13">
        <v>1101008</v>
      </c>
      <c r="B11" s="13" t="s">
        <v>142</v>
      </c>
      <c r="C11" s="13">
        <v>1</v>
      </c>
      <c r="D11" s="13">
        <v>2</v>
      </c>
      <c r="E11" s="13">
        <f>INDEX(新属性投放!$L$6:$L$10,卡牌属性!D12)</f>
        <v>1</v>
      </c>
      <c r="F11" s="13"/>
      <c r="G11" s="13"/>
      <c r="H11" s="13"/>
      <c r="I11" s="13"/>
      <c r="J11" s="13"/>
      <c r="K11" s="13" t="s">
        <v>258</v>
      </c>
      <c r="L11" s="13"/>
    </row>
    <row r="12" spans="1:12" ht="52.5" customHeight="1" x14ac:dyDescent="0.2">
      <c r="A12" s="13">
        <v>1101009</v>
      </c>
      <c r="B12" s="13" t="s">
        <v>143</v>
      </c>
      <c r="C12" s="13">
        <v>1</v>
      </c>
      <c r="D12" s="13">
        <v>3</v>
      </c>
      <c r="E12" s="13">
        <f>INDEX(新属性投放!$L$6:$L$10,卡牌属性!D13)</f>
        <v>1.1499999999999999</v>
      </c>
      <c r="F12" s="13"/>
      <c r="G12" s="13"/>
      <c r="H12" s="13"/>
      <c r="I12" s="13"/>
      <c r="J12" s="13"/>
      <c r="K12" s="13" t="s">
        <v>240</v>
      </c>
      <c r="L12" s="13"/>
    </row>
    <row r="13" spans="1:12" ht="74.25" customHeight="1" x14ac:dyDescent="0.2">
      <c r="A13" s="13">
        <v>1101010</v>
      </c>
      <c r="B13" s="13" t="s">
        <v>144</v>
      </c>
      <c r="C13" s="13">
        <v>1</v>
      </c>
      <c r="D13" s="13">
        <v>4</v>
      </c>
      <c r="E13" s="13">
        <f>INDEX(新属性投放!$L$6:$L$10,卡牌属性!D14)</f>
        <v>1.3</v>
      </c>
      <c r="F13" s="13"/>
      <c r="G13" s="13"/>
      <c r="H13" s="13"/>
      <c r="I13" s="13"/>
      <c r="J13" s="13"/>
      <c r="K13" s="13" t="s">
        <v>241</v>
      </c>
      <c r="L13" s="13"/>
    </row>
    <row r="14" spans="1:12" ht="38.25" customHeight="1" x14ac:dyDescent="0.2">
      <c r="A14" s="13">
        <v>1101011</v>
      </c>
      <c r="B14" s="13" t="s">
        <v>145</v>
      </c>
      <c r="C14" s="13">
        <v>1</v>
      </c>
      <c r="D14" s="13">
        <v>3</v>
      </c>
      <c r="E14" s="13">
        <f>INDEX(新属性投放!$L$6:$L$10,卡牌属性!D15)</f>
        <v>1.1499999999999999</v>
      </c>
      <c r="F14" s="13"/>
      <c r="G14" s="13"/>
      <c r="H14" s="13"/>
      <c r="I14" s="13"/>
      <c r="J14" s="13"/>
      <c r="K14" s="13" t="s">
        <v>220</v>
      </c>
      <c r="L14" s="13"/>
    </row>
    <row r="15" spans="1:12" ht="51" customHeight="1" x14ac:dyDescent="0.2">
      <c r="A15" s="13">
        <v>1101012</v>
      </c>
      <c r="B15" s="13" t="s">
        <v>146</v>
      </c>
      <c r="C15" s="13">
        <v>1</v>
      </c>
      <c r="D15" s="13">
        <v>2</v>
      </c>
      <c r="E15" s="13">
        <f>INDEX(新属性投放!$L$6:$L$10,卡牌属性!D16)</f>
        <v>1</v>
      </c>
      <c r="F15" s="13"/>
      <c r="G15" s="13"/>
      <c r="H15" s="13"/>
      <c r="I15" s="13"/>
      <c r="J15" s="13"/>
      <c r="K15" s="13" t="s">
        <v>255</v>
      </c>
      <c r="L15" s="13"/>
    </row>
    <row r="16" spans="1:12" ht="56.25" customHeight="1" x14ac:dyDescent="0.2">
      <c r="A16" s="13">
        <v>1101013</v>
      </c>
      <c r="B16" s="13" t="s">
        <v>147</v>
      </c>
      <c r="C16" s="13">
        <v>1</v>
      </c>
      <c r="D16" s="13">
        <v>2</v>
      </c>
      <c r="E16" s="13">
        <f>INDEX(新属性投放!$L$6:$L$10,卡牌属性!D17)</f>
        <v>1</v>
      </c>
      <c r="F16" s="13"/>
      <c r="G16" s="13"/>
      <c r="H16" s="13"/>
      <c r="I16" s="13"/>
      <c r="J16" s="13"/>
      <c r="K16" s="13" t="s">
        <v>256</v>
      </c>
      <c r="L16" s="13"/>
    </row>
    <row r="17" spans="1:12" ht="52.5" customHeight="1" x14ac:dyDescent="0.2">
      <c r="A17" s="13">
        <v>1101014</v>
      </c>
      <c r="B17" s="13" t="s">
        <v>148</v>
      </c>
      <c r="C17" s="13">
        <v>1</v>
      </c>
      <c r="D17" s="13">
        <v>3</v>
      </c>
      <c r="E17" s="13">
        <f>INDEX(新属性投放!$L$6:$L$10,卡牌属性!D18)</f>
        <v>1.1499999999999999</v>
      </c>
      <c r="F17" s="13"/>
      <c r="G17" s="13"/>
      <c r="H17" s="13"/>
      <c r="I17" s="13"/>
      <c r="J17" s="13"/>
      <c r="K17" s="13" t="s">
        <v>257</v>
      </c>
      <c r="L17" s="13"/>
    </row>
    <row r="18" spans="1:12" ht="62.25" customHeight="1" x14ac:dyDescent="0.2">
      <c r="A18" s="13">
        <v>1101015</v>
      </c>
      <c r="B18" s="13" t="s">
        <v>149</v>
      </c>
      <c r="C18" s="13">
        <v>1</v>
      </c>
      <c r="D18" s="13">
        <v>2</v>
      </c>
      <c r="E18" s="13">
        <f>INDEX(新属性投放!$L$6:$L$10,卡牌属性!D19)</f>
        <v>1.1499999999999999</v>
      </c>
      <c r="F18" s="13"/>
      <c r="G18" s="13"/>
      <c r="H18" s="13"/>
      <c r="I18" s="13"/>
      <c r="J18" s="13"/>
      <c r="K18" s="13" t="s">
        <v>251</v>
      </c>
      <c r="L18" s="13"/>
    </row>
    <row r="19" spans="1:12" ht="43.5" customHeight="1" x14ac:dyDescent="0.2">
      <c r="A19" s="13">
        <v>1102001</v>
      </c>
      <c r="B19" s="13" t="s">
        <v>150</v>
      </c>
      <c r="C19" s="13">
        <v>2</v>
      </c>
      <c r="D19" s="13">
        <v>5</v>
      </c>
      <c r="E19" s="13">
        <f>INDEX(新属性投放!$L$6:$L$10,卡牌属性!D20)</f>
        <v>1</v>
      </c>
      <c r="F19" s="13" t="s">
        <v>276</v>
      </c>
      <c r="G19" s="13" t="s">
        <v>360</v>
      </c>
      <c r="H19" s="13">
        <v>1.5</v>
      </c>
      <c r="I19" s="13">
        <v>0.75</v>
      </c>
      <c r="J19" s="13">
        <v>0.75</v>
      </c>
      <c r="K19" s="13" t="s">
        <v>234</v>
      </c>
      <c r="L19" s="13" t="s">
        <v>235</v>
      </c>
    </row>
    <row r="20" spans="1:12" ht="35.25" customHeight="1" x14ac:dyDescent="0.2">
      <c r="A20" s="13">
        <v>1102002</v>
      </c>
      <c r="B20" s="13" t="s">
        <v>151</v>
      </c>
      <c r="C20" s="13">
        <v>2</v>
      </c>
      <c r="D20" s="13">
        <v>3</v>
      </c>
      <c r="E20" s="13">
        <f>INDEX(新属性投放!$L$6:$L$10,卡牌属性!D21)</f>
        <v>1.5</v>
      </c>
      <c r="F20" s="13" t="s">
        <v>281</v>
      </c>
      <c r="G20" s="13" t="s">
        <v>285</v>
      </c>
      <c r="H20" s="13">
        <v>0.5</v>
      </c>
      <c r="I20" s="13">
        <v>1.25</v>
      </c>
      <c r="J20" s="13">
        <v>1.25</v>
      </c>
      <c r="K20" s="13" t="s">
        <v>214</v>
      </c>
      <c r="L20" s="13" t="s">
        <v>252</v>
      </c>
    </row>
    <row r="21" spans="1:12" ht="37.5" customHeight="1" x14ac:dyDescent="0.2">
      <c r="A21" s="13">
        <v>1102003</v>
      </c>
      <c r="B21" s="13" t="s">
        <v>152</v>
      </c>
      <c r="C21" s="13">
        <v>2</v>
      </c>
      <c r="D21" s="13">
        <v>4</v>
      </c>
      <c r="E21" s="13">
        <f>INDEX(新属性投放!$L$6:$L$10,卡牌属性!D22)</f>
        <v>1.1499999999999999</v>
      </c>
      <c r="F21" s="13" t="s">
        <v>273</v>
      </c>
      <c r="G21" s="13" t="s">
        <v>286</v>
      </c>
      <c r="H21" s="13">
        <v>1.8</v>
      </c>
      <c r="I21" s="13">
        <v>0.7</v>
      </c>
      <c r="J21" s="13">
        <v>0.5</v>
      </c>
      <c r="K21" s="13" t="s">
        <v>253</v>
      </c>
      <c r="L21" s="13" t="s">
        <v>254</v>
      </c>
    </row>
    <row r="22" spans="1:12" ht="33" x14ac:dyDescent="0.2">
      <c r="A22" s="13">
        <v>1102004</v>
      </c>
      <c r="B22" s="13" t="s">
        <v>153</v>
      </c>
      <c r="C22" s="13">
        <v>2</v>
      </c>
      <c r="D22" s="13">
        <v>2</v>
      </c>
      <c r="E22" s="13">
        <f>INDEX(新属性投放!$L$6:$L$10,卡牌属性!D23)</f>
        <v>1.1499999999999999</v>
      </c>
      <c r="F22" s="13" t="s">
        <v>271</v>
      </c>
      <c r="G22" s="13" t="s">
        <v>287</v>
      </c>
      <c r="H22" s="13">
        <v>2.2000000000000002</v>
      </c>
      <c r="I22" s="13">
        <v>0.3</v>
      </c>
      <c r="J22" s="13">
        <v>0.5</v>
      </c>
      <c r="K22" s="13" t="s">
        <v>214</v>
      </c>
      <c r="L22" s="13" t="s">
        <v>215</v>
      </c>
    </row>
    <row r="23" spans="1:12" ht="33" x14ac:dyDescent="0.2">
      <c r="A23" s="13">
        <v>1102005</v>
      </c>
      <c r="B23" s="13" t="s">
        <v>154</v>
      </c>
      <c r="C23" s="13">
        <v>2</v>
      </c>
      <c r="D23" s="13">
        <v>3</v>
      </c>
      <c r="E23" s="13">
        <f>INDEX(新属性投放!$L$6:$L$10,卡牌属性!D24)</f>
        <v>1</v>
      </c>
      <c r="F23" s="13" t="s">
        <v>272</v>
      </c>
      <c r="G23" s="13" t="s">
        <v>288</v>
      </c>
      <c r="H23" s="13">
        <v>0.5</v>
      </c>
      <c r="I23" s="13">
        <v>1</v>
      </c>
      <c r="J23" s="13">
        <v>1.5</v>
      </c>
      <c r="K23" s="13" t="s">
        <v>218</v>
      </c>
      <c r="L23" s="13" t="s">
        <v>217</v>
      </c>
    </row>
    <row r="24" spans="1:12" ht="33" x14ac:dyDescent="0.2">
      <c r="A24" s="13">
        <v>1102006</v>
      </c>
      <c r="B24" s="13" t="s">
        <v>155</v>
      </c>
      <c r="C24" s="13">
        <v>2</v>
      </c>
      <c r="D24" s="13">
        <v>5</v>
      </c>
      <c r="E24" s="13">
        <f>INDEX(新属性投放!$L$6:$L$10,卡牌属性!D25)</f>
        <v>1.1499999999999999</v>
      </c>
      <c r="F24" s="13" t="s">
        <v>275</v>
      </c>
      <c r="G24" s="13" t="s">
        <v>304</v>
      </c>
      <c r="H24" s="13">
        <v>1.5</v>
      </c>
      <c r="I24" s="13">
        <v>1</v>
      </c>
      <c r="J24" s="13">
        <v>0.5</v>
      </c>
      <c r="K24" s="13" t="s">
        <v>226</v>
      </c>
      <c r="L24" s="13" t="s">
        <v>227</v>
      </c>
    </row>
    <row r="25" spans="1:12" ht="70.5" customHeight="1" x14ac:dyDescent="0.2">
      <c r="A25" s="13">
        <v>1102007</v>
      </c>
      <c r="B25" s="13" t="s">
        <v>156</v>
      </c>
      <c r="C25" s="13">
        <v>2</v>
      </c>
      <c r="D25" s="13">
        <v>4</v>
      </c>
      <c r="E25" s="13">
        <f>INDEX(新属性投放!$L$6:$L$10,卡牌属性!D26)</f>
        <v>1.5</v>
      </c>
      <c r="F25" s="13" t="s">
        <v>277</v>
      </c>
      <c r="G25" s="13" t="s">
        <v>289</v>
      </c>
      <c r="H25" s="13">
        <v>1.4</v>
      </c>
      <c r="I25" s="13">
        <v>0.8</v>
      </c>
      <c r="J25" s="13">
        <v>0.8</v>
      </c>
      <c r="K25" s="13" t="s">
        <v>290</v>
      </c>
      <c r="L25" s="13" t="s">
        <v>291</v>
      </c>
    </row>
    <row r="26" spans="1:12" ht="49.5" x14ac:dyDescent="0.2">
      <c r="A26" s="13">
        <v>1102008</v>
      </c>
      <c r="B26" s="13" t="s">
        <v>157</v>
      </c>
      <c r="C26" s="13">
        <v>2</v>
      </c>
      <c r="D26" s="13">
        <v>4</v>
      </c>
      <c r="E26" s="13">
        <f>INDEX(新属性投放!$L$6:$L$10,卡牌属性!D27)</f>
        <v>1.3</v>
      </c>
      <c r="F26" s="13" t="s">
        <v>277</v>
      </c>
      <c r="G26" s="13" t="s">
        <v>292</v>
      </c>
      <c r="H26" s="13">
        <v>2</v>
      </c>
      <c r="I26" s="13">
        <v>0.5</v>
      </c>
      <c r="J26" s="13">
        <v>0.5</v>
      </c>
      <c r="K26" s="13" t="s">
        <v>229</v>
      </c>
      <c r="L26" s="13" t="s">
        <v>230</v>
      </c>
    </row>
    <row r="27" spans="1:12" ht="37.5" customHeight="1" x14ac:dyDescent="0.2">
      <c r="A27" s="13">
        <v>1102009</v>
      </c>
      <c r="B27" s="13" t="s">
        <v>158</v>
      </c>
      <c r="C27" s="13">
        <v>2</v>
      </c>
      <c r="D27" s="13">
        <v>4</v>
      </c>
      <c r="E27" s="13">
        <f>INDEX(新属性投放!$L$6:$L$10,卡牌属性!D28)</f>
        <v>1.3</v>
      </c>
      <c r="F27" s="13" t="s">
        <v>278</v>
      </c>
      <c r="G27" s="13" t="s">
        <v>293</v>
      </c>
      <c r="H27" s="13">
        <v>0.5</v>
      </c>
      <c r="I27" s="13">
        <v>1.5</v>
      </c>
      <c r="J27" s="13">
        <v>1</v>
      </c>
      <c r="K27" s="13" t="s">
        <v>231</v>
      </c>
      <c r="L27" s="13" t="s">
        <v>232</v>
      </c>
    </row>
    <row r="28" spans="1:12" ht="40.5" customHeight="1" x14ac:dyDescent="0.2">
      <c r="A28" s="13">
        <v>1102010</v>
      </c>
      <c r="B28" s="13" t="s">
        <v>159</v>
      </c>
      <c r="C28" s="13">
        <v>2</v>
      </c>
      <c r="D28" s="13">
        <v>4</v>
      </c>
      <c r="E28" s="13">
        <f>INDEX(新属性投放!$L$6:$L$10,卡牌属性!D29)</f>
        <v>1.3</v>
      </c>
      <c r="F28" s="13" t="s">
        <v>277</v>
      </c>
      <c r="G28" s="13" t="s">
        <v>296</v>
      </c>
      <c r="H28" s="13">
        <v>1.5</v>
      </c>
      <c r="I28" s="13">
        <v>0.75</v>
      </c>
      <c r="J28" s="13">
        <v>0.75</v>
      </c>
      <c r="K28" s="13" t="s">
        <v>294</v>
      </c>
      <c r="L28" s="13" t="s">
        <v>295</v>
      </c>
    </row>
    <row r="29" spans="1:12" ht="38.25" customHeight="1" x14ac:dyDescent="0.2">
      <c r="A29" s="13">
        <v>1102011</v>
      </c>
      <c r="B29" s="13" t="s">
        <v>160</v>
      </c>
      <c r="C29" s="13">
        <v>2</v>
      </c>
      <c r="D29" s="13">
        <v>4</v>
      </c>
      <c r="E29" s="13">
        <f>INDEX(新属性投放!$L$6:$L$10,卡牌属性!D30)</f>
        <v>1.5</v>
      </c>
      <c r="F29" s="13" t="s">
        <v>279</v>
      </c>
      <c r="G29" s="13" t="s">
        <v>297</v>
      </c>
      <c r="H29" s="13">
        <v>0.8</v>
      </c>
      <c r="I29" s="13">
        <v>0.5</v>
      </c>
      <c r="J29" s="13">
        <v>1.7</v>
      </c>
      <c r="K29" s="13" t="s">
        <v>236</v>
      </c>
      <c r="L29" s="13" t="s">
        <v>237</v>
      </c>
    </row>
    <row r="30" spans="1:12" ht="33" x14ac:dyDescent="0.2">
      <c r="A30" s="13">
        <v>1102012</v>
      </c>
      <c r="B30" s="13" t="s">
        <v>161</v>
      </c>
      <c r="C30" s="13">
        <v>2</v>
      </c>
      <c r="D30" s="13">
        <v>5</v>
      </c>
      <c r="E30" s="13">
        <f>INDEX(新属性投放!$L$6:$L$10,卡牌属性!D31)</f>
        <v>1.5</v>
      </c>
      <c r="F30" s="13" t="s">
        <v>274</v>
      </c>
      <c r="G30" s="13" t="s">
        <v>298</v>
      </c>
      <c r="H30" s="13">
        <v>1</v>
      </c>
      <c r="I30" s="13">
        <v>1</v>
      </c>
      <c r="J30" s="13">
        <v>1</v>
      </c>
      <c r="K30" s="13" t="s">
        <v>223</v>
      </c>
      <c r="L30" s="13" t="s">
        <v>224</v>
      </c>
    </row>
    <row r="31" spans="1:12" ht="39.950000000000003" customHeight="1" x14ac:dyDescent="0.2">
      <c r="A31" s="13">
        <v>1102013</v>
      </c>
      <c r="B31" s="13" t="s">
        <v>162</v>
      </c>
      <c r="C31" s="13">
        <v>2</v>
      </c>
      <c r="D31" s="13">
        <v>2</v>
      </c>
      <c r="E31" s="13">
        <f>INDEX(新属性投放!$L$6:$L$10,卡牌属性!D32)</f>
        <v>1.5</v>
      </c>
      <c r="F31" s="13" t="s">
        <v>282</v>
      </c>
      <c r="G31" s="13" t="s">
        <v>299</v>
      </c>
      <c r="H31" s="13">
        <v>2</v>
      </c>
      <c r="I31" s="13">
        <v>0.5</v>
      </c>
      <c r="J31" s="13">
        <v>0.5</v>
      </c>
      <c r="K31" s="13" t="s">
        <v>259</v>
      </c>
      <c r="L31" s="13" t="s">
        <v>260</v>
      </c>
    </row>
    <row r="32" spans="1:12" ht="39.950000000000003" customHeight="1" x14ac:dyDescent="0.2">
      <c r="A32" s="13">
        <v>1102014</v>
      </c>
      <c r="B32" s="13" t="s">
        <v>163</v>
      </c>
      <c r="C32" s="13">
        <v>2</v>
      </c>
      <c r="D32" s="13">
        <v>3</v>
      </c>
      <c r="E32" s="13">
        <f>INDEX(新属性投放!$L$6:$L$10,卡牌属性!D33)</f>
        <v>1</v>
      </c>
      <c r="F32" s="13" t="s">
        <v>283</v>
      </c>
      <c r="G32" s="13" t="s">
        <v>301</v>
      </c>
      <c r="H32" s="13">
        <v>1.5</v>
      </c>
      <c r="I32" s="13">
        <v>1</v>
      </c>
      <c r="J32" s="13">
        <v>0.5</v>
      </c>
      <c r="K32" s="13" t="s">
        <v>239</v>
      </c>
      <c r="L32" s="13" t="s">
        <v>300</v>
      </c>
    </row>
    <row r="33" spans="1:12" ht="39.950000000000003" customHeight="1" x14ac:dyDescent="0.2">
      <c r="A33" s="13">
        <v>1102015</v>
      </c>
      <c r="B33" s="13" t="s">
        <v>164</v>
      </c>
      <c r="C33" s="13">
        <v>2</v>
      </c>
      <c r="D33" s="13">
        <v>2</v>
      </c>
      <c r="E33" s="13">
        <f>INDEX(新属性投放!$L$6:$L$10,卡牌属性!D34)</f>
        <v>1.3</v>
      </c>
      <c r="F33" s="13" t="s">
        <v>270</v>
      </c>
      <c r="G33" s="13" t="s">
        <v>302</v>
      </c>
      <c r="H33" s="13">
        <v>1</v>
      </c>
      <c r="I33" s="13">
        <v>1</v>
      </c>
      <c r="J33" s="13">
        <v>1</v>
      </c>
      <c r="K33" s="13" t="s">
        <v>210</v>
      </c>
      <c r="L33" s="13" t="s">
        <v>211</v>
      </c>
    </row>
    <row r="34" spans="1:12" ht="39.950000000000003" customHeight="1" x14ac:dyDescent="0.2">
      <c r="A34" s="13">
        <v>1102016</v>
      </c>
      <c r="B34" s="13" t="s">
        <v>165</v>
      </c>
      <c r="C34" s="13">
        <v>2</v>
      </c>
      <c r="D34" s="13">
        <v>4</v>
      </c>
      <c r="E34" s="13">
        <f>INDEX(新属性投放!$L$6:$L$10,卡牌属性!D35)</f>
        <v>1</v>
      </c>
      <c r="F34" s="13" t="s">
        <v>322</v>
      </c>
      <c r="G34" s="13" t="s">
        <v>323</v>
      </c>
      <c r="H34" s="13">
        <v>0.5</v>
      </c>
      <c r="I34" s="13">
        <v>1.5</v>
      </c>
      <c r="J34" s="13">
        <v>1</v>
      </c>
      <c r="K34" s="13" t="s">
        <v>242</v>
      </c>
      <c r="L34" s="13" t="s">
        <v>243</v>
      </c>
    </row>
    <row r="35" spans="1:12" ht="39.950000000000003" customHeight="1" x14ac:dyDescent="0.2">
      <c r="A35" s="13">
        <v>1102017</v>
      </c>
      <c r="B35" s="13" t="s">
        <v>166</v>
      </c>
      <c r="C35" s="13">
        <v>2</v>
      </c>
      <c r="D35" s="13">
        <v>3</v>
      </c>
      <c r="E35" s="13">
        <f>INDEX(新属性投放!$L$6:$L$10,卡牌属性!D36)</f>
        <v>1.5</v>
      </c>
      <c r="F35" s="13" t="s">
        <v>273</v>
      </c>
      <c r="G35" s="13" t="s">
        <v>303</v>
      </c>
      <c r="H35" s="13">
        <v>2</v>
      </c>
      <c r="I35" s="13">
        <v>0.5</v>
      </c>
      <c r="J35" s="13">
        <v>0.5</v>
      </c>
      <c r="K35" s="13" t="s">
        <v>219</v>
      </c>
      <c r="L35" s="13" t="s">
        <v>221</v>
      </c>
    </row>
    <row r="36" spans="1:12" ht="39.950000000000003" customHeight="1" x14ac:dyDescent="0.2">
      <c r="A36" s="13">
        <v>1102018</v>
      </c>
      <c r="B36" s="13" t="s">
        <v>167</v>
      </c>
      <c r="C36" s="13">
        <v>2</v>
      </c>
      <c r="D36" s="13">
        <v>3</v>
      </c>
      <c r="E36" s="13">
        <f>INDEX(新属性投放!$L$6:$L$10,卡牌属性!D37)</f>
        <v>1.3</v>
      </c>
      <c r="F36" s="13" t="s">
        <v>284</v>
      </c>
      <c r="G36" s="13" t="s">
        <v>305</v>
      </c>
      <c r="H36" s="13">
        <v>2</v>
      </c>
      <c r="I36" s="13">
        <v>0.5</v>
      </c>
      <c r="J36" s="13">
        <v>0.5</v>
      </c>
      <c r="K36" s="13" t="s">
        <v>244</v>
      </c>
      <c r="L36" s="13" t="s">
        <v>245</v>
      </c>
    </row>
    <row r="37" spans="1:12" ht="39.950000000000003" customHeight="1" x14ac:dyDescent="0.2">
      <c r="A37" s="13">
        <v>1102019</v>
      </c>
      <c r="B37" s="13" t="s">
        <v>168</v>
      </c>
      <c r="C37" s="13">
        <v>2</v>
      </c>
      <c r="D37" s="13">
        <v>2</v>
      </c>
      <c r="E37" s="13">
        <f>INDEX(新属性投放!$L$6:$L$10,卡牌属性!D38)</f>
        <v>1</v>
      </c>
      <c r="F37" s="13" t="s">
        <v>272</v>
      </c>
      <c r="G37" s="13" t="s">
        <v>306</v>
      </c>
      <c r="H37" s="13">
        <v>0.8</v>
      </c>
      <c r="I37" s="13">
        <v>1.2</v>
      </c>
      <c r="J37" s="13">
        <v>1</v>
      </c>
      <c r="K37" s="13" t="s">
        <v>246</v>
      </c>
      <c r="L37" s="13" t="s">
        <v>247</v>
      </c>
    </row>
    <row r="38" spans="1:12" ht="54" customHeight="1" x14ac:dyDescent="0.2">
      <c r="A38" s="13">
        <v>1102020</v>
      </c>
      <c r="B38" s="13" t="s">
        <v>169</v>
      </c>
      <c r="C38" s="13">
        <v>2</v>
      </c>
      <c r="D38" s="13">
        <v>3</v>
      </c>
      <c r="E38" s="13">
        <f>INDEX(新属性投放!$L$6:$L$10,卡牌属性!D39)</f>
        <v>1</v>
      </c>
      <c r="F38" s="13" t="s">
        <v>280</v>
      </c>
      <c r="G38" s="13" t="s">
        <v>307</v>
      </c>
      <c r="H38" s="13">
        <v>2</v>
      </c>
      <c r="I38" s="13">
        <v>0.5</v>
      </c>
      <c r="J38" s="13">
        <v>0.5</v>
      </c>
      <c r="K38" s="13" t="s">
        <v>238</v>
      </c>
      <c r="L38" s="13" t="s">
        <v>248</v>
      </c>
    </row>
    <row r="39" spans="1:12" ht="54" customHeight="1" x14ac:dyDescent="0.2">
      <c r="A39" s="13">
        <v>1102021</v>
      </c>
      <c r="B39" s="13" t="s">
        <v>170</v>
      </c>
      <c r="C39" s="13">
        <v>2</v>
      </c>
      <c r="D39" s="13">
        <v>3</v>
      </c>
      <c r="E39" s="13">
        <f>INDEX(新属性投放!$L$6:$L$10,卡牌属性!D40)</f>
        <v>1.1499999999999999</v>
      </c>
      <c r="F39" s="13" t="s">
        <v>270</v>
      </c>
      <c r="G39" s="13" t="s">
        <v>308</v>
      </c>
      <c r="H39" s="13">
        <v>1.5</v>
      </c>
      <c r="I39" s="13">
        <v>0.75</v>
      </c>
      <c r="J39" s="13">
        <v>0.75</v>
      </c>
      <c r="K39" s="13" t="s">
        <v>249</v>
      </c>
      <c r="L39" s="13" t="s">
        <v>250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802"/>
  <sheetViews>
    <sheetView workbookViewId="0">
      <selection activeCell="J21" sqref="J21"/>
    </sheetView>
  </sheetViews>
  <sheetFormatPr defaultRowHeight="14.25" x14ac:dyDescent="0.2"/>
  <cols>
    <col min="1" max="1" width="9.625" bestFit="1" customWidth="1"/>
    <col min="2" max="2" width="13.5" customWidth="1"/>
    <col min="3" max="3" width="5.5" customWidth="1"/>
    <col min="4" max="4" width="6.5" customWidth="1"/>
    <col min="5" max="6" width="6.5" style="20" customWidth="1"/>
    <col min="7" max="7" width="8" customWidth="1"/>
    <col min="8" max="8" width="9.75" customWidth="1"/>
    <col min="9" max="9" width="9.75" style="20" customWidth="1"/>
    <col min="10" max="10" width="11.375" customWidth="1"/>
    <col min="11" max="13" width="6.25" style="20" customWidth="1"/>
    <col min="14" max="14" width="10.625" customWidth="1"/>
    <col min="15" max="15" width="16.5" style="20" customWidth="1"/>
    <col min="16" max="17" width="10.625" style="20" customWidth="1"/>
    <col min="18" max="18" width="9.375" customWidth="1"/>
    <col min="19" max="19" width="9" style="20"/>
    <col min="20" max="20" width="10" customWidth="1"/>
    <col min="21" max="21" width="10" style="20" customWidth="1"/>
    <col min="22" max="22" width="9.75" customWidth="1"/>
    <col min="23" max="23" width="9.75" style="20" customWidth="1"/>
    <col min="24" max="24" width="10.25" customWidth="1"/>
    <col min="25" max="25" width="9.375" style="20" customWidth="1"/>
    <col min="26" max="26" width="10.125" customWidth="1"/>
    <col min="27" max="27" width="10.125" style="20" customWidth="1"/>
    <col min="29" max="29" width="9" style="20"/>
    <col min="32" max="39" width="9" style="20"/>
    <col min="40" max="40" width="12.625" customWidth="1"/>
    <col min="41" max="47" width="9" style="20"/>
    <col min="48" max="48" width="12.75" customWidth="1"/>
    <col min="49" max="49" width="12.125" customWidth="1"/>
    <col min="50" max="50" width="12.25" customWidth="1"/>
    <col min="51" max="51" width="11.375" customWidth="1"/>
    <col min="52" max="52" width="12" customWidth="1"/>
    <col min="53" max="54" width="12.125" customWidth="1"/>
  </cols>
  <sheetData>
    <row r="2" spans="1:53" ht="20.25" x14ac:dyDescent="0.2">
      <c r="T2">
        <f>IF(Q4=1,INDEX(新属性投放!R$20:R$22,卡牌属性!M4-1),INDEX(新属性投放!R$25:R$27,卡牌属性!M4-1))</f>
        <v>50</v>
      </c>
      <c r="AF2" s="20">
        <v>1</v>
      </c>
      <c r="AG2" s="20">
        <v>1</v>
      </c>
      <c r="AH2" s="20">
        <v>1</v>
      </c>
      <c r="AV2" s="63" t="s">
        <v>319</v>
      </c>
      <c r="AW2" s="63"/>
      <c r="AX2" s="63"/>
      <c r="AY2" s="63"/>
      <c r="AZ2" s="63"/>
      <c r="BA2" s="63"/>
    </row>
    <row r="3" spans="1:53" s="20" customFormat="1" ht="17.25" x14ac:dyDescent="0.2">
      <c r="A3" s="12" t="s">
        <v>134</v>
      </c>
      <c r="B3" s="12" t="s">
        <v>171</v>
      </c>
      <c r="C3" s="12" t="s">
        <v>172</v>
      </c>
      <c r="D3" s="12" t="s">
        <v>173</v>
      </c>
      <c r="E3" s="12" t="s">
        <v>546</v>
      </c>
      <c r="F3" s="12" t="s">
        <v>547</v>
      </c>
      <c r="G3" s="12" t="s">
        <v>174</v>
      </c>
      <c r="H3" s="12" t="s">
        <v>320</v>
      </c>
      <c r="I3" s="12" t="s">
        <v>321</v>
      </c>
      <c r="K3" s="12" t="s">
        <v>176</v>
      </c>
      <c r="L3" s="12" t="s">
        <v>548</v>
      </c>
      <c r="M3" s="12" t="s">
        <v>668</v>
      </c>
      <c r="N3" s="12" t="s">
        <v>134</v>
      </c>
      <c r="O3" s="12" t="s">
        <v>664</v>
      </c>
      <c r="P3" s="12" t="s">
        <v>469</v>
      </c>
      <c r="Q3" s="12" t="s">
        <v>463</v>
      </c>
      <c r="R3" s="12" t="s">
        <v>175</v>
      </c>
      <c r="S3" s="12"/>
      <c r="T3" s="12" t="s">
        <v>450</v>
      </c>
      <c r="U3" s="12"/>
      <c r="V3" s="12" t="s">
        <v>451</v>
      </c>
      <c r="W3" s="12"/>
      <c r="X3" s="12" t="s">
        <v>452</v>
      </c>
      <c r="Y3" s="12"/>
      <c r="Z3" s="12" t="s">
        <v>453</v>
      </c>
      <c r="AA3" s="12"/>
      <c r="AB3" s="12" t="s">
        <v>454</v>
      </c>
      <c r="AC3" s="12"/>
      <c r="AD3" s="12" t="s">
        <v>455</v>
      </c>
      <c r="AF3" s="12" t="s">
        <v>464</v>
      </c>
      <c r="AG3" s="30" t="s">
        <v>465</v>
      </c>
      <c r="AH3" s="30" t="s">
        <v>466</v>
      </c>
      <c r="AN3" s="12" t="s">
        <v>457</v>
      </c>
      <c r="AO3" s="30" t="s">
        <v>456</v>
      </c>
      <c r="AP3" s="30" t="s">
        <v>458</v>
      </c>
      <c r="AQ3" s="30" t="s">
        <v>459</v>
      </c>
      <c r="AR3" s="30" t="s">
        <v>460</v>
      </c>
      <c r="AV3" s="12" t="s">
        <v>313</v>
      </c>
      <c r="AW3" s="12" t="s">
        <v>314</v>
      </c>
      <c r="AX3" s="12" t="s">
        <v>315</v>
      </c>
      <c r="AY3" s="12" t="s">
        <v>316</v>
      </c>
      <c r="AZ3" s="12" t="s">
        <v>317</v>
      </c>
      <c r="BA3" s="12" t="s">
        <v>318</v>
      </c>
    </row>
    <row r="4" spans="1:53" ht="16.5" x14ac:dyDescent="0.2">
      <c r="A4" s="13">
        <v>1101000</v>
      </c>
      <c r="B4" s="13" t="s">
        <v>549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K4" s="13">
        <v>1</v>
      </c>
      <c r="L4" s="13">
        <f>MATCH(K4-1,$F$4:$F$42,1)</f>
        <v>1</v>
      </c>
      <c r="M4" s="13">
        <f>INDEX($D$5:$D$42,L4)</f>
        <v>3</v>
      </c>
      <c r="N4" s="14">
        <f>INDEX($A$4:$A$42,L4+1)</f>
        <v>1101001</v>
      </c>
      <c r="O4" s="14" t="str">
        <f>INDEX($B$4:$B$42,MATCH(N4,$A$4:$A$42,0))&amp;R4&amp;"突"</f>
        <v>常服曹焱兵1突</v>
      </c>
      <c r="P4" s="29" t="s">
        <v>470</v>
      </c>
      <c r="Q4" s="14">
        <f>INDEX($C$4:$C$42,L4+1)</f>
        <v>1</v>
      </c>
      <c r="R4" s="14">
        <f>K4-INDEX($F$4:$F$42,L4)</f>
        <v>1</v>
      </c>
      <c r="S4" s="14" t="s">
        <v>39</v>
      </c>
      <c r="T4" s="14">
        <f>ROUND(((IF(Q4=1,INDEX(新属性投放!$J$14:$J$34,卡牌属性!R4),INDEX(新属性投放!$J$42:$J$62,卡牌属性!R4)))*INDEX($G$5:$G$42,L4)+IF(Q4=1,INDEX(新属性投放!R$20:R$23,卡牌属性!M4-1),INDEX(新属性投放!R$25:R$28,卡牌属性!M4-1)))/SQRT(INDEX($I$5:$I$42,L4)),2)</f>
        <v>165</v>
      </c>
      <c r="U4" s="29" t="s">
        <v>178</v>
      </c>
      <c r="V4" s="14">
        <f>ROUND((IF(Q4=1,INDEX(新属性投放!$K$14:$K$34,卡牌属性!R4),INDEX(新属性投放!$K$42:$K$62,卡牌属性!R4))+IF(Q4=1,INDEX(新属性投放!S$20:S$23,卡牌属性!M4-1),INDEX(新属性投放!S$25:S$28,卡牌属性!M4-1)))*INDEX($G$5:$G$42,L4),2)</f>
        <v>0</v>
      </c>
      <c r="W4" s="29" t="s">
        <v>179</v>
      </c>
      <c r="X4" s="14">
        <f>ROUND((IF(Q4=1,INDEX(新属性投放!$L$14:$L$34,卡牌属性!R4),INDEX(新属性投放!$L$42:$L$62,卡牌属性!R4))*INDEX($G$5:$G$42,L4)+IF(Q4=1,INDEX(新属性投放!T$20:T$23,卡牌属性!M4-1),INDEX(新属性投放!T$25:T$28,卡牌属性!M4-1)))*SQRT(INDEX($I$5:$I$42,L4)),2)</f>
        <v>1075</v>
      </c>
      <c r="Y4" s="29" t="s">
        <v>177</v>
      </c>
      <c r="Z4" s="14">
        <f>ROUND(IF(Q4=1,INDEX(新属性投放!$D$14:$D$34,卡牌属性!R4),INDEX(新属性投放!$D$42:$D$62,卡牌属性!R4))*INDEX($G$5:$G$42,L4)/SQRT(INDEX($I$5:$I$42,L4)),2)</f>
        <v>17.25</v>
      </c>
      <c r="AA4" s="29" t="s">
        <v>178</v>
      </c>
      <c r="AB4" s="14">
        <f>ROUND(IF(Q4=1,INDEX(新属性投放!$E$14:$E$34,卡牌属性!R4),INDEX(新属性投放!$E$42:$E$62,卡牌属性!R4))*INDEX($G$5:$G$42,L4),2)</f>
        <v>8.6300000000000008</v>
      </c>
      <c r="AC4" s="29" t="s">
        <v>179</v>
      </c>
      <c r="AD4" s="14">
        <f>ROUND(IF(Q4=1,INDEX(新属性投放!$F$14:$F$34,卡牌属性!R4),INDEX(新属性投放!$F$42:$F$62,卡牌属性!R4))*INDEX($G$5:$G$42,L4)*SQRT(INDEX($I$5:$I$42,L4)),2)</f>
        <v>51.75</v>
      </c>
      <c r="AF4" s="14">
        <f>INT(Z4*AF$2*10)</f>
        <v>172</v>
      </c>
      <c r="AG4" s="14">
        <f>INT(AB4*AF$2*10)</f>
        <v>86</v>
      </c>
      <c r="AH4" s="14">
        <f>INT(AD4*AF$2*10)</f>
        <v>517</v>
      </c>
      <c r="AJ4" s="14">
        <f>AF4</f>
        <v>172</v>
      </c>
      <c r="AK4" s="14">
        <f>AG4</f>
        <v>86</v>
      </c>
      <c r="AL4" s="14">
        <f>AH4</f>
        <v>517</v>
      </c>
      <c r="AN4" t="s">
        <v>135</v>
      </c>
      <c r="AO4" s="20">
        <v>2</v>
      </c>
    </row>
    <row r="5" spans="1:53" ht="16.5" x14ac:dyDescent="0.2">
      <c r="A5" s="13">
        <v>1101001</v>
      </c>
      <c r="B5" s="13" t="s">
        <v>135</v>
      </c>
      <c r="C5" s="13">
        <v>1</v>
      </c>
      <c r="D5" s="13">
        <v>3</v>
      </c>
      <c r="E5" s="13">
        <f>INDEX(新属性投放!$E$7:$E$8,卡牌属性!C5)</f>
        <v>21</v>
      </c>
      <c r="F5" s="13">
        <f>SUM(E$5:E5)</f>
        <v>21</v>
      </c>
      <c r="G5" s="14">
        <f>INDEX(新属性投放!$L$6:$L$10,卡牌属性!D5)</f>
        <v>1.1499999999999999</v>
      </c>
      <c r="H5" s="13">
        <v>1</v>
      </c>
      <c r="I5" s="13">
        <v>1</v>
      </c>
      <c r="K5" s="13">
        <v>2</v>
      </c>
      <c r="L5" s="13">
        <f t="shared" ref="L5:L68" si="0">MATCH(K5-1,$F$4:$F$41,1)</f>
        <v>1</v>
      </c>
      <c r="M5" s="13">
        <f t="shared" ref="M5:M68" si="1">INDEX($D$5:$D$42,L5)</f>
        <v>3</v>
      </c>
      <c r="N5" s="14">
        <f t="shared" ref="N5:N68" si="2">INDEX($A$4:$A$42,L5+1)</f>
        <v>1101001</v>
      </c>
      <c r="O5" s="14" t="str">
        <f t="shared" ref="O5:O68" si="3">INDEX($B$4:$B$42,MATCH(N5,$A$4:$A$42,0))&amp;R5&amp;"突"</f>
        <v>常服曹焱兵2突</v>
      </c>
      <c r="P5" s="29" t="s">
        <v>470</v>
      </c>
      <c r="Q5" s="14">
        <f t="shared" ref="Q5:Q68" si="4">INDEX($C$4:$C$42,L5+1)</f>
        <v>1</v>
      </c>
      <c r="R5" s="14">
        <f t="shared" ref="R5:R68" si="5">K5-INDEX($F$4:$F$42,L5)</f>
        <v>2</v>
      </c>
      <c r="S5" s="14" t="s">
        <v>39</v>
      </c>
      <c r="T5" s="14">
        <f>ROUND(((IF(Q5=1,INDEX(新属性投放!$J$14:$J$34,卡牌属性!R5),INDEX(新属性投放!$J$42:$J$62,卡牌属性!R5)))*INDEX($G$5:$G$42,L5)+IF(Q5=1,INDEX(新属性投放!R$20:R$23,卡牌属性!M5-1),INDEX(新属性投放!R$25:R$28,卡牌属性!M5-1)))/SQRT(INDEX($I$5:$I$42,L5)),2)</f>
        <v>331.75</v>
      </c>
      <c r="U5" s="29" t="s">
        <v>178</v>
      </c>
      <c r="V5" s="14">
        <f>ROUND((IF(Q5=1,INDEX(新属性投放!$K$14:$K$34,卡牌属性!R5),INDEX(新属性投放!$K$42:$K$62,卡牌属性!R5))+IF(Q5=1,INDEX(新属性投放!S$20:S$23,卡牌属性!M5-1),INDEX(新属性投放!S$25:S$28,卡牌属性!M5-1)))*INDEX($G$5:$G$42,L5),2)</f>
        <v>97.18</v>
      </c>
      <c r="W5" s="29" t="s">
        <v>179</v>
      </c>
      <c r="X5" s="14">
        <f>ROUND((IF(Q5=1,INDEX(新属性投放!$L$14:$L$34,卡牌属性!R5),INDEX(新属性投放!$L$42:$L$62,卡牌属性!R5))*INDEX($G$5:$G$42,L5)+IF(Q5=1,INDEX(新属性投放!T$20:T$23,卡牌属性!M5-1),INDEX(新属性投放!T$25:T$28,卡牌属性!M5-1)))*SQRT(INDEX($I$5:$I$42,L5)),2)</f>
        <v>1575.25</v>
      </c>
      <c r="Y5" s="29" t="s">
        <v>177</v>
      </c>
      <c r="Z5" s="14">
        <f>ROUND(IF(Q5=1,INDEX(新属性投放!$D$14:$D$34,卡牌属性!R5),INDEX(新属性投放!$D$42:$D$62,卡牌属性!R5))*INDEX($G$5:$G$42,L5)/SQRT(INDEX($I$5:$I$42,L5)),2)</f>
        <v>15.84</v>
      </c>
      <c r="AA5" s="29" t="s">
        <v>178</v>
      </c>
      <c r="AB5" s="14">
        <f>ROUND(IF(Q5=1,INDEX(新属性投放!$E$14:$E$34,卡牌属性!R5),INDEX(新属性投放!$E$42:$E$62,卡牌属性!R5))*INDEX($G$5:$G$42,L5),2)</f>
        <v>7.92</v>
      </c>
      <c r="AC5" s="29" t="s">
        <v>179</v>
      </c>
      <c r="AD5" s="14">
        <f>ROUND(IF(Q5=1,INDEX(新属性投放!$F$14:$F$34,卡牌属性!R5),INDEX(新属性投放!$F$42:$F$62,卡牌属性!R5))*INDEX($G$5:$G$42,L5)*SQRT(INDEX($I$5:$I$42,L5)),2)</f>
        <v>47.51</v>
      </c>
      <c r="AF5" s="14">
        <f t="shared" ref="AF5:AF68" si="6">INT(Z5*AF$2*10)</f>
        <v>158</v>
      </c>
      <c r="AG5" s="14">
        <f t="shared" ref="AG5:AG68" si="7">INT(AB5*AF$2*10)</f>
        <v>79</v>
      </c>
      <c r="AH5" s="14">
        <f t="shared" ref="AH5:AH68" si="8">INT(AD5*AF$2*10)</f>
        <v>475</v>
      </c>
      <c r="AJ5" s="14">
        <f>AJ4+AF5</f>
        <v>330</v>
      </c>
      <c r="AK5" s="14">
        <f t="shared" ref="AK5:AL5" si="9">AK4+AG5</f>
        <v>165</v>
      </c>
      <c r="AL5" s="14">
        <f t="shared" si="9"/>
        <v>992</v>
      </c>
      <c r="AN5" t="s">
        <v>136</v>
      </c>
      <c r="AO5" s="20">
        <v>2</v>
      </c>
    </row>
    <row r="6" spans="1:53" ht="16.5" x14ac:dyDescent="0.2">
      <c r="A6" s="13">
        <v>1101002</v>
      </c>
      <c r="B6" s="13" t="s">
        <v>136</v>
      </c>
      <c r="C6" s="13">
        <v>1</v>
      </c>
      <c r="D6" s="13">
        <v>2</v>
      </c>
      <c r="E6" s="13">
        <f>INDEX(新属性投放!$E$7:$E$8,卡牌属性!C6)</f>
        <v>21</v>
      </c>
      <c r="F6" s="13">
        <f>SUM(E$5:E6)</f>
        <v>42</v>
      </c>
      <c r="G6" s="14">
        <f>INDEX(新属性投放!$L$6:$L$10,卡牌属性!D6)</f>
        <v>1</v>
      </c>
      <c r="H6" s="13">
        <v>1</v>
      </c>
      <c r="I6" s="13">
        <v>1</v>
      </c>
      <c r="K6" s="13">
        <v>3</v>
      </c>
      <c r="L6" s="13">
        <f t="shared" si="0"/>
        <v>1</v>
      </c>
      <c r="M6" s="13">
        <f t="shared" si="1"/>
        <v>3</v>
      </c>
      <c r="N6" s="14">
        <f t="shared" si="2"/>
        <v>1101001</v>
      </c>
      <c r="O6" s="14" t="str">
        <f t="shared" si="3"/>
        <v>常服曹焱兵3突</v>
      </c>
      <c r="P6" s="29" t="s">
        <v>470</v>
      </c>
      <c r="Q6" s="14">
        <f t="shared" si="4"/>
        <v>1</v>
      </c>
      <c r="R6" s="14">
        <f t="shared" si="5"/>
        <v>3</v>
      </c>
      <c r="S6" s="14" t="s">
        <v>39</v>
      </c>
      <c r="T6" s="14">
        <f>ROUND(((IF(Q6=1,INDEX(新属性投放!$J$14:$J$34,卡牌属性!R6),INDEX(新属性投放!$J$42:$J$62,卡牌属性!R6)))*INDEX($G$5:$G$42,L6)+IF(Q6=1,INDEX(新属性投放!R$20:R$23,卡牌属性!M6-1),INDEX(新属性投放!R$25:R$28,卡牌属性!M6-1)))/SQRT(INDEX($I$5:$I$42,L6)),2)</f>
        <v>529.21</v>
      </c>
      <c r="U6" s="29" t="s">
        <v>178</v>
      </c>
      <c r="V6" s="14">
        <f>ROUND((IF(Q6=1,INDEX(新属性投放!$K$14:$K$34,卡牌属性!R6),INDEX(新属性投放!$K$42:$K$62,卡牌属性!R6))+IF(Q6=1,INDEX(新属性投放!S$20:S$23,卡牌属性!M6-1),INDEX(新属性投放!S$25:S$28,卡牌属性!M6-1)))*INDEX($G$5:$G$42,L6),2)</f>
        <v>195.9</v>
      </c>
      <c r="W6" s="29" t="s">
        <v>179</v>
      </c>
      <c r="X6" s="14">
        <f>ROUND((IF(Q6=1,INDEX(新属性投放!$L$14:$L$34,卡牌属性!R6),INDEX(新属性投放!$L$42:$L$62,卡牌属性!R6))*INDEX($G$5:$G$42,L6)+IF(Q6=1,INDEX(新属性投放!T$20:T$23,卡牌属性!M6-1),INDEX(新属性投放!T$25:T$28,卡牌属性!M6-1)))*SQRT(INDEX($I$5:$I$42,L6)),2)</f>
        <v>2167.62</v>
      </c>
      <c r="Y6" s="29" t="s">
        <v>177</v>
      </c>
      <c r="Z6" s="14">
        <f>ROUND(IF(Q6=1,INDEX(新属性投放!$D$14:$D$34,卡牌属性!R6),INDEX(新属性投放!$D$42:$D$62,卡牌属性!R6))*INDEX($G$5:$G$42,L6)/SQRT(INDEX($I$5:$I$42,L6)),2)</f>
        <v>28.95</v>
      </c>
      <c r="AA6" s="29" t="s">
        <v>178</v>
      </c>
      <c r="AB6" s="14">
        <f>ROUND(IF(Q6=1,INDEX(新属性投放!$E$14:$E$34,卡牌属性!R6),INDEX(新属性投放!$E$42:$E$62,卡牌属性!R6))*INDEX($G$5:$G$42,L6),2)</f>
        <v>14.47</v>
      </c>
      <c r="AC6" s="29" t="s">
        <v>179</v>
      </c>
      <c r="AD6" s="14">
        <f>ROUND(IF(Q6=1,INDEX(新属性投放!$F$14:$F$34,卡牌属性!R6),INDEX(新属性投放!$F$42:$F$62,卡牌属性!R6))*INDEX($G$5:$G$42,L6)*SQRT(INDEX($I$5:$I$42,L6)),2)</f>
        <v>86.84</v>
      </c>
      <c r="AF6" s="14">
        <f t="shared" si="6"/>
        <v>289</v>
      </c>
      <c r="AG6" s="14">
        <f t="shared" si="7"/>
        <v>144</v>
      </c>
      <c r="AH6" s="14">
        <f t="shared" si="8"/>
        <v>868</v>
      </c>
      <c r="AJ6" s="14">
        <f t="shared" ref="AJ6:AJ23" si="10">AJ5+AF6</f>
        <v>619</v>
      </c>
      <c r="AK6" s="14">
        <f t="shared" ref="AK6:AK23" si="11">AK5+AG6</f>
        <v>309</v>
      </c>
      <c r="AL6" s="14">
        <f t="shared" ref="AL6:AL23" si="12">AL5+AH6</f>
        <v>1860</v>
      </c>
      <c r="AN6" t="s">
        <v>151</v>
      </c>
      <c r="AO6" s="20">
        <v>2</v>
      </c>
    </row>
    <row r="7" spans="1:53" ht="16.5" x14ac:dyDescent="0.2">
      <c r="A7" s="13">
        <v>1101003</v>
      </c>
      <c r="B7" s="13" t="s">
        <v>652</v>
      </c>
      <c r="C7" s="13">
        <v>1</v>
      </c>
      <c r="D7" s="13">
        <v>3</v>
      </c>
      <c r="E7" s="13">
        <f>INDEX(新属性投放!$E$7:$E$8,卡牌属性!C7)</f>
        <v>21</v>
      </c>
      <c r="F7" s="13">
        <f>SUM(E$5:E7)</f>
        <v>63</v>
      </c>
      <c r="G7" s="14">
        <f>INDEX(新属性投放!$L$6:$L$10,卡牌属性!D7)</f>
        <v>1.1499999999999999</v>
      </c>
      <c r="H7" s="13">
        <v>1</v>
      </c>
      <c r="I7" s="13">
        <v>1</v>
      </c>
      <c r="K7" s="13">
        <v>4</v>
      </c>
      <c r="L7" s="13">
        <f t="shared" si="0"/>
        <v>1</v>
      </c>
      <c r="M7" s="13">
        <f t="shared" si="1"/>
        <v>3</v>
      </c>
      <c r="N7" s="14">
        <f t="shared" si="2"/>
        <v>1101001</v>
      </c>
      <c r="O7" s="14" t="str">
        <f t="shared" si="3"/>
        <v>常服曹焱兵4突</v>
      </c>
      <c r="P7" s="29" t="s">
        <v>470</v>
      </c>
      <c r="Q7" s="14">
        <f t="shared" si="4"/>
        <v>1</v>
      </c>
      <c r="R7" s="14">
        <f t="shared" si="5"/>
        <v>4</v>
      </c>
      <c r="S7" s="14" t="s">
        <v>39</v>
      </c>
      <c r="T7" s="14">
        <f>ROUND(((IF(Q7=1,INDEX(新属性投放!$J$14:$J$34,卡牌属性!R7),INDEX(新属性投放!$J$42:$J$62,卡牌属性!R7)))*INDEX($G$5:$G$42,L7)+IF(Q7=1,INDEX(新属性投放!R$20:R$23,卡牌属性!M7-1),INDEX(新属性投放!R$25:R$28,卡牌属性!M7-1)))/SQRT(INDEX($I$5:$I$42,L7)),2)</f>
        <v>891.11</v>
      </c>
      <c r="U7" s="29" t="s">
        <v>178</v>
      </c>
      <c r="V7" s="14">
        <f>ROUND((IF(Q7=1,INDEX(新属性投放!$K$14:$K$34,卡牌属性!R7),INDEX(新属性投放!$K$42:$K$62,卡牌属性!R7))+IF(Q7=1,INDEX(新属性投放!S$20:S$23,卡牌属性!M7-1),INDEX(新属性投放!S$25:S$28,卡牌属性!M7-1)))*INDEX($G$5:$G$42,L7),2)</f>
        <v>376.28</v>
      </c>
      <c r="W7" s="29" t="s">
        <v>179</v>
      </c>
      <c r="X7" s="14">
        <f>ROUND((IF(Q7=1,INDEX(新属性投放!$L$14:$L$34,卡牌属性!R7),INDEX(新属性投放!$L$42:$L$62,卡牌属性!R7))*INDEX($G$5:$G$42,L7)+IF(Q7=1,INDEX(新属性投放!T$20:T$23,卡牌属性!M7-1),INDEX(新属性投放!T$25:T$28,卡牌属性!M7-1)))*SQRT(INDEX($I$5:$I$42,L7)),2)</f>
        <v>3253.33</v>
      </c>
      <c r="Y7" s="29" t="s">
        <v>177</v>
      </c>
      <c r="Z7" s="14">
        <f>ROUND(IF(Q7=1,INDEX(新属性投放!$D$14:$D$34,卡牌属性!R7),INDEX(新属性投放!$D$42:$D$62,卡牌属性!R7))*INDEX($G$5:$G$42,L7)/SQRT(INDEX($I$5:$I$42,L7)),2)</f>
        <v>34.65</v>
      </c>
      <c r="AA7" s="29" t="s">
        <v>178</v>
      </c>
      <c r="AB7" s="14">
        <f>ROUND(IF(Q7=1,INDEX(新属性投放!$E$14:$E$34,卡牌属性!R7),INDEX(新属性投放!$E$42:$E$62,卡牌属性!R7))*INDEX($G$5:$G$42,L7),2)</f>
        <v>17.32</v>
      </c>
      <c r="AC7" s="29" t="s">
        <v>179</v>
      </c>
      <c r="AD7" s="14">
        <f>ROUND(IF(Q7=1,INDEX(新属性投放!$F$14:$F$34,卡牌属性!R7),INDEX(新属性投放!$F$42:$F$62,卡牌属性!R7))*INDEX($G$5:$G$42,L7)*SQRT(INDEX($I$5:$I$42,L7)),2)</f>
        <v>103.95</v>
      </c>
      <c r="AF7" s="14">
        <f t="shared" si="6"/>
        <v>346</v>
      </c>
      <c r="AG7" s="14">
        <f t="shared" si="7"/>
        <v>173</v>
      </c>
      <c r="AH7" s="14">
        <f t="shared" si="8"/>
        <v>1039</v>
      </c>
      <c r="AJ7" s="14">
        <f t="shared" si="10"/>
        <v>965</v>
      </c>
      <c r="AK7" s="14">
        <f t="shared" si="11"/>
        <v>482</v>
      </c>
      <c r="AL7" s="14">
        <f t="shared" si="12"/>
        <v>2899</v>
      </c>
      <c r="AN7" t="s">
        <v>153</v>
      </c>
      <c r="AO7" s="20">
        <v>2</v>
      </c>
    </row>
    <row r="8" spans="1:53" ht="16.5" x14ac:dyDescent="0.2">
      <c r="A8" s="13">
        <v>1101004</v>
      </c>
      <c r="B8" s="13" t="s">
        <v>138</v>
      </c>
      <c r="C8" s="13">
        <v>1</v>
      </c>
      <c r="D8" s="13">
        <v>4</v>
      </c>
      <c r="E8" s="13">
        <f>INDEX(新属性投放!$E$7:$E$8,卡牌属性!C8)</f>
        <v>21</v>
      </c>
      <c r="F8" s="13">
        <f>SUM(E$5:E8)</f>
        <v>84</v>
      </c>
      <c r="G8" s="14">
        <f>INDEX(新属性投放!$L$6:$L$10,卡牌属性!D8)</f>
        <v>1.3</v>
      </c>
      <c r="H8" s="13">
        <v>1</v>
      </c>
      <c r="I8" s="13">
        <v>1</v>
      </c>
      <c r="K8" s="13">
        <v>5</v>
      </c>
      <c r="L8" s="13">
        <f t="shared" si="0"/>
        <v>1</v>
      </c>
      <c r="M8" s="13">
        <f t="shared" si="1"/>
        <v>3</v>
      </c>
      <c r="N8" s="14">
        <f t="shared" si="2"/>
        <v>1101001</v>
      </c>
      <c r="O8" s="14" t="str">
        <f t="shared" si="3"/>
        <v>常服曹焱兵5突</v>
      </c>
      <c r="P8" s="29" t="s">
        <v>470</v>
      </c>
      <c r="Q8" s="14">
        <f t="shared" si="4"/>
        <v>1</v>
      </c>
      <c r="R8" s="14">
        <f t="shared" si="5"/>
        <v>5</v>
      </c>
      <c r="S8" s="14" t="s">
        <v>39</v>
      </c>
      <c r="T8" s="14">
        <f>ROUND(((IF(Q8=1,INDEX(新属性投放!$J$14:$J$34,卡牌属性!R8),INDEX(新属性投放!$J$42:$J$62,卡牌属性!R8)))*INDEX($G$5:$G$42,L8)+IF(Q8=1,INDEX(新属性投放!R$20:R$23,卡牌属性!M8-1),INDEX(新属性投放!R$25:R$28,卡牌属性!M8-1)))/SQRT(INDEX($I$5:$I$42,L8)),2)</f>
        <v>1323.86</v>
      </c>
      <c r="U8" s="29" t="s">
        <v>178</v>
      </c>
      <c r="V8" s="14">
        <f>ROUND((IF(Q8=1,INDEX(新属性投放!$K$14:$K$34,卡牌属性!R8),INDEX(新属性投放!$K$42:$K$62,卡牌属性!R8))+IF(Q8=1,INDEX(新属性投放!S$20:S$23,卡牌属性!M8-1),INDEX(新属性投放!S$25:S$28,卡牌属性!M8-1)))*INDEX($G$5:$G$42,L8),2)</f>
        <v>593.23</v>
      </c>
      <c r="W8" s="29" t="s">
        <v>179</v>
      </c>
      <c r="X8" s="14">
        <f>ROUND((IF(Q8=1,INDEX(新属性投放!$L$14:$L$34,卡牌属性!R8),INDEX(新属性投放!$L$42:$L$62,卡牌属性!R8))*INDEX($G$5:$G$42,L8)+IF(Q8=1,INDEX(新属性投放!T$20:T$23,卡牌属性!M8-1),INDEX(新属性投放!T$25:T$28,卡牌属性!M8-1)))*SQRT(INDEX($I$5:$I$42,L8)),2)</f>
        <v>4551.57</v>
      </c>
      <c r="Y8" s="29" t="s">
        <v>177</v>
      </c>
      <c r="Z8" s="14">
        <f>ROUND(IF(Q8=1,INDEX(新属性投放!$D$14:$D$34,卡牌属性!R8),INDEX(新属性投放!$D$42:$D$62,卡牌属性!R8))*INDEX($G$5:$G$42,L8)/SQRT(INDEX($I$5:$I$42,L8)),2)</f>
        <v>43.31</v>
      </c>
      <c r="AA8" s="29" t="s">
        <v>178</v>
      </c>
      <c r="AB8" s="14">
        <f>ROUND(IF(Q8=1,INDEX(新属性投放!$E$14:$E$34,卡牌属性!R8),INDEX(新属性投放!$E$42:$E$62,卡牌属性!R8))*INDEX($G$5:$G$42,L8),2)</f>
        <v>21.65</v>
      </c>
      <c r="AC8" s="29" t="s">
        <v>179</v>
      </c>
      <c r="AD8" s="14">
        <f>ROUND(IF(Q8=1,INDEX(新属性投放!$F$14:$F$34,卡牌属性!R8),INDEX(新属性投放!$F$42:$F$62,卡牌属性!R8))*INDEX($G$5:$G$42,L8)*SQRT(INDEX($I$5:$I$42,L8)),2)</f>
        <v>129.93</v>
      </c>
      <c r="AF8" s="14">
        <f t="shared" si="6"/>
        <v>433</v>
      </c>
      <c r="AG8" s="14">
        <f t="shared" si="7"/>
        <v>216</v>
      </c>
      <c r="AH8" s="14">
        <f t="shared" si="8"/>
        <v>1299</v>
      </c>
      <c r="AJ8" s="14">
        <f t="shared" si="10"/>
        <v>1398</v>
      </c>
      <c r="AK8" s="14">
        <f t="shared" si="11"/>
        <v>698</v>
      </c>
      <c r="AL8" s="14">
        <f t="shared" si="12"/>
        <v>4198</v>
      </c>
      <c r="AN8" t="s">
        <v>142</v>
      </c>
      <c r="AO8" s="20">
        <v>2</v>
      </c>
    </row>
    <row r="9" spans="1:53" ht="16.5" x14ac:dyDescent="0.2">
      <c r="A9" s="13">
        <v>1101005</v>
      </c>
      <c r="B9" s="13" t="s">
        <v>139</v>
      </c>
      <c r="C9" s="13">
        <v>1</v>
      </c>
      <c r="D9" s="13">
        <v>4</v>
      </c>
      <c r="E9" s="13">
        <f>INDEX(新属性投放!$E$7:$E$8,卡牌属性!C9)</f>
        <v>21</v>
      </c>
      <c r="F9" s="13">
        <f>SUM(E$5:E9)</f>
        <v>105</v>
      </c>
      <c r="G9" s="14">
        <f>INDEX(新属性投放!$L$6:$L$10,卡牌属性!D9)</f>
        <v>1.3</v>
      </c>
      <c r="H9" s="13">
        <v>1</v>
      </c>
      <c r="I9" s="13">
        <v>1</v>
      </c>
      <c r="K9" s="13">
        <v>6</v>
      </c>
      <c r="L9" s="13">
        <f t="shared" si="0"/>
        <v>1</v>
      </c>
      <c r="M9" s="13">
        <f t="shared" si="1"/>
        <v>3</v>
      </c>
      <c r="N9" s="14">
        <f t="shared" si="2"/>
        <v>1101001</v>
      </c>
      <c r="O9" s="14" t="str">
        <f t="shared" si="3"/>
        <v>常服曹焱兵6突</v>
      </c>
      <c r="P9" s="29" t="s">
        <v>470</v>
      </c>
      <c r="Q9" s="14">
        <f t="shared" si="4"/>
        <v>1</v>
      </c>
      <c r="R9" s="14">
        <f t="shared" si="5"/>
        <v>6</v>
      </c>
      <c r="S9" s="14" t="s">
        <v>39</v>
      </c>
      <c r="T9" s="14">
        <f>ROUND(((IF(Q9=1,INDEX(新属性投放!$J$14:$J$34,卡牌属性!R9),INDEX(新属性投放!$J$42:$J$62,卡牌属性!R9)))*INDEX($G$5:$G$42,L9)+IF(Q9=1,INDEX(新属性投放!R$20:R$23,卡牌属性!M9-1),INDEX(新属性投放!R$25:R$28,卡牌属性!M9-1)))/SQRT(INDEX($I$5:$I$42,L9)),2)</f>
        <v>1865.05</v>
      </c>
      <c r="U9" s="29" t="s">
        <v>178</v>
      </c>
      <c r="V9" s="14">
        <f>ROUND((IF(Q9=1,INDEX(新属性投放!$K$14:$K$34,卡牌属性!R9),INDEX(新属性投放!$K$42:$K$62,卡牌属性!R9))+IF(Q9=1,INDEX(新属性投放!S$20:S$23,卡牌属性!M9-1),INDEX(新属性投放!S$25:S$28,卡牌属性!M9-1)))*INDEX($G$5:$G$42,L9),2)</f>
        <v>863.82</v>
      </c>
      <c r="W9" s="29" t="s">
        <v>179</v>
      </c>
      <c r="X9" s="14">
        <f>ROUND((IF(Q9=1,INDEX(新属性投放!$L$14:$L$34,卡牌属性!R9),INDEX(新属性投放!$L$42:$L$62,卡牌属性!R9))*INDEX($G$5:$G$42,L9)+IF(Q9=1,INDEX(新属性投放!T$20:T$23,卡牌属性!M9-1),INDEX(新属性投放!T$25:T$28,卡牌属性!M9-1)))*SQRT(INDEX($I$5:$I$42,L9)),2)</f>
        <v>6175.14</v>
      </c>
      <c r="Y9" s="29" t="s">
        <v>177</v>
      </c>
      <c r="Z9" s="14">
        <f>ROUND(IF(Q9=1,INDEX(新属性投放!$D$14:$D$34,卡牌属性!R9),INDEX(新属性投放!$D$42:$D$62,卡牌属性!R9))*INDEX($G$5:$G$42,L9)/SQRT(INDEX($I$5:$I$42,L9)),2)</f>
        <v>56.18</v>
      </c>
      <c r="AA9" s="29" t="s">
        <v>178</v>
      </c>
      <c r="AB9" s="14">
        <f>ROUND(IF(Q9=1,INDEX(新属性投放!$E$14:$E$34,卡牌属性!R9),INDEX(新属性投放!$E$42:$E$62,卡牌属性!R9))*INDEX($G$5:$G$42,L9),2)</f>
        <v>28.09</v>
      </c>
      <c r="AC9" s="29" t="s">
        <v>179</v>
      </c>
      <c r="AD9" s="14">
        <f>ROUND(IF(Q9=1,INDEX(新属性投放!$F$14:$F$34,卡牌属性!R9),INDEX(新属性投放!$F$42:$F$62,卡牌属性!R9))*INDEX($G$5:$G$42,L9)*SQRT(INDEX($I$5:$I$42,L9)),2)</f>
        <v>168.53</v>
      </c>
      <c r="AF9" s="14">
        <f t="shared" si="6"/>
        <v>561</v>
      </c>
      <c r="AG9" s="14">
        <f t="shared" si="7"/>
        <v>280</v>
      </c>
      <c r="AH9" s="14">
        <f t="shared" si="8"/>
        <v>1685</v>
      </c>
      <c r="AJ9" s="14">
        <f t="shared" si="10"/>
        <v>1959</v>
      </c>
      <c r="AK9" s="14">
        <f t="shared" si="11"/>
        <v>978</v>
      </c>
      <c r="AL9" s="14">
        <f t="shared" si="12"/>
        <v>5883</v>
      </c>
      <c r="AN9" t="s">
        <v>146</v>
      </c>
      <c r="AO9" s="20">
        <v>2</v>
      </c>
    </row>
    <row r="10" spans="1:53" ht="16.5" x14ac:dyDescent="0.2">
      <c r="A10" s="13">
        <v>1101006</v>
      </c>
      <c r="B10" s="13" t="s">
        <v>140</v>
      </c>
      <c r="C10" s="13">
        <v>1</v>
      </c>
      <c r="D10" s="13">
        <v>4</v>
      </c>
      <c r="E10" s="13">
        <f>INDEX(新属性投放!$E$7:$E$8,卡牌属性!C10)</f>
        <v>21</v>
      </c>
      <c r="F10" s="13">
        <f>SUM(E$5:E10)</f>
        <v>126</v>
      </c>
      <c r="G10" s="14">
        <f>INDEX(新属性投放!$L$6:$L$10,卡牌属性!D10)</f>
        <v>1.3</v>
      </c>
      <c r="H10" s="13">
        <v>1</v>
      </c>
      <c r="I10" s="13">
        <v>1</v>
      </c>
      <c r="K10" s="13">
        <v>7</v>
      </c>
      <c r="L10" s="13">
        <f t="shared" si="0"/>
        <v>1</v>
      </c>
      <c r="M10" s="13">
        <f t="shared" si="1"/>
        <v>3</v>
      </c>
      <c r="N10" s="14">
        <f t="shared" si="2"/>
        <v>1101001</v>
      </c>
      <c r="O10" s="14" t="str">
        <f t="shared" si="3"/>
        <v>常服曹焱兵7突</v>
      </c>
      <c r="P10" s="29" t="s">
        <v>470</v>
      </c>
      <c r="Q10" s="14">
        <f t="shared" si="4"/>
        <v>1</v>
      </c>
      <c r="R10" s="14">
        <f t="shared" si="5"/>
        <v>7</v>
      </c>
      <c r="S10" s="14" t="s">
        <v>39</v>
      </c>
      <c r="T10" s="14">
        <f>ROUND(((IF(Q10=1,INDEX(新属性投放!$J$14:$J$34,卡牌属性!R10),INDEX(新属性投放!$J$42:$J$62,卡牌属性!R10)))*INDEX($G$5:$G$42,L10)+IF(Q10=1,INDEX(新属性投放!R$20:R$23,卡牌属性!M10-1),INDEX(新属性投放!R$25:R$28,卡牌属性!M10-1)))/SQRT(INDEX($I$5:$I$42,L10)),2)</f>
        <v>2567.12</v>
      </c>
      <c r="U10" s="29" t="s">
        <v>178</v>
      </c>
      <c r="V10" s="14">
        <f>ROUND((IF(Q10=1,INDEX(新属性投放!$K$14:$K$34,卡牌属性!R10),INDEX(新属性投放!$K$42:$K$62,卡牌属性!R10))+IF(Q10=1,INDEX(新属性投放!S$20:S$23,卡牌属性!M10-1),INDEX(新属性投放!S$25:S$28,卡牌属性!M10-1)))*INDEX($G$5:$G$42,L10),2)</f>
        <v>1214.8599999999999</v>
      </c>
      <c r="W10" s="29" t="s">
        <v>179</v>
      </c>
      <c r="X10" s="14">
        <f>ROUND((IF(Q10=1,INDEX(新属性投放!$L$14:$L$34,卡牌属性!R10),INDEX(新属性投放!$L$42:$L$62,卡牌属性!R10))*INDEX($G$5:$G$42,L10)+IF(Q10=1,INDEX(新属性投放!T$20:T$23,卡牌属性!M10-1),INDEX(新属性投放!T$25:T$28,卡牌属性!M10-1)))*SQRT(INDEX($I$5:$I$42,L10)),2)</f>
        <v>8281.36</v>
      </c>
      <c r="Y10" s="29" t="s">
        <v>177</v>
      </c>
      <c r="Z10" s="14">
        <f>ROUND(IF(Q10=1,INDEX(新属性投放!$D$14:$D$34,卡牌属性!R10),INDEX(新属性投放!$D$42:$D$62,卡牌属性!R10))*INDEX($G$5:$G$42,L10)/SQRT(INDEX($I$5:$I$42,L10)),2)</f>
        <v>69.22</v>
      </c>
      <c r="AA10" s="29" t="s">
        <v>178</v>
      </c>
      <c r="AB10" s="14">
        <f>ROUND(IF(Q10=1,INDEX(新属性投放!$E$14:$E$34,卡牌属性!R10),INDEX(新属性投放!$E$42:$E$62,卡牌属性!R10))*INDEX($G$5:$G$42,L10),2)</f>
        <v>34.61</v>
      </c>
      <c r="AC10" s="29" t="s">
        <v>179</v>
      </c>
      <c r="AD10" s="14">
        <f>ROUND(IF(Q10=1,INDEX(新属性投放!$F$14:$F$34,卡牌属性!R10),INDEX(新属性投放!$F$42:$F$62,卡牌属性!R10))*INDEX($G$5:$G$42,L10)*SQRT(INDEX($I$5:$I$42,L10)),2)</f>
        <v>207.66</v>
      </c>
      <c r="AF10" s="14">
        <f t="shared" si="6"/>
        <v>692</v>
      </c>
      <c r="AG10" s="14">
        <f t="shared" si="7"/>
        <v>346</v>
      </c>
      <c r="AH10" s="14">
        <f t="shared" si="8"/>
        <v>2076</v>
      </c>
      <c r="AJ10" s="14">
        <f t="shared" si="10"/>
        <v>2651</v>
      </c>
      <c r="AK10" s="14">
        <f t="shared" si="11"/>
        <v>1324</v>
      </c>
      <c r="AL10" s="14">
        <f t="shared" si="12"/>
        <v>7959</v>
      </c>
      <c r="AN10" t="s">
        <v>162</v>
      </c>
      <c r="AO10" s="20">
        <v>2</v>
      </c>
    </row>
    <row r="11" spans="1:53" ht="16.5" x14ac:dyDescent="0.2">
      <c r="A11" s="13">
        <v>1101007</v>
      </c>
      <c r="B11" s="13" t="s">
        <v>141</v>
      </c>
      <c r="C11" s="13">
        <v>1</v>
      </c>
      <c r="D11" s="13">
        <v>4</v>
      </c>
      <c r="E11" s="13">
        <f>INDEX(新属性投放!$E$7:$E$8,卡牌属性!C11)</f>
        <v>21</v>
      </c>
      <c r="F11" s="13">
        <f>SUM(E$5:E11)</f>
        <v>147</v>
      </c>
      <c r="G11" s="14">
        <f>INDEX(新属性投放!$L$6:$L$10,卡牌属性!D11)</f>
        <v>1.3</v>
      </c>
      <c r="H11" s="13">
        <v>1</v>
      </c>
      <c r="I11" s="13">
        <v>1</v>
      </c>
      <c r="K11" s="13">
        <v>8</v>
      </c>
      <c r="L11" s="13">
        <f t="shared" si="0"/>
        <v>1</v>
      </c>
      <c r="M11" s="13">
        <f t="shared" si="1"/>
        <v>3</v>
      </c>
      <c r="N11" s="14">
        <f t="shared" si="2"/>
        <v>1101001</v>
      </c>
      <c r="O11" s="14" t="str">
        <f t="shared" si="3"/>
        <v>常服曹焱兵8突</v>
      </c>
      <c r="P11" s="29" t="s">
        <v>470</v>
      </c>
      <c r="Q11" s="14">
        <f t="shared" si="4"/>
        <v>1</v>
      </c>
      <c r="R11" s="14">
        <f t="shared" si="5"/>
        <v>8</v>
      </c>
      <c r="S11" s="14" t="s">
        <v>39</v>
      </c>
      <c r="T11" s="14">
        <f>ROUND(((IF(Q11=1,INDEX(新属性投放!$J$14:$J$34,卡牌属性!R11),INDEX(新属性投放!$J$42:$J$62,卡牌属性!R11)))*INDEX($G$5:$G$42,L11)+IF(Q11=1,INDEX(新属性投放!R$20:R$23,卡牌属性!M11-1),INDEX(新属性投放!R$25:R$28,卡牌属性!M11-1)))/SQRT(INDEX($I$5:$I$42,L11)),2)</f>
        <v>3431.81</v>
      </c>
      <c r="U11" s="29" t="s">
        <v>178</v>
      </c>
      <c r="V11" s="14">
        <f>ROUND((IF(Q11=1,INDEX(新属性投放!$K$14:$K$34,卡牌属性!R11),INDEX(新属性投放!$K$42:$K$62,卡牌属性!R11))+IF(Q11=1,INDEX(新属性投放!S$20:S$23,卡牌属性!M11-1),INDEX(新属性投放!S$25:S$28,卡牌属性!M11-1)))*INDEX($G$5:$G$42,L11),2)</f>
        <v>1647.2</v>
      </c>
      <c r="W11" s="29" t="s">
        <v>179</v>
      </c>
      <c r="X11" s="14">
        <f>ROUND((IF(Q11=1,INDEX(新属性投放!$L$14:$L$34,卡牌属性!R11),INDEX(新属性投放!$L$42:$L$62,卡牌属性!R11))*INDEX($G$5:$G$42,L11)+IF(Q11=1,INDEX(新属性投放!T$20:T$23,卡牌属性!M11-1),INDEX(新属性投放!T$25:T$28,卡牌属性!M11-1)))*SQRT(INDEX($I$5:$I$42,L11)),2)</f>
        <v>10875.42</v>
      </c>
      <c r="Y11" s="29" t="s">
        <v>177</v>
      </c>
      <c r="Z11" s="14">
        <f>ROUND(IF(Q11=1,INDEX(新属性投放!$D$14:$D$34,卡牌属性!R11),INDEX(新属性投放!$D$42:$D$62,卡牌属性!R11))*INDEX($G$5:$G$42,L11)/SQRT(INDEX($I$5:$I$42,L11)),2)</f>
        <v>86.47</v>
      </c>
      <c r="AA11" s="29" t="s">
        <v>178</v>
      </c>
      <c r="AB11" s="14">
        <f>ROUND(IF(Q11=1,INDEX(新属性投放!$E$14:$E$34,卡牌属性!R11),INDEX(新属性投放!$E$42:$E$62,卡牌属性!R11))*INDEX($G$5:$G$42,L11),2)</f>
        <v>43.23</v>
      </c>
      <c r="AC11" s="29" t="s">
        <v>179</v>
      </c>
      <c r="AD11" s="14">
        <f>ROUND(IF(Q11=1,INDEX(新属性投放!$F$14:$F$34,卡牌属性!R11),INDEX(新属性投放!$F$42:$F$62,卡牌属性!R11))*INDEX($G$5:$G$42,L11)*SQRT(INDEX($I$5:$I$42,L11)),2)</f>
        <v>259.41000000000003</v>
      </c>
      <c r="AF11" s="14">
        <f t="shared" si="6"/>
        <v>864</v>
      </c>
      <c r="AG11" s="14">
        <f t="shared" si="7"/>
        <v>432</v>
      </c>
      <c r="AH11" s="14">
        <f t="shared" si="8"/>
        <v>2594</v>
      </c>
      <c r="AJ11" s="14">
        <f t="shared" si="10"/>
        <v>3515</v>
      </c>
      <c r="AK11" s="14">
        <f t="shared" si="11"/>
        <v>1756</v>
      </c>
      <c r="AL11" s="14">
        <f t="shared" si="12"/>
        <v>10553</v>
      </c>
      <c r="AN11" t="s">
        <v>167</v>
      </c>
      <c r="AO11" s="20">
        <v>2</v>
      </c>
    </row>
    <row r="12" spans="1:53" ht="16.5" x14ac:dyDescent="0.2">
      <c r="A12" s="13">
        <v>1101008</v>
      </c>
      <c r="B12" s="13" t="s">
        <v>142</v>
      </c>
      <c r="C12" s="13">
        <v>1</v>
      </c>
      <c r="D12" s="13">
        <v>2</v>
      </c>
      <c r="E12" s="13">
        <f>INDEX(新属性投放!$E$7:$E$8,卡牌属性!C12)</f>
        <v>21</v>
      </c>
      <c r="F12" s="13">
        <f>SUM(E$5:E12)</f>
        <v>168</v>
      </c>
      <c r="G12" s="14">
        <f>INDEX(新属性投放!$L$6:$L$10,卡牌属性!D12)</f>
        <v>1</v>
      </c>
      <c r="H12" s="13">
        <v>1</v>
      </c>
      <c r="I12" s="13">
        <v>1</v>
      </c>
      <c r="K12" s="13">
        <v>9</v>
      </c>
      <c r="L12" s="13">
        <f t="shared" si="0"/>
        <v>1</v>
      </c>
      <c r="M12" s="13">
        <f t="shared" si="1"/>
        <v>3</v>
      </c>
      <c r="N12" s="14">
        <f t="shared" si="2"/>
        <v>1101001</v>
      </c>
      <c r="O12" s="14" t="str">
        <f t="shared" si="3"/>
        <v>常服曹焱兵9突</v>
      </c>
      <c r="P12" s="29" t="s">
        <v>470</v>
      </c>
      <c r="Q12" s="14">
        <f t="shared" si="4"/>
        <v>1</v>
      </c>
      <c r="R12" s="14">
        <f t="shared" si="5"/>
        <v>9</v>
      </c>
      <c r="S12" s="14" t="s">
        <v>39</v>
      </c>
      <c r="T12" s="14">
        <f>ROUND(((IF(Q12=1,INDEX(新属性投放!$J$14:$J$34,卡牌属性!R12),INDEX(新属性投放!$J$42:$J$62,卡牌属性!R12)))*INDEX($G$5:$G$42,L12)+IF(Q12=1,INDEX(新属性投放!R$20:R$23,卡牌属性!M12-1),INDEX(新属性投放!R$25:R$28,卡牌属性!M12-1)))/SQRT(INDEX($I$5:$I$42,L12)),2)</f>
        <v>4512.6899999999996</v>
      </c>
      <c r="U12" s="29" t="s">
        <v>178</v>
      </c>
      <c r="V12" s="14">
        <f>ROUND((IF(Q12=1,INDEX(新属性投放!$K$14:$K$34,卡牌属性!R12),INDEX(新属性投放!$K$42:$K$62,卡牌属性!R12))+IF(Q12=1,INDEX(新属性投放!S$20:S$23,卡牌属性!M12-1),INDEX(新属性投放!S$25:S$28,卡牌属性!M12-1)))*INDEX($G$5:$G$42,L12),2)</f>
        <v>2187.65</v>
      </c>
      <c r="W12" s="29" t="s">
        <v>179</v>
      </c>
      <c r="X12" s="14">
        <f>ROUND((IF(Q12=1,INDEX(新属性投放!$L$14:$L$34,卡牌属性!R12),INDEX(新属性投放!$L$42:$L$62,卡牌属性!R12))*INDEX($G$5:$G$42,L12)+IF(Q12=1,INDEX(新属性投放!T$20:T$23,卡牌属性!M12-1),INDEX(新属性投放!T$25:T$28,卡牌属性!M12-1)))*SQRT(INDEX($I$5:$I$42,L12)),2)</f>
        <v>14118.07</v>
      </c>
      <c r="Y12" s="29" t="s">
        <v>177</v>
      </c>
      <c r="Z12" s="14">
        <f>ROUND(IF(Q12=1,INDEX(新属性投放!$D$14:$D$34,卡牌属性!R12),INDEX(新属性投放!$D$42:$D$62,卡牌属性!R12))*INDEX($G$5:$G$42,L12)/SQRT(INDEX($I$5:$I$42,L12)),2)</f>
        <v>112.46</v>
      </c>
      <c r="AA12" s="29" t="s">
        <v>178</v>
      </c>
      <c r="AB12" s="14">
        <f>ROUND(IF(Q12=1,INDEX(新属性投放!$E$14:$E$34,卡牌属性!R12),INDEX(新属性投放!$E$42:$E$62,卡牌属性!R12))*INDEX($G$5:$G$42,L12),2)</f>
        <v>56.23</v>
      </c>
      <c r="AC12" s="29" t="s">
        <v>179</v>
      </c>
      <c r="AD12" s="14">
        <f>ROUND(IF(Q12=1,INDEX(新属性投放!$F$14:$F$34,卡牌属性!R12),INDEX(新属性投放!$F$42:$F$62,卡牌属性!R12))*INDEX($G$5:$G$42,L12)*SQRT(INDEX($I$5:$I$42,L12)),2)</f>
        <v>337.38</v>
      </c>
      <c r="AF12" s="14">
        <f t="shared" si="6"/>
        <v>1124</v>
      </c>
      <c r="AG12" s="14">
        <f t="shared" si="7"/>
        <v>562</v>
      </c>
      <c r="AH12" s="14">
        <f t="shared" si="8"/>
        <v>3373</v>
      </c>
      <c r="AJ12" s="14">
        <f t="shared" si="10"/>
        <v>4639</v>
      </c>
      <c r="AK12" s="14">
        <f t="shared" si="11"/>
        <v>2318</v>
      </c>
      <c r="AL12" s="14">
        <f t="shared" si="12"/>
        <v>13926</v>
      </c>
      <c r="AN12" t="s">
        <v>141</v>
      </c>
      <c r="AO12" s="20">
        <v>4</v>
      </c>
    </row>
    <row r="13" spans="1:53" ht="16.5" x14ac:dyDescent="0.2">
      <c r="A13" s="13">
        <v>1101009</v>
      </c>
      <c r="B13" s="13" t="s">
        <v>143</v>
      </c>
      <c r="C13" s="13">
        <v>1</v>
      </c>
      <c r="D13" s="13">
        <v>3</v>
      </c>
      <c r="E13" s="13">
        <f>INDEX(新属性投放!$E$7:$E$8,卡牌属性!C13)</f>
        <v>21</v>
      </c>
      <c r="F13" s="13">
        <f>SUM(E$5:E13)</f>
        <v>189</v>
      </c>
      <c r="G13" s="14">
        <f>INDEX(新属性投放!$L$6:$L$10,卡牌属性!D13)</f>
        <v>1.1499999999999999</v>
      </c>
      <c r="H13" s="13">
        <v>1</v>
      </c>
      <c r="I13" s="13">
        <v>1</v>
      </c>
      <c r="K13" s="13">
        <v>10</v>
      </c>
      <c r="L13" s="13">
        <f t="shared" si="0"/>
        <v>1</v>
      </c>
      <c r="M13" s="13">
        <f t="shared" si="1"/>
        <v>3</v>
      </c>
      <c r="N13" s="14">
        <f t="shared" si="2"/>
        <v>1101001</v>
      </c>
      <c r="O13" s="14" t="str">
        <f t="shared" si="3"/>
        <v>常服曹焱兵10突</v>
      </c>
      <c r="P13" s="29" t="s">
        <v>470</v>
      </c>
      <c r="Q13" s="14">
        <f t="shared" si="4"/>
        <v>1</v>
      </c>
      <c r="R13" s="14">
        <f t="shared" si="5"/>
        <v>10</v>
      </c>
      <c r="S13" s="14" t="s">
        <v>39</v>
      </c>
      <c r="T13" s="14">
        <f>ROUND(((IF(Q13=1,INDEX(新属性投放!$J$14:$J$34,卡牌属性!R13),INDEX(新属性投放!$J$42:$J$62,卡牌属性!R13)))*INDEX($G$5:$G$42,L13)+IF(Q13=1,INDEX(新属性投放!R$20:R$23,卡牌属性!M13-1),INDEX(新属性投放!R$25:R$28,卡牌属性!M13-1)))/SQRT(INDEX($I$5:$I$42,L13)),2)</f>
        <v>5215.28</v>
      </c>
      <c r="U13" s="29" t="s">
        <v>178</v>
      </c>
      <c r="V13" s="14">
        <f>ROUND((IF(Q13=1,INDEX(新属性投放!$K$14:$K$34,卡牌属性!R13),INDEX(新属性投放!$K$42:$K$62,卡牌属性!R13))+IF(Q13=1,INDEX(新属性投放!S$20:S$23,卡牌属性!M13-1),INDEX(新属性投放!S$25:S$28,卡牌属性!M13-1)))*INDEX($G$5:$G$42,L13),2)</f>
        <v>2538.94</v>
      </c>
      <c r="W13" s="29" t="s">
        <v>179</v>
      </c>
      <c r="X13" s="14">
        <f>ROUND((IF(Q13=1,INDEX(新属性投放!$L$14:$L$34,卡牌属性!R13),INDEX(新属性投放!$L$42:$L$62,卡牌属性!R13))*INDEX($G$5:$G$42,L13)+IF(Q13=1,INDEX(新属性投放!T$20:T$23,卡牌属性!M13-1),INDEX(新属性投放!T$25:T$28,卡牌属性!M13-1)))*SQRT(INDEX($I$5:$I$42,L13)),2)</f>
        <v>16225.85</v>
      </c>
      <c r="Y13" s="29" t="s">
        <v>177</v>
      </c>
      <c r="Z13" s="14">
        <f>ROUND(IF(Q13=1,INDEX(新属性投放!$D$14:$D$34,卡牌属性!R13),INDEX(新属性投放!$D$42:$D$62,卡牌属性!R13))*INDEX($G$5:$G$42,L13)/SQRT(INDEX($I$5:$I$42,L13)),2)</f>
        <v>129.75</v>
      </c>
      <c r="AA13" s="29" t="s">
        <v>178</v>
      </c>
      <c r="AB13" s="14">
        <f>ROUND(IF(Q13=1,INDEX(新属性投放!$E$14:$E$34,卡牌属性!R13),INDEX(新属性投放!$E$42:$E$62,卡牌属性!R13))*INDEX($G$5:$G$42,L13),2)</f>
        <v>64.88</v>
      </c>
      <c r="AC13" s="29" t="s">
        <v>179</v>
      </c>
      <c r="AD13" s="14">
        <f>ROUND(IF(Q13=1,INDEX(新属性投放!$F$14:$F$34,卡牌属性!R13),INDEX(新属性投放!$F$42:$F$62,卡牌属性!R13))*INDEX($G$5:$G$42,L13)*SQRT(INDEX($I$5:$I$42,L13)),2)</f>
        <v>389.26</v>
      </c>
      <c r="AF13" s="14">
        <f t="shared" si="6"/>
        <v>1297</v>
      </c>
      <c r="AG13" s="14">
        <f t="shared" si="7"/>
        <v>648</v>
      </c>
      <c r="AH13" s="14">
        <f t="shared" si="8"/>
        <v>3892</v>
      </c>
      <c r="AJ13" s="14">
        <f t="shared" si="10"/>
        <v>5936</v>
      </c>
      <c r="AK13" s="14">
        <f t="shared" si="11"/>
        <v>2966</v>
      </c>
      <c r="AL13" s="14">
        <f t="shared" si="12"/>
        <v>17818</v>
      </c>
      <c r="AN13" t="s">
        <v>139</v>
      </c>
      <c r="AO13" s="20">
        <v>4</v>
      </c>
    </row>
    <row r="14" spans="1:53" ht="16.5" x14ac:dyDescent="0.2">
      <c r="A14" s="13">
        <v>1101010</v>
      </c>
      <c r="B14" s="13" t="s">
        <v>144</v>
      </c>
      <c r="C14" s="13">
        <v>1</v>
      </c>
      <c r="D14" s="13">
        <v>4</v>
      </c>
      <c r="E14" s="13">
        <f>INDEX(新属性投放!$E$7:$E$8,卡牌属性!C14)</f>
        <v>21</v>
      </c>
      <c r="F14" s="13">
        <f>SUM(E$5:E14)</f>
        <v>210</v>
      </c>
      <c r="G14" s="14">
        <f>INDEX(新属性投放!$L$6:$L$10,卡牌属性!D14)</f>
        <v>1.3</v>
      </c>
      <c r="H14" s="13">
        <v>1</v>
      </c>
      <c r="I14" s="13">
        <v>1</v>
      </c>
      <c r="K14" s="13">
        <v>11</v>
      </c>
      <c r="L14" s="13">
        <f t="shared" si="0"/>
        <v>1</v>
      </c>
      <c r="M14" s="13">
        <f t="shared" si="1"/>
        <v>3</v>
      </c>
      <c r="N14" s="14">
        <f t="shared" si="2"/>
        <v>1101001</v>
      </c>
      <c r="O14" s="14" t="str">
        <f t="shared" si="3"/>
        <v>常服曹焱兵11突</v>
      </c>
      <c r="P14" s="29" t="s">
        <v>470</v>
      </c>
      <c r="Q14" s="14">
        <f t="shared" si="4"/>
        <v>1</v>
      </c>
      <c r="R14" s="14">
        <f t="shared" si="5"/>
        <v>11</v>
      </c>
      <c r="S14" s="14" t="s">
        <v>39</v>
      </c>
      <c r="T14" s="14">
        <f>ROUND(((IF(Q14=1,INDEX(新属性投放!$J$14:$J$34,卡牌属性!R14),INDEX(新属性投放!$J$42:$J$62,卡牌属性!R14)))*INDEX($G$5:$G$42,L14)+IF(Q14=1,INDEX(新属性投放!R$20:R$23,卡牌属性!M14-1),INDEX(新属性投放!R$25:R$28,卡牌属性!M14-1)))/SQRT(INDEX($I$5:$I$42,L14)),2)</f>
        <v>6026.21</v>
      </c>
      <c r="U14" s="29" t="s">
        <v>178</v>
      </c>
      <c r="V14" s="14">
        <f>ROUND((IF(Q14=1,INDEX(新属性投放!$K$14:$K$34,卡牌属性!R14),INDEX(新属性投放!$K$42:$K$62,卡牌属性!R14))+IF(Q14=1,INDEX(新属性投放!S$20:S$23,卡牌属性!M14-1),INDEX(新属性投放!S$25:S$28,卡牌属性!M14-1)))*INDEX($G$5:$G$42,L14),2)</f>
        <v>2944.98</v>
      </c>
      <c r="W14" s="29" t="s">
        <v>179</v>
      </c>
      <c r="X14" s="14">
        <f>ROUND((IF(Q14=1,INDEX(新属性投放!$L$14:$L$34,卡牌属性!R14),INDEX(新属性投放!$L$42:$L$62,卡牌属性!R14))*INDEX($G$5:$G$42,L14)+IF(Q14=1,INDEX(新属性投放!T$20:T$23,卡牌属性!M14-1),INDEX(新属性投放!T$25:T$28,卡牌属性!M14-1)))*SQRT(INDEX($I$5:$I$42,L14)),2)</f>
        <v>18658.62</v>
      </c>
      <c r="Y14" s="29" t="s">
        <v>177</v>
      </c>
      <c r="Z14" s="14">
        <f>ROUND(IF(Q14=1,INDEX(新属性投放!$D$14:$D$34,卡牌属性!R14),INDEX(新属性投放!$D$42:$D$62,卡牌属性!R14))*INDEX($G$5:$G$42,L14)/SQRT(INDEX($I$5:$I$42,L14)),2)</f>
        <v>151.32</v>
      </c>
      <c r="AA14" s="29" t="s">
        <v>178</v>
      </c>
      <c r="AB14" s="14">
        <f>ROUND(IF(Q14=1,INDEX(新属性投放!$E$14:$E$34,卡牌属性!R14),INDEX(新属性投放!$E$42:$E$62,卡牌属性!R14))*INDEX($G$5:$G$42,L14),2)</f>
        <v>75.66</v>
      </c>
      <c r="AC14" s="29" t="s">
        <v>179</v>
      </c>
      <c r="AD14" s="14">
        <f>ROUND(IF(Q14=1,INDEX(新属性投放!$F$14:$F$34,卡牌属性!R14),INDEX(新属性投放!$F$42:$F$62,卡牌属性!R14))*INDEX($G$5:$G$42,L14)*SQRT(INDEX($I$5:$I$42,L14)),2)</f>
        <v>453.95</v>
      </c>
      <c r="AF14" s="14">
        <f t="shared" si="6"/>
        <v>1513</v>
      </c>
      <c r="AG14" s="14">
        <f t="shared" si="7"/>
        <v>756</v>
      </c>
      <c r="AH14" s="14">
        <f t="shared" si="8"/>
        <v>4539</v>
      </c>
      <c r="AJ14" s="14">
        <f t="shared" si="10"/>
        <v>7449</v>
      </c>
      <c r="AK14" s="14">
        <f t="shared" si="11"/>
        <v>3722</v>
      </c>
      <c r="AL14" s="14">
        <f t="shared" si="12"/>
        <v>22357</v>
      </c>
      <c r="AN14" t="s">
        <v>137</v>
      </c>
      <c r="AO14" s="20">
        <v>4</v>
      </c>
    </row>
    <row r="15" spans="1:53" ht="16.5" x14ac:dyDescent="0.2">
      <c r="A15" s="13">
        <v>1101011</v>
      </c>
      <c r="B15" s="13" t="s">
        <v>145</v>
      </c>
      <c r="C15" s="13">
        <v>1</v>
      </c>
      <c r="D15" s="13">
        <v>3</v>
      </c>
      <c r="E15" s="13">
        <f>INDEX(新属性投放!$E$7:$E$8,卡牌属性!C15)</f>
        <v>21</v>
      </c>
      <c r="F15" s="13">
        <f>SUM(E$5:E15)</f>
        <v>231</v>
      </c>
      <c r="G15" s="14">
        <f>INDEX(新属性投放!$L$6:$L$10,卡牌属性!D15)</f>
        <v>1.1499999999999999</v>
      </c>
      <c r="H15" s="13">
        <v>1</v>
      </c>
      <c r="I15" s="13">
        <v>1</v>
      </c>
      <c r="K15" s="13">
        <v>12</v>
      </c>
      <c r="L15" s="13">
        <f t="shared" si="0"/>
        <v>1</v>
      </c>
      <c r="M15" s="13">
        <f t="shared" si="1"/>
        <v>3</v>
      </c>
      <c r="N15" s="14">
        <f t="shared" si="2"/>
        <v>1101001</v>
      </c>
      <c r="O15" s="14" t="str">
        <f t="shared" si="3"/>
        <v>常服曹焱兵12突</v>
      </c>
      <c r="P15" s="29" t="s">
        <v>470</v>
      </c>
      <c r="Q15" s="14">
        <f t="shared" si="4"/>
        <v>1</v>
      </c>
      <c r="R15" s="14">
        <f t="shared" si="5"/>
        <v>12</v>
      </c>
      <c r="S15" s="14" t="s">
        <v>39</v>
      </c>
      <c r="T15" s="14">
        <f>ROUND(((IF(Q15=1,INDEX(新属性投放!$J$14:$J$34,卡牌属性!R15),INDEX(新属性投放!$J$42:$J$62,卡牌属性!R15)))*INDEX($G$5:$G$42,L15)+IF(Q15=1,INDEX(新属性投放!R$20:R$23,卡牌属性!M15-1),INDEX(新属性投放!R$25:R$28,卡牌属性!M15-1)))/SQRT(INDEX($I$5:$I$42,L15)),2)</f>
        <v>6971.39</v>
      </c>
      <c r="U15" s="29" t="s">
        <v>178</v>
      </c>
      <c r="V15" s="14">
        <f>ROUND((IF(Q15=1,INDEX(新属性投放!$K$14:$K$34,卡牌属性!R15),INDEX(新属性投放!$K$42:$K$62,卡牌属性!R15))+IF(Q15=1,INDEX(新属性投放!S$20:S$23,卡牌属性!M15-1),INDEX(新属性投放!S$25:S$28,卡牌属性!M15-1)))*INDEX($G$5:$G$42,L15),2)</f>
        <v>3417.57</v>
      </c>
      <c r="W15" s="29" t="s">
        <v>179</v>
      </c>
      <c r="X15" s="14">
        <f>ROUND((IF(Q15=1,INDEX(新属性投放!$L$14:$L$34,卡牌属性!R15),INDEX(新属性投放!$L$42:$L$62,卡牌属性!R15))*INDEX($G$5:$G$42,L15)+IF(Q15=1,INDEX(新属性投放!T$20:T$23,卡牌属性!M15-1),INDEX(新属性投放!T$25:T$28,卡牌属性!M15-1)))*SQRT(INDEX($I$5:$I$42,L15)),2)</f>
        <v>21494.17</v>
      </c>
      <c r="Y15" s="29" t="s">
        <v>177</v>
      </c>
      <c r="Z15" s="14">
        <f>ROUND(IF(Q15=1,INDEX(新属性投放!$D$14:$D$34,卡牌属性!R15),INDEX(新属性投放!$D$42:$D$62,卡牌属性!R15))*INDEX($G$5:$G$42,L15)/SQRT(INDEX($I$5:$I$42,L15)),2)</f>
        <v>173.04</v>
      </c>
      <c r="AA15" s="29" t="s">
        <v>178</v>
      </c>
      <c r="AB15" s="14">
        <f>ROUND(IF(Q15=1,INDEX(新属性投放!$E$14:$E$34,卡牌属性!R15),INDEX(新属性投放!$E$42:$E$62,卡牌属性!R15))*INDEX($G$5:$G$42,L15),2)</f>
        <v>86.52</v>
      </c>
      <c r="AC15" s="29" t="s">
        <v>179</v>
      </c>
      <c r="AD15" s="14">
        <f>ROUND(IF(Q15=1,INDEX(新属性投放!$F$14:$F$34,卡牌属性!R15),INDEX(新属性投放!$F$42:$F$62,卡牌属性!R15))*INDEX($G$5:$G$42,L15)*SQRT(INDEX($I$5:$I$42,L15)),2)</f>
        <v>519.12</v>
      </c>
      <c r="AF15" s="14">
        <f t="shared" si="6"/>
        <v>1730</v>
      </c>
      <c r="AG15" s="14">
        <f t="shared" si="7"/>
        <v>865</v>
      </c>
      <c r="AH15" s="14">
        <f t="shared" si="8"/>
        <v>5191</v>
      </c>
      <c r="AJ15" s="14">
        <f t="shared" si="10"/>
        <v>9179</v>
      </c>
      <c r="AK15" s="14">
        <f t="shared" si="11"/>
        <v>4587</v>
      </c>
      <c r="AL15" s="14">
        <f t="shared" si="12"/>
        <v>27548</v>
      </c>
      <c r="AN15" t="s">
        <v>161</v>
      </c>
      <c r="AO15" s="20">
        <v>4</v>
      </c>
    </row>
    <row r="16" spans="1:53" ht="16.5" x14ac:dyDescent="0.2">
      <c r="A16" s="13">
        <v>1101012</v>
      </c>
      <c r="B16" s="13" t="s">
        <v>146</v>
      </c>
      <c r="C16" s="13">
        <v>1</v>
      </c>
      <c r="D16" s="13">
        <v>2</v>
      </c>
      <c r="E16" s="13">
        <f>INDEX(新属性投放!$E$7:$E$8,卡牌属性!C16)</f>
        <v>21</v>
      </c>
      <c r="F16" s="13">
        <f>SUM(E$5:E16)</f>
        <v>252</v>
      </c>
      <c r="G16" s="14">
        <f>INDEX(新属性投放!$L$6:$L$10,卡牌属性!D16)</f>
        <v>1</v>
      </c>
      <c r="H16" s="13">
        <v>1</v>
      </c>
      <c r="I16" s="13">
        <v>1</v>
      </c>
      <c r="K16" s="13">
        <v>13</v>
      </c>
      <c r="L16" s="13">
        <f t="shared" si="0"/>
        <v>1</v>
      </c>
      <c r="M16" s="13">
        <f t="shared" si="1"/>
        <v>3</v>
      </c>
      <c r="N16" s="14">
        <f t="shared" si="2"/>
        <v>1101001</v>
      </c>
      <c r="O16" s="14" t="str">
        <f t="shared" si="3"/>
        <v>常服曹焱兵13突</v>
      </c>
      <c r="P16" s="29" t="s">
        <v>470</v>
      </c>
      <c r="Q16" s="14">
        <f t="shared" si="4"/>
        <v>1</v>
      </c>
      <c r="R16" s="14">
        <f t="shared" si="5"/>
        <v>13</v>
      </c>
      <c r="S16" s="14" t="s">
        <v>39</v>
      </c>
      <c r="T16" s="14">
        <f>ROUND(((IF(Q16=1,INDEX(新属性投放!$J$14:$J$34,卡牌属性!R16),INDEX(新属性投放!$J$42:$J$62,卡牌属性!R16)))*INDEX($G$5:$G$42,L16)+IF(Q16=1,INDEX(新属性投放!R$20:R$23,卡牌属性!M16-1),INDEX(新属性投放!R$25:R$28,卡牌属性!M16-1)))/SQRT(INDEX($I$5:$I$42,L16)),2)</f>
        <v>8052.79</v>
      </c>
      <c r="U16" s="29" t="s">
        <v>178</v>
      </c>
      <c r="V16" s="14">
        <f>ROUND((IF(Q16=1,INDEX(新属性投放!$K$14:$K$34,卡牌属性!R16),INDEX(新属性投放!$K$42:$K$62,卡牌属性!R16))+IF(Q16=1,INDEX(新属性投放!S$20:S$23,卡牌属性!M16-1),INDEX(新属性投放!S$25:S$28,卡牌属性!M16-1)))*INDEX($G$5:$G$42,L16),2)</f>
        <v>3958.27</v>
      </c>
      <c r="W16" s="29" t="s">
        <v>179</v>
      </c>
      <c r="X16" s="14">
        <f>ROUND((IF(Q16=1,INDEX(新属性投放!$L$14:$L$34,卡牌属性!R16),INDEX(新属性投放!$L$42:$L$62,卡牌属性!R16))*INDEX($G$5:$G$42,L16)+IF(Q16=1,INDEX(新属性投放!T$20:T$23,卡牌属性!M16-1),INDEX(新属性投放!T$25:T$28,卡牌属性!M16-1)))*SQRT(INDEX($I$5:$I$42,L16)),2)</f>
        <v>24738.38</v>
      </c>
      <c r="Y16" s="29" t="s">
        <v>177</v>
      </c>
      <c r="Z16" s="14">
        <f>ROUND(IF(Q16=1,INDEX(新属性投放!$D$14:$D$34,卡牌属性!R16),INDEX(新属性投放!$D$42:$D$62,卡牌属性!R16))*INDEX($G$5:$G$42,L16)/SQRT(INDEX($I$5:$I$42,L16)),2)</f>
        <v>200.07</v>
      </c>
      <c r="AA16" s="29" t="s">
        <v>178</v>
      </c>
      <c r="AB16" s="14">
        <f>ROUND(IF(Q16=1,INDEX(新属性投放!$E$14:$E$34,卡牌属性!R16),INDEX(新属性投放!$E$42:$E$62,卡牌属性!R16))*INDEX($G$5:$G$42,L16),2)</f>
        <v>100.03</v>
      </c>
      <c r="AC16" s="29" t="s">
        <v>179</v>
      </c>
      <c r="AD16" s="14">
        <f>ROUND(IF(Q16=1,INDEX(新属性投放!$F$14:$F$34,卡牌属性!R16),INDEX(新属性投放!$F$42:$F$62,卡牌属性!R16))*INDEX($G$5:$G$42,L16)*SQRT(INDEX($I$5:$I$42,L16)),2)</f>
        <v>600.20000000000005</v>
      </c>
      <c r="AF16" s="14">
        <f t="shared" si="6"/>
        <v>2000</v>
      </c>
      <c r="AG16" s="14">
        <f t="shared" si="7"/>
        <v>1000</v>
      </c>
      <c r="AH16" s="14">
        <f t="shared" si="8"/>
        <v>6002</v>
      </c>
      <c r="AJ16" s="14">
        <f t="shared" si="10"/>
        <v>11179</v>
      </c>
      <c r="AK16" s="14">
        <f t="shared" si="11"/>
        <v>5587</v>
      </c>
      <c r="AL16" s="14">
        <f t="shared" si="12"/>
        <v>33550</v>
      </c>
      <c r="AN16" t="s">
        <v>150</v>
      </c>
      <c r="AO16" s="20">
        <v>4</v>
      </c>
    </row>
    <row r="17" spans="1:41" ht="16.5" x14ac:dyDescent="0.2">
      <c r="A17" s="13">
        <v>1101013</v>
      </c>
      <c r="B17" s="13" t="s">
        <v>147</v>
      </c>
      <c r="C17" s="13">
        <v>1</v>
      </c>
      <c r="D17" s="13">
        <v>2</v>
      </c>
      <c r="E17" s="13">
        <f>INDEX(新属性投放!$E$7:$E$8,卡牌属性!C17)</f>
        <v>21</v>
      </c>
      <c r="F17" s="13">
        <f>SUM(E$5:E17)</f>
        <v>273</v>
      </c>
      <c r="G17" s="14">
        <f>INDEX(新属性投放!$L$6:$L$10,卡牌属性!D17)</f>
        <v>1</v>
      </c>
      <c r="H17" s="13">
        <v>1</v>
      </c>
      <c r="I17" s="13">
        <v>1</v>
      </c>
      <c r="K17" s="13">
        <v>14</v>
      </c>
      <c r="L17" s="13">
        <f t="shared" si="0"/>
        <v>1</v>
      </c>
      <c r="M17" s="13">
        <f t="shared" si="1"/>
        <v>3</v>
      </c>
      <c r="N17" s="14">
        <f t="shared" si="2"/>
        <v>1101001</v>
      </c>
      <c r="O17" s="14" t="str">
        <f t="shared" si="3"/>
        <v>常服曹焱兵14突</v>
      </c>
      <c r="P17" s="29" t="s">
        <v>470</v>
      </c>
      <c r="Q17" s="14">
        <f t="shared" si="4"/>
        <v>1</v>
      </c>
      <c r="R17" s="14">
        <f t="shared" si="5"/>
        <v>14</v>
      </c>
      <c r="S17" s="14" t="s">
        <v>39</v>
      </c>
      <c r="T17" s="14">
        <f>ROUND(((IF(Q17=1,INDEX(新属性投放!$J$14:$J$34,卡牌属性!R17),INDEX(新属性投放!$J$42:$J$62,卡牌属性!R17)))*INDEX($G$5:$G$42,L17)+IF(Q17=1,INDEX(新属性投放!R$20:R$23,卡牌属性!M17-1),INDEX(新属性投放!R$25:R$28,卡牌属性!M17-1)))/SQRT(INDEX($I$5:$I$42,L17)),2)</f>
        <v>9302.67</v>
      </c>
      <c r="U17" s="29" t="s">
        <v>178</v>
      </c>
      <c r="V17" s="14">
        <f>ROUND((IF(Q17=1,INDEX(新属性投放!$K$14:$K$34,卡牌属性!R17),INDEX(新属性投放!$K$42:$K$62,卡牌属性!R17))+IF(Q17=1,INDEX(新属性投放!S$20:S$23,卡牌属性!M17-1),INDEX(新属性投放!S$25:S$28,卡牌属性!M17-1)))*INDEX($G$5:$G$42,L17),2)</f>
        <v>4583.79</v>
      </c>
      <c r="W17" s="29" t="s">
        <v>179</v>
      </c>
      <c r="X17" s="14">
        <f>ROUND((IF(Q17=1,INDEX(新属性投放!$L$14:$L$34,卡牌属性!R17),INDEX(新属性投放!$L$42:$L$62,卡牌属性!R17))*INDEX($G$5:$G$42,L17)+IF(Q17=1,INDEX(新属性投放!T$20:T$23,卡牌属性!M17-1),INDEX(新属性投放!T$25:T$28,卡牌属性!M17-1)))*SQRT(INDEX($I$5:$I$42,L17)),2)</f>
        <v>28488.01</v>
      </c>
      <c r="Y17" s="29" t="s">
        <v>177</v>
      </c>
      <c r="Z17" s="14">
        <f>ROUND(IF(Q17=1,INDEX(新属性投放!$D$14:$D$34,卡牌属性!R17),INDEX(新属性投放!$D$42:$D$62,卡牌属性!R17))*INDEX($G$5:$G$42,L17)/SQRT(INDEX($I$5:$I$42,L17)),2)</f>
        <v>231.32</v>
      </c>
      <c r="AA17" s="29" t="s">
        <v>178</v>
      </c>
      <c r="AB17" s="14">
        <f>ROUND(IF(Q17=1,INDEX(新属性投放!$E$14:$E$34,卡牌属性!R17),INDEX(新属性投放!$E$42:$E$62,卡牌属性!R17))*INDEX($G$5:$G$42,L17),2)</f>
        <v>115.66</v>
      </c>
      <c r="AC17" s="29" t="s">
        <v>179</v>
      </c>
      <c r="AD17" s="14">
        <f>ROUND(IF(Q17=1,INDEX(新属性投放!$F$14:$F$34,卡牌属性!R17),INDEX(新属性投放!$F$42:$F$62,卡牌属性!R17))*INDEX($G$5:$G$42,L17)*SQRT(INDEX($I$5:$I$42,L17)),2)</f>
        <v>693.97</v>
      </c>
      <c r="AF17" s="14">
        <f t="shared" si="6"/>
        <v>2313</v>
      </c>
      <c r="AG17" s="14">
        <f t="shared" si="7"/>
        <v>1156</v>
      </c>
      <c r="AH17" s="14">
        <f t="shared" si="8"/>
        <v>6939</v>
      </c>
      <c r="AJ17" s="14">
        <f t="shared" si="10"/>
        <v>13492</v>
      </c>
      <c r="AK17" s="14">
        <f t="shared" si="11"/>
        <v>6743</v>
      </c>
      <c r="AL17" s="14">
        <f t="shared" si="12"/>
        <v>40489</v>
      </c>
      <c r="AN17" t="s">
        <v>154</v>
      </c>
      <c r="AO17" s="20">
        <v>4</v>
      </c>
    </row>
    <row r="18" spans="1:41" ht="16.5" x14ac:dyDescent="0.2">
      <c r="A18" s="13">
        <v>1101014</v>
      </c>
      <c r="B18" s="13" t="s">
        <v>148</v>
      </c>
      <c r="C18" s="13">
        <v>1</v>
      </c>
      <c r="D18" s="13">
        <v>3</v>
      </c>
      <c r="E18" s="13">
        <f>INDEX(新属性投放!$E$7:$E$8,卡牌属性!C18)</f>
        <v>21</v>
      </c>
      <c r="F18" s="13">
        <f>SUM(E$5:E18)</f>
        <v>294</v>
      </c>
      <c r="G18" s="14">
        <f>INDEX(新属性投放!$L$6:$L$10,卡牌属性!D18)</f>
        <v>1.1499999999999999</v>
      </c>
      <c r="H18" s="13">
        <v>1</v>
      </c>
      <c r="I18" s="13">
        <v>1</v>
      </c>
      <c r="K18" s="13">
        <v>15</v>
      </c>
      <c r="L18" s="13">
        <f t="shared" si="0"/>
        <v>1</v>
      </c>
      <c r="M18" s="13">
        <f t="shared" si="1"/>
        <v>3</v>
      </c>
      <c r="N18" s="14">
        <f t="shared" si="2"/>
        <v>1101001</v>
      </c>
      <c r="O18" s="14" t="str">
        <f t="shared" si="3"/>
        <v>常服曹焱兵15突</v>
      </c>
      <c r="P18" s="29" t="s">
        <v>470</v>
      </c>
      <c r="Q18" s="14">
        <f t="shared" si="4"/>
        <v>1</v>
      </c>
      <c r="R18" s="14">
        <f t="shared" si="5"/>
        <v>15</v>
      </c>
      <c r="S18" s="14" t="s">
        <v>39</v>
      </c>
      <c r="T18" s="14">
        <f>ROUND(((IF(Q18=1,INDEX(新属性投放!$J$14:$J$34,卡牌属性!R18),INDEX(新属性投放!$J$42:$J$62,卡牌属性!R18)))*INDEX($G$5:$G$42,L18)+IF(Q18=1,INDEX(新属性投放!R$20:R$23,卡牌属性!M18-1),INDEX(新属性投放!R$25:R$28,卡牌属性!M18-1)))/SQRT(INDEX($I$5:$I$42,L18)),2)</f>
        <v>10747.93</v>
      </c>
      <c r="U18" s="29" t="s">
        <v>178</v>
      </c>
      <c r="V18" s="14">
        <f>ROUND((IF(Q18=1,INDEX(新属性投放!$K$14:$K$34,卡牌属性!R18),INDEX(新属性投放!$K$42:$K$62,卡牌属性!R18))+IF(Q18=1,INDEX(新属性投放!S$20:S$23,卡牌属性!M18-1),INDEX(新属性投放!S$25:S$28,卡牌属性!M18-1)))*INDEX($G$5:$G$42,L18),2)</f>
        <v>5306.99</v>
      </c>
      <c r="W18" s="29" t="s">
        <v>179</v>
      </c>
      <c r="X18" s="14">
        <f>ROUND((IF(Q18=1,INDEX(新属性投放!$L$14:$L$34,卡牌属性!R18),INDEX(新属性投放!$L$42:$L$62,卡牌属性!R18))*INDEX($G$5:$G$42,L18)+IF(Q18=1,INDEX(新属性投放!T$20:T$23,卡牌属性!M18-1),INDEX(新属性投放!T$25:T$28,卡牌属性!M18-1)))*SQRT(INDEX($I$5:$I$42,L18)),2)</f>
        <v>32823.800000000003</v>
      </c>
      <c r="Y18" s="29" t="s">
        <v>177</v>
      </c>
      <c r="Z18" s="14">
        <f>ROUND(IF(Q18=1,INDEX(新属性投放!$D$14:$D$34,卡牌属性!R18),INDEX(新属性投放!$D$42:$D$62,卡牌属性!R18))*INDEX($G$5:$G$42,L18)/SQRT(INDEX($I$5:$I$42,L18)),2)</f>
        <v>267.44</v>
      </c>
      <c r="AA18" s="29" t="s">
        <v>178</v>
      </c>
      <c r="AB18" s="14">
        <f>ROUND(IF(Q18=1,INDEX(新属性投放!$E$14:$E$34,卡牌属性!R18),INDEX(新属性投放!$E$42:$E$62,卡牌属性!R18))*INDEX($G$5:$G$42,L18),2)</f>
        <v>133.72</v>
      </c>
      <c r="AC18" s="29" t="s">
        <v>179</v>
      </c>
      <c r="AD18" s="14">
        <f>ROUND(IF(Q18=1,INDEX(新属性投放!$F$14:$F$34,卡牌属性!R18),INDEX(新属性投放!$F$42:$F$62,卡牌属性!R18))*INDEX($G$5:$G$42,L18)*SQRT(INDEX($I$5:$I$42,L18)),2)</f>
        <v>802.33</v>
      </c>
      <c r="AF18" s="14">
        <f t="shared" si="6"/>
        <v>2674</v>
      </c>
      <c r="AG18" s="14">
        <f t="shared" si="7"/>
        <v>1337</v>
      </c>
      <c r="AH18" s="14">
        <f t="shared" si="8"/>
        <v>8023</v>
      </c>
      <c r="AJ18" s="14">
        <f t="shared" si="10"/>
        <v>16166</v>
      </c>
      <c r="AK18" s="14">
        <f t="shared" si="11"/>
        <v>8080</v>
      </c>
      <c r="AL18" s="14">
        <f t="shared" si="12"/>
        <v>48512</v>
      </c>
      <c r="AN18" t="s">
        <v>143</v>
      </c>
      <c r="AO18" s="20">
        <v>4</v>
      </c>
    </row>
    <row r="19" spans="1:41" ht="16.5" x14ac:dyDescent="0.2">
      <c r="A19" s="13">
        <v>1101015</v>
      </c>
      <c r="B19" s="13" t="s">
        <v>149</v>
      </c>
      <c r="C19" s="13">
        <v>1</v>
      </c>
      <c r="D19" s="13">
        <v>3</v>
      </c>
      <c r="E19" s="13">
        <f>INDEX(新属性投放!$E$7:$E$8,卡牌属性!C19)</f>
        <v>21</v>
      </c>
      <c r="F19" s="13">
        <f>SUM(E$5:E19)</f>
        <v>315</v>
      </c>
      <c r="G19" s="14">
        <f>INDEX(新属性投放!$L$6:$L$10,卡牌属性!D19)</f>
        <v>1.1499999999999999</v>
      </c>
      <c r="H19" s="13">
        <v>1</v>
      </c>
      <c r="I19" s="13">
        <v>1</v>
      </c>
      <c r="K19" s="13">
        <v>16</v>
      </c>
      <c r="L19" s="13">
        <f t="shared" si="0"/>
        <v>1</v>
      </c>
      <c r="M19" s="13">
        <f t="shared" si="1"/>
        <v>3</v>
      </c>
      <c r="N19" s="14">
        <f t="shared" si="2"/>
        <v>1101001</v>
      </c>
      <c r="O19" s="14" t="str">
        <f t="shared" si="3"/>
        <v>常服曹焱兵16突</v>
      </c>
      <c r="P19" s="29" t="s">
        <v>470</v>
      </c>
      <c r="Q19" s="14">
        <f t="shared" si="4"/>
        <v>1</v>
      </c>
      <c r="R19" s="14">
        <f t="shared" si="5"/>
        <v>16</v>
      </c>
      <c r="S19" s="14" t="s">
        <v>39</v>
      </c>
      <c r="T19" s="14">
        <f>ROUND(((IF(Q19=1,INDEX(新属性投放!$J$14:$J$34,卡牌属性!R19),INDEX(新属性投放!$J$42:$J$62,卡牌属性!R19)))*INDEX($G$5:$G$42,L19)+IF(Q19=1,INDEX(新属性投放!R$20:R$23,卡牌属性!M19-1),INDEX(新属性投放!R$25:R$28,卡牌属性!M19-1)))/SQRT(INDEX($I$5:$I$42,L19)),2)</f>
        <v>12419.8</v>
      </c>
      <c r="U19" s="29" t="s">
        <v>178</v>
      </c>
      <c r="V19" s="14">
        <f>ROUND((IF(Q19=1,INDEX(新属性投放!$K$14:$K$34,卡牌属性!R19),INDEX(新属性投放!$K$42:$K$62,卡牌属性!R19))+IF(Q19=1,INDEX(新属性投放!S$20:S$23,卡牌属性!M19-1),INDEX(新属性投放!S$25:S$28,卡牌属性!M19-1)))*INDEX($G$5:$G$42,L19),2)</f>
        <v>6142.35</v>
      </c>
      <c r="W19" s="29" t="s">
        <v>179</v>
      </c>
      <c r="X19" s="14">
        <f>ROUND((IF(Q19=1,INDEX(新属性投放!$L$14:$L$34,卡牌属性!R19),INDEX(新属性投放!$L$42:$L$62,卡牌属性!R19))*INDEX($G$5:$G$42,L19)+IF(Q19=1,INDEX(新属性投放!T$20:T$23,卡牌属性!M19-1),INDEX(新属性投放!T$25:T$28,卡牌属性!M19-1)))*SQRT(INDEX($I$5:$I$42,L19)),2)</f>
        <v>37839.410000000003</v>
      </c>
      <c r="Y19" s="29" t="s">
        <v>177</v>
      </c>
      <c r="Z19" s="14">
        <f>ROUND(IF(Q19=1,INDEX(新属性投放!$D$14:$D$34,卡牌属性!R19),INDEX(新属性投放!$D$42:$D$62,卡牌属性!R19))*INDEX($G$5:$G$42,L19)/SQRT(INDEX($I$5:$I$42,L19)),2)</f>
        <v>309.25</v>
      </c>
      <c r="AA19" s="29" t="s">
        <v>178</v>
      </c>
      <c r="AB19" s="14">
        <f>ROUND(IF(Q19=1,INDEX(新属性投放!$E$14:$E$34,卡牌属性!R19),INDEX(新属性投放!$E$42:$E$62,卡牌属性!R19))*INDEX($G$5:$G$42,L19),2)</f>
        <v>154.62</v>
      </c>
      <c r="AC19" s="29" t="s">
        <v>179</v>
      </c>
      <c r="AD19" s="14">
        <f>ROUND(IF(Q19=1,INDEX(新属性投放!$F$14:$F$34,卡牌属性!R19),INDEX(新属性投放!$F$42:$F$62,卡牌属性!R19))*INDEX($G$5:$G$42,L19)*SQRT(INDEX($I$5:$I$42,L19)),2)</f>
        <v>927.74</v>
      </c>
      <c r="AF19" s="14">
        <f t="shared" si="6"/>
        <v>3092</v>
      </c>
      <c r="AG19" s="14">
        <f t="shared" si="7"/>
        <v>1546</v>
      </c>
      <c r="AH19" s="14">
        <f t="shared" si="8"/>
        <v>9277</v>
      </c>
      <c r="AJ19" s="14">
        <f t="shared" si="10"/>
        <v>19258</v>
      </c>
      <c r="AK19" s="14">
        <f t="shared" si="11"/>
        <v>9626</v>
      </c>
      <c r="AL19" s="14">
        <f t="shared" si="12"/>
        <v>57789</v>
      </c>
      <c r="AN19" t="s">
        <v>138</v>
      </c>
      <c r="AO19" s="20">
        <v>4</v>
      </c>
    </row>
    <row r="20" spans="1:41" ht="16.5" x14ac:dyDescent="0.2">
      <c r="A20" s="13">
        <v>1101041</v>
      </c>
      <c r="B20" s="13" t="s">
        <v>653</v>
      </c>
      <c r="C20" s="13">
        <v>1</v>
      </c>
      <c r="D20" s="13">
        <v>2</v>
      </c>
      <c r="E20" s="13">
        <f>INDEX(新属性投放!$E$7:$E$8,卡牌属性!C20)</f>
        <v>21</v>
      </c>
      <c r="F20" s="13">
        <f>SUM(E$5:E20)</f>
        <v>336</v>
      </c>
      <c r="G20" s="14">
        <f>INDEX(新属性投放!$L$6:$L$10,卡牌属性!D20)</f>
        <v>1</v>
      </c>
      <c r="H20" s="13">
        <v>1</v>
      </c>
      <c r="I20" s="13">
        <v>1</v>
      </c>
      <c r="K20" s="13">
        <v>17</v>
      </c>
      <c r="L20" s="13">
        <f t="shared" si="0"/>
        <v>1</v>
      </c>
      <c r="M20" s="13">
        <f t="shared" si="1"/>
        <v>3</v>
      </c>
      <c r="N20" s="14">
        <f t="shared" si="2"/>
        <v>1101001</v>
      </c>
      <c r="O20" s="14" t="str">
        <f t="shared" si="3"/>
        <v>常服曹焱兵17突</v>
      </c>
      <c r="P20" s="29" t="s">
        <v>470</v>
      </c>
      <c r="Q20" s="14">
        <f t="shared" si="4"/>
        <v>1</v>
      </c>
      <c r="R20" s="14">
        <f t="shared" si="5"/>
        <v>17</v>
      </c>
      <c r="S20" s="14" t="s">
        <v>39</v>
      </c>
      <c r="T20" s="14">
        <f>ROUND(((IF(Q20=1,INDEX(新属性投放!$J$14:$J$34,卡牌属性!R20),INDEX(新属性投放!$J$42:$J$62,卡牌属性!R20)))*INDEX($G$5:$G$42,L20)+IF(Q20=1,INDEX(新属性投放!R$20:R$23,卡牌属性!M20-1),INDEX(新属性投放!R$25:R$28,卡牌属性!M20-1)))/SQRT(INDEX($I$5:$I$42,L20)),2)</f>
        <v>14352.44</v>
      </c>
      <c r="U20" s="29" t="s">
        <v>178</v>
      </c>
      <c r="V20" s="14">
        <f>ROUND((IF(Q20=1,INDEX(新属性投放!$K$14:$K$34,卡牌属性!R20),INDEX(新属性投放!$K$42:$K$62,卡牌属性!R20))+IF(Q20=1,INDEX(新属性投放!S$20:S$23,卡牌属性!M20-1),INDEX(新属性投放!S$25:S$28,卡牌属性!M20-1)))*INDEX($G$5:$G$42,L20),2)</f>
        <v>7108.67</v>
      </c>
      <c r="W20" s="29" t="s">
        <v>179</v>
      </c>
      <c r="X20" s="14">
        <f>ROUND((IF(Q20=1,INDEX(新属性投放!$L$14:$L$34,卡牌属性!R20),INDEX(新属性投放!$L$42:$L$62,卡牌属性!R20))*INDEX($G$5:$G$42,L20)+IF(Q20=1,INDEX(新属性投放!T$20:T$23,卡牌属性!M20-1),INDEX(新属性投放!T$25:T$28,卡牌属性!M20-1)))*SQRT(INDEX($I$5:$I$42,L20)),2)</f>
        <v>43637.31</v>
      </c>
      <c r="Y20" s="29" t="s">
        <v>177</v>
      </c>
      <c r="Z20" s="14">
        <f>ROUND(IF(Q20=1,INDEX(新属性投放!$D$14:$D$34,卡牌属性!R20),INDEX(新属性投放!$D$42:$D$62,卡牌属性!R20))*INDEX($G$5:$G$42,L20)/SQRT(INDEX($I$5:$I$42,L20)),2)</f>
        <v>357.56</v>
      </c>
      <c r="AA20" s="29" t="s">
        <v>178</v>
      </c>
      <c r="AB20" s="14">
        <f>ROUND(IF(Q20=1,INDEX(新属性投放!$E$14:$E$34,卡牌属性!R20),INDEX(新属性投放!$E$42:$E$62,卡牌属性!R20))*INDEX($G$5:$G$42,L20),2)</f>
        <v>178.78</v>
      </c>
      <c r="AC20" s="29" t="s">
        <v>179</v>
      </c>
      <c r="AD20" s="14">
        <f>ROUND(IF(Q20=1,INDEX(新属性投放!$F$14:$F$34,卡牌属性!R20),INDEX(新属性投放!$F$42:$F$62,卡牌属性!R20))*INDEX($G$5:$G$42,L20)*SQRT(INDEX($I$5:$I$42,L20)),2)</f>
        <v>1072.67</v>
      </c>
      <c r="AF20" s="14">
        <f t="shared" si="6"/>
        <v>3575</v>
      </c>
      <c r="AG20" s="14">
        <f t="shared" si="7"/>
        <v>1787</v>
      </c>
      <c r="AH20" s="14">
        <f t="shared" si="8"/>
        <v>10726</v>
      </c>
      <c r="AJ20" s="14">
        <f t="shared" si="10"/>
        <v>22833</v>
      </c>
      <c r="AK20" s="14">
        <f t="shared" si="11"/>
        <v>11413</v>
      </c>
      <c r="AL20" s="14">
        <f t="shared" si="12"/>
        <v>68515</v>
      </c>
      <c r="AN20" t="s">
        <v>140</v>
      </c>
      <c r="AO20" s="20">
        <v>4</v>
      </c>
    </row>
    <row r="21" spans="1:41" ht="16.5" x14ac:dyDescent="0.2">
      <c r="A21" s="13">
        <v>1102001</v>
      </c>
      <c r="B21" s="13" t="s">
        <v>150</v>
      </c>
      <c r="C21" s="13">
        <v>2</v>
      </c>
      <c r="D21" s="13">
        <v>5</v>
      </c>
      <c r="E21" s="13">
        <f>INDEX(新属性投放!$E$7:$E$8,卡牌属性!C21)</f>
        <v>21</v>
      </c>
      <c r="F21" s="13">
        <f>SUM(E$5:E21)</f>
        <v>357</v>
      </c>
      <c r="G21" s="14">
        <f>INDEX(新属性投放!$L$6:$L$10,卡牌属性!D21)</f>
        <v>1.5</v>
      </c>
      <c r="H21" s="13">
        <v>1</v>
      </c>
      <c r="I21" s="13">
        <v>1</v>
      </c>
      <c r="K21" s="13">
        <v>18</v>
      </c>
      <c r="L21" s="13">
        <f t="shared" si="0"/>
        <v>1</v>
      </c>
      <c r="M21" s="13">
        <f t="shared" si="1"/>
        <v>3</v>
      </c>
      <c r="N21" s="14">
        <f t="shared" si="2"/>
        <v>1101001</v>
      </c>
      <c r="O21" s="14" t="str">
        <f t="shared" si="3"/>
        <v>常服曹焱兵18突</v>
      </c>
      <c r="P21" s="29" t="s">
        <v>470</v>
      </c>
      <c r="Q21" s="14">
        <f t="shared" si="4"/>
        <v>1</v>
      </c>
      <c r="R21" s="14">
        <f t="shared" si="5"/>
        <v>18</v>
      </c>
      <c r="S21" s="14" t="s">
        <v>39</v>
      </c>
      <c r="T21" s="14">
        <f>ROUND(((IF(Q21=1,INDEX(新属性投放!$J$14:$J$34,卡牌属性!R21),INDEX(新属性投放!$J$42:$J$62,卡牌属性!R21)))*INDEX($G$5:$G$42,L21)+IF(Q21=1,INDEX(新属性投放!R$20:R$23,卡牌属性!M21-1),INDEX(新属性投放!R$25:R$28,卡牌属性!M21-1)))/SQRT(INDEX($I$5:$I$42,L21)),2)</f>
        <v>16587.580000000002</v>
      </c>
      <c r="U21" s="29" t="s">
        <v>178</v>
      </c>
      <c r="V21" s="14">
        <f>ROUND((IF(Q21=1,INDEX(新属性投放!$K$14:$K$34,卡牌属性!R21),INDEX(新属性投放!$K$42:$K$62,卡牌属性!R21))+IF(Q21=1,INDEX(新属性投放!S$20:S$23,卡牌属性!M21-1),INDEX(新属性投放!S$25:S$28,卡牌属性!M21-1)))*INDEX($G$5:$G$42,L21),2)</f>
        <v>8225.66</v>
      </c>
      <c r="W21" s="29" t="s">
        <v>179</v>
      </c>
      <c r="X21" s="14">
        <f>ROUND((IF(Q21=1,INDEX(新属性投放!$L$14:$L$34,卡牌属性!R21),INDEX(新属性投放!$L$42:$L$62,卡牌属性!R21))*INDEX($G$5:$G$42,L21)+IF(Q21=1,INDEX(新属性投放!T$20:T$23,卡牌属性!M21-1),INDEX(新属性投放!T$25:T$28,卡牌属性!M21-1)))*SQRT(INDEX($I$5:$I$42,L21)),2)</f>
        <v>50342.73</v>
      </c>
      <c r="Y21" s="29" t="s">
        <v>177</v>
      </c>
      <c r="Z21" s="14">
        <f>ROUND(IF(Q21=1,INDEX(新属性投放!$D$14:$D$34,卡牌属性!R21),INDEX(新属性投放!$D$42:$D$62,卡牌属性!R21))*INDEX($G$5:$G$42,L21)/SQRT(INDEX($I$5:$I$42,L21)),2)</f>
        <v>413.44</v>
      </c>
      <c r="AA21" s="29" t="s">
        <v>178</v>
      </c>
      <c r="AB21" s="14">
        <f>ROUND(IF(Q21=1,INDEX(新属性投放!$E$14:$E$34,卡牌属性!R21),INDEX(新属性投放!$E$42:$E$62,卡牌属性!R21))*INDEX($G$5:$G$42,L21),2)</f>
        <v>206.72</v>
      </c>
      <c r="AC21" s="29" t="s">
        <v>179</v>
      </c>
      <c r="AD21" s="14">
        <f>ROUND(IF(Q21=1,INDEX(新属性投放!$F$14:$F$34,卡牌属性!R21),INDEX(新属性投放!$F$42:$F$62,卡牌属性!R21))*INDEX($G$5:$G$42,L21)*SQRT(INDEX($I$5:$I$42,L21)),2)</f>
        <v>1240.31</v>
      </c>
      <c r="AF21" s="14">
        <f t="shared" si="6"/>
        <v>4134</v>
      </c>
      <c r="AG21" s="14">
        <f t="shared" si="7"/>
        <v>2067</v>
      </c>
      <c r="AH21" s="14">
        <f t="shared" si="8"/>
        <v>12403</v>
      </c>
      <c r="AJ21" s="14">
        <f t="shared" si="10"/>
        <v>26967</v>
      </c>
      <c r="AK21" s="14">
        <f t="shared" si="11"/>
        <v>13480</v>
      </c>
      <c r="AL21" s="14">
        <f t="shared" si="12"/>
        <v>80918</v>
      </c>
      <c r="AN21" t="s">
        <v>163</v>
      </c>
      <c r="AO21" s="20">
        <v>4</v>
      </c>
    </row>
    <row r="22" spans="1:41" ht="16.5" x14ac:dyDescent="0.2">
      <c r="A22" s="13">
        <v>1102002</v>
      </c>
      <c r="B22" s="13" t="s">
        <v>151</v>
      </c>
      <c r="C22" s="13">
        <v>2</v>
      </c>
      <c r="D22" s="13">
        <v>3</v>
      </c>
      <c r="E22" s="13">
        <f>INDEX(新属性投放!$E$7:$E$8,卡牌属性!C22)</f>
        <v>21</v>
      </c>
      <c r="F22" s="13">
        <f>SUM(E$5:E22)</f>
        <v>378</v>
      </c>
      <c r="G22" s="14">
        <f>INDEX(新属性投放!$L$6:$L$10,卡牌属性!D22)</f>
        <v>1.1499999999999999</v>
      </c>
      <c r="H22" s="13">
        <v>1</v>
      </c>
      <c r="I22" s="13">
        <v>1</v>
      </c>
      <c r="K22" s="13">
        <v>19</v>
      </c>
      <c r="L22" s="13">
        <f t="shared" si="0"/>
        <v>1</v>
      </c>
      <c r="M22" s="13">
        <f t="shared" si="1"/>
        <v>3</v>
      </c>
      <c r="N22" s="14">
        <f t="shared" si="2"/>
        <v>1101001</v>
      </c>
      <c r="O22" s="14" t="str">
        <f t="shared" si="3"/>
        <v>常服曹焱兵19突</v>
      </c>
      <c r="P22" s="29" t="s">
        <v>470</v>
      </c>
      <c r="Q22" s="14">
        <f t="shared" si="4"/>
        <v>1</v>
      </c>
      <c r="R22" s="14">
        <f t="shared" si="5"/>
        <v>19</v>
      </c>
      <c r="S22" s="14" t="s">
        <v>39</v>
      </c>
      <c r="T22" s="14">
        <f>ROUND(((IF(Q22=1,INDEX(新属性投放!$J$14:$J$34,卡牌属性!R22),INDEX(新属性投放!$J$42:$J$62,卡牌属性!R22)))*INDEX($G$5:$G$42,L22)+IF(Q22=1,INDEX(新属性投放!R$20:R$23,卡牌属性!M22-1),INDEX(新属性投放!R$25:R$28,卡牌属性!M22-1)))/SQRT(INDEX($I$5:$I$42,L22)),2)</f>
        <v>19171.11</v>
      </c>
      <c r="U22" s="29" t="s">
        <v>178</v>
      </c>
      <c r="V22" s="14">
        <f>ROUND((IF(Q22=1,INDEX(新属性投放!$K$14:$K$34,卡牌属性!R22),INDEX(新属性投放!$K$42:$K$62,卡牌属性!R22))+IF(Q22=1,INDEX(新属性投放!S$20:S$23,卡牌属性!M22-1),INDEX(新属性投放!S$25:S$28,卡牌属性!M22-1)))*INDEX($G$5:$G$42,L22),2)</f>
        <v>9518</v>
      </c>
      <c r="W22" s="29" t="s">
        <v>179</v>
      </c>
      <c r="X22" s="14">
        <f>ROUND((IF(Q22=1,INDEX(新属性投放!$L$14:$L$34,卡牌属性!R22),INDEX(新属性投放!$L$42:$L$62,卡牌属性!R22))*INDEX($G$5:$G$42,L22)+IF(Q22=1,INDEX(新属性投放!T$20:T$23,卡牌属性!M22-1),INDEX(新属性投放!T$25:T$28,卡牌属性!M22-1)))*SQRT(INDEX($I$5:$I$42,L22)),2)</f>
        <v>58093.32</v>
      </c>
      <c r="Y22" s="29" t="s">
        <v>177</v>
      </c>
      <c r="Z22" s="14">
        <f>ROUND(IF(Q22=1,INDEX(新属性投放!$D$14:$D$34,卡牌属性!R22),INDEX(新属性投放!$D$42:$D$62,卡牌属性!R22))*INDEX($G$5:$G$42,L22)/SQRT(INDEX($I$5:$I$42,L22)),2)</f>
        <v>478.03</v>
      </c>
      <c r="AA22" s="29" t="s">
        <v>178</v>
      </c>
      <c r="AB22" s="14">
        <f>ROUND(IF(Q22=1,INDEX(新属性投放!$E$14:$E$34,卡牌属性!R22),INDEX(新属性投放!$E$42:$E$62,卡牌属性!R22))*INDEX($G$5:$G$42,L22),2)</f>
        <v>239.02</v>
      </c>
      <c r="AC22" s="29" t="s">
        <v>179</v>
      </c>
      <c r="AD22" s="14">
        <f>ROUND(IF(Q22=1,INDEX(新属性投放!$F$14:$F$34,卡牌属性!R22),INDEX(新属性投放!$F$42:$F$62,卡牌属性!R22))*INDEX($G$5:$G$42,L22)*SQRT(INDEX($I$5:$I$42,L22)),2)</f>
        <v>1434.1</v>
      </c>
      <c r="AF22" s="14">
        <f t="shared" si="6"/>
        <v>4780</v>
      </c>
      <c r="AG22" s="14">
        <f t="shared" si="7"/>
        <v>2390</v>
      </c>
      <c r="AH22" s="14">
        <f t="shared" si="8"/>
        <v>14341</v>
      </c>
      <c r="AJ22" s="14">
        <f t="shared" si="10"/>
        <v>31747</v>
      </c>
      <c r="AK22" s="14">
        <f t="shared" si="11"/>
        <v>15870</v>
      </c>
      <c r="AL22" s="14">
        <f t="shared" si="12"/>
        <v>95259</v>
      </c>
      <c r="AN22" t="s">
        <v>155</v>
      </c>
      <c r="AO22" s="20">
        <v>4</v>
      </c>
    </row>
    <row r="23" spans="1:41" ht="16.5" x14ac:dyDescent="0.2">
      <c r="A23" s="13">
        <v>1102003</v>
      </c>
      <c r="B23" s="13" t="s">
        <v>152</v>
      </c>
      <c r="C23" s="13">
        <v>2</v>
      </c>
      <c r="D23" s="13">
        <v>3</v>
      </c>
      <c r="E23" s="13">
        <f>INDEX(新属性投放!$E$7:$E$8,卡牌属性!C23)</f>
        <v>21</v>
      </c>
      <c r="F23" s="13">
        <f>SUM(E$5:E23)</f>
        <v>399</v>
      </c>
      <c r="G23" s="14">
        <f>INDEX(新属性投放!$L$6:$L$10,卡牌属性!D23)</f>
        <v>1.1499999999999999</v>
      </c>
      <c r="H23" s="13">
        <v>1</v>
      </c>
      <c r="I23" s="13">
        <v>1</v>
      </c>
      <c r="K23" s="13">
        <v>20</v>
      </c>
      <c r="L23" s="13">
        <f t="shared" si="0"/>
        <v>1</v>
      </c>
      <c r="M23" s="13">
        <f t="shared" si="1"/>
        <v>3</v>
      </c>
      <c r="N23" s="14">
        <f t="shared" si="2"/>
        <v>1101001</v>
      </c>
      <c r="O23" s="14" t="str">
        <f t="shared" si="3"/>
        <v>常服曹焱兵20突</v>
      </c>
      <c r="P23" s="29" t="s">
        <v>470</v>
      </c>
      <c r="Q23" s="14">
        <f t="shared" si="4"/>
        <v>1</v>
      </c>
      <c r="R23" s="14">
        <f t="shared" si="5"/>
        <v>20</v>
      </c>
      <c r="S23" s="14" t="s">
        <v>39</v>
      </c>
      <c r="T23" s="14">
        <f>ROUND(((IF(Q23=1,INDEX(新属性投放!$J$14:$J$34,卡牌属性!R23),INDEX(新属性投放!$J$42:$J$62,卡牌属性!R23)))*INDEX($G$5:$G$42,L23)+IF(Q23=1,INDEX(新属性投放!R$20:R$23,卡牌属性!M23-1),INDEX(新属性投放!R$25:R$28,卡牌属性!M23-1)))/SQRT(INDEX($I$5:$I$42,L23)),2)</f>
        <v>22159.27</v>
      </c>
      <c r="U23" s="29" t="s">
        <v>178</v>
      </c>
      <c r="V23" s="14">
        <f>ROUND((IF(Q23=1,INDEX(新属性投放!$K$14:$K$34,卡牌属性!R23),INDEX(新属性投放!$K$42:$K$62,卡牌属性!R23))+IF(Q23=1,INDEX(新属性投放!S$20:S$23,卡牌属性!M23-1),INDEX(新属性投放!S$25:S$28,卡牌属性!M23-1)))*INDEX($G$5:$G$42,L23),2)</f>
        <v>11012.08</v>
      </c>
      <c r="W23" s="29" t="s">
        <v>179</v>
      </c>
      <c r="X23" s="14">
        <f>ROUND((IF(Q23=1,INDEX(新属性投放!$L$14:$L$34,卡牌属性!R23),INDEX(新属性投放!$L$42:$L$62,卡牌属性!R23))*INDEX($G$5:$G$42,L23)+IF(Q23=1,INDEX(新属性投放!T$20:T$23,卡牌属性!M23-1),INDEX(新属性投放!T$25:T$28,卡牌属性!M23-1)))*SQRT(INDEX($I$5:$I$42,L23)),2)</f>
        <v>67057.8</v>
      </c>
      <c r="Y23" s="29" t="s">
        <v>177</v>
      </c>
      <c r="Z23" s="14">
        <f>ROUND(IF(Q23=1,INDEX(新属性投放!$D$14:$D$34,卡牌属性!R23),INDEX(新属性投放!$D$42:$D$62,卡牌属性!R23))*INDEX($G$5:$G$42,L23)/SQRT(INDEX($I$5:$I$42,L23)),2)</f>
        <v>552.74</v>
      </c>
      <c r="AA23" s="29" t="s">
        <v>178</v>
      </c>
      <c r="AB23" s="14">
        <f>ROUND(IF(Q23=1,INDEX(新属性投放!$E$14:$E$34,卡牌属性!R23),INDEX(新属性投放!$E$42:$E$62,卡牌属性!R23))*INDEX($G$5:$G$42,L23),2)</f>
        <v>276.37</v>
      </c>
      <c r="AC23" s="29" t="s">
        <v>179</v>
      </c>
      <c r="AD23" s="14">
        <f>ROUND(IF(Q23=1,INDEX(新属性投放!$F$14:$F$34,卡牌属性!R23),INDEX(新属性投放!$F$42:$F$62,卡牌属性!R23))*INDEX($G$5:$G$42,L23)*SQRT(INDEX($I$5:$I$42,L23)),2)</f>
        <v>1658.21</v>
      </c>
      <c r="AF23" s="14">
        <f t="shared" si="6"/>
        <v>5527</v>
      </c>
      <c r="AG23" s="14">
        <f t="shared" si="7"/>
        <v>2763</v>
      </c>
      <c r="AH23" s="14">
        <f t="shared" si="8"/>
        <v>16582</v>
      </c>
      <c r="AJ23" s="14">
        <f t="shared" si="10"/>
        <v>37274</v>
      </c>
      <c r="AK23" s="14">
        <f t="shared" si="11"/>
        <v>18633</v>
      </c>
      <c r="AL23" s="14">
        <f t="shared" si="12"/>
        <v>111841</v>
      </c>
      <c r="AN23" t="s">
        <v>156</v>
      </c>
      <c r="AO23" s="20">
        <v>4</v>
      </c>
    </row>
    <row r="24" spans="1:41" ht="16.5" x14ac:dyDescent="0.2">
      <c r="A24" s="13">
        <v>1102004</v>
      </c>
      <c r="B24" s="13" t="s">
        <v>153</v>
      </c>
      <c r="C24" s="13">
        <v>2</v>
      </c>
      <c r="D24" s="13">
        <v>2</v>
      </c>
      <c r="E24" s="13">
        <f>INDEX(新属性投放!$E$7:$E$8,卡牌属性!C24)</f>
        <v>21</v>
      </c>
      <c r="F24" s="13">
        <f>SUM(E$5:E24)</f>
        <v>420</v>
      </c>
      <c r="G24" s="14">
        <f>INDEX(新属性投放!$L$6:$L$10,卡牌属性!D24)</f>
        <v>1</v>
      </c>
      <c r="H24" s="13">
        <v>1</v>
      </c>
      <c r="I24" s="13">
        <v>1</v>
      </c>
      <c r="K24" s="13">
        <v>21</v>
      </c>
      <c r="L24" s="13">
        <f t="shared" si="0"/>
        <v>1</v>
      </c>
      <c r="M24" s="13">
        <f t="shared" si="1"/>
        <v>3</v>
      </c>
      <c r="N24" s="14">
        <f t="shared" si="2"/>
        <v>1101001</v>
      </c>
      <c r="O24" s="14" t="str">
        <f t="shared" si="3"/>
        <v>常服曹焱兵21突</v>
      </c>
      <c r="P24" s="29" t="s">
        <v>470</v>
      </c>
      <c r="Q24" s="14">
        <f t="shared" si="4"/>
        <v>1</v>
      </c>
      <c r="R24" s="14">
        <f t="shared" si="5"/>
        <v>21</v>
      </c>
      <c r="S24" s="14" t="s">
        <v>39</v>
      </c>
      <c r="T24" s="14">
        <f>ROUND(((IF(Q24=1,INDEX(新属性投放!$J$14:$J$34,卡牌属性!R24),INDEX(新属性投放!$J$42:$J$62,卡牌属性!R24)))*INDEX($G$5:$G$42,L24)+IF(Q24=1,INDEX(新属性投放!R$20:R$23,卡牌属性!M24-1),INDEX(新属性投放!R$25:R$28,卡牌属性!M24-1)))/SQRT(INDEX($I$5:$I$42,L24)),2)</f>
        <v>25614.1</v>
      </c>
      <c r="U24" s="29" t="s">
        <v>178</v>
      </c>
      <c r="V24" s="14">
        <f>ROUND((IF(Q24=1,INDEX(新属性投放!$K$14:$K$34,卡牌属性!R24),INDEX(新属性投放!$K$42:$K$62,卡牌属性!R24))+IF(Q24=1,INDEX(新属性投放!S$20:S$23,卡牌属性!M24-1),INDEX(新属性投放!S$25:S$28,卡牌属性!M24-1)))*INDEX($G$5:$G$42,L24),2)</f>
        <v>12738.92</v>
      </c>
      <c r="W24" s="29" t="s">
        <v>179</v>
      </c>
      <c r="X24" s="14">
        <f>ROUND((IF(Q24=1,INDEX(新属性投放!$L$14:$L$34,卡牌属性!R24),INDEX(新属性投放!$L$42:$L$62,卡牌属性!R24))*INDEX($G$5:$G$42,L24)+IF(Q24=1,INDEX(新属性投放!T$20:T$23,卡牌属性!M24-1),INDEX(新属性投放!T$25:T$28,卡牌属性!M24-1)))*SQRT(INDEX($I$5:$I$42,L24)),2)</f>
        <v>77422.289999999994</v>
      </c>
      <c r="Y24" s="29" t="s">
        <v>177</v>
      </c>
      <c r="Z24" s="14">
        <f>ROUND(IF(Q24=1,INDEX(新属性投放!$D$14:$D$34,卡牌属性!R24),INDEX(新属性投放!$D$42:$D$62,卡牌属性!R24))*INDEX($G$5:$G$42,L24)/SQRT(INDEX($I$5:$I$42,L24)),2)</f>
        <v>639.1</v>
      </c>
      <c r="AA24" s="29" t="s">
        <v>178</v>
      </c>
      <c r="AB24" s="14">
        <f>ROUND(IF(Q24=1,INDEX(新属性投放!$E$14:$E$34,卡牌属性!R24),INDEX(新属性投放!$E$42:$E$62,卡牌属性!R24))*INDEX($G$5:$G$42,L24),2)</f>
        <v>319.55</v>
      </c>
      <c r="AC24" s="29" t="s">
        <v>179</v>
      </c>
      <c r="AD24" s="14">
        <f>ROUND(IF(Q24=1,INDEX(新属性投放!$F$14:$F$34,卡牌属性!R24),INDEX(新属性投放!$F$42:$F$62,卡牌属性!R24))*INDEX($G$5:$G$42,L24)*SQRT(INDEX($I$5:$I$42,L24)),2)</f>
        <v>1917.3</v>
      </c>
      <c r="AF24" s="14">
        <f t="shared" si="6"/>
        <v>6391</v>
      </c>
      <c r="AG24" s="14">
        <f t="shared" si="7"/>
        <v>3195</v>
      </c>
      <c r="AH24" s="14">
        <f t="shared" si="8"/>
        <v>19173</v>
      </c>
      <c r="AJ24" s="14">
        <f t="shared" ref="AJ24" si="13">AJ23+AF24</f>
        <v>43665</v>
      </c>
      <c r="AK24" s="14">
        <f t="shared" ref="AK24" si="14">AK23+AG24</f>
        <v>21828</v>
      </c>
      <c r="AL24" s="14">
        <f t="shared" ref="AL24" si="15">AL23+AH24</f>
        <v>131014</v>
      </c>
    </row>
    <row r="25" spans="1:41" ht="16.5" x14ac:dyDescent="0.2">
      <c r="A25" s="13">
        <v>1102005</v>
      </c>
      <c r="B25" s="13" t="s">
        <v>154</v>
      </c>
      <c r="C25" s="13">
        <v>2</v>
      </c>
      <c r="D25" s="13">
        <v>3</v>
      </c>
      <c r="E25" s="13">
        <f>INDEX(新属性投放!$E$7:$E$8,卡牌属性!C25)</f>
        <v>21</v>
      </c>
      <c r="F25" s="13">
        <f>SUM(E$5:E25)</f>
        <v>441</v>
      </c>
      <c r="G25" s="14">
        <f>INDEX(新属性投放!$L$6:$L$10,卡牌属性!D25)</f>
        <v>1.1499999999999999</v>
      </c>
      <c r="H25" s="13">
        <v>1</v>
      </c>
      <c r="I25" s="13">
        <v>1</v>
      </c>
      <c r="K25" s="13">
        <v>22</v>
      </c>
      <c r="L25" s="13">
        <f t="shared" si="0"/>
        <v>2</v>
      </c>
      <c r="M25" s="13">
        <f t="shared" si="1"/>
        <v>2</v>
      </c>
      <c r="N25" s="14">
        <f t="shared" si="2"/>
        <v>1101002</v>
      </c>
      <c r="O25" s="14" t="str">
        <f t="shared" si="3"/>
        <v>曹玄亮1突</v>
      </c>
      <c r="P25" s="29" t="s">
        <v>470</v>
      </c>
      <c r="Q25" s="14">
        <f t="shared" si="4"/>
        <v>1</v>
      </c>
      <c r="R25" s="14">
        <f t="shared" si="5"/>
        <v>1</v>
      </c>
      <c r="S25" s="14" t="s">
        <v>39</v>
      </c>
      <c r="T25" s="14">
        <f>ROUND(((IF(Q25=1,INDEX(新属性投放!$J$14:$J$34,卡牌属性!R25),INDEX(新属性投放!$J$42:$J$62,卡牌属性!R25)))*INDEX($G$5:$G$42,L25)+IF(Q25=1,INDEX(新属性投放!R$20:R$23,卡牌属性!M25-1),INDEX(新属性投放!R$25:R$28,卡牌属性!M25-1)))/SQRT(INDEX($I$5:$I$42,L25)),2)</f>
        <v>100</v>
      </c>
      <c r="U25" s="29" t="s">
        <v>178</v>
      </c>
      <c r="V25" s="14">
        <f>ROUND((IF(Q25=1,INDEX(新属性投放!$K$14:$K$34,卡牌属性!R25),INDEX(新属性投放!$K$42:$K$62,卡牌属性!R25))+IF(Q25=1,INDEX(新属性投放!S$20:S$23,卡牌属性!M25-1),INDEX(新属性投放!S$25:S$28,卡牌属性!M25-1)))*INDEX($G$5:$G$42,L25),2)</f>
        <v>0</v>
      </c>
      <c r="W25" s="29" t="s">
        <v>179</v>
      </c>
      <c r="X25" s="14">
        <f>ROUND((IF(Q25=1,INDEX(新属性投放!$L$14:$L$34,卡牌属性!R25),INDEX(新属性投放!$L$42:$L$62,卡牌属性!R25))*INDEX($G$5:$G$42,L25)+IF(Q25=1,INDEX(新属性投放!T$20:T$23,卡牌属性!M25-1),INDEX(新属性投放!T$25:T$28,卡牌属性!M25-1)))*SQRT(INDEX($I$5:$I$42,L25)),2)</f>
        <v>500</v>
      </c>
      <c r="Y25" s="29" t="s">
        <v>177</v>
      </c>
      <c r="Z25" s="14">
        <f>ROUND(IF(Q25=1,INDEX(新属性投放!$D$14:$D$34,卡牌属性!R25),INDEX(新属性投放!$D$42:$D$62,卡牌属性!R25))*INDEX($G$5:$G$42,L25)/SQRT(INDEX($I$5:$I$42,L25)),2)</f>
        <v>15</v>
      </c>
      <c r="AA25" s="29" t="s">
        <v>178</v>
      </c>
      <c r="AB25" s="14">
        <f>ROUND(IF(Q25=1,INDEX(新属性投放!$E$14:$E$34,卡牌属性!R25),INDEX(新属性投放!$E$42:$E$62,卡牌属性!R25))*INDEX($G$5:$G$42,L25),2)</f>
        <v>7.5</v>
      </c>
      <c r="AC25" s="29" t="s">
        <v>179</v>
      </c>
      <c r="AD25" s="14">
        <f>ROUND(IF(Q25=1,INDEX(新属性投放!$F$14:$F$34,卡牌属性!R25),INDEX(新属性投放!$F$42:$F$62,卡牌属性!R25))*INDEX($G$5:$G$42,L25)*SQRT(INDEX($I$5:$I$42,L25)),2)</f>
        <v>45</v>
      </c>
      <c r="AF25" s="14">
        <f t="shared" si="6"/>
        <v>150</v>
      </c>
      <c r="AG25" s="14">
        <f t="shared" si="7"/>
        <v>75</v>
      </c>
      <c r="AH25" s="14">
        <f t="shared" si="8"/>
        <v>450</v>
      </c>
      <c r="AJ25" s="14">
        <f t="shared" ref="AJ25" si="16">AF25</f>
        <v>150</v>
      </c>
      <c r="AK25" s="14">
        <f t="shared" ref="AK25" si="17">AG25</f>
        <v>75</v>
      </c>
      <c r="AL25" s="14">
        <f t="shared" ref="AL25" si="18">AH25</f>
        <v>450</v>
      </c>
    </row>
    <row r="26" spans="1:41" ht="16.5" x14ac:dyDescent="0.2">
      <c r="A26" s="13">
        <v>1102006</v>
      </c>
      <c r="B26" s="13" t="s">
        <v>155</v>
      </c>
      <c r="C26" s="13">
        <v>2</v>
      </c>
      <c r="D26" s="13">
        <v>5</v>
      </c>
      <c r="E26" s="13">
        <f>INDEX(新属性投放!$E$7:$E$8,卡牌属性!C26)</f>
        <v>21</v>
      </c>
      <c r="F26" s="13">
        <f>SUM(E$5:E26)</f>
        <v>462</v>
      </c>
      <c r="G26" s="14">
        <f>INDEX(新属性投放!$L$6:$L$10,卡牌属性!D26)</f>
        <v>1.5</v>
      </c>
      <c r="H26" s="13">
        <v>1</v>
      </c>
      <c r="I26" s="13">
        <v>1</v>
      </c>
      <c r="K26" s="13">
        <v>23</v>
      </c>
      <c r="L26" s="13">
        <f t="shared" si="0"/>
        <v>2</v>
      </c>
      <c r="M26" s="13">
        <f t="shared" si="1"/>
        <v>2</v>
      </c>
      <c r="N26" s="14">
        <f t="shared" si="2"/>
        <v>1101002</v>
      </c>
      <c r="O26" s="14" t="str">
        <f t="shared" si="3"/>
        <v>曹玄亮2突</v>
      </c>
      <c r="P26" s="29" t="s">
        <v>470</v>
      </c>
      <c r="Q26" s="14">
        <f t="shared" si="4"/>
        <v>1</v>
      </c>
      <c r="R26" s="14">
        <f t="shared" si="5"/>
        <v>2</v>
      </c>
      <c r="S26" s="14" t="s">
        <v>39</v>
      </c>
      <c r="T26" s="14">
        <f>ROUND(((IF(Q26=1,INDEX(新属性投放!$J$14:$J$34,卡牌属性!R26),INDEX(新属性投放!$J$42:$J$62,卡牌属性!R26)))*INDEX($G$5:$G$42,L26)+IF(Q26=1,INDEX(新属性投放!R$20:R$23,卡牌属性!M26-1),INDEX(新属性投放!R$25:R$28,卡牌属性!M26-1)))/SQRT(INDEX($I$5:$I$42,L26)),2)</f>
        <v>245</v>
      </c>
      <c r="U26" s="29" t="s">
        <v>178</v>
      </c>
      <c r="V26" s="14">
        <f>ROUND((IF(Q26=1,INDEX(新属性投放!$K$14:$K$34,卡牌属性!R26),INDEX(新属性投放!$K$42:$K$62,卡牌属性!R26))+IF(Q26=1,INDEX(新属性投放!S$20:S$23,卡牌属性!M26-1),INDEX(新属性投放!S$25:S$28,卡牌属性!M26-1)))*INDEX($G$5:$G$42,L26),2)</f>
        <v>84.5</v>
      </c>
      <c r="W26" s="29" t="s">
        <v>179</v>
      </c>
      <c r="X26" s="14">
        <f>ROUND((IF(Q26=1,INDEX(新属性投放!$L$14:$L$34,卡牌属性!R26),INDEX(新属性投放!$L$42:$L$62,卡牌属性!R26))*INDEX($G$5:$G$42,L26)+IF(Q26=1,INDEX(新属性投放!T$20:T$23,卡牌属性!M26-1),INDEX(新属性投放!T$25:T$28,卡牌属性!M26-1)))*SQRT(INDEX($I$5:$I$42,L26)),2)</f>
        <v>935</v>
      </c>
      <c r="Y26" s="29" t="s">
        <v>177</v>
      </c>
      <c r="Z26" s="14">
        <f>ROUND(IF(Q26=1,INDEX(新属性投放!$D$14:$D$34,卡牌属性!R26),INDEX(新属性投放!$D$42:$D$62,卡牌属性!R26))*INDEX($G$5:$G$42,L26)/SQRT(INDEX($I$5:$I$42,L26)),2)</f>
        <v>13.77</v>
      </c>
      <c r="AA26" s="29" t="s">
        <v>178</v>
      </c>
      <c r="AB26" s="14">
        <f>ROUND(IF(Q26=1,INDEX(新属性投放!$E$14:$E$34,卡牌属性!R26),INDEX(新属性投放!$E$42:$E$62,卡牌属性!R26))*INDEX($G$5:$G$42,L26),2)</f>
        <v>6.89</v>
      </c>
      <c r="AC26" s="29" t="s">
        <v>179</v>
      </c>
      <c r="AD26" s="14">
        <f>ROUND(IF(Q26=1,INDEX(新属性投放!$F$14:$F$34,卡牌属性!R26),INDEX(新属性投放!$F$42:$F$62,卡牌属性!R26))*INDEX($G$5:$G$42,L26)*SQRT(INDEX($I$5:$I$42,L26)),2)</f>
        <v>41.31</v>
      </c>
      <c r="AF26" s="14">
        <f t="shared" si="6"/>
        <v>137</v>
      </c>
      <c r="AG26" s="14">
        <f t="shared" si="7"/>
        <v>68</v>
      </c>
      <c r="AH26" s="14">
        <f t="shared" si="8"/>
        <v>413</v>
      </c>
      <c r="AJ26" s="14">
        <f t="shared" ref="AJ26:AJ45" si="19">AJ25+AF26</f>
        <v>287</v>
      </c>
      <c r="AK26" s="14">
        <f t="shared" ref="AK26:AK45" si="20">AK25+AG26</f>
        <v>143</v>
      </c>
      <c r="AL26" s="14">
        <f t="shared" ref="AL26:AL45" si="21">AL25+AH26</f>
        <v>863</v>
      </c>
    </row>
    <row r="27" spans="1:41" ht="16.5" x14ac:dyDescent="0.2">
      <c r="A27" s="13">
        <v>1102007</v>
      </c>
      <c r="B27" s="13" t="s">
        <v>156</v>
      </c>
      <c r="C27" s="13">
        <v>2</v>
      </c>
      <c r="D27" s="13">
        <v>4</v>
      </c>
      <c r="E27" s="13">
        <f>INDEX(新属性投放!$E$7:$E$8,卡牌属性!C27)</f>
        <v>21</v>
      </c>
      <c r="F27" s="13">
        <f>SUM(E$5:E27)</f>
        <v>483</v>
      </c>
      <c r="G27" s="14">
        <f>INDEX(新属性投放!$L$6:$L$10,卡牌属性!D27)</f>
        <v>1.3</v>
      </c>
      <c r="H27" s="13">
        <v>1</v>
      </c>
      <c r="I27" s="13">
        <v>1</v>
      </c>
      <c r="K27" s="13">
        <v>24</v>
      </c>
      <c r="L27" s="13">
        <f t="shared" si="0"/>
        <v>2</v>
      </c>
      <c r="M27" s="13">
        <f t="shared" si="1"/>
        <v>2</v>
      </c>
      <c r="N27" s="14">
        <f t="shared" si="2"/>
        <v>1101002</v>
      </c>
      <c r="O27" s="14" t="str">
        <f t="shared" si="3"/>
        <v>曹玄亮3突</v>
      </c>
      <c r="P27" s="29" t="s">
        <v>470</v>
      </c>
      <c r="Q27" s="14">
        <f t="shared" si="4"/>
        <v>1</v>
      </c>
      <c r="R27" s="14">
        <f t="shared" si="5"/>
        <v>3</v>
      </c>
      <c r="S27" s="14" t="s">
        <v>39</v>
      </c>
      <c r="T27" s="14">
        <f>ROUND(((IF(Q27=1,INDEX(新属性投放!$J$14:$J$34,卡牌属性!R27),INDEX(新属性投放!$J$42:$J$62,卡牌属性!R27)))*INDEX($G$5:$G$42,L27)+IF(Q27=1,INDEX(新属性投放!R$20:R$23,卡牌属性!M27-1),INDEX(新属性投放!R$25:R$28,卡牌属性!M27-1)))/SQRT(INDEX($I$5:$I$42,L27)),2)</f>
        <v>416.7</v>
      </c>
      <c r="U27" s="29" t="s">
        <v>178</v>
      </c>
      <c r="V27" s="14">
        <f>ROUND((IF(Q27=1,INDEX(新属性投放!$K$14:$K$34,卡牌属性!R27),INDEX(新属性投放!$K$42:$K$62,卡牌属性!R27))+IF(Q27=1,INDEX(新属性投放!S$20:S$23,卡牌属性!M27-1),INDEX(新属性投放!S$25:S$28,卡牌属性!M27-1)))*INDEX($G$5:$G$42,L27),2)</f>
        <v>170.35</v>
      </c>
      <c r="W27" s="29" t="s">
        <v>179</v>
      </c>
      <c r="X27" s="14">
        <f>ROUND((IF(Q27=1,INDEX(新属性投放!$L$14:$L$34,卡牌属性!R27),INDEX(新属性投放!$L$42:$L$62,卡牌属性!R27))*INDEX($G$5:$G$42,L27)+IF(Q27=1,INDEX(新属性投放!T$20:T$23,卡牌属性!M27-1),INDEX(新属性投放!T$25:T$28,卡牌属性!M27-1)))*SQRT(INDEX($I$5:$I$42,L27)),2)</f>
        <v>1450.1</v>
      </c>
      <c r="Y27" s="29" t="s">
        <v>177</v>
      </c>
      <c r="Z27" s="14">
        <f>ROUND(IF(Q27=1,INDEX(新属性投放!$D$14:$D$34,卡牌属性!R27),INDEX(新属性投放!$D$42:$D$62,卡牌属性!R27))*INDEX($G$5:$G$42,L27)/SQRT(INDEX($I$5:$I$42,L27)),2)</f>
        <v>25.17</v>
      </c>
      <c r="AA27" s="29" t="s">
        <v>178</v>
      </c>
      <c r="AB27" s="14">
        <f>ROUND(IF(Q27=1,INDEX(新属性投放!$E$14:$E$34,卡牌属性!R27),INDEX(新属性投放!$E$42:$E$62,卡牌属性!R27))*INDEX($G$5:$G$42,L27),2)</f>
        <v>12.59</v>
      </c>
      <c r="AC27" s="29" t="s">
        <v>179</v>
      </c>
      <c r="AD27" s="14">
        <f>ROUND(IF(Q27=1,INDEX(新属性投放!$F$14:$F$34,卡牌属性!R27),INDEX(新属性投放!$F$42:$F$62,卡牌属性!R27))*INDEX($G$5:$G$42,L27)*SQRT(INDEX($I$5:$I$42,L27)),2)</f>
        <v>75.510000000000005</v>
      </c>
      <c r="AF27" s="14">
        <f t="shared" si="6"/>
        <v>251</v>
      </c>
      <c r="AG27" s="14">
        <f t="shared" si="7"/>
        <v>125</v>
      </c>
      <c r="AH27" s="14">
        <f t="shared" si="8"/>
        <v>755</v>
      </c>
      <c r="AJ27" s="14">
        <f t="shared" si="19"/>
        <v>538</v>
      </c>
      <c r="AK27" s="14">
        <f t="shared" si="20"/>
        <v>268</v>
      </c>
      <c r="AL27" s="14">
        <f t="shared" si="21"/>
        <v>1618</v>
      </c>
    </row>
    <row r="28" spans="1:41" ht="16.5" x14ac:dyDescent="0.2">
      <c r="A28" s="13">
        <v>1102008</v>
      </c>
      <c r="B28" s="13" t="s">
        <v>157</v>
      </c>
      <c r="C28" s="13">
        <v>2</v>
      </c>
      <c r="D28" s="13">
        <v>4</v>
      </c>
      <c r="E28" s="13">
        <f>INDEX(新属性投放!$E$7:$E$8,卡牌属性!C28)</f>
        <v>21</v>
      </c>
      <c r="F28" s="13">
        <f>SUM(E$5:E28)</f>
        <v>504</v>
      </c>
      <c r="G28" s="14">
        <f>INDEX(新属性投放!$L$6:$L$10,卡牌属性!D28)</f>
        <v>1.3</v>
      </c>
      <c r="H28" s="13">
        <v>1</v>
      </c>
      <c r="I28" s="13">
        <v>1</v>
      </c>
      <c r="K28" s="13">
        <v>25</v>
      </c>
      <c r="L28" s="13">
        <f t="shared" si="0"/>
        <v>2</v>
      </c>
      <c r="M28" s="13">
        <f t="shared" si="1"/>
        <v>2</v>
      </c>
      <c r="N28" s="14">
        <f t="shared" si="2"/>
        <v>1101002</v>
      </c>
      <c r="O28" s="14" t="str">
        <f t="shared" si="3"/>
        <v>曹玄亮4突</v>
      </c>
      <c r="P28" s="29" t="s">
        <v>470</v>
      </c>
      <c r="Q28" s="14">
        <f t="shared" si="4"/>
        <v>1</v>
      </c>
      <c r="R28" s="14">
        <f t="shared" si="5"/>
        <v>4</v>
      </c>
      <c r="S28" s="14" t="s">
        <v>39</v>
      </c>
      <c r="T28" s="14">
        <f>ROUND(((IF(Q28=1,INDEX(新属性投放!$J$14:$J$34,卡牌属性!R28),INDEX(新属性投放!$J$42:$J$62,卡牌属性!R28)))*INDEX($G$5:$G$42,L28)+IF(Q28=1,INDEX(新属性投放!R$20:R$23,卡牌属性!M28-1),INDEX(新属性投放!R$25:R$28,卡牌属性!M28-1)))/SQRT(INDEX($I$5:$I$42,L28)),2)</f>
        <v>731.4</v>
      </c>
      <c r="U28" s="29" t="s">
        <v>178</v>
      </c>
      <c r="V28" s="14">
        <f>ROUND((IF(Q28=1,INDEX(新属性投放!$K$14:$K$34,卡牌属性!R28),INDEX(新属性投放!$K$42:$K$62,卡牌属性!R28))+IF(Q28=1,INDEX(新属性投放!S$20:S$23,卡牌属性!M28-1),INDEX(新属性投放!S$25:S$28,卡牌属性!M28-1)))*INDEX($G$5:$G$42,L28),2)</f>
        <v>327.2</v>
      </c>
      <c r="W28" s="29" t="s">
        <v>179</v>
      </c>
      <c r="X28" s="14">
        <f>ROUND((IF(Q28=1,INDEX(新属性投放!$L$14:$L$34,卡牌属性!R28),INDEX(新属性投放!$L$42:$L$62,卡牌属性!R28))*INDEX($G$5:$G$42,L28)+IF(Q28=1,INDEX(新属性投放!T$20:T$23,卡牌属性!M28-1),INDEX(新属性投放!T$25:T$28,卡牌属性!M28-1)))*SQRT(INDEX($I$5:$I$42,L28)),2)</f>
        <v>2394.1999999999998</v>
      </c>
      <c r="Y28" s="29" t="s">
        <v>177</v>
      </c>
      <c r="Z28" s="14">
        <f>ROUND(IF(Q28=1,INDEX(新属性投放!$D$14:$D$34,卡牌属性!R28),INDEX(新属性投放!$D$42:$D$62,卡牌属性!R28))*INDEX($G$5:$G$42,L28)/SQRT(INDEX($I$5:$I$42,L28)),2)</f>
        <v>30.13</v>
      </c>
      <c r="AA28" s="29" t="s">
        <v>178</v>
      </c>
      <c r="AB28" s="14">
        <f>ROUND(IF(Q28=1,INDEX(新属性投放!$E$14:$E$34,卡牌属性!R28),INDEX(新属性投放!$E$42:$E$62,卡牌属性!R28))*INDEX($G$5:$G$42,L28),2)</f>
        <v>15.07</v>
      </c>
      <c r="AC28" s="29" t="s">
        <v>179</v>
      </c>
      <c r="AD28" s="14">
        <f>ROUND(IF(Q28=1,INDEX(新属性投放!$F$14:$F$34,卡牌属性!R28),INDEX(新属性投放!$F$42:$F$62,卡牌属性!R28))*INDEX($G$5:$G$42,L28)*SQRT(INDEX($I$5:$I$42,L28)),2)</f>
        <v>90.39</v>
      </c>
      <c r="AF28" s="14">
        <f t="shared" si="6"/>
        <v>301</v>
      </c>
      <c r="AG28" s="14">
        <f t="shared" si="7"/>
        <v>150</v>
      </c>
      <c r="AH28" s="14">
        <f t="shared" si="8"/>
        <v>903</v>
      </c>
      <c r="AJ28" s="14">
        <f t="shared" si="19"/>
        <v>839</v>
      </c>
      <c r="AK28" s="14">
        <f t="shared" si="20"/>
        <v>418</v>
      </c>
      <c r="AL28" s="14">
        <f t="shared" si="21"/>
        <v>2521</v>
      </c>
    </row>
    <row r="29" spans="1:41" ht="16.5" x14ac:dyDescent="0.2">
      <c r="A29" s="13">
        <v>1102009</v>
      </c>
      <c r="B29" s="13" t="s">
        <v>158</v>
      </c>
      <c r="C29" s="13">
        <v>2</v>
      </c>
      <c r="D29" s="13">
        <v>4</v>
      </c>
      <c r="E29" s="13">
        <f>INDEX(新属性投放!$E$7:$E$8,卡牌属性!C29)</f>
        <v>21</v>
      </c>
      <c r="F29" s="13">
        <f>SUM(E$5:E29)</f>
        <v>525</v>
      </c>
      <c r="G29" s="14">
        <f>INDEX(新属性投放!$L$6:$L$10,卡牌属性!D29)</f>
        <v>1.3</v>
      </c>
      <c r="H29" s="13">
        <v>1</v>
      </c>
      <c r="I29" s="13">
        <v>1</v>
      </c>
      <c r="K29" s="13">
        <v>26</v>
      </c>
      <c r="L29" s="13">
        <f t="shared" si="0"/>
        <v>2</v>
      </c>
      <c r="M29" s="13">
        <f t="shared" si="1"/>
        <v>2</v>
      </c>
      <c r="N29" s="14">
        <f t="shared" si="2"/>
        <v>1101002</v>
      </c>
      <c r="O29" s="14" t="str">
        <f t="shared" si="3"/>
        <v>曹玄亮5突</v>
      </c>
      <c r="P29" s="29" t="s">
        <v>470</v>
      </c>
      <c r="Q29" s="14">
        <f t="shared" si="4"/>
        <v>1</v>
      </c>
      <c r="R29" s="14">
        <f t="shared" si="5"/>
        <v>5</v>
      </c>
      <c r="S29" s="14" t="s">
        <v>39</v>
      </c>
      <c r="T29" s="14">
        <f>ROUND(((IF(Q29=1,INDEX(新属性投放!$J$14:$J$34,卡牌属性!R29),INDEX(新属性投放!$J$42:$J$62,卡牌属性!R29)))*INDEX($G$5:$G$42,L29)+IF(Q29=1,INDEX(新属性投放!R$20:R$23,卡牌属性!M29-1),INDEX(新属性投放!R$25:R$28,卡牌属性!M29-1)))/SQRT(INDEX($I$5:$I$42,L29)),2)</f>
        <v>1107.7</v>
      </c>
      <c r="U29" s="29" t="s">
        <v>178</v>
      </c>
      <c r="V29" s="14">
        <f>ROUND((IF(Q29=1,INDEX(新属性投放!$K$14:$K$34,卡牌属性!R29),INDEX(新属性投放!$K$42:$K$62,卡牌属性!R29))+IF(Q29=1,INDEX(新属性投放!S$20:S$23,卡牌属性!M29-1),INDEX(新属性投放!S$25:S$28,卡牌属性!M29-1)))*INDEX($G$5:$G$42,L29),2)</f>
        <v>515.85</v>
      </c>
      <c r="W29" s="29" t="s">
        <v>179</v>
      </c>
      <c r="X29" s="14">
        <f>ROUND((IF(Q29=1,INDEX(新属性投放!$L$14:$L$34,卡牌属性!R29),INDEX(新属性投放!$L$42:$L$62,卡牌属性!R29))*INDEX($G$5:$G$42,L29)+IF(Q29=1,INDEX(新属性投放!T$20:T$23,卡牌属性!M29-1),INDEX(新属性投放!T$25:T$28,卡牌属性!M29-1)))*SQRT(INDEX($I$5:$I$42,L29)),2)</f>
        <v>3523.1</v>
      </c>
      <c r="Y29" s="29" t="s">
        <v>177</v>
      </c>
      <c r="Z29" s="14">
        <f>ROUND(IF(Q29=1,INDEX(新属性投放!$D$14:$D$34,卡牌属性!R29),INDEX(新属性投放!$D$42:$D$62,卡牌属性!R29))*INDEX($G$5:$G$42,L29)/SQRT(INDEX($I$5:$I$42,L29)),2)</f>
        <v>37.659999999999997</v>
      </c>
      <c r="AA29" s="29" t="s">
        <v>178</v>
      </c>
      <c r="AB29" s="14">
        <f>ROUND(IF(Q29=1,INDEX(新属性投放!$E$14:$E$34,卡牌属性!R29),INDEX(新属性投放!$E$42:$E$62,卡牌属性!R29))*INDEX($G$5:$G$42,L29),2)</f>
        <v>18.829999999999998</v>
      </c>
      <c r="AC29" s="29" t="s">
        <v>179</v>
      </c>
      <c r="AD29" s="14">
        <f>ROUND(IF(Q29=1,INDEX(新属性投放!$F$14:$F$34,卡牌属性!R29),INDEX(新属性投放!$F$42:$F$62,卡牌属性!R29))*INDEX($G$5:$G$42,L29)*SQRT(INDEX($I$5:$I$42,L29)),2)</f>
        <v>112.98</v>
      </c>
      <c r="AF29" s="14">
        <f t="shared" si="6"/>
        <v>376</v>
      </c>
      <c r="AG29" s="14">
        <f t="shared" si="7"/>
        <v>188</v>
      </c>
      <c r="AH29" s="14">
        <f t="shared" si="8"/>
        <v>1129</v>
      </c>
      <c r="AJ29" s="14">
        <f t="shared" si="19"/>
        <v>1215</v>
      </c>
      <c r="AK29" s="14">
        <f t="shared" si="20"/>
        <v>606</v>
      </c>
      <c r="AL29" s="14">
        <f t="shared" si="21"/>
        <v>3650</v>
      </c>
    </row>
    <row r="30" spans="1:41" ht="16.5" x14ac:dyDescent="0.2">
      <c r="A30" s="13">
        <v>1102010</v>
      </c>
      <c r="B30" s="13" t="s">
        <v>159</v>
      </c>
      <c r="C30" s="13">
        <v>2</v>
      </c>
      <c r="D30" s="13">
        <v>5</v>
      </c>
      <c r="E30" s="13">
        <f>INDEX(新属性投放!$E$7:$E$8,卡牌属性!C30)</f>
        <v>21</v>
      </c>
      <c r="F30" s="13">
        <f>SUM(E$5:E30)</f>
        <v>546</v>
      </c>
      <c r="G30" s="14">
        <f>INDEX(新属性投放!$L$6:$L$10,卡牌属性!D30)</f>
        <v>1.5</v>
      </c>
      <c r="H30" s="13">
        <v>1</v>
      </c>
      <c r="I30" s="13">
        <v>1</v>
      </c>
      <c r="K30" s="13">
        <v>27</v>
      </c>
      <c r="L30" s="13">
        <f t="shared" si="0"/>
        <v>2</v>
      </c>
      <c r="M30" s="13">
        <f t="shared" si="1"/>
        <v>2</v>
      </c>
      <c r="N30" s="14">
        <f t="shared" si="2"/>
        <v>1101002</v>
      </c>
      <c r="O30" s="14" t="str">
        <f t="shared" si="3"/>
        <v>曹玄亮6突</v>
      </c>
      <c r="P30" s="29" t="s">
        <v>470</v>
      </c>
      <c r="Q30" s="14">
        <f t="shared" si="4"/>
        <v>1</v>
      </c>
      <c r="R30" s="14">
        <f t="shared" si="5"/>
        <v>6</v>
      </c>
      <c r="S30" s="14" t="s">
        <v>39</v>
      </c>
      <c r="T30" s="14">
        <f>ROUND(((IF(Q30=1,INDEX(新属性投放!$J$14:$J$34,卡牌属性!R30),INDEX(新属性投放!$J$42:$J$62,卡牌属性!R30)))*INDEX($G$5:$G$42,L30)+IF(Q30=1,INDEX(新属性投放!R$20:R$23,卡牌属性!M30-1),INDEX(新属性投放!R$25:R$28,卡牌属性!M30-1)))/SQRT(INDEX($I$5:$I$42,L30)),2)</f>
        <v>1578.3</v>
      </c>
      <c r="U30" s="29" t="s">
        <v>178</v>
      </c>
      <c r="V30" s="14">
        <f>ROUND((IF(Q30=1,INDEX(新属性投放!$K$14:$K$34,卡牌属性!R30),INDEX(新属性投放!$K$42:$K$62,卡牌属性!R30))+IF(Q30=1,INDEX(新属性投放!S$20:S$23,卡牌属性!M30-1),INDEX(新属性投放!S$25:S$28,卡牌属性!M30-1)))*INDEX($G$5:$G$42,L30),2)</f>
        <v>751.15</v>
      </c>
      <c r="W30" s="29" t="s">
        <v>179</v>
      </c>
      <c r="X30" s="14">
        <f>ROUND((IF(Q30=1,INDEX(新属性投放!$L$14:$L$34,卡牌属性!R30),INDEX(新属性投放!$L$42:$L$62,卡牌属性!R30))*INDEX($G$5:$G$42,L30)+IF(Q30=1,INDEX(新属性投放!T$20:T$23,卡牌属性!M30-1),INDEX(新属性投放!T$25:T$28,卡牌属性!M30-1)))*SQRT(INDEX($I$5:$I$42,L30)),2)</f>
        <v>4934.8999999999996</v>
      </c>
      <c r="Y30" s="29" t="s">
        <v>177</v>
      </c>
      <c r="Z30" s="14">
        <f>ROUND(IF(Q30=1,INDEX(新属性投放!$D$14:$D$34,卡牌属性!R30),INDEX(新属性投放!$D$42:$D$62,卡牌属性!R30))*INDEX($G$5:$G$42,L30)/SQRT(INDEX($I$5:$I$42,L30)),2)</f>
        <v>48.85</v>
      </c>
      <c r="AA30" s="29" t="s">
        <v>178</v>
      </c>
      <c r="AB30" s="14">
        <f>ROUND(IF(Q30=1,INDEX(新属性投放!$E$14:$E$34,卡牌属性!R30),INDEX(新属性投放!$E$42:$E$62,卡牌属性!R30))*INDEX($G$5:$G$42,L30),2)</f>
        <v>24.43</v>
      </c>
      <c r="AC30" s="29" t="s">
        <v>179</v>
      </c>
      <c r="AD30" s="14">
        <f>ROUND(IF(Q30=1,INDEX(新属性投放!$F$14:$F$34,卡牌属性!R30),INDEX(新属性投放!$F$42:$F$62,卡牌属性!R30))*INDEX($G$5:$G$42,L30)*SQRT(INDEX($I$5:$I$42,L30)),2)</f>
        <v>146.55000000000001</v>
      </c>
      <c r="AF30" s="14">
        <f t="shared" si="6"/>
        <v>488</v>
      </c>
      <c r="AG30" s="14">
        <f t="shared" si="7"/>
        <v>244</v>
      </c>
      <c r="AH30" s="14">
        <f t="shared" si="8"/>
        <v>1465</v>
      </c>
      <c r="AJ30" s="14">
        <f t="shared" si="19"/>
        <v>1703</v>
      </c>
      <c r="AK30" s="14">
        <f t="shared" si="20"/>
        <v>850</v>
      </c>
      <c r="AL30" s="14">
        <f t="shared" si="21"/>
        <v>5115</v>
      </c>
    </row>
    <row r="31" spans="1:41" ht="16.5" x14ac:dyDescent="0.2">
      <c r="A31" s="13">
        <v>1102011</v>
      </c>
      <c r="B31" s="13" t="s">
        <v>160</v>
      </c>
      <c r="C31" s="13">
        <v>2</v>
      </c>
      <c r="D31" s="13">
        <v>5</v>
      </c>
      <c r="E31" s="13">
        <f>INDEX(新属性投放!$E$7:$E$8,卡牌属性!C31)</f>
        <v>21</v>
      </c>
      <c r="F31" s="13">
        <f>SUM(E$5:E31)</f>
        <v>567</v>
      </c>
      <c r="G31" s="14">
        <f>INDEX(新属性投放!$L$6:$L$10,卡牌属性!D31)</f>
        <v>1.5</v>
      </c>
      <c r="H31" s="13">
        <v>1</v>
      </c>
      <c r="I31" s="13">
        <v>1</v>
      </c>
      <c r="K31" s="13">
        <v>28</v>
      </c>
      <c r="L31" s="13">
        <f t="shared" si="0"/>
        <v>2</v>
      </c>
      <c r="M31" s="13">
        <f t="shared" si="1"/>
        <v>2</v>
      </c>
      <c r="N31" s="14">
        <f t="shared" si="2"/>
        <v>1101002</v>
      </c>
      <c r="O31" s="14" t="str">
        <f t="shared" si="3"/>
        <v>曹玄亮7突</v>
      </c>
      <c r="P31" s="29" t="s">
        <v>470</v>
      </c>
      <c r="Q31" s="14">
        <f t="shared" si="4"/>
        <v>1</v>
      </c>
      <c r="R31" s="14">
        <f t="shared" si="5"/>
        <v>7</v>
      </c>
      <c r="S31" s="14" t="s">
        <v>39</v>
      </c>
      <c r="T31" s="14">
        <f>ROUND(((IF(Q31=1,INDEX(新属性投放!$J$14:$J$34,卡牌属性!R31),INDEX(新属性投放!$J$42:$J$62,卡牌属性!R31)))*INDEX($G$5:$G$42,L31)+IF(Q31=1,INDEX(新属性投放!R$20:R$23,卡牌属性!M31-1),INDEX(新属性投放!R$25:R$28,卡牌属性!M31-1)))/SQRT(INDEX($I$5:$I$42,L31)),2)</f>
        <v>2188.8000000000002</v>
      </c>
      <c r="U31" s="29" t="s">
        <v>178</v>
      </c>
      <c r="V31" s="14">
        <f>ROUND((IF(Q31=1,INDEX(新属性投放!$K$14:$K$34,卡牌属性!R31),INDEX(新属性投放!$K$42:$K$62,卡牌属性!R31))+IF(Q31=1,INDEX(新属性投放!S$20:S$23,卡牌属性!M31-1),INDEX(新属性投放!S$25:S$28,卡牌属性!M31-1)))*INDEX($G$5:$G$42,L31),2)</f>
        <v>1056.4000000000001</v>
      </c>
      <c r="W31" s="29" t="s">
        <v>179</v>
      </c>
      <c r="X31" s="14">
        <f>ROUND((IF(Q31=1,INDEX(新属性投放!$L$14:$L$34,卡牌属性!R31),INDEX(新属性投放!$L$42:$L$62,卡牌属性!R31))*INDEX($G$5:$G$42,L31)+IF(Q31=1,INDEX(新属性投放!T$20:T$23,卡牌属性!M31-1),INDEX(新属性投放!T$25:T$28,卡牌属性!M31-1)))*SQRT(INDEX($I$5:$I$42,L31)),2)</f>
        <v>6766.4</v>
      </c>
      <c r="Y31" s="29" t="s">
        <v>177</v>
      </c>
      <c r="Z31" s="14">
        <f>ROUND(IF(Q31=1,INDEX(新属性投放!$D$14:$D$34,卡牌属性!R31),INDEX(新属性投放!$D$42:$D$62,卡牌属性!R31))*INDEX($G$5:$G$42,L31)/SQRT(INDEX($I$5:$I$42,L31)),2)</f>
        <v>60.19</v>
      </c>
      <c r="AA31" s="29" t="s">
        <v>178</v>
      </c>
      <c r="AB31" s="14">
        <f>ROUND(IF(Q31=1,INDEX(新属性投放!$E$14:$E$34,卡牌属性!R31),INDEX(新属性投放!$E$42:$E$62,卡牌属性!R31))*INDEX($G$5:$G$42,L31),2)</f>
        <v>30.1</v>
      </c>
      <c r="AC31" s="29" t="s">
        <v>179</v>
      </c>
      <c r="AD31" s="14">
        <f>ROUND(IF(Q31=1,INDEX(新属性投放!$F$14:$F$34,卡牌属性!R31),INDEX(新属性投放!$F$42:$F$62,卡牌属性!R31))*INDEX($G$5:$G$42,L31)*SQRT(INDEX($I$5:$I$42,L31)),2)</f>
        <v>180.57</v>
      </c>
      <c r="AF31" s="14">
        <f t="shared" si="6"/>
        <v>601</v>
      </c>
      <c r="AG31" s="14">
        <f t="shared" si="7"/>
        <v>301</v>
      </c>
      <c r="AH31" s="14">
        <f t="shared" si="8"/>
        <v>1805</v>
      </c>
      <c r="AJ31" s="14">
        <f t="shared" si="19"/>
        <v>2304</v>
      </c>
      <c r="AK31" s="14">
        <f t="shared" si="20"/>
        <v>1151</v>
      </c>
      <c r="AL31" s="14">
        <f t="shared" si="21"/>
        <v>6920</v>
      </c>
    </row>
    <row r="32" spans="1:41" ht="16.5" x14ac:dyDescent="0.2">
      <c r="A32" s="13">
        <v>1102012</v>
      </c>
      <c r="B32" s="13" t="s">
        <v>161</v>
      </c>
      <c r="C32" s="13">
        <v>2</v>
      </c>
      <c r="D32" s="13">
        <v>5</v>
      </c>
      <c r="E32" s="13">
        <f>INDEX(新属性投放!$E$7:$E$8,卡牌属性!C32)</f>
        <v>21</v>
      </c>
      <c r="F32" s="13">
        <f>SUM(E$5:E32)</f>
        <v>588</v>
      </c>
      <c r="G32" s="14">
        <f>INDEX(新属性投放!$L$6:$L$10,卡牌属性!D32)</f>
        <v>1.5</v>
      </c>
      <c r="H32" s="13">
        <v>1</v>
      </c>
      <c r="I32" s="13">
        <v>1</v>
      </c>
      <c r="K32" s="13">
        <v>29</v>
      </c>
      <c r="L32" s="13">
        <f t="shared" si="0"/>
        <v>2</v>
      </c>
      <c r="M32" s="13">
        <f t="shared" si="1"/>
        <v>2</v>
      </c>
      <c r="N32" s="14">
        <f t="shared" si="2"/>
        <v>1101002</v>
      </c>
      <c r="O32" s="14" t="str">
        <f t="shared" si="3"/>
        <v>曹玄亮8突</v>
      </c>
      <c r="P32" s="29" t="s">
        <v>470</v>
      </c>
      <c r="Q32" s="14">
        <f t="shared" si="4"/>
        <v>1</v>
      </c>
      <c r="R32" s="14">
        <f t="shared" si="5"/>
        <v>8</v>
      </c>
      <c r="S32" s="14" t="s">
        <v>39</v>
      </c>
      <c r="T32" s="14">
        <f>ROUND(((IF(Q32=1,INDEX(新属性投放!$J$14:$J$34,卡牌属性!R32),INDEX(新属性投放!$J$42:$J$62,卡牌属性!R32)))*INDEX($G$5:$G$42,L32)+IF(Q32=1,INDEX(新属性投放!R$20:R$23,卡牌属性!M32-1),INDEX(新属性投放!R$25:R$28,卡牌属性!M32-1)))/SQRT(INDEX($I$5:$I$42,L32)),2)</f>
        <v>2940.7</v>
      </c>
      <c r="U32" s="29" t="s">
        <v>178</v>
      </c>
      <c r="V32" s="14">
        <f>ROUND((IF(Q32=1,INDEX(新属性投放!$K$14:$K$34,卡牌属性!R32),INDEX(新属性投放!$K$42:$K$62,卡牌属性!R32))+IF(Q32=1,INDEX(新属性投放!S$20:S$23,卡牌属性!M32-1),INDEX(新属性投放!S$25:S$28,卡牌属性!M32-1)))*INDEX($G$5:$G$42,L32),2)</f>
        <v>1432.35</v>
      </c>
      <c r="W32" s="29" t="s">
        <v>179</v>
      </c>
      <c r="X32" s="14">
        <f>ROUND((IF(Q32=1,INDEX(新属性投放!$L$14:$L$34,卡牌属性!R32),INDEX(新属性投放!$L$42:$L$62,卡牌属性!R32))*INDEX($G$5:$G$42,L32)+IF(Q32=1,INDEX(新属性投放!T$20:T$23,卡牌属性!M32-1),INDEX(新属性投放!T$25:T$28,卡牌属性!M32-1)))*SQRT(INDEX($I$5:$I$42,L32)),2)</f>
        <v>9022.1</v>
      </c>
      <c r="Y32" s="29" t="s">
        <v>177</v>
      </c>
      <c r="Z32" s="14">
        <f>ROUND(IF(Q32=1,INDEX(新属性投放!$D$14:$D$34,卡牌属性!R32),INDEX(新属性投放!$D$42:$D$62,卡牌属性!R32))*INDEX($G$5:$G$42,L32)/SQRT(INDEX($I$5:$I$42,L32)),2)</f>
        <v>75.19</v>
      </c>
      <c r="AA32" s="29" t="s">
        <v>178</v>
      </c>
      <c r="AB32" s="14">
        <f>ROUND(IF(Q32=1,INDEX(新属性投放!$E$14:$E$34,卡牌属性!R32),INDEX(新属性投放!$E$42:$E$62,卡牌属性!R32))*INDEX($G$5:$G$42,L32),2)</f>
        <v>37.6</v>
      </c>
      <c r="AC32" s="29" t="s">
        <v>179</v>
      </c>
      <c r="AD32" s="14">
        <f>ROUND(IF(Q32=1,INDEX(新属性投放!$F$14:$F$34,卡牌属性!R32),INDEX(新属性投放!$F$42:$F$62,卡牌属性!R32))*INDEX($G$5:$G$42,L32)*SQRT(INDEX($I$5:$I$42,L32)),2)</f>
        <v>225.57</v>
      </c>
      <c r="AF32" s="14">
        <f t="shared" si="6"/>
        <v>751</v>
      </c>
      <c r="AG32" s="14">
        <f t="shared" si="7"/>
        <v>376</v>
      </c>
      <c r="AH32" s="14">
        <f t="shared" si="8"/>
        <v>2255</v>
      </c>
      <c r="AJ32" s="14">
        <f t="shared" si="19"/>
        <v>3055</v>
      </c>
      <c r="AK32" s="14">
        <f t="shared" si="20"/>
        <v>1527</v>
      </c>
      <c r="AL32" s="14">
        <f t="shared" si="21"/>
        <v>9175</v>
      </c>
    </row>
    <row r="33" spans="1:38" ht="16.5" x14ac:dyDescent="0.2">
      <c r="A33" s="13">
        <v>1102013</v>
      </c>
      <c r="B33" s="13" t="s">
        <v>162</v>
      </c>
      <c r="C33" s="13">
        <v>2</v>
      </c>
      <c r="D33" s="13">
        <v>2</v>
      </c>
      <c r="E33" s="13">
        <f>INDEX(新属性投放!$E$7:$E$8,卡牌属性!C33)</f>
        <v>21</v>
      </c>
      <c r="F33" s="13">
        <f>SUM(E$5:E33)</f>
        <v>609</v>
      </c>
      <c r="G33" s="14">
        <f>INDEX(新属性投放!$L$6:$L$10,卡牌属性!D33)</f>
        <v>1</v>
      </c>
      <c r="H33" s="13">
        <v>1</v>
      </c>
      <c r="I33" s="13">
        <v>1</v>
      </c>
      <c r="K33" s="13">
        <v>30</v>
      </c>
      <c r="L33" s="13">
        <f t="shared" si="0"/>
        <v>2</v>
      </c>
      <c r="M33" s="13">
        <f t="shared" si="1"/>
        <v>2</v>
      </c>
      <c r="N33" s="14">
        <f t="shared" si="2"/>
        <v>1101002</v>
      </c>
      <c r="O33" s="14" t="str">
        <f t="shared" si="3"/>
        <v>曹玄亮9突</v>
      </c>
      <c r="P33" s="29" t="s">
        <v>470</v>
      </c>
      <c r="Q33" s="14">
        <f t="shared" si="4"/>
        <v>1</v>
      </c>
      <c r="R33" s="14">
        <f t="shared" si="5"/>
        <v>9</v>
      </c>
      <c r="S33" s="14" t="s">
        <v>39</v>
      </c>
      <c r="T33" s="14">
        <f>ROUND(((IF(Q33=1,INDEX(新属性投放!$J$14:$J$34,卡牌属性!R33),INDEX(新属性投放!$J$42:$J$62,卡牌属性!R33)))*INDEX($G$5:$G$42,L33)+IF(Q33=1,INDEX(新属性投放!R$20:R$23,卡牌属性!M33-1),INDEX(新属性投放!R$25:R$28,卡牌属性!M33-1)))/SQRT(INDEX($I$5:$I$42,L33)),2)</f>
        <v>3880.6</v>
      </c>
      <c r="U33" s="29" t="s">
        <v>178</v>
      </c>
      <c r="V33" s="14">
        <f>ROUND((IF(Q33=1,INDEX(新属性投放!$K$14:$K$34,卡牌属性!R33),INDEX(新属性投放!$K$42:$K$62,卡牌属性!R33))+IF(Q33=1,INDEX(新属性投放!S$20:S$23,卡牌属性!M33-1),INDEX(新属性投放!S$25:S$28,卡牌属性!M33-1)))*INDEX($G$5:$G$42,L33),2)</f>
        <v>1902.3</v>
      </c>
      <c r="W33" s="29" t="s">
        <v>179</v>
      </c>
      <c r="X33" s="14">
        <f>ROUND((IF(Q33=1,INDEX(新属性投放!$L$14:$L$34,卡牌属性!R33),INDEX(新属性投放!$L$42:$L$62,卡牌属性!R33))*INDEX($G$5:$G$42,L33)+IF(Q33=1,INDEX(新属性投放!T$20:T$23,卡牌属性!M33-1),INDEX(新属性投放!T$25:T$28,卡牌属性!M33-1)))*SQRT(INDEX($I$5:$I$42,L33)),2)</f>
        <v>11841.8</v>
      </c>
      <c r="Y33" s="29" t="s">
        <v>177</v>
      </c>
      <c r="Z33" s="14">
        <f>ROUND(IF(Q33=1,INDEX(新属性投放!$D$14:$D$34,卡牌属性!R33),INDEX(新属性投放!$D$42:$D$62,卡牌属性!R33))*INDEX($G$5:$G$42,L33)/SQRT(INDEX($I$5:$I$42,L33)),2)</f>
        <v>97.79</v>
      </c>
      <c r="AA33" s="29" t="s">
        <v>178</v>
      </c>
      <c r="AB33" s="14">
        <f>ROUND(IF(Q33=1,INDEX(新属性投放!$E$14:$E$34,卡牌属性!R33),INDEX(新属性投放!$E$42:$E$62,卡牌属性!R33))*INDEX($G$5:$G$42,L33),2)</f>
        <v>48.9</v>
      </c>
      <c r="AC33" s="29" t="s">
        <v>179</v>
      </c>
      <c r="AD33" s="14">
        <f>ROUND(IF(Q33=1,INDEX(新属性投放!$F$14:$F$34,卡牌属性!R33),INDEX(新属性投放!$F$42:$F$62,卡牌属性!R33))*INDEX($G$5:$G$42,L33)*SQRT(INDEX($I$5:$I$42,L33)),2)</f>
        <v>293.37</v>
      </c>
      <c r="AF33" s="14">
        <f t="shared" si="6"/>
        <v>977</v>
      </c>
      <c r="AG33" s="14">
        <f t="shared" si="7"/>
        <v>489</v>
      </c>
      <c r="AH33" s="14">
        <f t="shared" si="8"/>
        <v>2933</v>
      </c>
      <c r="AJ33" s="14">
        <f t="shared" si="19"/>
        <v>4032</v>
      </c>
      <c r="AK33" s="14">
        <f t="shared" si="20"/>
        <v>2016</v>
      </c>
      <c r="AL33" s="14">
        <f t="shared" si="21"/>
        <v>12108</v>
      </c>
    </row>
    <row r="34" spans="1:38" ht="16.5" x14ac:dyDescent="0.2">
      <c r="A34" s="13">
        <v>1102014</v>
      </c>
      <c r="B34" s="13" t="s">
        <v>163</v>
      </c>
      <c r="C34" s="13">
        <v>2</v>
      </c>
      <c r="D34" s="13">
        <v>4</v>
      </c>
      <c r="E34" s="13">
        <f>INDEX(新属性投放!$E$7:$E$8,卡牌属性!C34)</f>
        <v>21</v>
      </c>
      <c r="F34" s="13">
        <f>SUM(E$5:E34)</f>
        <v>630</v>
      </c>
      <c r="G34" s="14">
        <f>INDEX(新属性投放!$L$6:$L$10,卡牌属性!D34)</f>
        <v>1.3</v>
      </c>
      <c r="H34" s="13">
        <v>1</v>
      </c>
      <c r="I34" s="13">
        <v>1</v>
      </c>
      <c r="K34" s="13">
        <v>31</v>
      </c>
      <c r="L34" s="13">
        <f t="shared" si="0"/>
        <v>2</v>
      </c>
      <c r="M34" s="13">
        <f t="shared" si="1"/>
        <v>2</v>
      </c>
      <c r="N34" s="14">
        <f t="shared" si="2"/>
        <v>1101002</v>
      </c>
      <c r="O34" s="14" t="str">
        <f t="shared" si="3"/>
        <v>曹玄亮10突</v>
      </c>
      <c r="P34" s="29" t="s">
        <v>470</v>
      </c>
      <c r="Q34" s="14">
        <f t="shared" si="4"/>
        <v>1</v>
      </c>
      <c r="R34" s="14">
        <f t="shared" si="5"/>
        <v>10</v>
      </c>
      <c r="S34" s="14" t="s">
        <v>39</v>
      </c>
      <c r="T34" s="14">
        <f>ROUND(((IF(Q34=1,INDEX(新属性投放!$J$14:$J$34,卡牌属性!R34),INDEX(新属性投放!$J$42:$J$62,卡牌属性!R34)))*INDEX($G$5:$G$42,L34)+IF(Q34=1,INDEX(新属性投放!R$20:R$23,卡牌属性!M34-1),INDEX(新属性投放!R$25:R$28,卡牌属性!M34-1)))/SQRT(INDEX($I$5:$I$42,L34)),2)</f>
        <v>4491.55</v>
      </c>
      <c r="U34" s="29" t="s">
        <v>178</v>
      </c>
      <c r="V34" s="14">
        <f>ROUND((IF(Q34=1,INDEX(新属性投放!$K$14:$K$34,卡牌属性!R34),INDEX(新属性投放!$K$42:$K$62,卡牌属性!R34))+IF(Q34=1,INDEX(新属性投放!S$20:S$23,卡牌属性!M34-1),INDEX(新属性投放!S$25:S$28,卡牌属性!M34-1)))*INDEX($G$5:$G$42,L34),2)</f>
        <v>2207.7800000000002</v>
      </c>
      <c r="W34" s="29" t="s">
        <v>179</v>
      </c>
      <c r="X34" s="14">
        <f>ROUND((IF(Q34=1,INDEX(新属性投放!$L$14:$L$34,卡牌属性!R34),INDEX(新属性投放!$L$42:$L$62,卡牌属性!R34))*INDEX($G$5:$G$42,L34)+IF(Q34=1,INDEX(新属性投放!T$20:T$23,卡牌属性!M34-1),INDEX(新属性投放!T$25:T$28,卡牌属性!M34-1)))*SQRT(INDEX($I$5:$I$42,L34)),2)</f>
        <v>13674.65</v>
      </c>
      <c r="Y34" s="29" t="s">
        <v>177</v>
      </c>
      <c r="Z34" s="14">
        <f>ROUND(IF(Q34=1,INDEX(新属性投放!$D$14:$D$34,卡牌属性!R34),INDEX(新属性投放!$D$42:$D$62,卡牌属性!R34))*INDEX($G$5:$G$42,L34)/SQRT(INDEX($I$5:$I$42,L34)),2)</f>
        <v>112.83</v>
      </c>
      <c r="AA34" s="29" t="s">
        <v>178</v>
      </c>
      <c r="AB34" s="14">
        <f>ROUND(IF(Q34=1,INDEX(新属性投放!$E$14:$E$34,卡牌属性!R34),INDEX(新属性投放!$E$42:$E$62,卡牌属性!R34))*INDEX($G$5:$G$42,L34),2)</f>
        <v>56.42</v>
      </c>
      <c r="AC34" s="29" t="s">
        <v>179</v>
      </c>
      <c r="AD34" s="14">
        <f>ROUND(IF(Q34=1,INDEX(新属性投放!$F$14:$F$34,卡牌属性!R34),INDEX(新属性投放!$F$42:$F$62,卡牌属性!R34))*INDEX($G$5:$G$42,L34)*SQRT(INDEX($I$5:$I$42,L34)),2)</f>
        <v>338.49</v>
      </c>
      <c r="AF34" s="14">
        <f t="shared" si="6"/>
        <v>1128</v>
      </c>
      <c r="AG34" s="14">
        <f t="shared" si="7"/>
        <v>564</v>
      </c>
      <c r="AH34" s="14">
        <f t="shared" si="8"/>
        <v>3384</v>
      </c>
      <c r="AJ34" s="14">
        <f t="shared" si="19"/>
        <v>5160</v>
      </c>
      <c r="AK34" s="14">
        <f t="shared" si="20"/>
        <v>2580</v>
      </c>
      <c r="AL34" s="14">
        <f t="shared" si="21"/>
        <v>15492</v>
      </c>
    </row>
    <row r="35" spans="1:38" ht="16.5" x14ac:dyDescent="0.2">
      <c r="A35" s="13">
        <v>1102015</v>
      </c>
      <c r="B35" s="13" t="s">
        <v>164</v>
      </c>
      <c r="C35" s="13">
        <v>2</v>
      </c>
      <c r="D35" s="13">
        <v>2</v>
      </c>
      <c r="E35" s="13">
        <f>INDEX(新属性投放!$E$7:$E$8,卡牌属性!C35)</f>
        <v>21</v>
      </c>
      <c r="F35" s="13">
        <f>SUM(E$5:E35)</f>
        <v>651</v>
      </c>
      <c r="G35" s="14">
        <f>INDEX(新属性投放!$L$6:$L$10,卡牌属性!D35)</f>
        <v>1</v>
      </c>
      <c r="H35" s="13">
        <v>1</v>
      </c>
      <c r="I35" s="13">
        <v>1</v>
      </c>
      <c r="K35" s="13">
        <v>32</v>
      </c>
      <c r="L35" s="13">
        <f t="shared" si="0"/>
        <v>2</v>
      </c>
      <c r="M35" s="13">
        <f t="shared" si="1"/>
        <v>2</v>
      </c>
      <c r="N35" s="14">
        <f t="shared" si="2"/>
        <v>1101002</v>
      </c>
      <c r="O35" s="14" t="str">
        <f t="shared" si="3"/>
        <v>曹玄亮11突</v>
      </c>
      <c r="P35" s="29" t="s">
        <v>470</v>
      </c>
      <c r="Q35" s="14">
        <f t="shared" si="4"/>
        <v>1</v>
      </c>
      <c r="R35" s="14">
        <f t="shared" si="5"/>
        <v>11</v>
      </c>
      <c r="S35" s="14" t="s">
        <v>39</v>
      </c>
      <c r="T35" s="14">
        <f>ROUND(((IF(Q35=1,INDEX(新属性投放!$J$14:$J$34,卡牌属性!R35),INDEX(新属性投放!$J$42:$J$62,卡牌属性!R35)))*INDEX($G$5:$G$42,L35)+IF(Q35=1,INDEX(新属性投放!R$20:R$23,卡牌属性!M35-1),INDEX(新属性投放!R$25:R$28,卡牌属性!M35-1)))/SQRT(INDEX($I$5:$I$42,L35)),2)</f>
        <v>5196.7</v>
      </c>
      <c r="U35" s="29" t="s">
        <v>178</v>
      </c>
      <c r="V35" s="14">
        <f>ROUND((IF(Q35=1,INDEX(新属性投放!$K$14:$K$34,卡牌属性!R35),INDEX(新属性投放!$K$42:$K$62,卡牌属性!R35))+IF(Q35=1,INDEX(新属性投放!S$20:S$23,卡牌属性!M35-1),INDEX(新属性投放!S$25:S$28,卡牌属性!M35-1)))*INDEX($G$5:$G$42,L35),2)</f>
        <v>2560.85</v>
      </c>
      <c r="W35" s="29" t="s">
        <v>179</v>
      </c>
      <c r="X35" s="14">
        <f>ROUND((IF(Q35=1,INDEX(新属性投放!$L$14:$L$34,卡牌属性!R35),INDEX(新属性投放!$L$42:$L$62,卡牌属性!R35))*INDEX($G$5:$G$42,L35)+IF(Q35=1,INDEX(新属性投放!T$20:T$23,卡牌属性!M35-1),INDEX(新属性投放!T$25:T$28,卡牌属性!M35-1)))*SQRT(INDEX($I$5:$I$42,L35)),2)</f>
        <v>15790.1</v>
      </c>
      <c r="Y35" s="29" t="s">
        <v>177</v>
      </c>
      <c r="Z35" s="14">
        <f>ROUND(IF(Q35=1,INDEX(新属性投放!$D$14:$D$34,卡牌属性!R35),INDEX(新属性投放!$D$42:$D$62,卡牌属性!R35))*INDEX($G$5:$G$42,L35)/SQRT(INDEX($I$5:$I$42,L35)),2)</f>
        <v>131.58000000000001</v>
      </c>
      <c r="AA35" s="29" t="s">
        <v>178</v>
      </c>
      <c r="AB35" s="14">
        <f>ROUND(IF(Q35=1,INDEX(新属性投放!$E$14:$E$34,卡牌属性!R35),INDEX(新属性投放!$E$42:$E$62,卡牌属性!R35))*INDEX($G$5:$G$42,L35),2)</f>
        <v>65.790000000000006</v>
      </c>
      <c r="AC35" s="29" t="s">
        <v>179</v>
      </c>
      <c r="AD35" s="14">
        <f>ROUND(IF(Q35=1,INDEX(新属性投放!$F$14:$F$34,卡牌属性!R35),INDEX(新属性投放!$F$42:$F$62,卡牌属性!R35))*INDEX($G$5:$G$42,L35)*SQRT(INDEX($I$5:$I$42,L35)),2)</f>
        <v>394.74</v>
      </c>
      <c r="AF35" s="14">
        <f t="shared" si="6"/>
        <v>1315</v>
      </c>
      <c r="AG35" s="14">
        <f t="shared" si="7"/>
        <v>657</v>
      </c>
      <c r="AH35" s="14">
        <f t="shared" si="8"/>
        <v>3947</v>
      </c>
      <c r="AJ35" s="14">
        <f t="shared" si="19"/>
        <v>6475</v>
      </c>
      <c r="AK35" s="14">
        <f t="shared" si="20"/>
        <v>3237</v>
      </c>
      <c r="AL35" s="14">
        <f t="shared" si="21"/>
        <v>19439</v>
      </c>
    </row>
    <row r="36" spans="1:38" ht="16.5" x14ac:dyDescent="0.2">
      <c r="A36" s="13">
        <v>1102016</v>
      </c>
      <c r="B36" s="13" t="s">
        <v>165</v>
      </c>
      <c r="C36" s="13">
        <v>2</v>
      </c>
      <c r="D36" s="13">
        <v>5</v>
      </c>
      <c r="E36" s="13">
        <f>INDEX(新属性投放!$E$7:$E$8,卡牌属性!C36)</f>
        <v>21</v>
      </c>
      <c r="F36" s="13">
        <f>SUM(E$5:E36)</f>
        <v>672</v>
      </c>
      <c r="G36" s="14">
        <f>INDEX(新属性投放!$L$6:$L$10,卡牌属性!D36)</f>
        <v>1.5</v>
      </c>
      <c r="H36" s="13">
        <v>1</v>
      </c>
      <c r="I36" s="13">
        <v>1</v>
      </c>
      <c r="K36" s="13">
        <v>33</v>
      </c>
      <c r="L36" s="13">
        <f t="shared" si="0"/>
        <v>2</v>
      </c>
      <c r="M36" s="13">
        <f t="shared" si="1"/>
        <v>2</v>
      </c>
      <c r="N36" s="14">
        <f t="shared" si="2"/>
        <v>1101002</v>
      </c>
      <c r="O36" s="14" t="str">
        <f t="shared" si="3"/>
        <v>曹玄亮12突</v>
      </c>
      <c r="P36" s="29" t="s">
        <v>470</v>
      </c>
      <c r="Q36" s="14">
        <f t="shared" si="4"/>
        <v>1</v>
      </c>
      <c r="R36" s="14">
        <f t="shared" si="5"/>
        <v>12</v>
      </c>
      <c r="S36" s="14" t="s">
        <v>39</v>
      </c>
      <c r="T36" s="14">
        <f>ROUND(((IF(Q36=1,INDEX(新属性投放!$J$14:$J$34,卡牌属性!R36),INDEX(新属性投放!$J$42:$J$62,卡牌属性!R36)))*INDEX($G$5:$G$42,L36)+IF(Q36=1,INDEX(新属性投放!R$20:R$23,卡牌属性!M36-1),INDEX(新属性投放!R$25:R$28,卡牌属性!M36-1)))/SQRT(INDEX($I$5:$I$42,L36)),2)</f>
        <v>6018.6</v>
      </c>
      <c r="U36" s="29" t="s">
        <v>178</v>
      </c>
      <c r="V36" s="14">
        <f>ROUND((IF(Q36=1,INDEX(新属性投放!$K$14:$K$34,卡牌属性!R36),INDEX(新属性投放!$K$42:$K$62,卡牌属性!R36))+IF(Q36=1,INDEX(新属性投放!S$20:S$23,卡牌属性!M36-1),INDEX(新属性投放!S$25:S$28,卡牌属性!M36-1)))*INDEX($G$5:$G$42,L36),2)</f>
        <v>2971.8</v>
      </c>
      <c r="W36" s="29" t="s">
        <v>179</v>
      </c>
      <c r="X36" s="14">
        <f>ROUND((IF(Q36=1,INDEX(新属性投放!$L$14:$L$34,卡牌属性!R36),INDEX(新属性投放!$L$42:$L$62,卡牌属性!R36))*INDEX($G$5:$G$42,L36)+IF(Q36=1,INDEX(新属性投放!T$20:T$23,卡牌属性!M36-1),INDEX(新属性投放!T$25:T$28,卡牌属性!M36-1)))*SQRT(INDEX($I$5:$I$42,L36)),2)</f>
        <v>18255.8</v>
      </c>
      <c r="Y36" s="29" t="s">
        <v>177</v>
      </c>
      <c r="Z36" s="14">
        <f>ROUND(IF(Q36=1,INDEX(新属性投放!$D$14:$D$34,卡牌属性!R36),INDEX(新属性投放!$D$42:$D$62,卡牌属性!R36))*INDEX($G$5:$G$42,L36)/SQRT(INDEX($I$5:$I$42,L36)),2)</f>
        <v>150.47</v>
      </c>
      <c r="AA36" s="29" t="s">
        <v>178</v>
      </c>
      <c r="AB36" s="14">
        <f>ROUND(IF(Q36=1,INDEX(新属性投放!$E$14:$E$34,卡牌属性!R36),INDEX(新属性投放!$E$42:$E$62,卡牌属性!R36))*INDEX($G$5:$G$42,L36),2)</f>
        <v>75.239999999999995</v>
      </c>
      <c r="AC36" s="29" t="s">
        <v>179</v>
      </c>
      <c r="AD36" s="14">
        <f>ROUND(IF(Q36=1,INDEX(新属性投放!$F$14:$F$34,卡牌属性!R36),INDEX(新属性投放!$F$42:$F$62,卡牌属性!R36))*INDEX($G$5:$G$42,L36)*SQRT(INDEX($I$5:$I$42,L36)),2)</f>
        <v>451.41</v>
      </c>
      <c r="AF36" s="14">
        <f t="shared" si="6"/>
        <v>1504</v>
      </c>
      <c r="AG36" s="14">
        <f t="shared" si="7"/>
        <v>752</v>
      </c>
      <c r="AH36" s="14">
        <f t="shared" si="8"/>
        <v>4514</v>
      </c>
      <c r="AJ36" s="14">
        <f t="shared" si="19"/>
        <v>7979</v>
      </c>
      <c r="AK36" s="14">
        <f t="shared" si="20"/>
        <v>3989</v>
      </c>
      <c r="AL36" s="14">
        <f t="shared" si="21"/>
        <v>23953</v>
      </c>
    </row>
    <row r="37" spans="1:38" ht="16.5" x14ac:dyDescent="0.2">
      <c r="A37" s="13">
        <v>1102017</v>
      </c>
      <c r="B37" s="13" t="s">
        <v>166</v>
      </c>
      <c r="C37" s="13">
        <v>2</v>
      </c>
      <c r="D37" s="13">
        <v>4</v>
      </c>
      <c r="E37" s="13">
        <f>INDEX(新属性投放!$E$7:$E$8,卡牌属性!C37)</f>
        <v>21</v>
      </c>
      <c r="F37" s="13">
        <f>SUM(E$5:E37)</f>
        <v>693</v>
      </c>
      <c r="G37" s="14">
        <f>INDEX(新属性投放!$L$6:$L$10,卡牌属性!D37)</f>
        <v>1.3</v>
      </c>
      <c r="H37" s="13">
        <v>1</v>
      </c>
      <c r="I37" s="13">
        <v>1</v>
      </c>
      <c r="K37" s="13">
        <v>34</v>
      </c>
      <c r="L37" s="13">
        <f t="shared" si="0"/>
        <v>2</v>
      </c>
      <c r="M37" s="13">
        <f t="shared" si="1"/>
        <v>2</v>
      </c>
      <c r="N37" s="14">
        <f t="shared" si="2"/>
        <v>1101002</v>
      </c>
      <c r="O37" s="14" t="str">
        <f t="shared" si="3"/>
        <v>曹玄亮13突</v>
      </c>
      <c r="P37" s="29" t="s">
        <v>470</v>
      </c>
      <c r="Q37" s="14">
        <f t="shared" si="4"/>
        <v>1</v>
      </c>
      <c r="R37" s="14">
        <f t="shared" si="5"/>
        <v>13</v>
      </c>
      <c r="S37" s="14" t="s">
        <v>39</v>
      </c>
      <c r="T37" s="14">
        <f>ROUND(((IF(Q37=1,INDEX(新属性投放!$J$14:$J$34,卡牌属性!R37),INDEX(新属性投放!$J$42:$J$62,卡牌属性!R37)))*INDEX($G$5:$G$42,L37)+IF(Q37=1,INDEX(新属性投放!R$20:R$23,卡牌属性!M37-1),INDEX(新属性投放!R$25:R$28,卡牌属性!M37-1)))/SQRT(INDEX($I$5:$I$42,L37)),2)</f>
        <v>6958.95</v>
      </c>
      <c r="U37" s="29" t="s">
        <v>178</v>
      </c>
      <c r="V37" s="14">
        <f>ROUND((IF(Q37=1,INDEX(新属性投放!$K$14:$K$34,卡牌属性!R37),INDEX(新属性投放!$K$42:$K$62,卡牌属性!R37))+IF(Q37=1,INDEX(新属性投放!S$20:S$23,卡牌属性!M37-1),INDEX(新属性投放!S$25:S$28,卡牌属性!M37-1)))*INDEX($G$5:$G$42,L37),2)</f>
        <v>3441.98</v>
      </c>
      <c r="W37" s="29" t="s">
        <v>179</v>
      </c>
      <c r="X37" s="14">
        <f>ROUND((IF(Q37=1,INDEX(新属性投放!$L$14:$L$34,卡牌属性!R37),INDEX(新属性投放!$L$42:$L$62,卡牌属性!R37))*INDEX($G$5:$G$42,L37)+IF(Q37=1,INDEX(新属性投放!T$20:T$23,卡牌属性!M37-1),INDEX(新属性投放!T$25:T$28,卡牌属性!M37-1)))*SQRT(INDEX($I$5:$I$42,L37)),2)</f>
        <v>21076.85</v>
      </c>
      <c r="Y37" s="29" t="s">
        <v>177</v>
      </c>
      <c r="Z37" s="14">
        <f>ROUND(IF(Q37=1,INDEX(新属性投放!$D$14:$D$34,卡牌属性!R37),INDEX(新属性投放!$D$42:$D$62,卡牌属性!R37))*INDEX($G$5:$G$42,L37)/SQRT(INDEX($I$5:$I$42,L37)),2)</f>
        <v>173.97</v>
      </c>
      <c r="AA37" s="29" t="s">
        <v>178</v>
      </c>
      <c r="AB37" s="14">
        <f>ROUND(IF(Q37=1,INDEX(新属性投放!$E$14:$E$34,卡牌属性!R37),INDEX(新属性投放!$E$42:$E$62,卡牌属性!R37))*INDEX($G$5:$G$42,L37),2)</f>
        <v>86.99</v>
      </c>
      <c r="AC37" s="29" t="s">
        <v>179</v>
      </c>
      <c r="AD37" s="14">
        <f>ROUND(IF(Q37=1,INDEX(新属性投放!$F$14:$F$34,卡牌属性!R37),INDEX(新属性投放!$F$42:$F$62,卡牌属性!R37))*INDEX($G$5:$G$42,L37)*SQRT(INDEX($I$5:$I$42,L37)),2)</f>
        <v>521.91</v>
      </c>
      <c r="AF37" s="14">
        <f t="shared" si="6"/>
        <v>1739</v>
      </c>
      <c r="AG37" s="14">
        <f t="shared" si="7"/>
        <v>869</v>
      </c>
      <c r="AH37" s="14">
        <f t="shared" si="8"/>
        <v>5219</v>
      </c>
      <c r="AJ37" s="14">
        <f t="shared" si="19"/>
        <v>9718</v>
      </c>
      <c r="AK37" s="14">
        <f t="shared" si="20"/>
        <v>4858</v>
      </c>
      <c r="AL37" s="14">
        <f t="shared" si="21"/>
        <v>29172</v>
      </c>
    </row>
    <row r="38" spans="1:38" ht="16.5" x14ac:dyDescent="0.2">
      <c r="A38" s="13">
        <v>1102018</v>
      </c>
      <c r="B38" s="13" t="s">
        <v>167</v>
      </c>
      <c r="C38" s="13">
        <v>2</v>
      </c>
      <c r="D38" s="13">
        <v>2</v>
      </c>
      <c r="E38" s="13">
        <f>INDEX(新属性投放!$E$7:$E$8,卡牌属性!C38)</f>
        <v>21</v>
      </c>
      <c r="F38" s="13">
        <f>SUM(E$5:E38)</f>
        <v>714</v>
      </c>
      <c r="G38" s="14">
        <f>INDEX(新属性投放!$L$6:$L$10,卡牌属性!D38)</f>
        <v>1</v>
      </c>
      <c r="H38" s="13">
        <v>1</v>
      </c>
      <c r="I38" s="13">
        <v>1</v>
      </c>
      <c r="K38" s="13">
        <v>35</v>
      </c>
      <c r="L38" s="13">
        <f t="shared" si="0"/>
        <v>2</v>
      </c>
      <c r="M38" s="13">
        <f t="shared" si="1"/>
        <v>2</v>
      </c>
      <c r="N38" s="14">
        <f t="shared" si="2"/>
        <v>1101002</v>
      </c>
      <c r="O38" s="14" t="str">
        <f t="shared" si="3"/>
        <v>曹玄亮14突</v>
      </c>
      <c r="P38" s="29" t="s">
        <v>470</v>
      </c>
      <c r="Q38" s="14">
        <f t="shared" si="4"/>
        <v>1</v>
      </c>
      <c r="R38" s="14">
        <f t="shared" si="5"/>
        <v>14</v>
      </c>
      <c r="S38" s="14" t="s">
        <v>39</v>
      </c>
      <c r="T38" s="14">
        <f>ROUND(((IF(Q38=1,INDEX(新属性投放!$J$14:$J$34,卡牌属性!R38),INDEX(新属性投放!$J$42:$J$62,卡牌属性!R38)))*INDEX($G$5:$G$42,L38)+IF(Q38=1,INDEX(新属性投放!R$20:R$23,卡牌属性!M38-1),INDEX(新属性投放!R$25:R$28,卡牌属性!M38-1)))/SQRT(INDEX($I$5:$I$42,L38)),2)</f>
        <v>8045.8</v>
      </c>
      <c r="U38" s="29" t="s">
        <v>178</v>
      </c>
      <c r="V38" s="14">
        <f>ROUND((IF(Q38=1,INDEX(新属性投放!$K$14:$K$34,卡牌属性!R38),INDEX(新属性投放!$K$42:$K$62,卡牌属性!R38))+IF(Q38=1,INDEX(新属性投放!S$20:S$23,卡牌属性!M38-1),INDEX(新属性投放!S$25:S$28,卡牌属性!M38-1)))*INDEX($G$5:$G$42,L38),2)</f>
        <v>3985.9</v>
      </c>
      <c r="W38" s="29" t="s">
        <v>179</v>
      </c>
      <c r="X38" s="14">
        <f>ROUND((IF(Q38=1,INDEX(新属性投放!$L$14:$L$34,卡牌属性!R38),INDEX(新属性投放!$L$42:$L$62,卡牌属性!R38))*INDEX($G$5:$G$42,L38)+IF(Q38=1,INDEX(新属性投放!T$20:T$23,卡牌属性!M38-1),INDEX(新属性投放!T$25:T$28,卡牌属性!M38-1)))*SQRT(INDEX($I$5:$I$42,L38)),2)</f>
        <v>24337.4</v>
      </c>
      <c r="Y38" s="29" t="s">
        <v>177</v>
      </c>
      <c r="Z38" s="14">
        <f>ROUND(IF(Q38=1,INDEX(新属性投放!$D$14:$D$34,卡牌属性!R38),INDEX(新属性投放!$D$42:$D$62,卡牌属性!R38))*INDEX($G$5:$G$42,L38)/SQRT(INDEX($I$5:$I$42,L38)),2)</f>
        <v>201.15</v>
      </c>
      <c r="AA38" s="29" t="s">
        <v>178</v>
      </c>
      <c r="AB38" s="14">
        <f>ROUND(IF(Q38=1,INDEX(新属性投放!$E$14:$E$34,卡牌属性!R38),INDEX(新属性投放!$E$42:$E$62,卡牌属性!R38))*INDEX($G$5:$G$42,L38),2)</f>
        <v>100.58</v>
      </c>
      <c r="AC38" s="29" t="s">
        <v>179</v>
      </c>
      <c r="AD38" s="14">
        <f>ROUND(IF(Q38=1,INDEX(新属性投放!$F$14:$F$34,卡牌属性!R38),INDEX(新属性投放!$F$42:$F$62,卡牌属性!R38))*INDEX($G$5:$G$42,L38)*SQRT(INDEX($I$5:$I$42,L38)),2)</f>
        <v>603.45000000000005</v>
      </c>
      <c r="AF38" s="14">
        <f t="shared" si="6"/>
        <v>2011</v>
      </c>
      <c r="AG38" s="14">
        <f t="shared" si="7"/>
        <v>1005</v>
      </c>
      <c r="AH38" s="14">
        <f t="shared" si="8"/>
        <v>6034</v>
      </c>
      <c r="AJ38" s="14">
        <f t="shared" si="19"/>
        <v>11729</v>
      </c>
      <c r="AK38" s="14">
        <f t="shared" si="20"/>
        <v>5863</v>
      </c>
      <c r="AL38" s="14">
        <f t="shared" si="21"/>
        <v>35206</v>
      </c>
    </row>
    <row r="39" spans="1:38" ht="16.5" x14ac:dyDescent="0.2">
      <c r="A39" s="13">
        <v>1102019</v>
      </c>
      <c r="B39" s="13" t="s">
        <v>168</v>
      </c>
      <c r="C39" s="13">
        <v>2</v>
      </c>
      <c r="D39" s="13">
        <v>2</v>
      </c>
      <c r="E39" s="13">
        <f>INDEX(新属性投放!$E$7:$E$8,卡牌属性!C39)</f>
        <v>21</v>
      </c>
      <c r="F39" s="13">
        <f>SUM(E$5:E39)</f>
        <v>735</v>
      </c>
      <c r="G39" s="14">
        <f>INDEX(新属性投放!$L$6:$L$10,卡牌属性!D39)</f>
        <v>1</v>
      </c>
      <c r="H39" s="13">
        <v>1</v>
      </c>
      <c r="I39" s="13">
        <v>1</v>
      </c>
      <c r="K39" s="13">
        <v>36</v>
      </c>
      <c r="L39" s="13">
        <f t="shared" si="0"/>
        <v>2</v>
      </c>
      <c r="M39" s="13">
        <f t="shared" si="1"/>
        <v>2</v>
      </c>
      <c r="N39" s="14">
        <f t="shared" si="2"/>
        <v>1101002</v>
      </c>
      <c r="O39" s="14" t="str">
        <f t="shared" si="3"/>
        <v>曹玄亮15突</v>
      </c>
      <c r="P39" s="29" t="s">
        <v>470</v>
      </c>
      <c r="Q39" s="14">
        <f t="shared" si="4"/>
        <v>1</v>
      </c>
      <c r="R39" s="14">
        <f t="shared" si="5"/>
        <v>15</v>
      </c>
      <c r="S39" s="14" t="s">
        <v>39</v>
      </c>
      <c r="T39" s="14">
        <f>ROUND(((IF(Q39=1,INDEX(新属性投放!$J$14:$J$34,卡牌属性!R39),INDEX(新属性投放!$J$42:$J$62,卡牌属性!R39)))*INDEX($G$5:$G$42,L39)+IF(Q39=1,INDEX(新属性投放!R$20:R$23,卡牌属性!M39-1),INDEX(新属性投放!R$25:R$28,卡牌属性!M39-1)))/SQRT(INDEX($I$5:$I$42,L39)),2)</f>
        <v>9302.5499999999993</v>
      </c>
      <c r="U39" s="29" t="s">
        <v>178</v>
      </c>
      <c r="V39" s="14">
        <f>ROUND((IF(Q39=1,INDEX(新属性投放!$K$14:$K$34,卡牌属性!R39),INDEX(新属性投放!$K$42:$K$62,卡牌属性!R39))+IF(Q39=1,INDEX(新属性投放!S$20:S$23,卡牌属性!M39-1),INDEX(新属性投放!S$25:S$28,卡牌属性!M39-1)))*INDEX($G$5:$G$42,L39),2)</f>
        <v>4614.78</v>
      </c>
      <c r="W39" s="29" t="s">
        <v>179</v>
      </c>
      <c r="X39" s="14">
        <f>ROUND((IF(Q39=1,INDEX(新属性投放!$L$14:$L$34,卡牌属性!R39),INDEX(新属性投放!$L$42:$L$62,卡牌属性!R39))*INDEX($G$5:$G$42,L39)+IF(Q39=1,INDEX(新属性投放!T$20:T$23,卡牌属性!M39-1),INDEX(新属性投放!T$25:T$28,卡牌属性!M39-1)))*SQRT(INDEX($I$5:$I$42,L39)),2)</f>
        <v>28107.65</v>
      </c>
      <c r="Y39" s="29" t="s">
        <v>177</v>
      </c>
      <c r="Z39" s="14">
        <f>ROUND(IF(Q39=1,INDEX(新属性投放!$D$14:$D$34,卡牌属性!R39),INDEX(新属性投放!$D$42:$D$62,卡牌属性!R39))*INDEX($G$5:$G$42,L39)/SQRT(INDEX($I$5:$I$42,L39)),2)</f>
        <v>232.56</v>
      </c>
      <c r="AA39" s="29" t="s">
        <v>178</v>
      </c>
      <c r="AB39" s="14">
        <f>ROUND(IF(Q39=1,INDEX(新属性投放!$E$14:$E$34,卡牌属性!R39),INDEX(新属性投放!$E$42:$E$62,卡牌属性!R39))*INDEX($G$5:$G$42,L39),2)</f>
        <v>116.28</v>
      </c>
      <c r="AC39" s="29" t="s">
        <v>179</v>
      </c>
      <c r="AD39" s="14">
        <f>ROUND(IF(Q39=1,INDEX(新属性投放!$F$14:$F$34,卡牌属性!R39),INDEX(新属性投放!$F$42:$F$62,卡牌属性!R39))*INDEX($G$5:$G$42,L39)*SQRT(INDEX($I$5:$I$42,L39)),2)</f>
        <v>697.68</v>
      </c>
      <c r="AF39" s="14">
        <f t="shared" si="6"/>
        <v>2325</v>
      </c>
      <c r="AG39" s="14">
        <f t="shared" si="7"/>
        <v>1162</v>
      </c>
      <c r="AH39" s="14">
        <f t="shared" si="8"/>
        <v>6976</v>
      </c>
      <c r="AJ39" s="14">
        <f t="shared" si="19"/>
        <v>14054</v>
      </c>
      <c r="AK39" s="14">
        <f t="shared" si="20"/>
        <v>7025</v>
      </c>
      <c r="AL39" s="14">
        <f t="shared" si="21"/>
        <v>42182</v>
      </c>
    </row>
    <row r="40" spans="1:38" ht="16.5" x14ac:dyDescent="0.2">
      <c r="A40" s="13">
        <v>1102020</v>
      </c>
      <c r="B40" s="13" t="s">
        <v>169</v>
      </c>
      <c r="C40" s="13">
        <v>2</v>
      </c>
      <c r="D40" s="13">
        <v>3</v>
      </c>
      <c r="E40" s="13">
        <f>INDEX(新属性投放!$E$7:$E$8,卡牌属性!C40)</f>
        <v>21</v>
      </c>
      <c r="F40" s="13">
        <f>SUM(E$5:E40)</f>
        <v>756</v>
      </c>
      <c r="G40" s="14">
        <f>INDEX(新属性投放!$L$6:$L$10,卡牌属性!D40)</f>
        <v>1.1499999999999999</v>
      </c>
      <c r="H40" s="13">
        <v>1</v>
      </c>
      <c r="I40" s="13">
        <v>1</v>
      </c>
      <c r="K40" s="13">
        <v>37</v>
      </c>
      <c r="L40" s="13">
        <f t="shared" si="0"/>
        <v>2</v>
      </c>
      <c r="M40" s="13">
        <f t="shared" si="1"/>
        <v>2</v>
      </c>
      <c r="N40" s="14">
        <f t="shared" si="2"/>
        <v>1101002</v>
      </c>
      <c r="O40" s="14" t="str">
        <f t="shared" si="3"/>
        <v>曹玄亮16突</v>
      </c>
      <c r="P40" s="29" t="s">
        <v>470</v>
      </c>
      <c r="Q40" s="14">
        <f t="shared" si="4"/>
        <v>1</v>
      </c>
      <c r="R40" s="14">
        <f t="shared" si="5"/>
        <v>16</v>
      </c>
      <c r="S40" s="14" t="s">
        <v>39</v>
      </c>
      <c r="T40" s="14">
        <f>ROUND(((IF(Q40=1,INDEX(新属性投放!$J$14:$J$34,卡牌属性!R40),INDEX(新属性投放!$J$42:$J$62,卡牌属性!R40)))*INDEX($G$5:$G$42,L40)+IF(Q40=1,INDEX(新属性投放!R$20:R$23,卡牌属性!M40-1),INDEX(新属性投放!R$25:R$28,卡牌属性!M40-1)))/SQRT(INDEX($I$5:$I$42,L40)),2)</f>
        <v>10756.35</v>
      </c>
      <c r="U40" s="29" t="s">
        <v>178</v>
      </c>
      <c r="V40" s="14">
        <f>ROUND((IF(Q40=1,INDEX(新属性投放!$K$14:$K$34,卡牌属性!R40),INDEX(新属性投放!$K$42:$K$62,卡牌属性!R40))+IF(Q40=1,INDEX(新属性投放!S$20:S$23,卡牌属性!M40-1),INDEX(新属性投放!S$25:S$28,卡牌属性!M40-1)))*INDEX($G$5:$G$42,L40),2)</f>
        <v>5341.18</v>
      </c>
      <c r="W40" s="29" t="s">
        <v>179</v>
      </c>
      <c r="X40" s="14">
        <f>ROUND((IF(Q40=1,INDEX(新属性投放!$L$14:$L$34,卡牌属性!R40),INDEX(新属性投放!$L$42:$L$62,卡牌属性!R40))*INDEX($G$5:$G$42,L40)+IF(Q40=1,INDEX(新属性投放!T$20:T$23,卡牌属性!M40-1),INDEX(新属性投放!T$25:T$28,卡牌属性!M40-1)))*SQRT(INDEX($I$5:$I$42,L40)),2)</f>
        <v>32469.05</v>
      </c>
      <c r="Y40" s="29" t="s">
        <v>177</v>
      </c>
      <c r="Z40" s="14">
        <f>ROUND(IF(Q40=1,INDEX(新属性投放!$D$14:$D$34,卡牌属性!R40),INDEX(新属性投放!$D$42:$D$62,卡牌属性!R40))*INDEX($G$5:$G$42,L40)/SQRT(INDEX($I$5:$I$42,L40)),2)</f>
        <v>268.91000000000003</v>
      </c>
      <c r="AA40" s="29" t="s">
        <v>178</v>
      </c>
      <c r="AB40" s="14">
        <f>ROUND(IF(Q40=1,INDEX(新属性投放!$E$14:$E$34,卡牌属性!R40),INDEX(新属性投放!$E$42:$E$62,卡牌属性!R40))*INDEX($G$5:$G$42,L40),2)</f>
        <v>134.46</v>
      </c>
      <c r="AC40" s="29" t="s">
        <v>179</v>
      </c>
      <c r="AD40" s="14">
        <f>ROUND(IF(Q40=1,INDEX(新属性投放!$F$14:$F$34,卡牌属性!R40),INDEX(新属性投放!$F$42:$F$62,卡牌属性!R40))*INDEX($G$5:$G$42,L40)*SQRT(INDEX($I$5:$I$42,L40)),2)</f>
        <v>806.73</v>
      </c>
      <c r="AF40" s="14">
        <f t="shared" si="6"/>
        <v>2689</v>
      </c>
      <c r="AG40" s="14">
        <f t="shared" si="7"/>
        <v>1344</v>
      </c>
      <c r="AH40" s="14">
        <f t="shared" si="8"/>
        <v>8067</v>
      </c>
      <c r="AJ40" s="14">
        <f t="shared" si="19"/>
        <v>16743</v>
      </c>
      <c r="AK40" s="14">
        <f t="shared" si="20"/>
        <v>8369</v>
      </c>
      <c r="AL40" s="14">
        <f t="shared" si="21"/>
        <v>50249</v>
      </c>
    </row>
    <row r="41" spans="1:38" ht="16.5" x14ac:dyDescent="0.2">
      <c r="A41" s="13">
        <v>1102021</v>
      </c>
      <c r="B41" s="13" t="s">
        <v>170</v>
      </c>
      <c r="C41" s="13">
        <v>2</v>
      </c>
      <c r="D41" s="13">
        <v>2</v>
      </c>
      <c r="E41" s="13">
        <f>INDEX(新属性投放!$E$7:$E$8,卡牌属性!C41)</f>
        <v>21</v>
      </c>
      <c r="F41" s="13">
        <f>SUM(E$5:E41)</f>
        <v>777</v>
      </c>
      <c r="G41" s="14">
        <f>INDEX(新属性投放!$L$6:$L$10,卡牌属性!D41)</f>
        <v>1</v>
      </c>
      <c r="H41" s="13">
        <v>1</v>
      </c>
      <c r="I41" s="13">
        <v>1</v>
      </c>
      <c r="K41" s="13">
        <v>38</v>
      </c>
      <c r="L41" s="13">
        <f t="shared" si="0"/>
        <v>2</v>
      </c>
      <c r="M41" s="13">
        <f t="shared" si="1"/>
        <v>2</v>
      </c>
      <c r="N41" s="14">
        <f t="shared" si="2"/>
        <v>1101002</v>
      </c>
      <c r="O41" s="14" t="str">
        <f t="shared" si="3"/>
        <v>曹玄亮17突</v>
      </c>
      <c r="P41" s="29" t="s">
        <v>470</v>
      </c>
      <c r="Q41" s="14">
        <f t="shared" si="4"/>
        <v>1</v>
      </c>
      <c r="R41" s="14">
        <f t="shared" si="5"/>
        <v>17</v>
      </c>
      <c r="S41" s="14" t="s">
        <v>39</v>
      </c>
      <c r="T41" s="14">
        <f>ROUND(((IF(Q41=1,INDEX(新属性投放!$J$14:$J$34,卡牌属性!R41),INDEX(新属性投放!$J$42:$J$62,卡牌属性!R41)))*INDEX($G$5:$G$42,L41)+IF(Q41=1,INDEX(新属性投放!R$20:R$23,卡牌属性!M41-1),INDEX(新属性投放!R$25:R$28,卡牌属性!M41-1)))/SQRT(INDEX($I$5:$I$42,L41)),2)</f>
        <v>12436.9</v>
      </c>
      <c r="U41" s="29" t="s">
        <v>178</v>
      </c>
      <c r="V41" s="14">
        <f>ROUND((IF(Q41=1,INDEX(新属性投放!$K$14:$K$34,卡牌属性!R41),INDEX(新属性投放!$K$42:$K$62,卡牌属性!R41))+IF(Q41=1,INDEX(新属性投放!S$20:S$23,卡牌属性!M41-1),INDEX(新属性投放!S$25:S$28,卡牌属性!M41-1)))*INDEX($G$5:$G$42,L41),2)</f>
        <v>6181.45</v>
      </c>
      <c r="W41" s="29" t="s">
        <v>179</v>
      </c>
      <c r="X41" s="14">
        <f>ROUND((IF(Q41=1,INDEX(新属性投放!$L$14:$L$34,卡牌属性!R41),INDEX(新属性投放!$L$42:$L$62,卡牌属性!R41))*INDEX($G$5:$G$42,L41)+IF(Q41=1,INDEX(新属性投放!T$20:T$23,卡牌属性!M41-1),INDEX(新属性投放!T$25:T$28,卡牌属性!M41-1)))*SQRT(INDEX($I$5:$I$42,L41)),2)</f>
        <v>37510.699999999997</v>
      </c>
      <c r="Y41" s="29" t="s">
        <v>177</v>
      </c>
      <c r="Z41" s="14">
        <f>ROUND(IF(Q41=1,INDEX(新属性投放!$D$14:$D$34,卡牌属性!R41),INDEX(新属性投放!$D$42:$D$62,卡牌属性!R41))*INDEX($G$5:$G$42,L41)/SQRT(INDEX($I$5:$I$42,L41)),2)</f>
        <v>310.92</v>
      </c>
      <c r="AA41" s="29" t="s">
        <v>178</v>
      </c>
      <c r="AB41" s="14">
        <f>ROUND(IF(Q41=1,INDEX(新属性投放!$E$14:$E$34,卡牌属性!R41),INDEX(新属性投放!$E$42:$E$62,卡牌属性!R41))*INDEX($G$5:$G$42,L41),2)</f>
        <v>155.46</v>
      </c>
      <c r="AC41" s="29" t="s">
        <v>179</v>
      </c>
      <c r="AD41" s="14">
        <f>ROUND(IF(Q41=1,INDEX(新属性投放!$F$14:$F$34,卡牌属性!R41),INDEX(新属性投放!$F$42:$F$62,卡牌属性!R41))*INDEX($G$5:$G$42,L41)*SQRT(INDEX($I$5:$I$42,L41)),2)</f>
        <v>932.76</v>
      </c>
      <c r="AF41" s="14">
        <f t="shared" si="6"/>
        <v>3109</v>
      </c>
      <c r="AG41" s="14">
        <f t="shared" si="7"/>
        <v>1554</v>
      </c>
      <c r="AH41" s="14">
        <f t="shared" si="8"/>
        <v>9327</v>
      </c>
      <c r="AJ41" s="14">
        <f t="shared" si="19"/>
        <v>19852</v>
      </c>
      <c r="AK41" s="14">
        <f t="shared" si="20"/>
        <v>9923</v>
      </c>
      <c r="AL41" s="14">
        <f t="shared" si="21"/>
        <v>59576</v>
      </c>
    </row>
    <row r="42" spans="1:38" ht="16.5" x14ac:dyDescent="0.2">
      <c r="A42" s="13">
        <v>1102050</v>
      </c>
      <c r="B42" s="13" t="s">
        <v>651</v>
      </c>
      <c r="C42" s="13">
        <v>2</v>
      </c>
      <c r="D42" s="13">
        <v>2</v>
      </c>
      <c r="E42" s="13">
        <f>INDEX(新属性投放!$E$7:$E$8,卡牌属性!C42)</f>
        <v>21</v>
      </c>
      <c r="F42" s="13">
        <f>SUM(E$5:E42)</f>
        <v>798</v>
      </c>
      <c r="G42" s="14">
        <f>INDEX(新属性投放!$L$6:$L$10,卡牌属性!D42)</f>
        <v>1</v>
      </c>
      <c r="H42" s="13">
        <v>1</v>
      </c>
      <c r="I42" s="13">
        <v>1</v>
      </c>
      <c r="K42" s="13">
        <v>39</v>
      </c>
      <c r="L42" s="13">
        <f t="shared" si="0"/>
        <v>2</v>
      </c>
      <c r="M42" s="13">
        <f t="shared" si="1"/>
        <v>2</v>
      </c>
      <c r="N42" s="14">
        <f t="shared" si="2"/>
        <v>1101002</v>
      </c>
      <c r="O42" s="14" t="str">
        <f t="shared" si="3"/>
        <v>曹玄亮18突</v>
      </c>
      <c r="P42" s="29" t="s">
        <v>470</v>
      </c>
      <c r="Q42" s="14">
        <f t="shared" si="4"/>
        <v>1</v>
      </c>
      <c r="R42" s="14">
        <f t="shared" si="5"/>
        <v>18</v>
      </c>
      <c r="S42" s="14" t="s">
        <v>39</v>
      </c>
      <c r="T42" s="14">
        <f>ROUND(((IF(Q42=1,INDEX(新属性投放!$J$14:$J$34,卡牌属性!R42),INDEX(新属性投放!$J$42:$J$62,卡牌属性!R42)))*INDEX($G$5:$G$42,L42)+IF(Q42=1,INDEX(新属性投放!R$20:R$23,卡牌属性!M42-1),INDEX(新属性投放!R$25:R$28,卡牌属性!M42-1)))/SQRT(INDEX($I$5:$I$42,L42)),2)</f>
        <v>14380.5</v>
      </c>
      <c r="U42" s="29" t="s">
        <v>178</v>
      </c>
      <c r="V42" s="14">
        <f>ROUND((IF(Q42=1,INDEX(新属性投放!$K$14:$K$34,卡牌属性!R42),INDEX(新属性投放!$K$42:$K$62,卡牌属性!R42))+IF(Q42=1,INDEX(新属性投放!S$20:S$23,卡牌属性!M42-1),INDEX(新属性投放!S$25:S$28,卡牌属性!M42-1)))*INDEX($G$5:$G$42,L42),2)</f>
        <v>7152.75</v>
      </c>
      <c r="W42" s="29" t="s">
        <v>179</v>
      </c>
      <c r="X42" s="14">
        <f>ROUND((IF(Q42=1,INDEX(新属性投放!$L$14:$L$34,卡牌属性!R42),INDEX(新属性投放!$L$42:$L$62,卡牌属性!R42))*INDEX($G$5:$G$42,L42)+IF(Q42=1,INDEX(新属性投放!T$20:T$23,卡牌属性!M42-1),INDEX(新属性投放!T$25:T$28,卡牌属性!M42-1)))*SQRT(INDEX($I$5:$I$42,L42)),2)</f>
        <v>43341.5</v>
      </c>
      <c r="Y42" s="29" t="s">
        <v>177</v>
      </c>
      <c r="Z42" s="14">
        <f>ROUND(IF(Q42=1,INDEX(新属性投放!$D$14:$D$34,卡牌属性!R42),INDEX(新属性投放!$D$42:$D$62,卡牌属性!R42))*INDEX($G$5:$G$42,L42)/SQRT(INDEX($I$5:$I$42,L42)),2)</f>
        <v>359.51</v>
      </c>
      <c r="AA42" s="29" t="s">
        <v>178</v>
      </c>
      <c r="AB42" s="14">
        <f>ROUND(IF(Q42=1,INDEX(新属性投放!$E$14:$E$34,卡牌属性!R42),INDEX(新属性投放!$E$42:$E$62,卡牌属性!R42))*INDEX($G$5:$G$42,L42),2)</f>
        <v>179.76</v>
      </c>
      <c r="AC42" s="29" t="s">
        <v>179</v>
      </c>
      <c r="AD42" s="14">
        <f>ROUND(IF(Q42=1,INDEX(新属性投放!$F$14:$F$34,卡牌属性!R42),INDEX(新属性投放!$F$42:$F$62,卡牌属性!R42))*INDEX($G$5:$G$42,L42)*SQRT(INDEX($I$5:$I$42,L42)),2)</f>
        <v>1078.53</v>
      </c>
      <c r="AF42" s="14">
        <f t="shared" si="6"/>
        <v>3595</v>
      </c>
      <c r="AG42" s="14">
        <f t="shared" si="7"/>
        <v>1797</v>
      </c>
      <c r="AH42" s="14">
        <f t="shared" si="8"/>
        <v>10785</v>
      </c>
      <c r="AJ42" s="14">
        <f t="shared" si="19"/>
        <v>23447</v>
      </c>
      <c r="AK42" s="14">
        <f t="shared" si="20"/>
        <v>11720</v>
      </c>
      <c r="AL42" s="14">
        <f t="shared" si="21"/>
        <v>70361</v>
      </c>
    </row>
    <row r="43" spans="1:38" ht="16.5" x14ac:dyDescent="0.2">
      <c r="K43" s="13">
        <v>40</v>
      </c>
      <c r="L43" s="13">
        <f t="shared" si="0"/>
        <v>2</v>
      </c>
      <c r="M43" s="13">
        <f t="shared" si="1"/>
        <v>2</v>
      </c>
      <c r="N43" s="14">
        <f t="shared" si="2"/>
        <v>1101002</v>
      </c>
      <c r="O43" s="14" t="str">
        <f t="shared" si="3"/>
        <v>曹玄亮19突</v>
      </c>
      <c r="P43" s="29" t="s">
        <v>470</v>
      </c>
      <c r="Q43" s="14">
        <f t="shared" si="4"/>
        <v>1</v>
      </c>
      <c r="R43" s="14">
        <f t="shared" si="5"/>
        <v>19</v>
      </c>
      <c r="S43" s="14" t="s">
        <v>39</v>
      </c>
      <c r="T43" s="14">
        <f>ROUND(((IF(Q43=1,INDEX(新属性投放!$J$14:$J$34,卡牌属性!R43),INDEX(新属性投放!$J$42:$J$62,卡牌属性!R43)))*INDEX($G$5:$G$42,L43)+IF(Q43=1,INDEX(新属性投放!R$20:R$23,卡牌属性!M43-1),INDEX(新属性投放!R$25:R$28,卡牌属性!M43-1)))/SQRT(INDEX($I$5:$I$42,L43)),2)</f>
        <v>16627.05</v>
      </c>
      <c r="U43" s="29" t="s">
        <v>178</v>
      </c>
      <c r="V43" s="14">
        <f>ROUND((IF(Q43=1,INDEX(新属性投放!$K$14:$K$34,卡牌属性!R43),INDEX(新属性投放!$K$42:$K$62,卡牌属性!R43))+IF(Q43=1,INDEX(新属性投放!S$20:S$23,卡牌属性!M43-1),INDEX(新属性投放!S$25:S$28,卡牌属性!M43-1)))*INDEX($G$5:$G$42,L43),2)</f>
        <v>8276.5300000000007</v>
      </c>
      <c r="W43" s="29" t="s">
        <v>179</v>
      </c>
      <c r="X43" s="14">
        <f>ROUND((IF(Q43=1,INDEX(新属性投放!$L$14:$L$34,卡牌属性!R43),INDEX(新属性投放!$L$42:$L$62,卡牌属性!R43))*INDEX($G$5:$G$42,L43)+IF(Q43=1,INDEX(新属性投放!T$20:T$23,卡牌属性!M43-1),INDEX(新属性投放!T$25:T$28,卡牌属性!M43-1)))*SQRT(INDEX($I$5:$I$42,L43)),2)</f>
        <v>50081.15</v>
      </c>
      <c r="Y43" s="29" t="s">
        <v>177</v>
      </c>
      <c r="Z43" s="14">
        <f>ROUND(IF(Q43=1,INDEX(新属性投放!$D$14:$D$34,卡牌属性!R43),INDEX(新属性投放!$D$42:$D$62,卡牌属性!R43))*INDEX($G$5:$G$42,L43)/SQRT(INDEX($I$5:$I$42,L43)),2)</f>
        <v>415.68</v>
      </c>
      <c r="AA43" s="29" t="s">
        <v>178</v>
      </c>
      <c r="AB43" s="14">
        <f>ROUND(IF(Q43=1,INDEX(新属性投放!$E$14:$E$34,卡牌属性!R43),INDEX(新属性投放!$E$42:$E$62,卡牌属性!R43))*INDEX($G$5:$G$42,L43),2)</f>
        <v>207.84</v>
      </c>
      <c r="AC43" s="29" t="s">
        <v>179</v>
      </c>
      <c r="AD43" s="14">
        <f>ROUND(IF(Q43=1,INDEX(新属性投放!$F$14:$F$34,卡牌属性!R43),INDEX(新属性投放!$F$42:$F$62,卡牌属性!R43))*INDEX($G$5:$G$42,L43)*SQRT(INDEX($I$5:$I$42,L43)),2)</f>
        <v>1247.04</v>
      </c>
      <c r="AF43" s="14">
        <f t="shared" si="6"/>
        <v>4156</v>
      </c>
      <c r="AG43" s="14">
        <f t="shared" si="7"/>
        <v>2078</v>
      </c>
      <c r="AH43" s="14">
        <f t="shared" si="8"/>
        <v>12470</v>
      </c>
      <c r="AJ43" s="14">
        <f t="shared" si="19"/>
        <v>27603</v>
      </c>
      <c r="AK43" s="14">
        <f t="shared" si="20"/>
        <v>13798</v>
      </c>
      <c r="AL43" s="14">
        <f t="shared" si="21"/>
        <v>82831</v>
      </c>
    </row>
    <row r="44" spans="1:38" ht="16.5" x14ac:dyDescent="0.2">
      <c r="K44" s="13">
        <v>41</v>
      </c>
      <c r="L44" s="13">
        <f t="shared" si="0"/>
        <v>2</v>
      </c>
      <c r="M44" s="13">
        <f t="shared" si="1"/>
        <v>2</v>
      </c>
      <c r="N44" s="14">
        <f t="shared" si="2"/>
        <v>1101002</v>
      </c>
      <c r="O44" s="14" t="str">
        <f t="shared" si="3"/>
        <v>曹玄亮20突</v>
      </c>
      <c r="P44" s="29" t="s">
        <v>470</v>
      </c>
      <c r="Q44" s="14">
        <f t="shared" si="4"/>
        <v>1</v>
      </c>
      <c r="R44" s="14">
        <f t="shared" si="5"/>
        <v>20</v>
      </c>
      <c r="S44" s="14" t="s">
        <v>39</v>
      </c>
      <c r="T44" s="14">
        <f>ROUND(((IF(Q44=1,INDEX(新属性投放!$J$14:$J$34,卡牌属性!R44),INDEX(新属性投放!$J$42:$J$62,卡牌属性!R44)))*INDEX($G$5:$G$42,L44)+IF(Q44=1,INDEX(新属性投放!R$20:R$23,卡牌属性!M44-1),INDEX(新属性投放!R$25:R$28,卡牌属性!M44-1)))/SQRT(INDEX($I$5:$I$42,L44)),2)</f>
        <v>19225.45</v>
      </c>
      <c r="U44" s="29" t="s">
        <v>178</v>
      </c>
      <c r="V44" s="14">
        <f>ROUND((IF(Q44=1,INDEX(新属性投放!$K$14:$K$34,卡牌属性!R44),INDEX(新属性投放!$K$42:$K$62,卡牌属性!R44))+IF(Q44=1,INDEX(新属性投放!S$20:S$23,卡牌属性!M44-1),INDEX(新属性投放!S$25:S$28,卡牌属性!M44-1)))*INDEX($G$5:$G$42,L44),2)</f>
        <v>9575.73</v>
      </c>
      <c r="W44" s="29" t="s">
        <v>179</v>
      </c>
      <c r="X44" s="14">
        <f>ROUND((IF(Q44=1,INDEX(新属性投放!$L$14:$L$34,卡牌属性!R44),INDEX(新属性投放!$L$42:$L$62,卡牌属性!R44))*INDEX($G$5:$G$42,L44)+IF(Q44=1,INDEX(新属性投放!T$20:T$23,卡牌属性!M44-1),INDEX(新属性投放!T$25:T$28,卡牌属性!M44-1)))*SQRT(INDEX($I$5:$I$42,L44)),2)</f>
        <v>57876.35</v>
      </c>
      <c r="Y44" s="29" t="s">
        <v>177</v>
      </c>
      <c r="Z44" s="14">
        <f>ROUND(IF(Q44=1,INDEX(新属性投放!$D$14:$D$34,卡牌属性!R44),INDEX(新属性投放!$D$42:$D$62,卡牌属性!R44))*INDEX($G$5:$G$42,L44)/SQRT(INDEX($I$5:$I$42,L44)),2)</f>
        <v>480.64</v>
      </c>
      <c r="AA44" s="29" t="s">
        <v>178</v>
      </c>
      <c r="AB44" s="14">
        <f>ROUND(IF(Q44=1,INDEX(新属性投放!$E$14:$E$34,卡牌属性!R44),INDEX(新属性投放!$E$42:$E$62,卡牌属性!R44))*INDEX($G$5:$G$42,L44),2)</f>
        <v>240.32</v>
      </c>
      <c r="AC44" s="29" t="s">
        <v>179</v>
      </c>
      <c r="AD44" s="14">
        <f>ROUND(IF(Q44=1,INDEX(新属性投放!$F$14:$F$34,卡牌属性!R44),INDEX(新属性投放!$F$42:$F$62,卡牌属性!R44))*INDEX($G$5:$G$42,L44)*SQRT(INDEX($I$5:$I$42,L44)),2)</f>
        <v>1441.92</v>
      </c>
      <c r="AF44" s="14">
        <f t="shared" si="6"/>
        <v>4806</v>
      </c>
      <c r="AG44" s="14">
        <f t="shared" si="7"/>
        <v>2403</v>
      </c>
      <c r="AH44" s="14">
        <f t="shared" si="8"/>
        <v>14419</v>
      </c>
      <c r="AJ44" s="14">
        <f t="shared" si="19"/>
        <v>32409</v>
      </c>
      <c r="AK44" s="14">
        <f t="shared" si="20"/>
        <v>16201</v>
      </c>
      <c r="AL44" s="14">
        <f t="shared" si="21"/>
        <v>97250</v>
      </c>
    </row>
    <row r="45" spans="1:38" ht="16.5" x14ac:dyDescent="0.2">
      <c r="K45" s="13">
        <v>42</v>
      </c>
      <c r="L45" s="13">
        <f t="shared" si="0"/>
        <v>2</v>
      </c>
      <c r="M45" s="13">
        <f t="shared" si="1"/>
        <v>2</v>
      </c>
      <c r="N45" s="14">
        <f t="shared" si="2"/>
        <v>1101002</v>
      </c>
      <c r="O45" s="14" t="str">
        <f t="shared" si="3"/>
        <v>曹玄亮21突</v>
      </c>
      <c r="P45" s="29" t="s">
        <v>470</v>
      </c>
      <c r="Q45" s="14">
        <f t="shared" si="4"/>
        <v>1</v>
      </c>
      <c r="R45" s="14">
        <f t="shared" si="5"/>
        <v>21</v>
      </c>
      <c r="S45" s="14" t="s">
        <v>39</v>
      </c>
      <c r="T45" s="14">
        <f>ROUND(((IF(Q45=1,INDEX(新属性投放!$J$14:$J$34,卡牌属性!R45),INDEX(新属性投放!$J$42:$J$62,卡牌属性!R45)))*INDEX($G$5:$G$42,L45)+IF(Q45=1,INDEX(新属性投放!R$20:R$23,卡牌属性!M45-1),INDEX(新属性投放!R$25:R$28,卡牌属性!M45-1)))/SQRT(INDEX($I$5:$I$42,L45)),2)</f>
        <v>22229.65</v>
      </c>
      <c r="U45" s="29" t="s">
        <v>178</v>
      </c>
      <c r="V45" s="14">
        <f>ROUND((IF(Q45=1,INDEX(新属性投放!$K$14:$K$34,卡牌属性!R45),INDEX(新属性投放!$K$42:$K$62,卡牌属性!R45))+IF(Q45=1,INDEX(新属性投放!S$20:S$23,卡牌属性!M45-1),INDEX(新属性投放!S$25:S$28,卡牌属性!M45-1)))*INDEX($G$5:$G$42,L45),2)</f>
        <v>11077.33</v>
      </c>
      <c r="W45" s="29" t="s">
        <v>179</v>
      </c>
      <c r="X45" s="14">
        <f>ROUND((IF(Q45=1,INDEX(新属性投放!$L$14:$L$34,卡牌属性!R45),INDEX(新属性投放!$L$42:$L$62,卡牌属性!R45))*INDEX($G$5:$G$42,L45)+IF(Q45=1,INDEX(新属性投放!T$20:T$23,卡牌属性!M45-1),INDEX(新属性投放!T$25:T$28,卡牌属性!M45-1)))*SQRT(INDEX($I$5:$I$42,L45)),2)</f>
        <v>66888.95</v>
      </c>
      <c r="Y45" s="29" t="s">
        <v>177</v>
      </c>
      <c r="Z45" s="14">
        <f>ROUND(IF(Q45=1,INDEX(新属性投放!$D$14:$D$34,卡牌属性!R45),INDEX(新属性投放!$D$42:$D$62,卡牌属性!R45))*INDEX($G$5:$G$42,L45)/SQRT(INDEX($I$5:$I$42,L45)),2)</f>
        <v>555.74</v>
      </c>
      <c r="AA45" s="29" t="s">
        <v>178</v>
      </c>
      <c r="AB45" s="14">
        <f>ROUND(IF(Q45=1,INDEX(新属性投放!$E$14:$E$34,卡牌属性!R45),INDEX(新属性投放!$E$42:$E$62,卡牌属性!R45))*INDEX($G$5:$G$42,L45),2)</f>
        <v>277.87</v>
      </c>
      <c r="AC45" s="29" t="s">
        <v>179</v>
      </c>
      <c r="AD45" s="14">
        <f>ROUND(IF(Q45=1,INDEX(新属性投放!$F$14:$F$34,卡牌属性!R45),INDEX(新属性投放!$F$42:$F$62,卡牌属性!R45))*INDEX($G$5:$G$42,L45)*SQRT(INDEX($I$5:$I$42,L45)),2)</f>
        <v>1667.22</v>
      </c>
      <c r="AF45" s="14">
        <f t="shared" si="6"/>
        <v>5557</v>
      </c>
      <c r="AG45" s="14">
        <f t="shared" si="7"/>
        <v>2778</v>
      </c>
      <c r="AH45" s="14">
        <f t="shared" si="8"/>
        <v>16672</v>
      </c>
      <c r="AJ45" s="14">
        <f t="shared" si="19"/>
        <v>37966</v>
      </c>
      <c r="AK45" s="14">
        <f t="shared" si="20"/>
        <v>18979</v>
      </c>
      <c r="AL45" s="14">
        <f t="shared" si="21"/>
        <v>113922</v>
      </c>
    </row>
    <row r="46" spans="1:38" ht="16.5" x14ac:dyDescent="0.2">
      <c r="K46" s="13">
        <v>43</v>
      </c>
      <c r="L46" s="13">
        <f t="shared" si="0"/>
        <v>3</v>
      </c>
      <c r="M46" s="13">
        <f t="shared" si="1"/>
        <v>3</v>
      </c>
      <c r="N46" s="14">
        <f t="shared" si="2"/>
        <v>1101003</v>
      </c>
      <c r="O46" s="14" t="str">
        <f t="shared" si="3"/>
        <v>战斗夏玲1突</v>
      </c>
      <c r="P46" s="29" t="s">
        <v>470</v>
      </c>
      <c r="Q46" s="14">
        <f t="shared" si="4"/>
        <v>1</v>
      </c>
      <c r="R46" s="14">
        <f t="shared" si="5"/>
        <v>1</v>
      </c>
      <c r="S46" s="14" t="s">
        <v>39</v>
      </c>
      <c r="T46" s="14">
        <f>ROUND(((IF(Q46=1,INDEX(新属性投放!$J$14:$J$34,卡牌属性!R46),INDEX(新属性投放!$J$42:$J$62,卡牌属性!R46)))*INDEX($G$5:$G$42,L46)+IF(Q46=1,INDEX(新属性投放!R$20:R$23,卡牌属性!M46-1),INDEX(新属性投放!R$25:R$28,卡牌属性!M46-1)))/SQRT(INDEX($I$5:$I$42,L46)),2)</f>
        <v>165</v>
      </c>
      <c r="U46" s="29" t="s">
        <v>178</v>
      </c>
      <c r="V46" s="14">
        <f>ROUND((IF(Q46=1,INDEX(新属性投放!$K$14:$K$34,卡牌属性!R46),INDEX(新属性投放!$K$42:$K$62,卡牌属性!R46))+IF(Q46=1,INDEX(新属性投放!S$20:S$23,卡牌属性!M46-1),INDEX(新属性投放!S$25:S$28,卡牌属性!M46-1)))*INDEX($G$5:$G$42,L46),2)</f>
        <v>0</v>
      </c>
      <c r="W46" s="29" t="s">
        <v>179</v>
      </c>
      <c r="X46" s="14">
        <f>ROUND((IF(Q46=1,INDEX(新属性投放!$L$14:$L$34,卡牌属性!R46),INDEX(新属性投放!$L$42:$L$62,卡牌属性!R46))*INDEX($G$5:$G$42,L46)+IF(Q46=1,INDEX(新属性投放!T$20:T$23,卡牌属性!M46-1),INDEX(新属性投放!T$25:T$28,卡牌属性!M46-1)))*SQRT(INDEX($I$5:$I$42,L46)),2)</f>
        <v>1075</v>
      </c>
      <c r="Y46" s="29" t="s">
        <v>177</v>
      </c>
      <c r="Z46" s="14">
        <f>ROUND(IF(Q46=1,INDEX(新属性投放!$D$14:$D$34,卡牌属性!R46),INDEX(新属性投放!$D$42:$D$62,卡牌属性!R46))*INDEX($G$5:$G$42,L46)/SQRT(INDEX($I$5:$I$42,L46)),2)</f>
        <v>17.25</v>
      </c>
      <c r="AA46" s="29" t="s">
        <v>178</v>
      </c>
      <c r="AB46" s="14">
        <f>ROUND(IF(Q46=1,INDEX(新属性投放!$E$14:$E$34,卡牌属性!R46),INDEX(新属性投放!$E$42:$E$62,卡牌属性!R46))*INDEX($G$5:$G$42,L46),2)</f>
        <v>8.6300000000000008</v>
      </c>
      <c r="AC46" s="29" t="s">
        <v>179</v>
      </c>
      <c r="AD46" s="14">
        <f>ROUND(IF(Q46=1,INDEX(新属性投放!$F$14:$F$34,卡牌属性!R46),INDEX(新属性投放!$F$42:$F$62,卡牌属性!R46))*INDEX($G$5:$G$42,L46)*SQRT(INDEX($I$5:$I$42,L46)),2)</f>
        <v>51.75</v>
      </c>
      <c r="AF46" s="14">
        <f t="shared" si="6"/>
        <v>172</v>
      </c>
      <c r="AG46" s="14">
        <f t="shared" si="7"/>
        <v>86</v>
      </c>
      <c r="AH46" s="14">
        <f t="shared" si="8"/>
        <v>517</v>
      </c>
      <c r="AJ46" s="14">
        <f t="shared" ref="AJ46" si="22">AF46</f>
        <v>172</v>
      </c>
      <c r="AK46" s="14">
        <f t="shared" ref="AK46" si="23">AG46</f>
        <v>86</v>
      </c>
      <c r="AL46" s="14">
        <f t="shared" ref="AL46" si="24">AH46</f>
        <v>517</v>
      </c>
    </row>
    <row r="47" spans="1:38" ht="16.5" x14ac:dyDescent="0.2">
      <c r="K47" s="13">
        <v>44</v>
      </c>
      <c r="L47" s="13">
        <f t="shared" si="0"/>
        <v>3</v>
      </c>
      <c r="M47" s="13">
        <f t="shared" si="1"/>
        <v>3</v>
      </c>
      <c r="N47" s="14">
        <f t="shared" si="2"/>
        <v>1101003</v>
      </c>
      <c r="O47" s="14" t="str">
        <f t="shared" si="3"/>
        <v>战斗夏玲2突</v>
      </c>
      <c r="P47" s="29" t="s">
        <v>470</v>
      </c>
      <c r="Q47" s="14">
        <f t="shared" si="4"/>
        <v>1</v>
      </c>
      <c r="R47" s="14">
        <f t="shared" si="5"/>
        <v>2</v>
      </c>
      <c r="S47" s="14" t="s">
        <v>39</v>
      </c>
      <c r="T47" s="14">
        <f>ROUND(((IF(Q47=1,INDEX(新属性投放!$J$14:$J$34,卡牌属性!R47),INDEX(新属性投放!$J$42:$J$62,卡牌属性!R47)))*INDEX($G$5:$G$42,L47)+IF(Q47=1,INDEX(新属性投放!R$20:R$23,卡牌属性!M47-1),INDEX(新属性投放!R$25:R$28,卡牌属性!M47-1)))/SQRT(INDEX($I$5:$I$42,L47)),2)</f>
        <v>331.75</v>
      </c>
      <c r="U47" s="29" t="s">
        <v>178</v>
      </c>
      <c r="V47" s="14">
        <f>ROUND((IF(Q47=1,INDEX(新属性投放!$K$14:$K$34,卡牌属性!R47),INDEX(新属性投放!$K$42:$K$62,卡牌属性!R47))+IF(Q47=1,INDEX(新属性投放!S$20:S$23,卡牌属性!M47-1),INDEX(新属性投放!S$25:S$28,卡牌属性!M47-1)))*INDEX($G$5:$G$42,L47),2)</f>
        <v>97.18</v>
      </c>
      <c r="W47" s="29" t="s">
        <v>179</v>
      </c>
      <c r="X47" s="14">
        <f>ROUND((IF(Q47=1,INDEX(新属性投放!$L$14:$L$34,卡牌属性!R47),INDEX(新属性投放!$L$42:$L$62,卡牌属性!R47))*INDEX($G$5:$G$42,L47)+IF(Q47=1,INDEX(新属性投放!T$20:T$23,卡牌属性!M47-1),INDEX(新属性投放!T$25:T$28,卡牌属性!M47-1)))*SQRT(INDEX($I$5:$I$42,L47)),2)</f>
        <v>1575.25</v>
      </c>
      <c r="Y47" s="29" t="s">
        <v>177</v>
      </c>
      <c r="Z47" s="14">
        <f>ROUND(IF(Q47=1,INDEX(新属性投放!$D$14:$D$34,卡牌属性!R47),INDEX(新属性投放!$D$42:$D$62,卡牌属性!R47))*INDEX($G$5:$G$42,L47)/SQRT(INDEX($I$5:$I$42,L47)),2)</f>
        <v>15.84</v>
      </c>
      <c r="AA47" s="29" t="s">
        <v>178</v>
      </c>
      <c r="AB47" s="14">
        <f>ROUND(IF(Q47=1,INDEX(新属性投放!$E$14:$E$34,卡牌属性!R47),INDEX(新属性投放!$E$42:$E$62,卡牌属性!R47))*INDEX($G$5:$G$42,L47),2)</f>
        <v>7.92</v>
      </c>
      <c r="AC47" s="29" t="s">
        <v>179</v>
      </c>
      <c r="AD47" s="14">
        <f>ROUND(IF(Q47=1,INDEX(新属性投放!$F$14:$F$34,卡牌属性!R47),INDEX(新属性投放!$F$42:$F$62,卡牌属性!R47))*INDEX($G$5:$G$42,L47)*SQRT(INDEX($I$5:$I$42,L47)),2)</f>
        <v>47.51</v>
      </c>
      <c r="AF47" s="14">
        <f t="shared" si="6"/>
        <v>158</v>
      </c>
      <c r="AG47" s="14">
        <f t="shared" si="7"/>
        <v>79</v>
      </c>
      <c r="AH47" s="14">
        <f t="shared" si="8"/>
        <v>475</v>
      </c>
      <c r="AJ47" s="14">
        <f t="shared" ref="AJ47:AJ66" si="25">AJ46+AF47</f>
        <v>330</v>
      </c>
      <c r="AK47" s="14">
        <f t="shared" ref="AK47:AK66" si="26">AK46+AG47</f>
        <v>165</v>
      </c>
      <c r="AL47" s="14">
        <f t="shared" ref="AL47:AL66" si="27">AL46+AH47</f>
        <v>992</v>
      </c>
    </row>
    <row r="48" spans="1:38" ht="16.5" x14ac:dyDescent="0.2">
      <c r="K48" s="13">
        <v>45</v>
      </c>
      <c r="L48" s="13">
        <f t="shared" si="0"/>
        <v>3</v>
      </c>
      <c r="M48" s="13">
        <f t="shared" si="1"/>
        <v>3</v>
      </c>
      <c r="N48" s="14">
        <f t="shared" si="2"/>
        <v>1101003</v>
      </c>
      <c r="O48" s="14" t="str">
        <f t="shared" si="3"/>
        <v>战斗夏玲3突</v>
      </c>
      <c r="P48" s="29" t="s">
        <v>470</v>
      </c>
      <c r="Q48" s="14">
        <f t="shared" si="4"/>
        <v>1</v>
      </c>
      <c r="R48" s="14">
        <f t="shared" si="5"/>
        <v>3</v>
      </c>
      <c r="S48" s="14" t="s">
        <v>39</v>
      </c>
      <c r="T48" s="14">
        <f>ROUND(((IF(Q48=1,INDEX(新属性投放!$J$14:$J$34,卡牌属性!R48),INDEX(新属性投放!$J$42:$J$62,卡牌属性!R48)))*INDEX($G$5:$G$42,L48)+IF(Q48=1,INDEX(新属性投放!R$20:R$23,卡牌属性!M48-1),INDEX(新属性投放!R$25:R$28,卡牌属性!M48-1)))/SQRT(INDEX($I$5:$I$42,L48)),2)</f>
        <v>529.21</v>
      </c>
      <c r="U48" s="29" t="s">
        <v>178</v>
      </c>
      <c r="V48" s="14">
        <f>ROUND((IF(Q48=1,INDEX(新属性投放!$K$14:$K$34,卡牌属性!R48),INDEX(新属性投放!$K$42:$K$62,卡牌属性!R48))+IF(Q48=1,INDEX(新属性投放!S$20:S$23,卡牌属性!M48-1),INDEX(新属性投放!S$25:S$28,卡牌属性!M48-1)))*INDEX($G$5:$G$42,L48),2)</f>
        <v>195.9</v>
      </c>
      <c r="W48" s="29" t="s">
        <v>179</v>
      </c>
      <c r="X48" s="14">
        <f>ROUND((IF(Q48=1,INDEX(新属性投放!$L$14:$L$34,卡牌属性!R48),INDEX(新属性投放!$L$42:$L$62,卡牌属性!R48))*INDEX($G$5:$G$42,L48)+IF(Q48=1,INDEX(新属性投放!T$20:T$23,卡牌属性!M48-1),INDEX(新属性投放!T$25:T$28,卡牌属性!M48-1)))*SQRT(INDEX($I$5:$I$42,L48)),2)</f>
        <v>2167.62</v>
      </c>
      <c r="Y48" s="29" t="s">
        <v>177</v>
      </c>
      <c r="Z48" s="14">
        <f>ROUND(IF(Q48=1,INDEX(新属性投放!$D$14:$D$34,卡牌属性!R48),INDEX(新属性投放!$D$42:$D$62,卡牌属性!R48))*INDEX($G$5:$G$42,L48)/SQRT(INDEX($I$5:$I$42,L48)),2)</f>
        <v>28.95</v>
      </c>
      <c r="AA48" s="29" t="s">
        <v>178</v>
      </c>
      <c r="AB48" s="14">
        <f>ROUND(IF(Q48=1,INDEX(新属性投放!$E$14:$E$34,卡牌属性!R48),INDEX(新属性投放!$E$42:$E$62,卡牌属性!R48))*INDEX($G$5:$G$42,L48),2)</f>
        <v>14.47</v>
      </c>
      <c r="AC48" s="29" t="s">
        <v>179</v>
      </c>
      <c r="AD48" s="14">
        <f>ROUND(IF(Q48=1,INDEX(新属性投放!$F$14:$F$34,卡牌属性!R48),INDEX(新属性投放!$F$42:$F$62,卡牌属性!R48))*INDEX($G$5:$G$42,L48)*SQRT(INDEX($I$5:$I$42,L48)),2)</f>
        <v>86.84</v>
      </c>
      <c r="AF48" s="14">
        <f t="shared" si="6"/>
        <v>289</v>
      </c>
      <c r="AG48" s="14">
        <f t="shared" si="7"/>
        <v>144</v>
      </c>
      <c r="AH48" s="14">
        <f t="shared" si="8"/>
        <v>868</v>
      </c>
      <c r="AJ48" s="14">
        <f t="shared" si="25"/>
        <v>619</v>
      </c>
      <c r="AK48" s="14">
        <f t="shared" si="26"/>
        <v>309</v>
      </c>
      <c r="AL48" s="14">
        <f t="shared" si="27"/>
        <v>1860</v>
      </c>
    </row>
    <row r="49" spans="11:38" ht="16.5" x14ac:dyDescent="0.2">
      <c r="K49" s="13">
        <v>46</v>
      </c>
      <c r="L49" s="13">
        <f t="shared" si="0"/>
        <v>3</v>
      </c>
      <c r="M49" s="13">
        <f t="shared" si="1"/>
        <v>3</v>
      </c>
      <c r="N49" s="14">
        <f t="shared" si="2"/>
        <v>1101003</v>
      </c>
      <c r="O49" s="14" t="str">
        <f t="shared" si="3"/>
        <v>战斗夏玲4突</v>
      </c>
      <c r="P49" s="29" t="s">
        <v>470</v>
      </c>
      <c r="Q49" s="14">
        <f t="shared" si="4"/>
        <v>1</v>
      </c>
      <c r="R49" s="14">
        <f t="shared" si="5"/>
        <v>4</v>
      </c>
      <c r="S49" s="14" t="s">
        <v>39</v>
      </c>
      <c r="T49" s="14">
        <f>ROUND(((IF(Q49=1,INDEX(新属性投放!$J$14:$J$34,卡牌属性!R49),INDEX(新属性投放!$J$42:$J$62,卡牌属性!R49)))*INDEX($G$5:$G$42,L49)+IF(Q49=1,INDEX(新属性投放!R$20:R$23,卡牌属性!M49-1),INDEX(新属性投放!R$25:R$28,卡牌属性!M49-1)))/SQRT(INDEX($I$5:$I$42,L49)),2)</f>
        <v>891.11</v>
      </c>
      <c r="U49" s="29" t="s">
        <v>178</v>
      </c>
      <c r="V49" s="14">
        <f>ROUND((IF(Q49=1,INDEX(新属性投放!$K$14:$K$34,卡牌属性!R49),INDEX(新属性投放!$K$42:$K$62,卡牌属性!R49))+IF(Q49=1,INDEX(新属性投放!S$20:S$23,卡牌属性!M49-1),INDEX(新属性投放!S$25:S$28,卡牌属性!M49-1)))*INDEX($G$5:$G$42,L49),2)</f>
        <v>376.28</v>
      </c>
      <c r="W49" s="29" t="s">
        <v>179</v>
      </c>
      <c r="X49" s="14">
        <f>ROUND((IF(Q49=1,INDEX(新属性投放!$L$14:$L$34,卡牌属性!R49),INDEX(新属性投放!$L$42:$L$62,卡牌属性!R49))*INDEX($G$5:$G$42,L49)+IF(Q49=1,INDEX(新属性投放!T$20:T$23,卡牌属性!M49-1),INDEX(新属性投放!T$25:T$28,卡牌属性!M49-1)))*SQRT(INDEX($I$5:$I$42,L49)),2)</f>
        <v>3253.33</v>
      </c>
      <c r="Y49" s="29" t="s">
        <v>177</v>
      </c>
      <c r="Z49" s="14">
        <f>ROUND(IF(Q49=1,INDEX(新属性投放!$D$14:$D$34,卡牌属性!R49),INDEX(新属性投放!$D$42:$D$62,卡牌属性!R49))*INDEX($G$5:$G$42,L49)/SQRT(INDEX($I$5:$I$42,L49)),2)</f>
        <v>34.65</v>
      </c>
      <c r="AA49" s="29" t="s">
        <v>178</v>
      </c>
      <c r="AB49" s="14">
        <f>ROUND(IF(Q49=1,INDEX(新属性投放!$E$14:$E$34,卡牌属性!R49),INDEX(新属性投放!$E$42:$E$62,卡牌属性!R49))*INDEX($G$5:$G$42,L49),2)</f>
        <v>17.32</v>
      </c>
      <c r="AC49" s="29" t="s">
        <v>179</v>
      </c>
      <c r="AD49" s="14">
        <f>ROUND(IF(Q49=1,INDEX(新属性投放!$F$14:$F$34,卡牌属性!R49),INDEX(新属性投放!$F$42:$F$62,卡牌属性!R49))*INDEX($G$5:$G$42,L49)*SQRT(INDEX($I$5:$I$42,L49)),2)</f>
        <v>103.95</v>
      </c>
      <c r="AF49" s="14">
        <f t="shared" si="6"/>
        <v>346</v>
      </c>
      <c r="AG49" s="14">
        <f t="shared" si="7"/>
        <v>173</v>
      </c>
      <c r="AH49" s="14">
        <f t="shared" si="8"/>
        <v>1039</v>
      </c>
      <c r="AJ49" s="14">
        <f t="shared" si="25"/>
        <v>965</v>
      </c>
      <c r="AK49" s="14">
        <f t="shared" si="26"/>
        <v>482</v>
      </c>
      <c r="AL49" s="14">
        <f t="shared" si="27"/>
        <v>2899</v>
      </c>
    </row>
    <row r="50" spans="11:38" ht="16.5" x14ac:dyDescent="0.2">
      <c r="K50" s="13">
        <v>47</v>
      </c>
      <c r="L50" s="13">
        <f t="shared" si="0"/>
        <v>3</v>
      </c>
      <c r="M50" s="13">
        <f t="shared" si="1"/>
        <v>3</v>
      </c>
      <c r="N50" s="14">
        <f t="shared" si="2"/>
        <v>1101003</v>
      </c>
      <c r="O50" s="14" t="str">
        <f t="shared" si="3"/>
        <v>战斗夏玲5突</v>
      </c>
      <c r="P50" s="29" t="s">
        <v>470</v>
      </c>
      <c r="Q50" s="14">
        <f t="shared" si="4"/>
        <v>1</v>
      </c>
      <c r="R50" s="14">
        <f t="shared" si="5"/>
        <v>5</v>
      </c>
      <c r="S50" s="14" t="s">
        <v>39</v>
      </c>
      <c r="T50" s="14">
        <f>ROUND(((IF(Q50=1,INDEX(新属性投放!$J$14:$J$34,卡牌属性!R50),INDEX(新属性投放!$J$42:$J$62,卡牌属性!R50)))*INDEX($G$5:$G$42,L50)+IF(Q50=1,INDEX(新属性投放!R$20:R$23,卡牌属性!M50-1),INDEX(新属性投放!R$25:R$28,卡牌属性!M50-1)))/SQRT(INDEX($I$5:$I$42,L50)),2)</f>
        <v>1323.86</v>
      </c>
      <c r="U50" s="29" t="s">
        <v>178</v>
      </c>
      <c r="V50" s="14">
        <f>ROUND((IF(Q50=1,INDEX(新属性投放!$K$14:$K$34,卡牌属性!R50),INDEX(新属性投放!$K$42:$K$62,卡牌属性!R50))+IF(Q50=1,INDEX(新属性投放!S$20:S$23,卡牌属性!M50-1),INDEX(新属性投放!S$25:S$28,卡牌属性!M50-1)))*INDEX($G$5:$G$42,L50),2)</f>
        <v>593.23</v>
      </c>
      <c r="W50" s="29" t="s">
        <v>179</v>
      </c>
      <c r="X50" s="14">
        <f>ROUND((IF(Q50=1,INDEX(新属性投放!$L$14:$L$34,卡牌属性!R50),INDEX(新属性投放!$L$42:$L$62,卡牌属性!R50))*INDEX($G$5:$G$42,L50)+IF(Q50=1,INDEX(新属性投放!T$20:T$23,卡牌属性!M50-1),INDEX(新属性投放!T$25:T$28,卡牌属性!M50-1)))*SQRT(INDEX($I$5:$I$42,L50)),2)</f>
        <v>4551.57</v>
      </c>
      <c r="Y50" s="29" t="s">
        <v>177</v>
      </c>
      <c r="Z50" s="14">
        <f>ROUND(IF(Q50=1,INDEX(新属性投放!$D$14:$D$34,卡牌属性!R50),INDEX(新属性投放!$D$42:$D$62,卡牌属性!R50))*INDEX($G$5:$G$42,L50)/SQRT(INDEX($I$5:$I$42,L50)),2)</f>
        <v>43.31</v>
      </c>
      <c r="AA50" s="29" t="s">
        <v>178</v>
      </c>
      <c r="AB50" s="14">
        <f>ROUND(IF(Q50=1,INDEX(新属性投放!$E$14:$E$34,卡牌属性!R50),INDEX(新属性投放!$E$42:$E$62,卡牌属性!R50))*INDEX($G$5:$G$42,L50),2)</f>
        <v>21.65</v>
      </c>
      <c r="AC50" s="29" t="s">
        <v>179</v>
      </c>
      <c r="AD50" s="14">
        <f>ROUND(IF(Q50=1,INDEX(新属性投放!$F$14:$F$34,卡牌属性!R50),INDEX(新属性投放!$F$42:$F$62,卡牌属性!R50))*INDEX($G$5:$G$42,L50)*SQRT(INDEX($I$5:$I$42,L50)),2)</f>
        <v>129.93</v>
      </c>
      <c r="AF50" s="14">
        <f t="shared" si="6"/>
        <v>433</v>
      </c>
      <c r="AG50" s="14">
        <f t="shared" si="7"/>
        <v>216</v>
      </c>
      <c r="AH50" s="14">
        <f t="shared" si="8"/>
        <v>1299</v>
      </c>
      <c r="AJ50" s="14">
        <f t="shared" si="25"/>
        <v>1398</v>
      </c>
      <c r="AK50" s="14">
        <f t="shared" si="26"/>
        <v>698</v>
      </c>
      <c r="AL50" s="14">
        <f t="shared" si="27"/>
        <v>4198</v>
      </c>
    </row>
    <row r="51" spans="11:38" ht="16.5" x14ac:dyDescent="0.2">
      <c r="K51" s="13">
        <v>48</v>
      </c>
      <c r="L51" s="13">
        <f t="shared" si="0"/>
        <v>3</v>
      </c>
      <c r="M51" s="13">
        <f t="shared" si="1"/>
        <v>3</v>
      </c>
      <c r="N51" s="14">
        <f t="shared" si="2"/>
        <v>1101003</v>
      </c>
      <c r="O51" s="14" t="str">
        <f t="shared" si="3"/>
        <v>战斗夏玲6突</v>
      </c>
      <c r="P51" s="29" t="s">
        <v>470</v>
      </c>
      <c r="Q51" s="14">
        <f t="shared" si="4"/>
        <v>1</v>
      </c>
      <c r="R51" s="14">
        <f t="shared" si="5"/>
        <v>6</v>
      </c>
      <c r="S51" s="14" t="s">
        <v>39</v>
      </c>
      <c r="T51" s="14">
        <f>ROUND(((IF(Q51=1,INDEX(新属性投放!$J$14:$J$34,卡牌属性!R51),INDEX(新属性投放!$J$42:$J$62,卡牌属性!R51)))*INDEX($G$5:$G$42,L51)+IF(Q51=1,INDEX(新属性投放!R$20:R$23,卡牌属性!M51-1),INDEX(新属性投放!R$25:R$28,卡牌属性!M51-1)))/SQRT(INDEX($I$5:$I$42,L51)),2)</f>
        <v>1865.05</v>
      </c>
      <c r="U51" s="29" t="s">
        <v>178</v>
      </c>
      <c r="V51" s="14">
        <f>ROUND((IF(Q51=1,INDEX(新属性投放!$K$14:$K$34,卡牌属性!R51),INDEX(新属性投放!$K$42:$K$62,卡牌属性!R51))+IF(Q51=1,INDEX(新属性投放!S$20:S$23,卡牌属性!M51-1),INDEX(新属性投放!S$25:S$28,卡牌属性!M51-1)))*INDEX($G$5:$G$42,L51),2)</f>
        <v>863.82</v>
      </c>
      <c r="W51" s="29" t="s">
        <v>179</v>
      </c>
      <c r="X51" s="14">
        <f>ROUND((IF(Q51=1,INDEX(新属性投放!$L$14:$L$34,卡牌属性!R51),INDEX(新属性投放!$L$42:$L$62,卡牌属性!R51))*INDEX($G$5:$G$42,L51)+IF(Q51=1,INDEX(新属性投放!T$20:T$23,卡牌属性!M51-1),INDEX(新属性投放!T$25:T$28,卡牌属性!M51-1)))*SQRT(INDEX($I$5:$I$42,L51)),2)</f>
        <v>6175.14</v>
      </c>
      <c r="Y51" s="29" t="s">
        <v>177</v>
      </c>
      <c r="Z51" s="14">
        <f>ROUND(IF(Q51=1,INDEX(新属性投放!$D$14:$D$34,卡牌属性!R51),INDEX(新属性投放!$D$42:$D$62,卡牌属性!R51))*INDEX($G$5:$G$42,L51)/SQRT(INDEX($I$5:$I$42,L51)),2)</f>
        <v>56.18</v>
      </c>
      <c r="AA51" s="29" t="s">
        <v>178</v>
      </c>
      <c r="AB51" s="14">
        <f>ROUND(IF(Q51=1,INDEX(新属性投放!$E$14:$E$34,卡牌属性!R51),INDEX(新属性投放!$E$42:$E$62,卡牌属性!R51))*INDEX($G$5:$G$42,L51),2)</f>
        <v>28.09</v>
      </c>
      <c r="AC51" s="29" t="s">
        <v>179</v>
      </c>
      <c r="AD51" s="14">
        <f>ROUND(IF(Q51=1,INDEX(新属性投放!$F$14:$F$34,卡牌属性!R51),INDEX(新属性投放!$F$42:$F$62,卡牌属性!R51))*INDEX($G$5:$G$42,L51)*SQRT(INDEX($I$5:$I$42,L51)),2)</f>
        <v>168.53</v>
      </c>
      <c r="AF51" s="14">
        <f t="shared" si="6"/>
        <v>561</v>
      </c>
      <c r="AG51" s="14">
        <f t="shared" si="7"/>
        <v>280</v>
      </c>
      <c r="AH51" s="14">
        <f t="shared" si="8"/>
        <v>1685</v>
      </c>
      <c r="AJ51" s="14">
        <f t="shared" si="25"/>
        <v>1959</v>
      </c>
      <c r="AK51" s="14">
        <f t="shared" si="26"/>
        <v>978</v>
      </c>
      <c r="AL51" s="14">
        <f t="shared" si="27"/>
        <v>5883</v>
      </c>
    </row>
    <row r="52" spans="11:38" ht="16.5" x14ac:dyDescent="0.2">
      <c r="K52" s="13">
        <v>49</v>
      </c>
      <c r="L52" s="13">
        <f t="shared" si="0"/>
        <v>3</v>
      </c>
      <c r="M52" s="13">
        <f t="shared" si="1"/>
        <v>3</v>
      </c>
      <c r="N52" s="14">
        <f t="shared" si="2"/>
        <v>1101003</v>
      </c>
      <c r="O52" s="14" t="str">
        <f t="shared" si="3"/>
        <v>战斗夏玲7突</v>
      </c>
      <c r="P52" s="29" t="s">
        <v>470</v>
      </c>
      <c r="Q52" s="14">
        <f t="shared" si="4"/>
        <v>1</v>
      </c>
      <c r="R52" s="14">
        <f t="shared" si="5"/>
        <v>7</v>
      </c>
      <c r="S52" s="14" t="s">
        <v>39</v>
      </c>
      <c r="T52" s="14">
        <f>ROUND(((IF(Q52=1,INDEX(新属性投放!$J$14:$J$34,卡牌属性!R52),INDEX(新属性投放!$J$42:$J$62,卡牌属性!R52)))*INDEX($G$5:$G$42,L52)+IF(Q52=1,INDEX(新属性投放!R$20:R$23,卡牌属性!M52-1),INDEX(新属性投放!R$25:R$28,卡牌属性!M52-1)))/SQRT(INDEX($I$5:$I$42,L52)),2)</f>
        <v>2567.12</v>
      </c>
      <c r="U52" s="29" t="s">
        <v>178</v>
      </c>
      <c r="V52" s="14">
        <f>ROUND((IF(Q52=1,INDEX(新属性投放!$K$14:$K$34,卡牌属性!R52),INDEX(新属性投放!$K$42:$K$62,卡牌属性!R52))+IF(Q52=1,INDEX(新属性投放!S$20:S$23,卡牌属性!M52-1),INDEX(新属性投放!S$25:S$28,卡牌属性!M52-1)))*INDEX($G$5:$G$42,L52),2)</f>
        <v>1214.8599999999999</v>
      </c>
      <c r="W52" s="29" t="s">
        <v>179</v>
      </c>
      <c r="X52" s="14">
        <f>ROUND((IF(Q52=1,INDEX(新属性投放!$L$14:$L$34,卡牌属性!R52),INDEX(新属性投放!$L$42:$L$62,卡牌属性!R52))*INDEX($G$5:$G$42,L52)+IF(Q52=1,INDEX(新属性投放!T$20:T$23,卡牌属性!M52-1),INDEX(新属性投放!T$25:T$28,卡牌属性!M52-1)))*SQRT(INDEX($I$5:$I$42,L52)),2)</f>
        <v>8281.36</v>
      </c>
      <c r="Y52" s="29" t="s">
        <v>177</v>
      </c>
      <c r="Z52" s="14">
        <f>ROUND(IF(Q52=1,INDEX(新属性投放!$D$14:$D$34,卡牌属性!R52),INDEX(新属性投放!$D$42:$D$62,卡牌属性!R52))*INDEX($G$5:$G$42,L52)/SQRT(INDEX($I$5:$I$42,L52)),2)</f>
        <v>69.22</v>
      </c>
      <c r="AA52" s="29" t="s">
        <v>178</v>
      </c>
      <c r="AB52" s="14">
        <f>ROUND(IF(Q52=1,INDEX(新属性投放!$E$14:$E$34,卡牌属性!R52),INDEX(新属性投放!$E$42:$E$62,卡牌属性!R52))*INDEX($G$5:$G$42,L52),2)</f>
        <v>34.61</v>
      </c>
      <c r="AC52" s="29" t="s">
        <v>179</v>
      </c>
      <c r="AD52" s="14">
        <f>ROUND(IF(Q52=1,INDEX(新属性投放!$F$14:$F$34,卡牌属性!R52),INDEX(新属性投放!$F$42:$F$62,卡牌属性!R52))*INDEX($G$5:$G$42,L52)*SQRT(INDEX($I$5:$I$42,L52)),2)</f>
        <v>207.66</v>
      </c>
      <c r="AF52" s="14">
        <f t="shared" si="6"/>
        <v>692</v>
      </c>
      <c r="AG52" s="14">
        <f t="shared" si="7"/>
        <v>346</v>
      </c>
      <c r="AH52" s="14">
        <f t="shared" si="8"/>
        <v>2076</v>
      </c>
      <c r="AJ52" s="14">
        <f t="shared" si="25"/>
        <v>2651</v>
      </c>
      <c r="AK52" s="14">
        <f t="shared" si="26"/>
        <v>1324</v>
      </c>
      <c r="AL52" s="14">
        <f t="shared" si="27"/>
        <v>7959</v>
      </c>
    </row>
    <row r="53" spans="11:38" ht="16.5" x14ac:dyDescent="0.2">
      <c r="K53" s="13">
        <v>50</v>
      </c>
      <c r="L53" s="13">
        <f t="shared" si="0"/>
        <v>3</v>
      </c>
      <c r="M53" s="13">
        <f t="shared" si="1"/>
        <v>3</v>
      </c>
      <c r="N53" s="14">
        <f t="shared" si="2"/>
        <v>1101003</v>
      </c>
      <c r="O53" s="14" t="str">
        <f t="shared" si="3"/>
        <v>战斗夏玲8突</v>
      </c>
      <c r="P53" s="29" t="s">
        <v>470</v>
      </c>
      <c r="Q53" s="14">
        <f t="shared" si="4"/>
        <v>1</v>
      </c>
      <c r="R53" s="14">
        <f t="shared" si="5"/>
        <v>8</v>
      </c>
      <c r="S53" s="14" t="s">
        <v>39</v>
      </c>
      <c r="T53" s="14">
        <f>ROUND(((IF(Q53=1,INDEX(新属性投放!$J$14:$J$34,卡牌属性!R53),INDEX(新属性投放!$J$42:$J$62,卡牌属性!R53)))*INDEX($G$5:$G$42,L53)+IF(Q53=1,INDEX(新属性投放!R$20:R$23,卡牌属性!M53-1),INDEX(新属性投放!R$25:R$28,卡牌属性!M53-1)))/SQRT(INDEX($I$5:$I$42,L53)),2)</f>
        <v>3431.81</v>
      </c>
      <c r="U53" s="29" t="s">
        <v>178</v>
      </c>
      <c r="V53" s="14">
        <f>ROUND((IF(Q53=1,INDEX(新属性投放!$K$14:$K$34,卡牌属性!R53),INDEX(新属性投放!$K$42:$K$62,卡牌属性!R53))+IF(Q53=1,INDEX(新属性投放!S$20:S$23,卡牌属性!M53-1),INDEX(新属性投放!S$25:S$28,卡牌属性!M53-1)))*INDEX($G$5:$G$42,L53),2)</f>
        <v>1647.2</v>
      </c>
      <c r="W53" s="29" t="s">
        <v>179</v>
      </c>
      <c r="X53" s="14">
        <f>ROUND((IF(Q53=1,INDEX(新属性投放!$L$14:$L$34,卡牌属性!R53),INDEX(新属性投放!$L$42:$L$62,卡牌属性!R53))*INDEX($G$5:$G$42,L53)+IF(Q53=1,INDEX(新属性投放!T$20:T$23,卡牌属性!M53-1),INDEX(新属性投放!T$25:T$28,卡牌属性!M53-1)))*SQRT(INDEX($I$5:$I$42,L53)),2)</f>
        <v>10875.42</v>
      </c>
      <c r="Y53" s="29" t="s">
        <v>177</v>
      </c>
      <c r="Z53" s="14">
        <f>ROUND(IF(Q53=1,INDEX(新属性投放!$D$14:$D$34,卡牌属性!R53),INDEX(新属性投放!$D$42:$D$62,卡牌属性!R53))*INDEX($G$5:$G$42,L53)/SQRT(INDEX($I$5:$I$42,L53)),2)</f>
        <v>86.47</v>
      </c>
      <c r="AA53" s="29" t="s">
        <v>178</v>
      </c>
      <c r="AB53" s="14">
        <f>ROUND(IF(Q53=1,INDEX(新属性投放!$E$14:$E$34,卡牌属性!R53),INDEX(新属性投放!$E$42:$E$62,卡牌属性!R53))*INDEX($G$5:$G$42,L53),2)</f>
        <v>43.23</v>
      </c>
      <c r="AC53" s="29" t="s">
        <v>179</v>
      </c>
      <c r="AD53" s="14">
        <f>ROUND(IF(Q53=1,INDEX(新属性投放!$F$14:$F$34,卡牌属性!R53),INDEX(新属性投放!$F$42:$F$62,卡牌属性!R53))*INDEX($G$5:$G$42,L53)*SQRT(INDEX($I$5:$I$42,L53)),2)</f>
        <v>259.41000000000003</v>
      </c>
      <c r="AF53" s="14">
        <f t="shared" si="6"/>
        <v>864</v>
      </c>
      <c r="AG53" s="14">
        <f t="shared" si="7"/>
        <v>432</v>
      </c>
      <c r="AH53" s="14">
        <f t="shared" si="8"/>
        <v>2594</v>
      </c>
      <c r="AJ53" s="14">
        <f t="shared" si="25"/>
        <v>3515</v>
      </c>
      <c r="AK53" s="14">
        <f t="shared" si="26"/>
        <v>1756</v>
      </c>
      <c r="AL53" s="14">
        <f t="shared" si="27"/>
        <v>10553</v>
      </c>
    </row>
    <row r="54" spans="11:38" ht="16.5" x14ac:dyDescent="0.2">
      <c r="K54" s="13">
        <v>51</v>
      </c>
      <c r="L54" s="13">
        <f t="shared" si="0"/>
        <v>3</v>
      </c>
      <c r="M54" s="13">
        <f t="shared" si="1"/>
        <v>3</v>
      </c>
      <c r="N54" s="14">
        <f t="shared" si="2"/>
        <v>1101003</v>
      </c>
      <c r="O54" s="14" t="str">
        <f t="shared" si="3"/>
        <v>战斗夏玲9突</v>
      </c>
      <c r="P54" s="29" t="s">
        <v>470</v>
      </c>
      <c r="Q54" s="14">
        <f t="shared" si="4"/>
        <v>1</v>
      </c>
      <c r="R54" s="14">
        <f t="shared" si="5"/>
        <v>9</v>
      </c>
      <c r="S54" s="14" t="s">
        <v>39</v>
      </c>
      <c r="T54" s="14">
        <f>ROUND(((IF(Q54=1,INDEX(新属性投放!$J$14:$J$34,卡牌属性!R54),INDEX(新属性投放!$J$42:$J$62,卡牌属性!R54)))*INDEX($G$5:$G$42,L54)+IF(Q54=1,INDEX(新属性投放!R$20:R$23,卡牌属性!M54-1),INDEX(新属性投放!R$25:R$28,卡牌属性!M54-1)))/SQRT(INDEX($I$5:$I$42,L54)),2)</f>
        <v>4512.6899999999996</v>
      </c>
      <c r="U54" s="29" t="s">
        <v>178</v>
      </c>
      <c r="V54" s="14">
        <f>ROUND((IF(Q54=1,INDEX(新属性投放!$K$14:$K$34,卡牌属性!R54),INDEX(新属性投放!$K$42:$K$62,卡牌属性!R54))+IF(Q54=1,INDEX(新属性投放!S$20:S$23,卡牌属性!M54-1),INDEX(新属性投放!S$25:S$28,卡牌属性!M54-1)))*INDEX($G$5:$G$42,L54),2)</f>
        <v>2187.65</v>
      </c>
      <c r="W54" s="29" t="s">
        <v>179</v>
      </c>
      <c r="X54" s="14">
        <f>ROUND((IF(Q54=1,INDEX(新属性投放!$L$14:$L$34,卡牌属性!R54),INDEX(新属性投放!$L$42:$L$62,卡牌属性!R54))*INDEX($G$5:$G$42,L54)+IF(Q54=1,INDEX(新属性投放!T$20:T$23,卡牌属性!M54-1),INDEX(新属性投放!T$25:T$28,卡牌属性!M54-1)))*SQRT(INDEX($I$5:$I$42,L54)),2)</f>
        <v>14118.07</v>
      </c>
      <c r="Y54" s="29" t="s">
        <v>177</v>
      </c>
      <c r="Z54" s="14">
        <f>ROUND(IF(Q54=1,INDEX(新属性投放!$D$14:$D$34,卡牌属性!R54),INDEX(新属性投放!$D$42:$D$62,卡牌属性!R54))*INDEX($G$5:$G$42,L54)/SQRT(INDEX($I$5:$I$42,L54)),2)</f>
        <v>112.46</v>
      </c>
      <c r="AA54" s="29" t="s">
        <v>178</v>
      </c>
      <c r="AB54" s="14">
        <f>ROUND(IF(Q54=1,INDEX(新属性投放!$E$14:$E$34,卡牌属性!R54),INDEX(新属性投放!$E$42:$E$62,卡牌属性!R54))*INDEX($G$5:$G$42,L54),2)</f>
        <v>56.23</v>
      </c>
      <c r="AC54" s="29" t="s">
        <v>179</v>
      </c>
      <c r="AD54" s="14">
        <f>ROUND(IF(Q54=1,INDEX(新属性投放!$F$14:$F$34,卡牌属性!R54),INDEX(新属性投放!$F$42:$F$62,卡牌属性!R54))*INDEX($G$5:$G$42,L54)*SQRT(INDEX($I$5:$I$42,L54)),2)</f>
        <v>337.38</v>
      </c>
      <c r="AF54" s="14">
        <f t="shared" si="6"/>
        <v>1124</v>
      </c>
      <c r="AG54" s="14">
        <f t="shared" si="7"/>
        <v>562</v>
      </c>
      <c r="AH54" s="14">
        <f t="shared" si="8"/>
        <v>3373</v>
      </c>
      <c r="AJ54" s="14">
        <f t="shared" si="25"/>
        <v>4639</v>
      </c>
      <c r="AK54" s="14">
        <f t="shared" si="26"/>
        <v>2318</v>
      </c>
      <c r="AL54" s="14">
        <f t="shared" si="27"/>
        <v>13926</v>
      </c>
    </row>
    <row r="55" spans="11:38" ht="16.5" x14ac:dyDescent="0.2">
      <c r="K55" s="13">
        <v>52</v>
      </c>
      <c r="L55" s="13">
        <f t="shared" si="0"/>
        <v>3</v>
      </c>
      <c r="M55" s="13">
        <f t="shared" si="1"/>
        <v>3</v>
      </c>
      <c r="N55" s="14">
        <f t="shared" si="2"/>
        <v>1101003</v>
      </c>
      <c r="O55" s="14" t="str">
        <f t="shared" si="3"/>
        <v>战斗夏玲10突</v>
      </c>
      <c r="P55" s="29" t="s">
        <v>470</v>
      </c>
      <c r="Q55" s="14">
        <f t="shared" si="4"/>
        <v>1</v>
      </c>
      <c r="R55" s="14">
        <f t="shared" si="5"/>
        <v>10</v>
      </c>
      <c r="S55" s="14" t="s">
        <v>39</v>
      </c>
      <c r="T55" s="14">
        <f>ROUND(((IF(Q55=1,INDEX(新属性投放!$J$14:$J$34,卡牌属性!R55),INDEX(新属性投放!$J$42:$J$62,卡牌属性!R55)))*INDEX($G$5:$G$42,L55)+IF(Q55=1,INDEX(新属性投放!R$20:R$23,卡牌属性!M55-1),INDEX(新属性投放!R$25:R$28,卡牌属性!M55-1)))/SQRT(INDEX($I$5:$I$42,L55)),2)</f>
        <v>5215.28</v>
      </c>
      <c r="U55" s="29" t="s">
        <v>178</v>
      </c>
      <c r="V55" s="14">
        <f>ROUND((IF(Q55=1,INDEX(新属性投放!$K$14:$K$34,卡牌属性!R55),INDEX(新属性投放!$K$42:$K$62,卡牌属性!R55))+IF(Q55=1,INDEX(新属性投放!S$20:S$23,卡牌属性!M55-1),INDEX(新属性投放!S$25:S$28,卡牌属性!M55-1)))*INDEX($G$5:$G$42,L55),2)</f>
        <v>2538.94</v>
      </c>
      <c r="W55" s="29" t="s">
        <v>179</v>
      </c>
      <c r="X55" s="14">
        <f>ROUND((IF(Q55=1,INDEX(新属性投放!$L$14:$L$34,卡牌属性!R55),INDEX(新属性投放!$L$42:$L$62,卡牌属性!R55))*INDEX($G$5:$G$42,L55)+IF(Q55=1,INDEX(新属性投放!T$20:T$23,卡牌属性!M55-1),INDEX(新属性投放!T$25:T$28,卡牌属性!M55-1)))*SQRT(INDEX($I$5:$I$42,L55)),2)</f>
        <v>16225.85</v>
      </c>
      <c r="Y55" s="29" t="s">
        <v>177</v>
      </c>
      <c r="Z55" s="14">
        <f>ROUND(IF(Q55=1,INDEX(新属性投放!$D$14:$D$34,卡牌属性!R55),INDEX(新属性投放!$D$42:$D$62,卡牌属性!R55))*INDEX($G$5:$G$42,L55)/SQRT(INDEX($I$5:$I$42,L55)),2)</f>
        <v>129.75</v>
      </c>
      <c r="AA55" s="29" t="s">
        <v>178</v>
      </c>
      <c r="AB55" s="14">
        <f>ROUND(IF(Q55=1,INDEX(新属性投放!$E$14:$E$34,卡牌属性!R55),INDEX(新属性投放!$E$42:$E$62,卡牌属性!R55))*INDEX($G$5:$G$42,L55),2)</f>
        <v>64.88</v>
      </c>
      <c r="AC55" s="29" t="s">
        <v>179</v>
      </c>
      <c r="AD55" s="14">
        <f>ROUND(IF(Q55=1,INDEX(新属性投放!$F$14:$F$34,卡牌属性!R55),INDEX(新属性投放!$F$42:$F$62,卡牌属性!R55))*INDEX($G$5:$G$42,L55)*SQRT(INDEX($I$5:$I$42,L55)),2)</f>
        <v>389.26</v>
      </c>
      <c r="AF55" s="14">
        <f t="shared" si="6"/>
        <v>1297</v>
      </c>
      <c r="AG55" s="14">
        <f t="shared" si="7"/>
        <v>648</v>
      </c>
      <c r="AH55" s="14">
        <f t="shared" si="8"/>
        <v>3892</v>
      </c>
      <c r="AJ55" s="14">
        <f t="shared" si="25"/>
        <v>5936</v>
      </c>
      <c r="AK55" s="14">
        <f t="shared" si="26"/>
        <v>2966</v>
      </c>
      <c r="AL55" s="14">
        <f t="shared" si="27"/>
        <v>17818</v>
      </c>
    </row>
    <row r="56" spans="11:38" ht="16.5" x14ac:dyDescent="0.2">
      <c r="K56" s="13">
        <v>53</v>
      </c>
      <c r="L56" s="13">
        <f t="shared" si="0"/>
        <v>3</v>
      </c>
      <c r="M56" s="13">
        <f t="shared" si="1"/>
        <v>3</v>
      </c>
      <c r="N56" s="14">
        <f t="shared" si="2"/>
        <v>1101003</v>
      </c>
      <c r="O56" s="14" t="str">
        <f t="shared" si="3"/>
        <v>战斗夏玲11突</v>
      </c>
      <c r="P56" s="29" t="s">
        <v>470</v>
      </c>
      <c r="Q56" s="14">
        <f t="shared" si="4"/>
        <v>1</v>
      </c>
      <c r="R56" s="14">
        <f t="shared" si="5"/>
        <v>11</v>
      </c>
      <c r="S56" s="14" t="s">
        <v>39</v>
      </c>
      <c r="T56" s="14">
        <f>ROUND(((IF(Q56=1,INDEX(新属性投放!$J$14:$J$34,卡牌属性!R56),INDEX(新属性投放!$J$42:$J$62,卡牌属性!R56)))*INDEX($G$5:$G$42,L56)+IF(Q56=1,INDEX(新属性投放!R$20:R$23,卡牌属性!M56-1),INDEX(新属性投放!R$25:R$28,卡牌属性!M56-1)))/SQRT(INDEX($I$5:$I$42,L56)),2)</f>
        <v>6026.21</v>
      </c>
      <c r="U56" s="29" t="s">
        <v>178</v>
      </c>
      <c r="V56" s="14">
        <f>ROUND((IF(Q56=1,INDEX(新属性投放!$K$14:$K$34,卡牌属性!R56),INDEX(新属性投放!$K$42:$K$62,卡牌属性!R56))+IF(Q56=1,INDEX(新属性投放!S$20:S$23,卡牌属性!M56-1),INDEX(新属性投放!S$25:S$28,卡牌属性!M56-1)))*INDEX($G$5:$G$42,L56),2)</f>
        <v>2944.98</v>
      </c>
      <c r="W56" s="29" t="s">
        <v>179</v>
      </c>
      <c r="X56" s="14">
        <f>ROUND((IF(Q56=1,INDEX(新属性投放!$L$14:$L$34,卡牌属性!R56),INDEX(新属性投放!$L$42:$L$62,卡牌属性!R56))*INDEX($G$5:$G$42,L56)+IF(Q56=1,INDEX(新属性投放!T$20:T$23,卡牌属性!M56-1),INDEX(新属性投放!T$25:T$28,卡牌属性!M56-1)))*SQRT(INDEX($I$5:$I$42,L56)),2)</f>
        <v>18658.62</v>
      </c>
      <c r="Y56" s="29" t="s">
        <v>177</v>
      </c>
      <c r="Z56" s="14">
        <f>ROUND(IF(Q56=1,INDEX(新属性投放!$D$14:$D$34,卡牌属性!R56),INDEX(新属性投放!$D$42:$D$62,卡牌属性!R56))*INDEX($G$5:$G$42,L56)/SQRT(INDEX($I$5:$I$42,L56)),2)</f>
        <v>151.32</v>
      </c>
      <c r="AA56" s="29" t="s">
        <v>178</v>
      </c>
      <c r="AB56" s="14">
        <f>ROUND(IF(Q56=1,INDEX(新属性投放!$E$14:$E$34,卡牌属性!R56),INDEX(新属性投放!$E$42:$E$62,卡牌属性!R56))*INDEX($G$5:$G$42,L56),2)</f>
        <v>75.66</v>
      </c>
      <c r="AC56" s="29" t="s">
        <v>179</v>
      </c>
      <c r="AD56" s="14">
        <f>ROUND(IF(Q56=1,INDEX(新属性投放!$F$14:$F$34,卡牌属性!R56),INDEX(新属性投放!$F$42:$F$62,卡牌属性!R56))*INDEX($G$5:$G$42,L56)*SQRT(INDEX($I$5:$I$42,L56)),2)</f>
        <v>453.95</v>
      </c>
      <c r="AF56" s="14">
        <f t="shared" si="6"/>
        <v>1513</v>
      </c>
      <c r="AG56" s="14">
        <f t="shared" si="7"/>
        <v>756</v>
      </c>
      <c r="AH56" s="14">
        <f t="shared" si="8"/>
        <v>4539</v>
      </c>
      <c r="AJ56" s="14">
        <f t="shared" si="25"/>
        <v>7449</v>
      </c>
      <c r="AK56" s="14">
        <f t="shared" si="26"/>
        <v>3722</v>
      </c>
      <c r="AL56" s="14">
        <f t="shared" si="27"/>
        <v>22357</v>
      </c>
    </row>
    <row r="57" spans="11:38" ht="16.5" x14ac:dyDescent="0.2">
      <c r="K57" s="13">
        <v>54</v>
      </c>
      <c r="L57" s="13">
        <f t="shared" si="0"/>
        <v>3</v>
      </c>
      <c r="M57" s="13">
        <f t="shared" si="1"/>
        <v>3</v>
      </c>
      <c r="N57" s="14">
        <f t="shared" si="2"/>
        <v>1101003</v>
      </c>
      <c r="O57" s="14" t="str">
        <f t="shared" si="3"/>
        <v>战斗夏玲12突</v>
      </c>
      <c r="P57" s="29" t="s">
        <v>470</v>
      </c>
      <c r="Q57" s="14">
        <f t="shared" si="4"/>
        <v>1</v>
      </c>
      <c r="R57" s="14">
        <f t="shared" si="5"/>
        <v>12</v>
      </c>
      <c r="S57" s="14" t="s">
        <v>39</v>
      </c>
      <c r="T57" s="14">
        <f>ROUND(((IF(Q57=1,INDEX(新属性投放!$J$14:$J$34,卡牌属性!R57),INDEX(新属性投放!$J$42:$J$62,卡牌属性!R57)))*INDEX($G$5:$G$42,L57)+IF(Q57=1,INDEX(新属性投放!R$20:R$23,卡牌属性!M57-1),INDEX(新属性投放!R$25:R$28,卡牌属性!M57-1)))/SQRT(INDEX($I$5:$I$42,L57)),2)</f>
        <v>6971.39</v>
      </c>
      <c r="U57" s="29" t="s">
        <v>178</v>
      </c>
      <c r="V57" s="14">
        <f>ROUND((IF(Q57=1,INDEX(新属性投放!$K$14:$K$34,卡牌属性!R57),INDEX(新属性投放!$K$42:$K$62,卡牌属性!R57))+IF(Q57=1,INDEX(新属性投放!S$20:S$23,卡牌属性!M57-1),INDEX(新属性投放!S$25:S$28,卡牌属性!M57-1)))*INDEX($G$5:$G$42,L57),2)</f>
        <v>3417.57</v>
      </c>
      <c r="W57" s="29" t="s">
        <v>179</v>
      </c>
      <c r="X57" s="14">
        <f>ROUND((IF(Q57=1,INDEX(新属性投放!$L$14:$L$34,卡牌属性!R57),INDEX(新属性投放!$L$42:$L$62,卡牌属性!R57))*INDEX($G$5:$G$42,L57)+IF(Q57=1,INDEX(新属性投放!T$20:T$23,卡牌属性!M57-1),INDEX(新属性投放!T$25:T$28,卡牌属性!M57-1)))*SQRT(INDEX($I$5:$I$42,L57)),2)</f>
        <v>21494.17</v>
      </c>
      <c r="Y57" s="29" t="s">
        <v>177</v>
      </c>
      <c r="Z57" s="14">
        <f>ROUND(IF(Q57=1,INDEX(新属性投放!$D$14:$D$34,卡牌属性!R57),INDEX(新属性投放!$D$42:$D$62,卡牌属性!R57))*INDEX($G$5:$G$42,L57)/SQRT(INDEX($I$5:$I$42,L57)),2)</f>
        <v>173.04</v>
      </c>
      <c r="AA57" s="29" t="s">
        <v>178</v>
      </c>
      <c r="AB57" s="14">
        <f>ROUND(IF(Q57=1,INDEX(新属性投放!$E$14:$E$34,卡牌属性!R57),INDEX(新属性投放!$E$42:$E$62,卡牌属性!R57))*INDEX($G$5:$G$42,L57),2)</f>
        <v>86.52</v>
      </c>
      <c r="AC57" s="29" t="s">
        <v>179</v>
      </c>
      <c r="AD57" s="14">
        <f>ROUND(IF(Q57=1,INDEX(新属性投放!$F$14:$F$34,卡牌属性!R57),INDEX(新属性投放!$F$42:$F$62,卡牌属性!R57))*INDEX($G$5:$G$42,L57)*SQRT(INDEX($I$5:$I$42,L57)),2)</f>
        <v>519.12</v>
      </c>
      <c r="AF57" s="14">
        <f t="shared" si="6"/>
        <v>1730</v>
      </c>
      <c r="AG57" s="14">
        <f t="shared" si="7"/>
        <v>865</v>
      </c>
      <c r="AH57" s="14">
        <f t="shared" si="8"/>
        <v>5191</v>
      </c>
      <c r="AJ57" s="14">
        <f t="shared" si="25"/>
        <v>9179</v>
      </c>
      <c r="AK57" s="14">
        <f t="shared" si="26"/>
        <v>4587</v>
      </c>
      <c r="AL57" s="14">
        <f t="shared" si="27"/>
        <v>27548</v>
      </c>
    </row>
    <row r="58" spans="11:38" ht="16.5" x14ac:dyDescent="0.2">
      <c r="K58" s="13">
        <v>55</v>
      </c>
      <c r="L58" s="13">
        <f t="shared" si="0"/>
        <v>3</v>
      </c>
      <c r="M58" s="13">
        <f t="shared" si="1"/>
        <v>3</v>
      </c>
      <c r="N58" s="14">
        <f t="shared" si="2"/>
        <v>1101003</v>
      </c>
      <c r="O58" s="14" t="str">
        <f t="shared" si="3"/>
        <v>战斗夏玲13突</v>
      </c>
      <c r="P58" s="29" t="s">
        <v>470</v>
      </c>
      <c r="Q58" s="14">
        <f t="shared" si="4"/>
        <v>1</v>
      </c>
      <c r="R58" s="14">
        <f t="shared" si="5"/>
        <v>13</v>
      </c>
      <c r="S58" s="14" t="s">
        <v>39</v>
      </c>
      <c r="T58" s="14">
        <f>ROUND(((IF(Q58=1,INDEX(新属性投放!$J$14:$J$34,卡牌属性!R58),INDEX(新属性投放!$J$42:$J$62,卡牌属性!R58)))*INDEX($G$5:$G$42,L58)+IF(Q58=1,INDEX(新属性投放!R$20:R$23,卡牌属性!M58-1),INDEX(新属性投放!R$25:R$28,卡牌属性!M58-1)))/SQRT(INDEX($I$5:$I$42,L58)),2)</f>
        <v>8052.79</v>
      </c>
      <c r="U58" s="29" t="s">
        <v>178</v>
      </c>
      <c r="V58" s="14">
        <f>ROUND((IF(Q58=1,INDEX(新属性投放!$K$14:$K$34,卡牌属性!R58),INDEX(新属性投放!$K$42:$K$62,卡牌属性!R58))+IF(Q58=1,INDEX(新属性投放!S$20:S$23,卡牌属性!M58-1),INDEX(新属性投放!S$25:S$28,卡牌属性!M58-1)))*INDEX($G$5:$G$42,L58),2)</f>
        <v>3958.27</v>
      </c>
      <c r="W58" s="29" t="s">
        <v>179</v>
      </c>
      <c r="X58" s="14">
        <f>ROUND((IF(Q58=1,INDEX(新属性投放!$L$14:$L$34,卡牌属性!R58),INDEX(新属性投放!$L$42:$L$62,卡牌属性!R58))*INDEX($G$5:$G$42,L58)+IF(Q58=1,INDEX(新属性投放!T$20:T$23,卡牌属性!M58-1),INDEX(新属性投放!T$25:T$28,卡牌属性!M58-1)))*SQRT(INDEX($I$5:$I$42,L58)),2)</f>
        <v>24738.38</v>
      </c>
      <c r="Y58" s="29" t="s">
        <v>177</v>
      </c>
      <c r="Z58" s="14">
        <f>ROUND(IF(Q58=1,INDEX(新属性投放!$D$14:$D$34,卡牌属性!R58),INDEX(新属性投放!$D$42:$D$62,卡牌属性!R58))*INDEX($G$5:$G$42,L58)/SQRT(INDEX($I$5:$I$42,L58)),2)</f>
        <v>200.07</v>
      </c>
      <c r="AA58" s="29" t="s">
        <v>178</v>
      </c>
      <c r="AB58" s="14">
        <f>ROUND(IF(Q58=1,INDEX(新属性投放!$E$14:$E$34,卡牌属性!R58),INDEX(新属性投放!$E$42:$E$62,卡牌属性!R58))*INDEX($G$5:$G$42,L58),2)</f>
        <v>100.03</v>
      </c>
      <c r="AC58" s="29" t="s">
        <v>179</v>
      </c>
      <c r="AD58" s="14">
        <f>ROUND(IF(Q58=1,INDEX(新属性投放!$F$14:$F$34,卡牌属性!R58),INDEX(新属性投放!$F$42:$F$62,卡牌属性!R58))*INDEX($G$5:$G$42,L58)*SQRT(INDEX($I$5:$I$42,L58)),2)</f>
        <v>600.20000000000005</v>
      </c>
      <c r="AF58" s="14">
        <f t="shared" si="6"/>
        <v>2000</v>
      </c>
      <c r="AG58" s="14">
        <f t="shared" si="7"/>
        <v>1000</v>
      </c>
      <c r="AH58" s="14">
        <f t="shared" si="8"/>
        <v>6002</v>
      </c>
      <c r="AJ58" s="14">
        <f t="shared" si="25"/>
        <v>11179</v>
      </c>
      <c r="AK58" s="14">
        <f t="shared" si="26"/>
        <v>5587</v>
      </c>
      <c r="AL58" s="14">
        <f t="shared" si="27"/>
        <v>33550</v>
      </c>
    </row>
    <row r="59" spans="11:38" ht="16.5" x14ac:dyDescent="0.2">
      <c r="K59" s="13">
        <v>56</v>
      </c>
      <c r="L59" s="13">
        <f t="shared" si="0"/>
        <v>3</v>
      </c>
      <c r="M59" s="13">
        <f t="shared" si="1"/>
        <v>3</v>
      </c>
      <c r="N59" s="14">
        <f t="shared" si="2"/>
        <v>1101003</v>
      </c>
      <c r="O59" s="14" t="str">
        <f t="shared" si="3"/>
        <v>战斗夏玲14突</v>
      </c>
      <c r="P59" s="29" t="s">
        <v>470</v>
      </c>
      <c r="Q59" s="14">
        <f t="shared" si="4"/>
        <v>1</v>
      </c>
      <c r="R59" s="14">
        <f t="shared" si="5"/>
        <v>14</v>
      </c>
      <c r="S59" s="14" t="s">
        <v>39</v>
      </c>
      <c r="T59" s="14">
        <f>ROUND(((IF(Q59=1,INDEX(新属性投放!$J$14:$J$34,卡牌属性!R59),INDEX(新属性投放!$J$42:$J$62,卡牌属性!R59)))*INDEX($G$5:$G$42,L59)+IF(Q59=1,INDEX(新属性投放!R$20:R$23,卡牌属性!M59-1),INDEX(新属性投放!R$25:R$28,卡牌属性!M59-1)))/SQRT(INDEX($I$5:$I$42,L59)),2)</f>
        <v>9302.67</v>
      </c>
      <c r="U59" s="29" t="s">
        <v>178</v>
      </c>
      <c r="V59" s="14">
        <f>ROUND((IF(Q59=1,INDEX(新属性投放!$K$14:$K$34,卡牌属性!R59),INDEX(新属性投放!$K$42:$K$62,卡牌属性!R59))+IF(Q59=1,INDEX(新属性投放!S$20:S$23,卡牌属性!M59-1),INDEX(新属性投放!S$25:S$28,卡牌属性!M59-1)))*INDEX($G$5:$G$42,L59),2)</f>
        <v>4583.79</v>
      </c>
      <c r="W59" s="29" t="s">
        <v>179</v>
      </c>
      <c r="X59" s="14">
        <f>ROUND((IF(Q59=1,INDEX(新属性投放!$L$14:$L$34,卡牌属性!R59),INDEX(新属性投放!$L$42:$L$62,卡牌属性!R59))*INDEX($G$5:$G$42,L59)+IF(Q59=1,INDEX(新属性投放!T$20:T$23,卡牌属性!M59-1),INDEX(新属性投放!T$25:T$28,卡牌属性!M59-1)))*SQRT(INDEX($I$5:$I$42,L59)),2)</f>
        <v>28488.01</v>
      </c>
      <c r="Y59" s="29" t="s">
        <v>177</v>
      </c>
      <c r="Z59" s="14">
        <f>ROUND(IF(Q59=1,INDEX(新属性投放!$D$14:$D$34,卡牌属性!R59),INDEX(新属性投放!$D$42:$D$62,卡牌属性!R59))*INDEX($G$5:$G$42,L59)/SQRT(INDEX($I$5:$I$42,L59)),2)</f>
        <v>231.32</v>
      </c>
      <c r="AA59" s="29" t="s">
        <v>178</v>
      </c>
      <c r="AB59" s="14">
        <f>ROUND(IF(Q59=1,INDEX(新属性投放!$E$14:$E$34,卡牌属性!R59),INDEX(新属性投放!$E$42:$E$62,卡牌属性!R59))*INDEX($G$5:$G$42,L59),2)</f>
        <v>115.66</v>
      </c>
      <c r="AC59" s="29" t="s">
        <v>179</v>
      </c>
      <c r="AD59" s="14">
        <f>ROUND(IF(Q59=1,INDEX(新属性投放!$F$14:$F$34,卡牌属性!R59),INDEX(新属性投放!$F$42:$F$62,卡牌属性!R59))*INDEX($G$5:$G$42,L59)*SQRT(INDEX($I$5:$I$42,L59)),2)</f>
        <v>693.97</v>
      </c>
      <c r="AF59" s="14">
        <f t="shared" si="6"/>
        <v>2313</v>
      </c>
      <c r="AG59" s="14">
        <f t="shared" si="7"/>
        <v>1156</v>
      </c>
      <c r="AH59" s="14">
        <f t="shared" si="8"/>
        <v>6939</v>
      </c>
      <c r="AJ59" s="14">
        <f t="shared" si="25"/>
        <v>13492</v>
      </c>
      <c r="AK59" s="14">
        <f t="shared" si="26"/>
        <v>6743</v>
      </c>
      <c r="AL59" s="14">
        <f t="shared" si="27"/>
        <v>40489</v>
      </c>
    </row>
    <row r="60" spans="11:38" ht="16.5" x14ac:dyDescent="0.2">
      <c r="K60" s="13">
        <v>57</v>
      </c>
      <c r="L60" s="13">
        <f t="shared" si="0"/>
        <v>3</v>
      </c>
      <c r="M60" s="13">
        <f t="shared" si="1"/>
        <v>3</v>
      </c>
      <c r="N60" s="14">
        <f t="shared" si="2"/>
        <v>1101003</v>
      </c>
      <c r="O60" s="14" t="str">
        <f t="shared" si="3"/>
        <v>战斗夏玲15突</v>
      </c>
      <c r="P60" s="29" t="s">
        <v>470</v>
      </c>
      <c r="Q60" s="14">
        <f t="shared" si="4"/>
        <v>1</v>
      </c>
      <c r="R60" s="14">
        <f t="shared" si="5"/>
        <v>15</v>
      </c>
      <c r="S60" s="14" t="s">
        <v>39</v>
      </c>
      <c r="T60" s="14">
        <f>ROUND(((IF(Q60=1,INDEX(新属性投放!$J$14:$J$34,卡牌属性!R60),INDEX(新属性投放!$J$42:$J$62,卡牌属性!R60)))*INDEX($G$5:$G$42,L60)+IF(Q60=1,INDEX(新属性投放!R$20:R$23,卡牌属性!M60-1),INDEX(新属性投放!R$25:R$28,卡牌属性!M60-1)))/SQRT(INDEX($I$5:$I$42,L60)),2)</f>
        <v>10747.93</v>
      </c>
      <c r="U60" s="29" t="s">
        <v>178</v>
      </c>
      <c r="V60" s="14">
        <f>ROUND((IF(Q60=1,INDEX(新属性投放!$K$14:$K$34,卡牌属性!R60),INDEX(新属性投放!$K$42:$K$62,卡牌属性!R60))+IF(Q60=1,INDEX(新属性投放!S$20:S$23,卡牌属性!M60-1),INDEX(新属性投放!S$25:S$28,卡牌属性!M60-1)))*INDEX($G$5:$G$42,L60),2)</f>
        <v>5306.99</v>
      </c>
      <c r="W60" s="29" t="s">
        <v>179</v>
      </c>
      <c r="X60" s="14">
        <f>ROUND((IF(Q60=1,INDEX(新属性投放!$L$14:$L$34,卡牌属性!R60),INDEX(新属性投放!$L$42:$L$62,卡牌属性!R60))*INDEX($G$5:$G$42,L60)+IF(Q60=1,INDEX(新属性投放!T$20:T$23,卡牌属性!M60-1),INDEX(新属性投放!T$25:T$28,卡牌属性!M60-1)))*SQRT(INDEX($I$5:$I$42,L60)),2)</f>
        <v>32823.800000000003</v>
      </c>
      <c r="Y60" s="29" t="s">
        <v>177</v>
      </c>
      <c r="Z60" s="14">
        <f>ROUND(IF(Q60=1,INDEX(新属性投放!$D$14:$D$34,卡牌属性!R60),INDEX(新属性投放!$D$42:$D$62,卡牌属性!R60))*INDEX($G$5:$G$42,L60)/SQRT(INDEX($I$5:$I$42,L60)),2)</f>
        <v>267.44</v>
      </c>
      <c r="AA60" s="29" t="s">
        <v>178</v>
      </c>
      <c r="AB60" s="14">
        <f>ROUND(IF(Q60=1,INDEX(新属性投放!$E$14:$E$34,卡牌属性!R60),INDEX(新属性投放!$E$42:$E$62,卡牌属性!R60))*INDEX($G$5:$G$42,L60),2)</f>
        <v>133.72</v>
      </c>
      <c r="AC60" s="29" t="s">
        <v>179</v>
      </c>
      <c r="AD60" s="14">
        <f>ROUND(IF(Q60=1,INDEX(新属性投放!$F$14:$F$34,卡牌属性!R60),INDEX(新属性投放!$F$42:$F$62,卡牌属性!R60))*INDEX($G$5:$G$42,L60)*SQRT(INDEX($I$5:$I$42,L60)),2)</f>
        <v>802.33</v>
      </c>
      <c r="AF60" s="14">
        <f t="shared" si="6"/>
        <v>2674</v>
      </c>
      <c r="AG60" s="14">
        <f t="shared" si="7"/>
        <v>1337</v>
      </c>
      <c r="AH60" s="14">
        <f t="shared" si="8"/>
        <v>8023</v>
      </c>
      <c r="AJ60" s="14">
        <f t="shared" si="25"/>
        <v>16166</v>
      </c>
      <c r="AK60" s="14">
        <f t="shared" si="26"/>
        <v>8080</v>
      </c>
      <c r="AL60" s="14">
        <f t="shared" si="27"/>
        <v>48512</v>
      </c>
    </row>
    <row r="61" spans="11:38" ht="16.5" x14ac:dyDescent="0.2">
      <c r="K61" s="13">
        <v>58</v>
      </c>
      <c r="L61" s="13">
        <f t="shared" si="0"/>
        <v>3</v>
      </c>
      <c r="M61" s="13">
        <f t="shared" si="1"/>
        <v>3</v>
      </c>
      <c r="N61" s="14">
        <f t="shared" si="2"/>
        <v>1101003</v>
      </c>
      <c r="O61" s="14" t="str">
        <f t="shared" si="3"/>
        <v>战斗夏玲16突</v>
      </c>
      <c r="P61" s="29" t="s">
        <v>470</v>
      </c>
      <c r="Q61" s="14">
        <f t="shared" si="4"/>
        <v>1</v>
      </c>
      <c r="R61" s="14">
        <f t="shared" si="5"/>
        <v>16</v>
      </c>
      <c r="S61" s="14" t="s">
        <v>39</v>
      </c>
      <c r="T61" s="14">
        <f>ROUND(((IF(Q61=1,INDEX(新属性投放!$J$14:$J$34,卡牌属性!R61),INDEX(新属性投放!$J$42:$J$62,卡牌属性!R61)))*INDEX($G$5:$G$42,L61)+IF(Q61=1,INDEX(新属性投放!R$20:R$23,卡牌属性!M61-1),INDEX(新属性投放!R$25:R$28,卡牌属性!M61-1)))/SQRT(INDEX($I$5:$I$42,L61)),2)</f>
        <v>12419.8</v>
      </c>
      <c r="U61" s="29" t="s">
        <v>178</v>
      </c>
      <c r="V61" s="14">
        <f>ROUND((IF(Q61=1,INDEX(新属性投放!$K$14:$K$34,卡牌属性!R61),INDEX(新属性投放!$K$42:$K$62,卡牌属性!R61))+IF(Q61=1,INDEX(新属性投放!S$20:S$23,卡牌属性!M61-1),INDEX(新属性投放!S$25:S$28,卡牌属性!M61-1)))*INDEX($G$5:$G$42,L61),2)</f>
        <v>6142.35</v>
      </c>
      <c r="W61" s="29" t="s">
        <v>179</v>
      </c>
      <c r="X61" s="14">
        <f>ROUND((IF(Q61=1,INDEX(新属性投放!$L$14:$L$34,卡牌属性!R61),INDEX(新属性投放!$L$42:$L$62,卡牌属性!R61))*INDEX($G$5:$G$42,L61)+IF(Q61=1,INDEX(新属性投放!T$20:T$23,卡牌属性!M61-1),INDEX(新属性投放!T$25:T$28,卡牌属性!M61-1)))*SQRT(INDEX($I$5:$I$42,L61)),2)</f>
        <v>37839.410000000003</v>
      </c>
      <c r="Y61" s="29" t="s">
        <v>177</v>
      </c>
      <c r="Z61" s="14">
        <f>ROUND(IF(Q61=1,INDEX(新属性投放!$D$14:$D$34,卡牌属性!R61),INDEX(新属性投放!$D$42:$D$62,卡牌属性!R61))*INDEX($G$5:$G$42,L61)/SQRT(INDEX($I$5:$I$42,L61)),2)</f>
        <v>309.25</v>
      </c>
      <c r="AA61" s="29" t="s">
        <v>178</v>
      </c>
      <c r="AB61" s="14">
        <f>ROUND(IF(Q61=1,INDEX(新属性投放!$E$14:$E$34,卡牌属性!R61),INDEX(新属性投放!$E$42:$E$62,卡牌属性!R61))*INDEX($G$5:$G$42,L61),2)</f>
        <v>154.62</v>
      </c>
      <c r="AC61" s="29" t="s">
        <v>179</v>
      </c>
      <c r="AD61" s="14">
        <f>ROUND(IF(Q61=1,INDEX(新属性投放!$F$14:$F$34,卡牌属性!R61),INDEX(新属性投放!$F$42:$F$62,卡牌属性!R61))*INDEX($G$5:$G$42,L61)*SQRT(INDEX($I$5:$I$42,L61)),2)</f>
        <v>927.74</v>
      </c>
      <c r="AF61" s="14">
        <f t="shared" si="6"/>
        <v>3092</v>
      </c>
      <c r="AG61" s="14">
        <f t="shared" si="7"/>
        <v>1546</v>
      </c>
      <c r="AH61" s="14">
        <f t="shared" si="8"/>
        <v>9277</v>
      </c>
      <c r="AJ61" s="14">
        <f t="shared" si="25"/>
        <v>19258</v>
      </c>
      <c r="AK61" s="14">
        <f t="shared" si="26"/>
        <v>9626</v>
      </c>
      <c r="AL61" s="14">
        <f t="shared" si="27"/>
        <v>57789</v>
      </c>
    </row>
    <row r="62" spans="11:38" ht="16.5" x14ac:dyDescent="0.2">
      <c r="K62" s="13">
        <v>59</v>
      </c>
      <c r="L62" s="13">
        <f t="shared" si="0"/>
        <v>3</v>
      </c>
      <c r="M62" s="13">
        <f t="shared" si="1"/>
        <v>3</v>
      </c>
      <c r="N62" s="14">
        <f t="shared" si="2"/>
        <v>1101003</v>
      </c>
      <c r="O62" s="14" t="str">
        <f t="shared" si="3"/>
        <v>战斗夏玲17突</v>
      </c>
      <c r="P62" s="29" t="s">
        <v>470</v>
      </c>
      <c r="Q62" s="14">
        <f t="shared" si="4"/>
        <v>1</v>
      </c>
      <c r="R62" s="14">
        <f t="shared" si="5"/>
        <v>17</v>
      </c>
      <c r="S62" s="14" t="s">
        <v>39</v>
      </c>
      <c r="T62" s="14">
        <f>ROUND(((IF(Q62=1,INDEX(新属性投放!$J$14:$J$34,卡牌属性!R62),INDEX(新属性投放!$J$42:$J$62,卡牌属性!R62)))*INDEX($G$5:$G$42,L62)+IF(Q62=1,INDEX(新属性投放!R$20:R$23,卡牌属性!M62-1),INDEX(新属性投放!R$25:R$28,卡牌属性!M62-1)))/SQRT(INDEX($I$5:$I$42,L62)),2)</f>
        <v>14352.44</v>
      </c>
      <c r="U62" s="29" t="s">
        <v>178</v>
      </c>
      <c r="V62" s="14">
        <f>ROUND((IF(Q62=1,INDEX(新属性投放!$K$14:$K$34,卡牌属性!R62),INDEX(新属性投放!$K$42:$K$62,卡牌属性!R62))+IF(Q62=1,INDEX(新属性投放!S$20:S$23,卡牌属性!M62-1),INDEX(新属性投放!S$25:S$28,卡牌属性!M62-1)))*INDEX($G$5:$G$42,L62),2)</f>
        <v>7108.67</v>
      </c>
      <c r="W62" s="29" t="s">
        <v>179</v>
      </c>
      <c r="X62" s="14">
        <f>ROUND((IF(Q62=1,INDEX(新属性投放!$L$14:$L$34,卡牌属性!R62),INDEX(新属性投放!$L$42:$L$62,卡牌属性!R62))*INDEX($G$5:$G$42,L62)+IF(Q62=1,INDEX(新属性投放!T$20:T$23,卡牌属性!M62-1),INDEX(新属性投放!T$25:T$28,卡牌属性!M62-1)))*SQRT(INDEX($I$5:$I$42,L62)),2)</f>
        <v>43637.31</v>
      </c>
      <c r="Y62" s="29" t="s">
        <v>177</v>
      </c>
      <c r="Z62" s="14">
        <f>ROUND(IF(Q62=1,INDEX(新属性投放!$D$14:$D$34,卡牌属性!R62),INDEX(新属性投放!$D$42:$D$62,卡牌属性!R62))*INDEX($G$5:$G$42,L62)/SQRT(INDEX($I$5:$I$42,L62)),2)</f>
        <v>357.56</v>
      </c>
      <c r="AA62" s="29" t="s">
        <v>178</v>
      </c>
      <c r="AB62" s="14">
        <f>ROUND(IF(Q62=1,INDEX(新属性投放!$E$14:$E$34,卡牌属性!R62),INDEX(新属性投放!$E$42:$E$62,卡牌属性!R62))*INDEX($G$5:$G$42,L62),2)</f>
        <v>178.78</v>
      </c>
      <c r="AC62" s="29" t="s">
        <v>179</v>
      </c>
      <c r="AD62" s="14">
        <f>ROUND(IF(Q62=1,INDEX(新属性投放!$F$14:$F$34,卡牌属性!R62),INDEX(新属性投放!$F$42:$F$62,卡牌属性!R62))*INDEX($G$5:$G$42,L62)*SQRT(INDEX($I$5:$I$42,L62)),2)</f>
        <v>1072.67</v>
      </c>
      <c r="AF62" s="14">
        <f t="shared" si="6"/>
        <v>3575</v>
      </c>
      <c r="AG62" s="14">
        <f t="shared" si="7"/>
        <v>1787</v>
      </c>
      <c r="AH62" s="14">
        <f t="shared" si="8"/>
        <v>10726</v>
      </c>
      <c r="AJ62" s="14">
        <f t="shared" si="25"/>
        <v>22833</v>
      </c>
      <c r="AK62" s="14">
        <f t="shared" si="26"/>
        <v>11413</v>
      </c>
      <c r="AL62" s="14">
        <f t="shared" si="27"/>
        <v>68515</v>
      </c>
    </row>
    <row r="63" spans="11:38" ht="16.5" x14ac:dyDescent="0.2">
      <c r="K63" s="13">
        <v>60</v>
      </c>
      <c r="L63" s="13">
        <f t="shared" si="0"/>
        <v>3</v>
      </c>
      <c r="M63" s="13">
        <f t="shared" si="1"/>
        <v>3</v>
      </c>
      <c r="N63" s="14">
        <f t="shared" si="2"/>
        <v>1101003</v>
      </c>
      <c r="O63" s="14" t="str">
        <f t="shared" si="3"/>
        <v>战斗夏玲18突</v>
      </c>
      <c r="P63" s="29" t="s">
        <v>470</v>
      </c>
      <c r="Q63" s="14">
        <f t="shared" si="4"/>
        <v>1</v>
      </c>
      <c r="R63" s="14">
        <f t="shared" si="5"/>
        <v>18</v>
      </c>
      <c r="S63" s="14" t="s">
        <v>39</v>
      </c>
      <c r="T63" s="14">
        <f>ROUND(((IF(Q63=1,INDEX(新属性投放!$J$14:$J$34,卡牌属性!R63),INDEX(新属性投放!$J$42:$J$62,卡牌属性!R63)))*INDEX($G$5:$G$42,L63)+IF(Q63=1,INDEX(新属性投放!R$20:R$23,卡牌属性!M63-1),INDEX(新属性投放!R$25:R$28,卡牌属性!M63-1)))/SQRT(INDEX($I$5:$I$42,L63)),2)</f>
        <v>16587.580000000002</v>
      </c>
      <c r="U63" s="29" t="s">
        <v>178</v>
      </c>
      <c r="V63" s="14">
        <f>ROUND((IF(Q63=1,INDEX(新属性投放!$K$14:$K$34,卡牌属性!R63),INDEX(新属性投放!$K$42:$K$62,卡牌属性!R63))+IF(Q63=1,INDEX(新属性投放!S$20:S$23,卡牌属性!M63-1),INDEX(新属性投放!S$25:S$28,卡牌属性!M63-1)))*INDEX($G$5:$G$42,L63),2)</f>
        <v>8225.66</v>
      </c>
      <c r="W63" s="29" t="s">
        <v>179</v>
      </c>
      <c r="X63" s="14">
        <f>ROUND((IF(Q63=1,INDEX(新属性投放!$L$14:$L$34,卡牌属性!R63),INDEX(新属性投放!$L$42:$L$62,卡牌属性!R63))*INDEX($G$5:$G$42,L63)+IF(Q63=1,INDEX(新属性投放!T$20:T$23,卡牌属性!M63-1),INDEX(新属性投放!T$25:T$28,卡牌属性!M63-1)))*SQRT(INDEX($I$5:$I$42,L63)),2)</f>
        <v>50342.73</v>
      </c>
      <c r="Y63" s="29" t="s">
        <v>177</v>
      </c>
      <c r="Z63" s="14">
        <f>ROUND(IF(Q63=1,INDEX(新属性投放!$D$14:$D$34,卡牌属性!R63),INDEX(新属性投放!$D$42:$D$62,卡牌属性!R63))*INDEX($G$5:$G$42,L63)/SQRT(INDEX($I$5:$I$42,L63)),2)</f>
        <v>413.44</v>
      </c>
      <c r="AA63" s="29" t="s">
        <v>178</v>
      </c>
      <c r="AB63" s="14">
        <f>ROUND(IF(Q63=1,INDEX(新属性投放!$E$14:$E$34,卡牌属性!R63),INDEX(新属性投放!$E$42:$E$62,卡牌属性!R63))*INDEX($G$5:$G$42,L63),2)</f>
        <v>206.72</v>
      </c>
      <c r="AC63" s="29" t="s">
        <v>179</v>
      </c>
      <c r="AD63" s="14">
        <f>ROUND(IF(Q63=1,INDEX(新属性投放!$F$14:$F$34,卡牌属性!R63),INDEX(新属性投放!$F$42:$F$62,卡牌属性!R63))*INDEX($G$5:$G$42,L63)*SQRT(INDEX($I$5:$I$42,L63)),2)</f>
        <v>1240.31</v>
      </c>
      <c r="AF63" s="14">
        <f t="shared" si="6"/>
        <v>4134</v>
      </c>
      <c r="AG63" s="14">
        <f t="shared" si="7"/>
        <v>2067</v>
      </c>
      <c r="AH63" s="14">
        <f t="shared" si="8"/>
        <v>12403</v>
      </c>
      <c r="AJ63" s="14">
        <f t="shared" si="25"/>
        <v>26967</v>
      </c>
      <c r="AK63" s="14">
        <f t="shared" si="26"/>
        <v>13480</v>
      </c>
      <c r="AL63" s="14">
        <f t="shared" si="27"/>
        <v>80918</v>
      </c>
    </row>
    <row r="64" spans="11:38" ht="16.5" x14ac:dyDescent="0.2">
      <c r="K64" s="13">
        <v>61</v>
      </c>
      <c r="L64" s="13">
        <f t="shared" si="0"/>
        <v>3</v>
      </c>
      <c r="M64" s="13">
        <f t="shared" si="1"/>
        <v>3</v>
      </c>
      <c r="N64" s="14">
        <f t="shared" si="2"/>
        <v>1101003</v>
      </c>
      <c r="O64" s="14" t="str">
        <f t="shared" si="3"/>
        <v>战斗夏玲19突</v>
      </c>
      <c r="P64" s="29" t="s">
        <v>470</v>
      </c>
      <c r="Q64" s="14">
        <f t="shared" si="4"/>
        <v>1</v>
      </c>
      <c r="R64" s="14">
        <f t="shared" si="5"/>
        <v>19</v>
      </c>
      <c r="S64" s="14" t="s">
        <v>39</v>
      </c>
      <c r="T64" s="14">
        <f>ROUND(((IF(Q64=1,INDEX(新属性投放!$J$14:$J$34,卡牌属性!R64),INDEX(新属性投放!$J$42:$J$62,卡牌属性!R64)))*INDEX($G$5:$G$42,L64)+IF(Q64=1,INDEX(新属性投放!R$20:R$23,卡牌属性!M64-1),INDEX(新属性投放!R$25:R$28,卡牌属性!M64-1)))/SQRT(INDEX($I$5:$I$42,L64)),2)</f>
        <v>19171.11</v>
      </c>
      <c r="U64" s="29" t="s">
        <v>178</v>
      </c>
      <c r="V64" s="14">
        <f>ROUND((IF(Q64=1,INDEX(新属性投放!$K$14:$K$34,卡牌属性!R64),INDEX(新属性投放!$K$42:$K$62,卡牌属性!R64))+IF(Q64=1,INDEX(新属性投放!S$20:S$23,卡牌属性!M64-1),INDEX(新属性投放!S$25:S$28,卡牌属性!M64-1)))*INDEX($G$5:$G$42,L64),2)</f>
        <v>9518</v>
      </c>
      <c r="W64" s="29" t="s">
        <v>179</v>
      </c>
      <c r="X64" s="14">
        <f>ROUND((IF(Q64=1,INDEX(新属性投放!$L$14:$L$34,卡牌属性!R64),INDEX(新属性投放!$L$42:$L$62,卡牌属性!R64))*INDEX($G$5:$G$42,L64)+IF(Q64=1,INDEX(新属性投放!T$20:T$23,卡牌属性!M64-1),INDEX(新属性投放!T$25:T$28,卡牌属性!M64-1)))*SQRT(INDEX($I$5:$I$42,L64)),2)</f>
        <v>58093.32</v>
      </c>
      <c r="Y64" s="29" t="s">
        <v>177</v>
      </c>
      <c r="Z64" s="14">
        <f>ROUND(IF(Q64=1,INDEX(新属性投放!$D$14:$D$34,卡牌属性!R64),INDEX(新属性投放!$D$42:$D$62,卡牌属性!R64))*INDEX($G$5:$G$42,L64)/SQRT(INDEX($I$5:$I$42,L64)),2)</f>
        <v>478.03</v>
      </c>
      <c r="AA64" s="29" t="s">
        <v>178</v>
      </c>
      <c r="AB64" s="14">
        <f>ROUND(IF(Q64=1,INDEX(新属性投放!$E$14:$E$34,卡牌属性!R64),INDEX(新属性投放!$E$42:$E$62,卡牌属性!R64))*INDEX($G$5:$G$42,L64),2)</f>
        <v>239.02</v>
      </c>
      <c r="AC64" s="29" t="s">
        <v>179</v>
      </c>
      <c r="AD64" s="14">
        <f>ROUND(IF(Q64=1,INDEX(新属性投放!$F$14:$F$34,卡牌属性!R64),INDEX(新属性投放!$F$42:$F$62,卡牌属性!R64))*INDEX($G$5:$G$42,L64)*SQRT(INDEX($I$5:$I$42,L64)),2)</f>
        <v>1434.1</v>
      </c>
      <c r="AF64" s="14">
        <f t="shared" si="6"/>
        <v>4780</v>
      </c>
      <c r="AG64" s="14">
        <f t="shared" si="7"/>
        <v>2390</v>
      </c>
      <c r="AH64" s="14">
        <f t="shared" si="8"/>
        <v>14341</v>
      </c>
      <c r="AJ64" s="14">
        <f t="shared" si="25"/>
        <v>31747</v>
      </c>
      <c r="AK64" s="14">
        <f t="shared" si="26"/>
        <v>15870</v>
      </c>
      <c r="AL64" s="14">
        <f t="shared" si="27"/>
        <v>95259</v>
      </c>
    </row>
    <row r="65" spans="11:38" ht="16.5" x14ac:dyDescent="0.2">
      <c r="K65" s="13">
        <v>62</v>
      </c>
      <c r="L65" s="13">
        <f t="shared" si="0"/>
        <v>3</v>
      </c>
      <c r="M65" s="13">
        <f t="shared" si="1"/>
        <v>3</v>
      </c>
      <c r="N65" s="14">
        <f t="shared" si="2"/>
        <v>1101003</v>
      </c>
      <c r="O65" s="14" t="str">
        <f t="shared" si="3"/>
        <v>战斗夏玲20突</v>
      </c>
      <c r="P65" s="29" t="s">
        <v>470</v>
      </c>
      <c r="Q65" s="14">
        <f t="shared" si="4"/>
        <v>1</v>
      </c>
      <c r="R65" s="14">
        <f t="shared" si="5"/>
        <v>20</v>
      </c>
      <c r="S65" s="14" t="s">
        <v>39</v>
      </c>
      <c r="T65" s="14">
        <f>ROUND(((IF(Q65=1,INDEX(新属性投放!$J$14:$J$34,卡牌属性!R65),INDEX(新属性投放!$J$42:$J$62,卡牌属性!R65)))*INDEX($G$5:$G$42,L65)+IF(Q65=1,INDEX(新属性投放!R$20:R$23,卡牌属性!M65-1),INDEX(新属性投放!R$25:R$28,卡牌属性!M65-1)))/SQRT(INDEX($I$5:$I$42,L65)),2)</f>
        <v>22159.27</v>
      </c>
      <c r="U65" s="29" t="s">
        <v>178</v>
      </c>
      <c r="V65" s="14">
        <f>ROUND((IF(Q65=1,INDEX(新属性投放!$K$14:$K$34,卡牌属性!R65),INDEX(新属性投放!$K$42:$K$62,卡牌属性!R65))+IF(Q65=1,INDEX(新属性投放!S$20:S$23,卡牌属性!M65-1),INDEX(新属性投放!S$25:S$28,卡牌属性!M65-1)))*INDEX($G$5:$G$42,L65),2)</f>
        <v>11012.08</v>
      </c>
      <c r="W65" s="29" t="s">
        <v>179</v>
      </c>
      <c r="X65" s="14">
        <f>ROUND((IF(Q65=1,INDEX(新属性投放!$L$14:$L$34,卡牌属性!R65),INDEX(新属性投放!$L$42:$L$62,卡牌属性!R65))*INDEX($G$5:$G$42,L65)+IF(Q65=1,INDEX(新属性投放!T$20:T$23,卡牌属性!M65-1),INDEX(新属性投放!T$25:T$28,卡牌属性!M65-1)))*SQRT(INDEX($I$5:$I$42,L65)),2)</f>
        <v>67057.8</v>
      </c>
      <c r="Y65" s="29" t="s">
        <v>177</v>
      </c>
      <c r="Z65" s="14">
        <f>ROUND(IF(Q65=1,INDEX(新属性投放!$D$14:$D$34,卡牌属性!R65),INDEX(新属性投放!$D$42:$D$62,卡牌属性!R65))*INDEX($G$5:$G$42,L65)/SQRT(INDEX($I$5:$I$42,L65)),2)</f>
        <v>552.74</v>
      </c>
      <c r="AA65" s="29" t="s">
        <v>178</v>
      </c>
      <c r="AB65" s="14">
        <f>ROUND(IF(Q65=1,INDEX(新属性投放!$E$14:$E$34,卡牌属性!R65),INDEX(新属性投放!$E$42:$E$62,卡牌属性!R65))*INDEX($G$5:$G$42,L65),2)</f>
        <v>276.37</v>
      </c>
      <c r="AC65" s="29" t="s">
        <v>179</v>
      </c>
      <c r="AD65" s="14">
        <f>ROUND(IF(Q65=1,INDEX(新属性投放!$F$14:$F$34,卡牌属性!R65),INDEX(新属性投放!$F$42:$F$62,卡牌属性!R65))*INDEX($G$5:$G$42,L65)*SQRT(INDEX($I$5:$I$42,L65)),2)</f>
        <v>1658.21</v>
      </c>
      <c r="AF65" s="14">
        <f t="shared" si="6"/>
        <v>5527</v>
      </c>
      <c r="AG65" s="14">
        <f t="shared" si="7"/>
        <v>2763</v>
      </c>
      <c r="AH65" s="14">
        <f t="shared" si="8"/>
        <v>16582</v>
      </c>
      <c r="AJ65" s="14">
        <f t="shared" si="25"/>
        <v>37274</v>
      </c>
      <c r="AK65" s="14">
        <f t="shared" si="26"/>
        <v>18633</v>
      </c>
      <c r="AL65" s="14">
        <f t="shared" si="27"/>
        <v>111841</v>
      </c>
    </row>
    <row r="66" spans="11:38" ht="16.5" x14ac:dyDescent="0.2">
      <c r="K66" s="13">
        <v>63</v>
      </c>
      <c r="L66" s="13">
        <f t="shared" si="0"/>
        <v>3</v>
      </c>
      <c r="M66" s="13">
        <f t="shared" si="1"/>
        <v>3</v>
      </c>
      <c r="N66" s="14">
        <f t="shared" si="2"/>
        <v>1101003</v>
      </c>
      <c r="O66" s="14" t="str">
        <f t="shared" si="3"/>
        <v>战斗夏玲21突</v>
      </c>
      <c r="P66" s="29" t="s">
        <v>470</v>
      </c>
      <c r="Q66" s="14">
        <f t="shared" si="4"/>
        <v>1</v>
      </c>
      <c r="R66" s="14">
        <f t="shared" si="5"/>
        <v>21</v>
      </c>
      <c r="S66" s="14" t="s">
        <v>39</v>
      </c>
      <c r="T66" s="14">
        <f>ROUND(((IF(Q66=1,INDEX(新属性投放!$J$14:$J$34,卡牌属性!R66),INDEX(新属性投放!$J$42:$J$62,卡牌属性!R66)))*INDEX($G$5:$G$42,L66)+IF(Q66=1,INDEX(新属性投放!R$20:R$23,卡牌属性!M66-1),INDEX(新属性投放!R$25:R$28,卡牌属性!M66-1)))/SQRT(INDEX($I$5:$I$42,L66)),2)</f>
        <v>25614.1</v>
      </c>
      <c r="U66" s="29" t="s">
        <v>178</v>
      </c>
      <c r="V66" s="14">
        <f>ROUND((IF(Q66=1,INDEX(新属性投放!$K$14:$K$34,卡牌属性!R66),INDEX(新属性投放!$K$42:$K$62,卡牌属性!R66))+IF(Q66=1,INDEX(新属性投放!S$20:S$23,卡牌属性!M66-1),INDEX(新属性投放!S$25:S$28,卡牌属性!M66-1)))*INDEX($G$5:$G$42,L66),2)</f>
        <v>12738.92</v>
      </c>
      <c r="W66" s="29" t="s">
        <v>179</v>
      </c>
      <c r="X66" s="14">
        <f>ROUND((IF(Q66=1,INDEX(新属性投放!$L$14:$L$34,卡牌属性!R66),INDEX(新属性投放!$L$42:$L$62,卡牌属性!R66))*INDEX($G$5:$G$42,L66)+IF(Q66=1,INDEX(新属性投放!T$20:T$23,卡牌属性!M66-1),INDEX(新属性投放!T$25:T$28,卡牌属性!M66-1)))*SQRT(INDEX($I$5:$I$42,L66)),2)</f>
        <v>77422.289999999994</v>
      </c>
      <c r="Y66" s="29" t="s">
        <v>177</v>
      </c>
      <c r="Z66" s="14">
        <f>ROUND(IF(Q66=1,INDEX(新属性投放!$D$14:$D$34,卡牌属性!R66),INDEX(新属性投放!$D$42:$D$62,卡牌属性!R66))*INDEX($G$5:$G$42,L66)/SQRT(INDEX($I$5:$I$42,L66)),2)</f>
        <v>639.1</v>
      </c>
      <c r="AA66" s="29" t="s">
        <v>178</v>
      </c>
      <c r="AB66" s="14">
        <f>ROUND(IF(Q66=1,INDEX(新属性投放!$E$14:$E$34,卡牌属性!R66),INDEX(新属性投放!$E$42:$E$62,卡牌属性!R66))*INDEX($G$5:$G$42,L66),2)</f>
        <v>319.55</v>
      </c>
      <c r="AC66" s="29" t="s">
        <v>179</v>
      </c>
      <c r="AD66" s="14">
        <f>ROUND(IF(Q66=1,INDEX(新属性投放!$F$14:$F$34,卡牌属性!R66),INDEX(新属性投放!$F$42:$F$62,卡牌属性!R66))*INDEX($G$5:$G$42,L66)*SQRT(INDEX($I$5:$I$42,L66)),2)</f>
        <v>1917.3</v>
      </c>
      <c r="AF66" s="14">
        <f t="shared" si="6"/>
        <v>6391</v>
      </c>
      <c r="AG66" s="14">
        <f t="shared" si="7"/>
        <v>3195</v>
      </c>
      <c r="AH66" s="14">
        <f t="shared" si="8"/>
        <v>19173</v>
      </c>
      <c r="AJ66" s="14">
        <f t="shared" si="25"/>
        <v>43665</v>
      </c>
      <c r="AK66" s="14">
        <f t="shared" si="26"/>
        <v>21828</v>
      </c>
      <c r="AL66" s="14">
        <f t="shared" si="27"/>
        <v>131014</v>
      </c>
    </row>
    <row r="67" spans="11:38" ht="16.5" x14ac:dyDescent="0.2">
      <c r="K67" s="13">
        <v>64</v>
      </c>
      <c r="L67" s="13">
        <f t="shared" si="0"/>
        <v>4</v>
      </c>
      <c r="M67" s="13">
        <f t="shared" si="1"/>
        <v>4</v>
      </c>
      <c r="N67" s="14">
        <f t="shared" si="2"/>
        <v>1101004</v>
      </c>
      <c r="O67" s="14" t="str">
        <f t="shared" si="3"/>
        <v>项昆仑1突</v>
      </c>
      <c r="P67" s="29" t="s">
        <v>470</v>
      </c>
      <c r="Q67" s="14">
        <f t="shared" si="4"/>
        <v>1</v>
      </c>
      <c r="R67" s="14">
        <f t="shared" si="5"/>
        <v>1</v>
      </c>
      <c r="S67" s="14" t="s">
        <v>39</v>
      </c>
      <c r="T67" s="14">
        <f>ROUND(((IF(Q67=1,INDEX(新属性投放!$J$14:$J$34,卡牌属性!R67),INDEX(新属性投放!$J$42:$J$62,卡牌属性!R67)))*INDEX($G$5:$G$42,L67)+IF(Q67=1,INDEX(新属性投放!R$20:R$23,卡牌属性!M67-1),INDEX(新属性投放!R$25:R$28,卡牌属性!M67-1)))/SQRT(INDEX($I$5:$I$42,L67)),2)</f>
        <v>230</v>
      </c>
      <c r="U67" s="29" t="s">
        <v>178</v>
      </c>
      <c r="V67" s="14">
        <f>ROUND((IF(Q67=1,INDEX(新属性投放!$K$14:$K$34,卡牌属性!R67),INDEX(新属性投放!$K$42:$K$62,卡牌属性!R67))+IF(Q67=1,INDEX(新属性投放!S$20:S$23,卡牌属性!M67-1),INDEX(新属性投放!S$25:S$28,卡牌属性!M67-1)))*INDEX($G$5:$G$42,L67),2)</f>
        <v>0</v>
      </c>
      <c r="W67" s="29" t="s">
        <v>179</v>
      </c>
      <c r="X67" s="14">
        <f>ROUND((IF(Q67=1,INDEX(新属性投放!$L$14:$L$34,卡牌属性!R67),INDEX(新属性投放!$L$42:$L$62,卡牌属性!R67))*INDEX($G$5:$G$42,L67)+IF(Q67=1,INDEX(新属性投放!T$20:T$23,卡牌属性!M67-1),INDEX(新属性投放!T$25:T$28,卡牌属性!M67-1)))*SQRT(INDEX($I$5:$I$42,L67)),2)</f>
        <v>1150</v>
      </c>
      <c r="Y67" s="29" t="s">
        <v>177</v>
      </c>
      <c r="Z67" s="14">
        <f>ROUND(IF(Q67=1,INDEX(新属性投放!$D$14:$D$34,卡牌属性!R67),INDEX(新属性投放!$D$42:$D$62,卡牌属性!R67))*INDEX($G$5:$G$42,L67)/SQRT(INDEX($I$5:$I$42,L67)),2)</f>
        <v>19.5</v>
      </c>
      <c r="AA67" s="29" t="s">
        <v>178</v>
      </c>
      <c r="AB67" s="14">
        <f>ROUND(IF(Q67=1,INDEX(新属性投放!$E$14:$E$34,卡牌属性!R67),INDEX(新属性投放!$E$42:$E$62,卡牌属性!R67))*INDEX($G$5:$G$42,L67),2)</f>
        <v>9.75</v>
      </c>
      <c r="AC67" s="29" t="s">
        <v>179</v>
      </c>
      <c r="AD67" s="14">
        <f>ROUND(IF(Q67=1,INDEX(新属性投放!$F$14:$F$34,卡牌属性!R67),INDEX(新属性投放!$F$42:$F$62,卡牌属性!R67))*INDEX($G$5:$G$42,L67)*SQRT(INDEX($I$5:$I$42,L67)),2)</f>
        <v>58.5</v>
      </c>
      <c r="AF67" s="14">
        <f t="shared" si="6"/>
        <v>195</v>
      </c>
      <c r="AG67" s="14">
        <f t="shared" si="7"/>
        <v>97</v>
      </c>
      <c r="AH67" s="14">
        <f t="shared" si="8"/>
        <v>585</v>
      </c>
      <c r="AJ67" s="14">
        <f t="shared" ref="AJ67" si="28">AF67</f>
        <v>195</v>
      </c>
      <c r="AK67" s="14">
        <f t="shared" ref="AK67" si="29">AG67</f>
        <v>97</v>
      </c>
      <c r="AL67" s="14">
        <f t="shared" ref="AL67" si="30">AH67</f>
        <v>585</v>
      </c>
    </row>
    <row r="68" spans="11:38" ht="16.5" x14ac:dyDescent="0.2">
      <c r="K68" s="13">
        <v>65</v>
      </c>
      <c r="L68" s="13">
        <f t="shared" si="0"/>
        <v>4</v>
      </c>
      <c r="M68" s="13">
        <f t="shared" si="1"/>
        <v>4</v>
      </c>
      <c r="N68" s="14">
        <f t="shared" si="2"/>
        <v>1101004</v>
      </c>
      <c r="O68" s="14" t="str">
        <f t="shared" si="3"/>
        <v>项昆仑2突</v>
      </c>
      <c r="P68" s="29" t="s">
        <v>470</v>
      </c>
      <c r="Q68" s="14">
        <f t="shared" si="4"/>
        <v>1</v>
      </c>
      <c r="R68" s="14">
        <f t="shared" si="5"/>
        <v>2</v>
      </c>
      <c r="S68" s="14" t="s">
        <v>39</v>
      </c>
      <c r="T68" s="14">
        <f>ROUND(((IF(Q68=1,INDEX(新属性投放!$J$14:$J$34,卡牌属性!R68),INDEX(新属性投放!$J$42:$J$62,卡牌属性!R68)))*INDEX($G$5:$G$42,L68)+IF(Q68=1,INDEX(新属性投放!R$20:R$23,卡牌属性!M68-1),INDEX(新属性投放!R$25:R$28,卡牌属性!M68-1)))/SQRT(INDEX($I$5:$I$42,L68)),2)</f>
        <v>418.5</v>
      </c>
      <c r="U68" s="29" t="s">
        <v>178</v>
      </c>
      <c r="V68" s="14">
        <f>ROUND((IF(Q68=1,INDEX(新属性投放!$K$14:$K$34,卡牌属性!R68),INDEX(新属性投放!$K$42:$K$62,卡牌属性!R68))+IF(Q68=1,INDEX(新属性投放!S$20:S$23,卡牌属性!M68-1),INDEX(新属性投放!S$25:S$28,卡牌属性!M68-1)))*INDEX($G$5:$G$42,L68),2)</f>
        <v>109.85</v>
      </c>
      <c r="W68" s="29" t="s">
        <v>179</v>
      </c>
      <c r="X68" s="14">
        <f>ROUND((IF(Q68=1,INDEX(新属性投放!$L$14:$L$34,卡牌属性!R68),INDEX(新属性投放!$L$42:$L$62,卡牌属性!R68))*INDEX($G$5:$G$42,L68)+IF(Q68=1,INDEX(新属性投放!T$20:T$23,卡牌属性!M68-1),INDEX(新属性投放!T$25:T$28,卡牌属性!M68-1)))*SQRT(INDEX($I$5:$I$42,L68)),2)</f>
        <v>1715.5</v>
      </c>
      <c r="Y68" s="29" t="s">
        <v>177</v>
      </c>
      <c r="Z68" s="14">
        <f>ROUND(IF(Q68=1,INDEX(新属性投放!$D$14:$D$34,卡牌属性!R68),INDEX(新属性投放!$D$42:$D$62,卡牌属性!R68))*INDEX($G$5:$G$42,L68)/SQRT(INDEX($I$5:$I$42,L68)),2)</f>
        <v>17.899999999999999</v>
      </c>
      <c r="AA68" s="29" t="s">
        <v>178</v>
      </c>
      <c r="AB68" s="14">
        <f>ROUND(IF(Q68=1,INDEX(新属性投放!$E$14:$E$34,卡牌属性!R68),INDEX(新属性投放!$E$42:$E$62,卡牌属性!R68))*INDEX($G$5:$G$42,L68),2)</f>
        <v>8.9499999999999993</v>
      </c>
      <c r="AC68" s="29" t="s">
        <v>179</v>
      </c>
      <c r="AD68" s="14">
        <f>ROUND(IF(Q68=1,INDEX(新属性投放!$F$14:$F$34,卡牌属性!R68),INDEX(新属性投放!$F$42:$F$62,卡牌属性!R68))*INDEX($G$5:$G$42,L68)*SQRT(INDEX($I$5:$I$42,L68)),2)</f>
        <v>53.7</v>
      </c>
      <c r="AF68" s="14">
        <f t="shared" si="6"/>
        <v>179</v>
      </c>
      <c r="AG68" s="14">
        <f t="shared" si="7"/>
        <v>89</v>
      </c>
      <c r="AH68" s="14">
        <f t="shared" si="8"/>
        <v>537</v>
      </c>
      <c r="AJ68" s="14">
        <f t="shared" ref="AJ68:AJ87" si="31">AJ67+AF68</f>
        <v>374</v>
      </c>
      <c r="AK68" s="14">
        <f t="shared" ref="AK68:AK87" si="32">AK67+AG68</f>
        <v>186</v>
      </c>
      <c r="AL68" s="14">
        <f t="shared" ref="AL68:AL87" si="33">AL67+AH68</f>
        <v>1122</v>
      </c>
    </row>
    <row r="69" spans="11:38" ht="16.5" x14ac:dyDescent="0.2">
      <c r="K69" s="13">
        <v>66</v>
      </c>
      <c r="L69" s="13">
        <f t="shared" ref="L69:L132" si="34">MATCH(K69-1,$F$4:$F$41,1)</f>
        <v>4</v>
      </c>
      <c r="M69" s="13">
        <f t="shared" ref="M69:M132" si="35">INDEX($D$5:$D$42,L69)</f>
        <v>4</v>
      </c>
      <c r="N69" s="14">
        <f t="shared" ref="N69:N132" si="36">INDEX($A$4:$A$42,L69+1)</f>
        <v>1101004</v>
      </c>
      <c r="O69" s="14" t="str">
        <f t="shared" ref="O69:O132" si="37">INDEX($B$4:$B$42,MATCH(N69,$A$4:$A$42,0))&amp;R69&amp;"突"</f>
        <v>项昆仑3突</v>
      </c>
      <c r="P69" s="29" t="s">
        <v>470</v>
      </c>
      <c r="Q69" s="14">
        <f t="shared" ref="Q69:Q132" si="38">INDEX($C$4:$C$42,L69+1)</f>
        <v>1</v>
      </c>
      <c r="R69" s="14">
        <f t="shared" ref="R69:R132" si="39">K69-INDEX($F$4:$F$42,L69)</f>
        <v>3</v>
      </c>
      <c r="S69" s="14" t="s">
        <v>39</v>
      </c>
      <c r="T69" s="14">
        <f>ROUND(((IF(Q69=1,INDEX(新属性投放!$J$14:$J$34,卡牌属性!R69),INDEX(新属性投放!$J$42:$J$62,卡牌属性!R69)))*INDEX($G$5:$G$42,L69)+IF(Q69=1,INDEX(新属性投放!R$20:R$23,卡牌属性!M69-1),INDEX(新属性投放!R$25:R$28,卡牌属性!M69-1)))/SQRT(INDEX($I$5:$I$42,L69)),2)</f>
        <v>641.71</v>
      </c>
      <c r="U69" s="29" t="s">
        <v>178</v>
      </c>
      <c r="V69" s="14">
        <f>ROUND((IF(Q69=1,INDEX(新属性投放!$K$14:$K$34,卡牌属性!R69),INDEX(新属性投放!$K$42:$K$62,卡牌属性!R69))+IF(Q69=1,INDEX(新属性投放!S$20:S$23,卡牌属性!M69-1),INDEX(新属性投放!S$25:S$28,卡牌属性!M69-1)))*INDEX($G$5:$G$42,L69),2)</f>
        <v>221.46</v>
      </c>
      <c r="W69" s="29" t="s">
        <v>179</v>
      </c>
      <c r="X69" s="14">
        <f>ROUND((IF(Q69=1,INDEX(新属性投放!$L$14:$L$34,卡牌属性!R69),INDEX(新属性投放!$L$42:$L$62,卡牌属性!R69))*INDEX($G$5:$G$42,L69)+IF(Q69=1,INDEX(新属性投放!T$20:T$23,卡牌属性!M69-1),INDEX(新属性投放!T$25:T$28,卡牌属性!M69-1)))*SQRT(INDEX($I$5:$I$42,L69)),2)</f>
        <v>2385.13</v>
      </c>
      <c r="Y69" s="29" t="s">
        <v>177</v>
      </c>
      <c r="Z69" s="14">
        <f>ROUND(IF(Q69=1,INDEX(新属性投放!$D$14:$D$34,卡牌属性!R69),INDEX(新属性投放!$D$42:$D$62,卡牌属性!R69))*INDEX($G$5:$G$42,L69)/SQRT(INDEX($I$5:$I$42,L69)),2)</f>
        <v>32.72</v>
      </c>
      <c r="AA69" s="29" t="s">
        <v>178</v>
      </c>
      <c r="AB69" s="14">
        <f>ROUND(IF(Q69=1,INDEX(新属性投放!$E$14:$E$34,卡牌属性!R69),INDEX(新属性投放!$E$42:$E$62,卡牌属性!R69))*INDEX($G$5:$G$42,L69),2)</f>
        <v>16.36</v>
      </c>
      <c r="AC69" s="29" t="s">
        <v>179</v>
      </c>
      <c r="AD69" s="14">
        <f>ROUND(IF(Q69=1,INDEX(新属性投放!$F$14:$F$34,卡牌属性!R69),INDEX(新属性投放!$F$42:$F$62,卡牌属性!R69))*INDEX($G$5:$G$42,L69)*SQRT(INDEX($I$5:$I$42,L69)),2)</f>
        <v>98.16</v>
      </c>
      <c r="AF69" s="14">
        <f t="shared" ref="AF69:AF132" si="40">INT(Z69*AF$2*10)</f>
        <v>327</v>
      </c>
      <c r="AG69" s="14">
        <f t="shared" ref="AG69:AG132" si="41">INT(AB69*AF$2*10)</f>
        <v>163</v>
      </c>
      <c r="AH69" s="14">
        <f t="shared" ref="AH69:AH132" si="42">INT(AD69*AF$2*10)</f>
        <v>981</v>
      </c>
      <c r="AJ69" s="14">
        <f t="shared" si="31"/>
        <v>701</v>
      </c>
      <c r="AK69" s="14">
        <f t="shared" si="32"/>
        <v>349</v>
      </c>
      <c r="AL69" s="14">
        <f t="shared" si="33"/>
        <v>2103</v>
      </c>
    </row>
    <row r="70" spans="11:38" ht="16.5" x14ac:dyDescent="0.2">
      <c r="K70" s="13">
        <v>67</v>
      </c>
      <c r="L70" s="13">
        <f t="shared" si="34"/>
        <v>4</v>
      </c>
      <c r="M70" s="13">
        <f t="shared" si="35"/>
        <v>4</v>
      </c>
      <c r="N70" s="14">
        <f t="shared" si="36"/>
        <v>1101004</v>
      </c>
      <c r="O70" s="14" t="str">
        <f t="shared" si="37"/>
        <v>项昆仑4突</v>
      </c>
      <c r="P70" s="29" t="s">
        <v>470</v>
      </c>
      <c r="Q70" s="14">
        <f t="shared" si="38"/>
        <v>1</v>
      </c>
      <c r="R70" s="14">
        <f t="shared" si="39"/>
        <v>4</v>
      </c>
      <c r="S70" s="14" t="s">
        <v>39</v>
      </c>
      <c r="T70" s="14">
        <f>ROUND(((IF(Q70=1,INDEX(新属性投放!$J$14:$J$34,卡牌属性!R70),INDEX(新属性投放!$J$42:$J$62,卡牌属性!R70)))*INDEX($G$5:$G$42,L70)+IF(Q70=1,INDEX(新属性投放!R$20:R$23,卡牌属性!M70-1),INDEX(新属性投放!R$25:R$28,卡牌属性!M70-1)))/SQRT(INDEX($I$5:$I$42,L70)),2)</f>
        <v>1050.82</v>
      </c>
      <c r="U70" s="29" t="s">
        <v>178</v>
      </c>
      <c r="V70" s="14">
        <f>ROUND((IF(Q70=1,INDEX(新属性投放!$K$14:$K$34,卡牌属性!R70),INDEX(新属性投放!$K$42:$K$62,卡牌属性!R70))+IF(Q70=1,INDEX(新属性投放!S$20:S$23,卡牌属性!M70-1),INDEX(新属性投放!S$25:S$28,卡牌属性!M70-1)))*INDEX($G$5:$G$42,L70),2)</f>
        <v>425.36</v>
      </c>
      <c r="W70" s="29" t="s">
        <v>179</v>
      </c>
      <c r="X70" s="14">
        <f>ROUND((IF(Q70=1,INDEX(新属性投放!$L$14:$L$34,卡牌属性!R70),INDEX(新属性投放!$L$42:$L$62,卡牌属性!R70))*INDEX($G$5:$G$42,L70)+IF(Q70=1,INDEX(新属性投放!T$20:T$23,卡牌属性!M70-1),INDEX(新属性投放!T$25:T$28,卡牌属性!M70-1)))*SQRT(INDEX($I$5:$I$42,L70)),2)</f>
        <v>3612.46</v>
      </c>
      <c r="Y70" s="29" t="s">
        <v>177</v>
      </c>
      <c r="Z70" s="14">
        <f>ROUND(IF(Q70=1,INDEX(新属性投放!$D$14:$D$34,卡牌属性!R70),INDEX(新属性投放!$D$42:$D$62,卡牌属性!R70))*INDEX($G$5:$G$42,L70)/SQRT(INDEX($I$5:$I$42,L70)),2)</f>
        <v>39.17</v>
      </c>
      <c r="AA70" s="29" t="s">
        <v>178</v>
      </c>
      <c r="AB70" s="14">
        <f>ROUND(IF(Q70=1,INDEX(新属性投放!$E$14:$E$34,卡牌属性!R70),INDEX(新属性投放!$E$42:$E$62,卡牌属性!R70))*INDEX($G$5:$G$42,L70),2)</f>
        <v>19.579999999999998</v>
      </c>
      <c r="AC70" s="29" t="s">
        <v>179</v>
      </c>
      <c r="AD70" s="14">
        <f>ROUND(IF(Q70=1,INDEX(新属性投放!$F$14:$F$34,卡牌属性!R70),INDEX(新属性投放!$F$42:$F$62,卡牌属性!R70))*INDEX($G$5:$G$42,L70)*SQRT(INDEX($I$5:$I$42,L70)),2)</f>
        <v>117.51</v>
      </c>
      <c r="AF70" s="14">
        <f t="shared" si="40"/>
        <v>391</v>
      </c>
      <c r="AG70" s="14">
        <f t="shared" si="41"/>
        <v>195</v>
      </c>
      <c r="AH70" s="14">
        <f t="shared" si="42"/>
        <v>1175</v>
      </c>
      <c r="AJ70" s="14">
        <f t="shared" si="31"/>
        <v>1092</v>
      </c>
      <c r="AK70" s="14">
        <f t="shared" si="32"/>
        <v>544</v>
      </c>
      <c r="AL70" s="14">
        <f t="shared" si="33"/>
        <v>3278</v>
      </c>
    </row>
    <row r="71" spans="11:38" ht="16.5" x14ac:dyDescent="0.2">
      <c r="K71" s="13">
        <v>68</v>
      </c>
      <c r="L71" s="13">
        <f t="shared" si="34"/>
        <v>4</v>
      </c>
      <c r="M71" s="13">
        <f t="shared" si="35"/>
        <v>4</v>
      </c>
      <c r="N71" s="14">
        <f t="shared" si="36"/>
        <v>1101004</v>
      </c>
      <c r="O71" s="14" t="str">
        <f t="shared" si="37"/>
        <v>项昆仑5突</v>
      </c>
      <c r="P71" s="29" t="s">
        <v>470</v>
      </c>
      <c r="Q71" s="14">
        <f t="shared" si="38"/>
        <v>1</v>
      </c>
      <c r="R71" s="14">
        <f t="shared" si="39"/>
        <v>5</v>
      </c>
      <c r="S71" s="14" t="s">
        <v>39</v>
      </c>
      <c r="T71" s="14">
        <f>ROUND(((IF(Q71=1,INDEX(新属性投放!$J$14:$J$34,卡牌属性!R71),INDEX(新属性投放!$J$42:$J$62,卡牌属性!R71)))*INDEX($G$5:$G$42,L71)+IF(Q71=1,INDEX(新属性投放!R$20:R$23,卡牌属性!M71-1),INDEX(新属性投放!R$25:R$28,卡牌属性!M71-1)))/SQRT(INDEX($I$5:$I$42,L71)),2)</f>
        <v>1540.01</v>
      </c>
      <c r="U71" s="29" t="s">
        <v>178</v>
      </c>
      <c r="V71" s="14">
        <f>ROUND((IF(Q71=1,INDEX(新属性投放!$K$14:$K$34,卡牌属性!R71),INDEX(新属性投放!$K$42:$K$62,卡牌属性!R71))+IF(Q71=1,INDEX(新属性投放!S$20:S$23,卡牌属性!M71-1),INDEX(新属性投放!S$25:S$28,卡牌属性!M71-1)))*INDEX($G$5:$G$42,L71),2)</f>
        <v>670.61</v>
      </c>
      <c r="W71" s="29" t="s">
        <v>179</v>
      </c>
      <c r="X71" s="14">
        <f>ROUND((IF(Q71=1,INDEX(新属性投放!$L$14:$L$34,卡牌属性!R71),INDEX(新属性投放!$L$42:$L$62,卡牌属性!R71))*INDEX($G$5:$G$42,L71)+IF(Q71=1,INDEX(新属性投放!T$20:T$23,卡牌属性!M71-1),INDEX(新属性投放!T$25:T$28,卡牌属性!M71-1)))*SQRT(INDEX($I$5:$I$42,L71)),2)</f>
        <v>5080.03</v>
      </c>
      <c r="Y71" s="29" t="s">
        <v>177</v>
      </c>
      <c r="Z71" s="14">
        <f>ROUND(IF(Q71=1,INDEX(新属性投放!$D$14:$D$34,卡牌属性!R71),INDEX(新属性投放!$D$42:$D$62,卡牌属性!R71))*INDEX($G$5:$G$42,L71)/SQRT(INDEX($I$5:$I$42,L71)),2)</f>
        <v>48.96</v>
      </c>
      <c r="AA71" s="29" t="s">
        <v>178</v>
      </c>
      <c r="AB71" s="14">
        <f>ROUND(IF(Q71=1,INDEX(新属性投放!$E$14:$E$34,卡牌属性!R71),INDEX(新属性投放!$E$42:$E$62,卡牌属性!R71))*INDEX($G$5:$G$42,L71),2)</f>
        <v>24.48</v>
      </c>
      <c r="AC71" s="29" t="s">
        <v>179</v>
      </c>
      <c r="AD71" s="14">
        <f>ROUND(IF(Q71=1,INDEX(新属性投放!$F$14:$F$34,卡牌属性!R71),INDEX(新属性投放!$F$42:$F$62,卡牌属性!R71))*INDEX($G$5:$G$42,L71)*SQRT(INDEX($I$5:$I$42,L71)),2)</f>
        <v>146.87</v>
      </c>
      <c r="AF71" s="14">
        <f t="shared" si="40"/>
        <v>489</v>
      </c>
      <c r="AG71" s="14">
        <f t="shared" si="41"/>
        <v>244</v>
      </c>
      <c r="AH71" s="14">
        <f t="shared" si="42"/>
        <v>1468</v>
      </c>
      <c r="AJ71" s="14">
        <f t="shared" si="31"/>
        <v>1581</v>
      </c>
      <c r="AK71" s="14">
        <f t="shared" si="32"/>
        <v>788</v>
      </c>
      <c r="AL71" s="14">
        <f t="shared" si="33"/>
        <v>4746</v>
      </c>
    </row>
    <row r="72" spans="11:38" ht="16.5" x14ac:dyDescent="0.2">
      <c r="K72" s="13">
        <v>69</v>
      </c>
      <c r="L72" s="13">
        <f t="shared" si="34"/>
        <v>4</v>
      </c>
      <c r="M72" s="13">
        <f t="shared" si="35"/>
        <v>4</v>
      </c>
      <c r="N72" s="14">
        <f t="shared" si="36"/>
        <v>1101004</v>
      </c>
      <c r="O72" s="14" t="str">
        <f t="shared" si="37"/>
        <v>项昆仑6突</v>
      </c>
      <c r="P72" s="29" t="s">
        <v>470</v>
      </c>
      <c r="Q72" s="14">
        <f t="shared" si="38"/>
        <v>1</v>
      </c>
      <c r="R72" s="14">
        <f t="shared" si="39"/>
        <v>6</v>
      </c>
      <c r="S72" s="14" t="s">
        <v>39</v>
      </c>
      <c r="T72" s="14">
        <f>ROUND(((IF(Q72=1,INDEX(新属性投放!$J$14:$J$34,卡牌属性!R72),INDEX(新属性投放!$J$42:$J$62,卡牌属性!R72)))*INDEX($G$5:$G$42,L72)+IF(Q72=1,INDEX(新属性投放!R$20:R$23,卡牌属性!M72-1),INDEX(新属性投放!R$25:R$28,卡牌属性!M72-1)))/SQRT(INDEX($I$5:$I$42,L72)),2)</f>
        <v>2151.79</v>
      </c>
      <c r="U72" s="29" t="s">
        <v>178</v>
      </c>
      <c r="V72" s="14">
        <f>ROUND((IF(Q72=1,INDEX(新属性投放!$K$14:$K$34,卡牌属性!R72),INDEX(新属性投放!$K$42:$K$62,卡牌属性!R72))+IF(Q72=1,INDEX(新属性投放!S$20:S$23,卡牌属性!M72-1),INDEX(新属性投放!S$25:S$28,卡牌属性!M72-1)))*INDEX($G$5:$G$42,L72),2)</f>
        <v>976.5</v>
      </c>
      <c r="W72" s="29" t="s">
        <v>179</v>
      </c>
      <c r="X72" s="14">
        <f>ROUND((IF(Q72=1,INDEX(新属性投放!$L$14:$L$34,卡牌属性!R72),INDEX(新属性投放!$L$42:$L$62,卡牌属性!R72))*INDEX($G$5:$G$42,L72)+IF(Q72=1,INDEX(新属性投放!T$20:T$23,卡牌属性!M72-1),INDEX(新属性投放!T$25:T$28,卡牌属性!M72-1)))*SQRT(INDEX($I$5:$I$42,L72)),2)</f>
        <v>6915.37</v>
      </c>
      <c r="Y72" s="29" t="s">
        <v>177</v>
      </c>
      <c r="Z72" s="14">
        <f>ROUND(IF(Q72=1,INDEX(新属性投放!$D$14:$D$34,卡牌属性!R72),INDEX(新属性投放!$D$42:$D$62,卡牌属性!R72))*INDEX($G$5:$G$42,L72)/SQRT(INDEX($I$5:$I$42,L72)),2)</f>
        <v>63.51</v>
      </c>
      <c r="AA72" s="29" t="s">
        <v>178</v>
      </c>
      <c r="AB72" s="14">
        <f>ROUND(IF(Q72=1,INDEX(新属性投放!$E$14:$E$34,卡牌属性!R72),INDEX(新属性投放!$E$42:$E$62,卡牌属性!R72))*INDEX($G$5:$G$42,L72),2)</f>
        <v>31.75</v>
      </c>
      <c r="AC72" s="29" t="s">
        <v>179</v>
      </c>
      <c r="AD72" s="14">
        <f>ROUND(IF(Q72=1,INDEX(新属性投放!$F$14:$F$34,卡牌属性!R72),INDEX(新属性投放!$F$42:$F$62,卡牌属性!R72))*INDEX($G$5:$G$42,L72)*SQRT(INDEX($I$5:$I$42,L72)),2)</f>
        <v>190.52</v>
      </c>
      <c r="AF72" s="14">
        <f t="shared" si="40"/>
        <v>635</v>
      </c>
      <c r="AG72" s="14">
        <f t="shared" si="41"/>
        <v>317</v>
      </c>
      <c r="AH72" s="14">
        <f t="shared" si="42"/>
        <v>1905</v>
      </c>
      <c r="AJ72" s="14">
        <f t="shared" si="31"/>
        <v>2216</v>
      </c>
      <c r="AK72" s="14">
        <f t="shared" si="32"/>
        <v>1105</v>
      </c>
      <c r="AL72" s="14">
        <f t="shared" si="33"/>
        <v>6651</v>
      </c>
    </row>
    <row r="73" spans="11:38" ht="16.5" x14ac:dyDescent="0.2">
      <c r="K73" s="13">
        <v>70</v>
      </c>
      <c r="L73" s="13">
        <f t="shared" si="34"/>
        <v>4</v>
      </c>
      <c r="M73" s="13">
        <f t="shared" si="35"/>
        <v>4</v>
      </c>
      <c r="N73" s="14">
        <f t="shared" si="36"/>
        <v>1101004</v>
      </c>
      <c r="O73" s="14" t="str">
        <f t="shared" si="37"/>
        <v>项昆仑7突</v>
      </c>
      <c r="P73" s="29" t="s">
        <v>470</v>
      </c>
      <c r="Q73" s="14">
        <f t="shared" si="38"/>
        <v>1</v>
      </c>
      <c r="R73" s="14">
        <f t="shared" si="39"/>
        <v>7</v>
      </c>
      <c r="S73" s="14" t="s">
        <v>39</v>
      </c>
      <c r="T73" s="14">
        <f>ROUND(((IF(Q73=1,INDEX(新属性投放!$J$14:$J$34,卡牌属性!R73),INDEX(新属性投放!$J$42:$J$62,卡牌属性!R73)))*INDEX($G$5:$G$42,L73)+IF(Q73=1,INDEX(新属性投放!R$20:R$23,卡牌属性!M73-1),INDEX(新属性投放!R$25:R$28,卡牌属性!M73-1)))/SQRT(INDEX($I$5:$I$42,L73)),2)</f>
        <v>2945.44</v>
      </c>
      <c r="U73" s="29" t="s">
        <v>178</v>
      </c>
      <c r="V73" s="14">
        <f>ROUND((IF(Q73=1,INDEX(新属性投放!$K$14:$K$34,卡牌属性!R73),INDEX(新属性投放!$K$42:$K$62,卡牌属性!R73))+IF(Q73=1,INDEX(新属性投放!S$20:S$23,卡牌属性!M73-1),INDEX(新属性投放!S$25:S$28,卡牌属性!M73-1)))*INDEX($G$5:$G$42,L73),2)</f>
        <v>1373.32</v>
      </c>
      <c r="W73" s="29" t="s">
        <v>179</v>
      </c>
      <c r="X73" s="14">
        <f>ROUND((IF(Q73=1,INDEX(新属性投放!$L$14:$L$34,卡牌属性!R73),INDEX(新属性投放!$L$42:$L$62,卡牌属性!R73))*INDEX($G$5:$G$42,L73)+IF(Q73=1,INDEX(新属性投放!T$20:T$23,卡牌属性!M73-1),INDEX(新属性投放!T$25:T$28,卡牌属性!M73-1)))*SQRT(INDEX($I$5:$I$42,L73)),2)</f>
        <v>9296.32</v>
      </c>
      <c r="Y73" s="29" t="s">
        <v>177</v>
      </c>
      <c r="Z73" s="14">
        <f>ROUND(IF(Q73=1,INDEX(新属性投放!$D$14:$D$34,卡牌属性!R73),INDEX(新属性投放!$D$42:$D$62,卡牌属性!R73))*INDEX($G$5:$G$42,L73)/SQRT(INDEX($I$5:$I$42,L73)),2)</f>
        <v>78.25</v>
      </c>
      <c r="AA73" s="29" t="s">
        <v>178</v>
      </c>
      <c r="AB73" s="14">
        <f>ROUND(IF(Q73=1,INDEX(新属性投放!$E$14:$E$34,卡牌属性!R73),INDEX(新属性投放!$E$42:$E$62,卡牌属性!R73))*INDEX($G$5:$G$42,L73),2)</f>
        <v>39.119999999999997</v>
      </c>
      <c r="AC73" s="29" t="s">
        <v>179</v>
      </c>
      <c r="AD73" s="14">
        <f>ROUND(IF(Q73=1,INDEX(新属性投放!$F$14:$F$34,卡牌属性!R73),INDEX(新属性投放!$F$42:$F$62,卡牌属性!R73))*INDEX($G$5:$G$42,L73)*SQRT(INDEX($I$5:$I$42,L73)),2)</f>
        <v>234.74</v>
      </c>
      <c r="AF73" s="14">
        <f t="shared" si="40"/>
        <v>782</v>
      </c>
      <c r="AG73" s="14">
        <f t="shared" si="41"/>
        <v>391</v>
      </c>
      <c r="AH73" s="14">
        <f t="shared" si="42"/>
        <v>2347</v>
      </c>
      <c r="AJ73" s="14">
        <f t="shared" si="31"/>
        <v>2998</v>
      </c>
      <c r="AK73" s="14">
        <f t="shared" si="32"/>
        <v>1496</v>
      </c>
      <c r="AL73" s="14">
        <f t="shared" si="33"/>
        <v>8998</v>
      </c>
    </row>
    <row r="74" spans="11:38" ht="16.5" x14ac:dyDescent="0.2">
      <c r="K74" s="13">
        <v>71</v>
      </c>
      <c r="L74" s="13">
        <f t="shared" si="34"/>
        <v>4</v>
      </c>
      <c r="M74" s="13">
        <f t="shared" si="35"/>
        <v>4</v>
      </c>
      <c r="N74" s="14">
        <f t="shared" si="36"/>
        <v>1101004</v>
      </c>
      <c r="O74" s="14" t="str">
        <f t="shared" si="37"/>
        <v>项昆仑8突</v>
      </c>
      <c r="P74" s="29" t="s">
        <v>470</v>
      </c>
      <c r="Q74" s="14">
        <f t="shared" si="38"/>
        <v>1</v>
      </c>
      <c r="R74" s="14">
        <f t="shared" si="39"/>
        <v>8</v>
      </c>
      <c r="S74" s="14" t="s">
        <v>39</v>
      </c>
      <c r="T74" s="14">
        <f>ROUND(((IF(Q74=1,INDEX(新属性投放!$J$14:$J$34,卡牌属性!R74),INDEX(新属性投放!$J$42:$J$62,卡牌属性!R74)))*INDEX($G$5:$G$42,L74)+IF(Q74=1,INDEX(新属性投放!R$20:R$23,卡牌属性!M74-1),INDEX(新属性投放!R$25:R$28,卡牌属性!M74-1)))/SQRT(INDEX($I$5:$I$42,L74)),2)</f>
        <v>3922.91</v>
      </c>
      <c r="U74" s="29" t="s">
        <v>178</v>
      </c>
      <c r="V74" s="14">
        <f>ROUND((IF(Q74=1,INDEX(新属性投放!$K$14:$K$34,卡牌属性!R74),INDEX(新属性投放!$K$42:$K$62,卡牌属性!R74))+IF(Q74=1,INDEX(新属性投放!S$20:S$23,卡牌属性!M74-1),INDEX(新属性投放!S$25:S$28,卡牌属性!M74-1)))*INDEX($G$5:$G$42,L74),2)</f>
        <v>1862.06</v>
      </c>
      <c r="W74" s="29" t="s">
        <v>179</v>
      </c>
      <c r="X74" s="14">
        <f>ROUND((IF(Q74=1,INDEX(新属性投放!$L$14:$L$34,卡牌属性!R74),INDEX(新属性投放!$L$42:$L$62,卡牌属性!R74))*INDEX($G$5:$G$42,L74)+IF(Q74=1,INDEX(新属性投放!T$20:T$23,卡牌属性!M74-1),INDEX(新属性投放!T$25:T$28,卡牌属性!M74-1)))*SQRT(INDEX($I$5:$I$42,L74)),2)</f>
        <v>12228.73</v>
      </c>
      <c r="Y74" s="29" t="s">
        <v>177</v>
      </c>
      <c r="Z74" s="14">
        <f>ROUND(IF(Q74=1,INDEX(新属性投放!$D$14:$D$34,卡牌属性!R74),INDEX(新属性投放!$D$42:$D$62,卡牌属性!R74))*INDEX($G$5:$G$42,L74)/SQRT(INDEX($I$5:$I$42,L74)),2)</f>
        <v>97.75</v>
      </c>
      <c r="AA74" s="29" t="s">
        <v>178</v>
      </c>
      <c r="AB74" s="14">
        <f>ROUND(IF(Q74=1,INDEX(新属性投放!$E$14:$E$34,卡牌属性!R74),INDEX(新属性投放!$E$42:$E$62,卡牌属性!R74))*INDEX($G$5:$G$42,L74),2)</f>
        <v>48.87</v>
      </c>
      <c r="AC74" s="29" t="s">
        <v>179</v>
      </c>
      <c r="AD74" s="14">
        <f>ROUND(IF(Q74=1,INDEX(新属性投放!$F$14:$F$34,卡牌属性!R74),INDEX(新属性投放!$F$42:$F$62,卡牌属性!R74))*INDEX($G$5:$G$42,L74)*SQRT(INDEX($I$5:$I$42,L74)),2)</f>
        <v>293.24</v>
      </c>
      <c r="AF74" s="14">
        <f t="shared" si="40"/>
        <v>977</v>
      </c>
      <c r="AG74" s="14">
        <f t="shared" si="41"/>
        <v>488</v>
      </c>
      <c r="AH74" s="14">
        <f t="shared" si="42"/>
        <v>2932</v>
      </c>
      <c r="AJ74" s="14">
        <f t="shared" si="31"/>
        <v>3975</v>
      </c>
      <c r="AK74" s="14">
        <f t="shared" si="32"/>
        <v>1984</v>
      </c>
      <c r="AL74" s="14">
        <f t="shared" si="33"/>
        <v>11930</v>
      </c>
    </row>
    <row r="75" spans="11:38" ht="16.5" x14ac:dyDescent="0.2">
      <c r="K75" s="13">
        <v>72</v>
      </c>
      <c r="L75" s="13">
        <f t="shared" si="34"/>
        <v>4</v>
      </c>
      <c r="M75" s="13">
        <f t="shared" si="35"/>
        <v>4</v>
      </c>
      <c r="N75" s="14">
        <f t="shared" si="36"/>
        <v>1101004</v>
      </c>
      <c r="O75" s="14" t="str">
        <f t="shared" si="37"/>
        <v>项昆仑9突</v>
      </c>
      <c r="P75" s="29" t="s">
        <v>470</v>
      </c>
      <c r="Q75" s="14">
        <f t="shared" si="38"/>
        <v>1</v>
      </c>
      <c r="R75" s="14">
        <f t="shared" si="39"/>
        <v>9</v>
      </c>
      <c r="S75" s="14" t="s">
        <v>39</v>
      </c>
      <c r="T75" s="14">
        <f>ROUND(((IF(Q75=1,INDEX(新属性投放!$J$14:$J$34,卡牌属性!R75),INDEX(新属性投放!$J$42:$J$62,卡牌属性!R75)))*INDEX($G$5:$G$42,L75)+IF(Q75=1,INDEX(新属性投放!R$20:R$23,卡牌属性!M75-1),INDEX(新属性投放!R$25:R$28,卡牌属性!M75-1)))/SQRT(INDEX($I$5:$I$42,L75)),2)</f>
        <v>5144.78</v>
      </c>
      <c r="U75" s="29" t="s">
        <v>178</v>
      </c>
      <c r="V75" s="14">
        <f>ROUND((IF(Q75=1,INDEX(新属性投放!$K$14:$K$34,卡牌属性!R75),INDEX(新属性投放!$K$42:$K$62,卡牌属性!R75))+IF(Q75=1,INDEX(新属性投放!S$20:S$23,卡牌属性!M75-1),INDEX(新属性投放!S$25:S$28,卡牌属性!M75-1)))*INDEX($G$5:$G$42,L75),2)</f>
        <v>2472.9899999999998</v>
      </c>
      <c r="W75" s="29" t="s">
        <v>179</v>
      </c>
      <c r="X75" s="14">
        <f>ROUND((IF(Q75=1,INDEX(新属性投放!$L$14:$L$34,卡牌属性!R75),INDEX(新属性投放!$L$42:$L$62,卡牌属性!R75))*INDEX($G$5:$G$42,L75)+IF(Q75=1,INDEX(新属性投放!T$20:T$23,卡牌属性!M75-1),INDEX(新属性投放!T$25:T$28,卡牌属性!M75-1)))*SQRT(INDEX($I$5:$I$42,L75)),2)</f>
        <v>15894.34</v>
      </c>
      <c r="Y75" s="29" t="s">
        <v>177</v>
      </c>
      <c r="Z75" s="14">
        <f>ROUND(IF(Q75=1,INDEX(新属性投放!$D$14:$D$34,卡牌属性!R75),INDEX(新属性投放!$D$42:$D$62,卡牌属性!R75))*INDEX($G$5:$G$42,L75)/SQRT(INDEX($I$5:$I$42,L75)),2)</f>
        <v>127.13</v>
      </c>
      <c r="AA75" s="29" t="s">
        <v>178</v>
      </c>
      <c r="AB75" s="14">
        <f>ROUND(IF(Q75=1,INDEX(新属性投放!$E$14:$E$34,卡牌属性!R75),INDEX(新属性投放!$E$42:$E$62,卡牌属性!R75))*INDEX($G$5:$G$42,L75),2)</f>
        <v>63.56</v>
      </c>
      <c r="AC75" s="29" t="s">
        <v>179</v>
      </c>
      <c r="AD75" s="14">
        <f>ROUND(IF(Q75=1,INDEX(新属性投放!$F$14:$F$34,卡牌属性!R75),INDEX(新属性投放!$F$42:$F$62,卡牌属性!R75))*INDEX($G$5:$G$42,L75)*SQRT(INDEX($I$5:$I$42,L75)),2)</f>
        <v>381.38</v>
      </c>
      <c r="AF75" s="14">
        <f t="shared" si="40"/>
        <v>1271</v>
      </c>
      <c r="AG75" s="14">
        <f t="shared" si="41"/>
        <v>635</v>
      </c>
      <c r="AH75" s="14">
        <f t="shared" si="42"/>
        <v>3813</v>
      </c>
      <c r="AJ75" s="14">
        <f t="shared" si="31"/>
        <v>5246</v>
      </c>
      <c r="AK75" s="14">
        <f t="shared" si="32"/>
        <v>2619</v>
      </c>
      <c r="AL75" s="14">
        <f t="shared" si="33"/>
        <v>15743</v>
      </c>
    </row>
    <row r="76" spans="11:38" ht="16.5" x14ac:dyDescent="0.2">
      <c r="K76" s="13">
        <v>73</v>
      </c>
      <c r="L76" s="13">
        <f t="shared" si="34"/>
        <v>4</v>
      </c>
      <c r="M76" s="13">
        <f t="shared" si="35"/>
        <v>4</v>
      </c>
      <c r="N76" s="14">
        <f t="shared" si="36"/>
        <v>1101004</v>
      </c>
      <c r="O76" s="14" t="str">
        <f t="shared" si="37"/>
        <v>项昆仑10突</v>
      </c>
      <c r="P76" s="29" t="s">
        <v>470</v>
      </c>
      <c r="Q76" s="14">
        <f t="shared" si="38"/>
        <v>1</v>
      </c>
      <c r="R76" s="14">
        <f t="shared" si="39"/>
        <v>10</v>
      </c>
      <c r="S76" s="14" t="s">
        <v>39</v>
      </c>
      <c r="T76" s="14">
        <f>ROUND(((IF(Q76=1,INDEX(新属性投放!$J$14:$J$34,卡牌属性!R76),INDEX(新属性投放!$J$42:$J$62,卡牌属性!R76)))*INDEX($G$5:$G$42,L76)+IF(Q76=1,INDEX(新属性投放!R$20:R$23,卡牌属性!M76-1),INDEX(新属性投放!R$25:R$28,卡牌属性!M76-1)))/SQRT(INDEX($I$5:$I$42,L76)),2)</f>
        <v>5939.02</v>
      </c>
      <c r="U76" s="29" t="s">
        <v>178</v>
      </c>
      <c r="V76" s="14">
        <f>ROUND((IF(Q76=1,INDEX(新属性投放!$K$14:$K$34,卡牌属性!R76),INDEX(新属性投放!$K$42:$K$62,卡牌属性!R76))+IF(Q76=1,INDEX(新属性投放!S$20:S$23,卡牌属性!M76-1),INDEX(新属性投放!S$25:S$28,卡牌属性!M76-1)))*INDEX($G$5:$G$42,L76),2)</f>
        <v>2870.11</v>
      </c>
      <c r="W76" s="29" t="s">
        <v>179</v>
      </c>
      <c r="X76" s="14">
        <f>ROUND((IF(Q76=1,INDEX(新属性投放!$L$14:$L$34,卡牌属性!R76),INDEX(新属性投放!$L$42:$L$62,卡牌属性!R76))*INDEX($G$5:$G$42,L76)+IF(Q76=1,INDEX(新属性投放!T$20:T$23,卡牌属性!M76-1),INDEX(新属性投放!T$25:T$28,卡牌属性!M76-1)))*SQRT(INDEX($I$5:$I$42,L76)),2)</f>
        <v>18277.05</v>
      </c>
      <c r="Y76" s="29" t="s">
        <v>177</v>
      </c>
      <c r="Z76" s="14">
        <f>ROUND(IF(Q76=1,INDEX(新属性投放!$D$14:$D$34,卡牌属性!R76),INDEX(新属性投放!$D$42:$D$62,卡牌属性!R76))*INDEX($G$5:$G$42,L76)/SQRT(INDEX($I$5:$I$42,L76)),2)</f>
        <v>146.68</v>
      </c>
      <c r="AA76" s="29" t="s">
        <v>178</v>
      </c>
      <c r="AB76" s="14">
        <f>ROUND(IF(Q76=1,INDEX(新属性投放!$E$14:$E$34,卡牌属性!R76),INDEX(新属性投放!$E$42:$E$62,卡牌属性!R76))*INDEX($G$5:$G$42,L76),2)</f>
        <v>73.34</v>
      </c>
      <c r="AC76" s="29" t="s">
        <v>179</v>
      </c>
      <c r="AD76" s="14">
        <f>ROUND(IF(Q76=1,INDEX(新属性投放!$F$14:$F$34,卡牌属性!R76),INDEX(新属性投放!$F$42:$F$62,卡牌属性!R76))*INDEX($G$5:$G$42,L76)*SQRT(INDEX($I$5:$I$42,L76)),2)</f>
        <v>440.04</v>
      </c>
      <c r="AF76" s="14">
        <f t="shared" si="40"/>
        <v>1466</v>
      </c>
      <c r="AG76" s="14">
        <f t="shared" si="41"/>
        <v>733</v>
      </c>
      <c r="AH76" s="14">
        <f t="shared" si="42"/>
        <v>4400</v>
      </c>
      <c r="AJ76" s="14">
        <f t="shared" si="31"/>
        <v>6712</v>
      </c>
      <c r="AK76" s="14">
        <f t="shared" si="32"/>
        <v>3352</v>
      </c>
      <c r="AL76" s="14">
        <f t="shared" si="33"/>
        <v>20143</v>
      </c>
    </row>
    <row r="77" spans="11:38" ht="16.5" x14ac:dyDescent="0.2">
      <c r="K77" s="13">
        <v>74</v>
      </c>
      <c r="L77" s="13">
        <f t="shared" si="34"/>
        <v>4</v>
      </c>
      <c r="M77" s="13">
        <f t="shared" si="35"/>
        <v>4</v>
      </c>
      <c r="N77" s="14">
        <f t="shared" si="36"/>
        <v>1101004</v>
      </c>
      <c r="O77" s="14" t="str">
        <f t="shared" si="37"/>
        <v>项昆仑11突</v>
      </c>
      <c r="P77" s="29" t="s">
        <v>470</v>
      </c>
      <c r="Q77" s="14">
        <f t="shared" si="38"/>
        <v>1</v>
      </c>
      <c r="R77" s="14">
        <f t="shared" si="39"/>
        <v>11</v>
      </c>
      <c r="S77" s="14" t="s">
        <v>39</v>
      </c>
      <c r="T77" s="14">
        <f>ROUND(((IF(Q77=1,INDEX(新属性投放!$J$14:$J$34,卡牌属性!R77),INDEX(新属性投放!$J$42:$J$62,卡牌属性!R77)))*INDEX($G$5:$G$42,L77)+IF(Q77=1,INDEX(新属性投放!R$20:R$23,卡牌属性!M77-1),INDEX(新属性投放!R$25:R$28,卡牌属性!M77-1)))/SQRT(INDEX($I$5:$I$42,L77)),2)</f>
        <v>6855.71</v>
      </c>
      <c r="U77" s="29" t="s">
        <v>178</v>
      </c>
      <c r="V77" s="14">
        <f>ROUND((IF(Q77=1,INDEX(新属性投放!$K$14:$K$34,卡牌属性!R77),INDEX(新属性投放!$K$42:$K$62,卡牌属性!R77))+IF(Q77=1,INDEX(新属性投放!S$20:S$23,卡牌属性!M77-1),INDEX(新属性投放!S$25:S$28,卡牌属性!M77-1)))*INDEX($G$5:$G$42,L77),2)</f>
        <v>3329.11</v>
      </c>
      <c r="W77" s="29" t="s">
        <v>179</v>
      </c>
      <c r="X77" s="14">
        <f>ROUND((IF(Q77=1,INDEX(新属性投放!$L$14:$L$34,卡牌属性!R77),INDEX(新属性投放!$L$42:$L$62,卡牌属性!R77))*INDEX($G$5:$G$42,L77)+IF(Q77=1,INDEX(新属性投放!T$20:T$23,卡牌属性!M77-1),INDEX(新属性投放!T$25:T$28,卡牌属性!M77-1)))*SQRT(INDEX($I$5:$I$42,L77)),2)</f>
        <v>21027.13</v>
      </c>
      <c r="Y77" s="29" t="s">
        <v>177</v>
      </c>
      <c r="Z77" s="14">
        <f>ROUND(IF(Q77=1,INDEX(新属性投放!$D$14:$D$34,卡牌属性!R77),INDEX(新属性投放!$D$42:$D$62,卡牌属性!R77))*INDEX($G$5:$G$42,L77)/SQRT(INDEX($I$5:$I$42,L77)),2)</f>
        <v>171.05</v>
      </c>
      <c r="AA77" s="29" t="s">
        <v>178</v>
      </c>
      <c r="AB77" s="14">
        <f>ROUND(IF(Q77=1,INDEX(新属性投放!$E$14:$E$34,卡牌属性!R77),INDEX(新属性投放!$E$42:$E$62,卡牌属性!R77))*INDEX($G$5:$G$42,L77),2)</f>
        <v>85.53</v>
      </c>
      <c r="AC77" s="29" t="s">
        <v>179</v>
      </c>
      <c r="AD77" s="14">
        <f>ROUND(IF(Q77=1,INDEX(新属性投放!$F$14:$F$34,卡牌属性!R77),INDEX(新属性投放!$F$42:$F$62,卡牌属性!R77))*INDEX($G$5:$G$42,L77)*SQRT(INDEX($I$5:$I$42,L77)),2)</f>
        <v>513.16</v>
      </c>
      <c r="AF77" s="14">
        <f t="shared" si="40"/>
        <v>1710</v>
      </c>
      <c r="AG77" s="14">
        <f t="shared" si="41"/>
        <v>855</v>
      </c>
      <c r="AH77" s="14">
        <f t="shared" si="42"/>
        <v>5131</v>
      </c>
      <c r="AJ77" s="14">
        <f t="shared" si="31"/>
        <v>8422</v>
      </c>
      <c r="AK77" s="14">
        <f t="shared" si="32"/>
        <v>4207</v>
      </c>
      <c r="AL77" s="14">
        <f t="shared" si="33"/>
        <v>25274</v>
      </c>
    </row>
    <row r="78" spans="11:38" ht="16.5" x14ac:dyDescent="0.2">
      <c r="K78" s="13">
        <v>75</v>
      </c>
      <c r="L78" s="13">
        <f t="shared" si="34"/>
        <v>4</v>
      </c>
      <c r="M78" s="13">
        <f t="shared" si="35"/>
        <v>4</v>
      </c>
      <c r="N78" s="14">
        <f t="shared" si="36"/>
        <v>1101004</v>
      </c>
      <c r="O78" s="14" t="str">
        <f t="shared" si="37"/>
        <v>项昆仑12突</v>
      </c>
      <c r="P78" s="29" t="s">
        <v>470</v>
      </c>
      <c r="Q78" s="14">
        <f t="shared" si="38"/>
        <v>1</v>
      </c>
      <c r="R78" s="14">
        <f t="shared" si="39"/>
        <v>12</v>
      </c>
      <c r="S78" s="14" t="s">
        <v>39</v>
      </c>
      <c r="T78" s="14">
        <f>ROUND(((IF(Q78=1,INDEX(新属性投放!$J$14:$J$34,卡牌属性!R78),INDEX(新属性投放!$J$42:$J$62,卡牌属性!R78)))*INDEX($G$5:$G$42,L78)+IF(Q78=1,INDEX(新属性投放!R$20:R$23,卡牌属性!M78-1),INDEX(新属性投放!R$25:R$28,卡牌属性!M78-1)))/SQRT(INDEX($I$5:$I$42,L78)),2)</f>
        <v>7924.18</v>
      </c>
      <c r="U78" s="29" t="s">
        <v>178</v>
      </c>
      <c r="V78" s="14">
        <f>ROUND((IF(Q78=1,INDEX(新属性投放!$K$14:$K$34,卡牌属性!R78),INDEX(新属性投放!$K$42:$K$62,卡牌属性!R78))+IF(Q78=1,INDEX(新属性投放!S$20:S$23,卡牌属性!M78-1),INDEX(新属性投放!S$25:S$28,卡牌属性!M78-1)))*INDEX($G$5:$G$42,L78),2)</f>
        <v>3863.34</v>
      </c>
      <c r="W78" s="29" t="s">
        <v>179</v>
      </c>
      <c r="X78" s="14">
        <f>ROUND((IF(Q78=1,INDEX(新属性投放!$L$14:$L$34,卡牌属性!R78),INDEX(新属性投放!$L$42:$L$62,卡牌属性!R78))*INDEX($G$5:$G$42,L78)+IF(Q78=1,INDEX(新属性投放!T$20:T$23,卡牌属性!M78-1),INDEX(新属性投放!T$25:T$28,卡牌属性!M78-1)))*SQRT(INDEX($I$5:$I$42,L78)),2)</f>
        <v>24232.54</v>
      </c>
      <c r="Y78" s="29" t="s">
        <v>177</v>
      </c>
      <c r="Z78" s="14">
        <f>ROUND(IF(Q78=1,INDEX(新属性投放!$D$14:$D$34,卡牌属性!R78),INDEX(新属性投放!$D$42:$D$62,卡牌属性!R78))*INDEX($G$5:$G$42,L78)/SQRT(INDEX($I$5:$I$42,L78)),2)</f>
        <v>195.61</v>
      </c>
      <c r="AA78" s="29" t="s">
        <v>178</v>
      </c>
      <c r="AB78" s="14">
        <f>ROUND(IF(Q78=1,INDEX(新属性投放!$E$14:$E$34,卡牌属性!R78),INDEX(新属性投放!$E$42:$E$62,卡牌属性!R78))*INDEX($G$5:$G$42,L78),2)</f>
        <v>97.81</v>
      </c>
      <c r="AC78" s="29" t="s">
        <v>179</v>
      </c>
      <c r="AD78" s="14">
        <f>ROUND(IF(Q78=1,INDEX(新属性投放!$F$14:$F$34,卡牌属性!R78),INDEX(新属性投放!$F$42:$F$62,卡牌属性!R78))*INDEX($G$5:$G$42,L78)*SQRT(INDEX($I$5:$I$42,L78)),2)</f>
        <v>586.83000000000004</v>
      </c>
      <c r="AF78" s="14">
        <f t="shared" si="40"/>
        <v>1956</v>
      </c>
      <c r="AG78" s="14">
        <f t="shared" si="41"/>
        <v>978</v>
      </c>
      <c r="AH78" s="14">
        <f t="shared" si="42"/>
        <v>5868</v>
      </c>
      <c r="AJ78" s="14">
        <f t="shared" si="31"/>
        <v>10378</v>
      </c>
      <c r="AK78" s="14">
        <f t="shared" si="32"/>
        <v>5185</v>
      </c>
      <c r="AL78" s="14">
        <f t="shared" si="33"/>
        <v>31142</v>
      </c>
    </row>
    <row r="79" spans="11:38" ht="16.5" x14ac:dyDescent="0.2">
      <c r="K79" s="13">
        <v>76</v>
      </c>
      <c r="L79" s="13">
        <f t="shared" si="34"/>
        <v>4</v>
      </c>
      <c r="M79" s="13">
        <f t="shared" si="35"/>
        <v>4</v>
      </c>
      <c r="N79" s="14">
        <f t="shared" si="36"/>
        <v>1101004</v>
      </c>
      <c r="O79" s="14" t="str">
        <f t="shared" si="37"/>
        <v>项昆仑13突</v>
      </c>
      <c r="P79" s="29" t="s">
        <v>470</v>
      </c>
      <c r="Q79" s="14">
        <f t="shared" si="38"/>
        <v>1</v>
      </c>
      <c r="R79" s="14">
        <f t="shared" si="39"/>
        <v>13</v>
      </c>
      <c r="S79" s="14" t="s">
        <v>39</v>
      </c>
      <c r="T79" s="14">
        <f>ROUND(((IF(Q79=1,INDEX(新属性投放!$J$14:$J$34,卡牌属性!R79),INDEX(新属性投放!$J$42:$J$62,卡牌属性!R79)))*INDEX($G$5:$G$42,L79)+IF(Q79=1,INDEX(新属性投放!R$20:R$23,卡牌属性!M79-1),INDEX(新属性投放!R$25:R$28,卡牌属性!M79-1)))/SQRT(INDEX($I$5:$I$42,L79)),2)</f>
        <v>9146.64</v>
      </c>
      <c r="U79" s="29" t="s">
        <v>178</v>
      </c>
      <c r="V79" s="14">
        <f>ROUND((IF(Q79=1,INDEX(新属性投放!$K$14:$K$34,卡牌属性!R79),INDEX(新属性投放!$K$42:$K$62,卡牌属性!R79))+IF(Q79=1,INDEX(新属性投放!S$20:S$23,卡牌属性!M79-1),INDEX(新属性投放!S$25:S$28,卡牌属性!M79-1)))*INDEX($G$5:$G$42,L79),2)</f>
        <v>4474.57</v>
      </c>
      <c r="W79" s="29" t="s">
        <v>179</v>
      </c>
      <c r="X79" s="14">
        <f>ROUND((IF(Q79=1,INDEX(新属性投放!$L$14:$L$34,卡牌属性!R79),INDEX(新属性投放!$L$42:$L$62,卡牌属性!R79))*INDEX($G$5:$G$42,L79)+IF(Q79=1,INDEX(新属性投放!T$20:T$23,卡牌属性!M79-1),INDEX(新属性投放!T$25:T$28,卡牌属性!M79-1)))*SQRT(INDEX($I$5:$I$42,L79)),2)</f>
        <v>27899.91</v>
      </c>
      <c r="Y79" s="29" t="s">
        <v>177</v>
      </c>
      <c r="Z79" s="14">
        <f>ROUND(IF(Q79=1,INDEX(新属性投放!$D$14:$D$34,卡牌属性!R79),INDEX(新属性投放!$D$42:$D$62,卡牌属性!R79))*INDEX($G$5:$G$42,L79)/SQRT(INDEX($I$5:$I$42,L79)),2)</f>
        <v>226.16</v>
      </c>
      <c r="AA79" s="29" t="s">
        <v>178</v>
      </c>
      <c r="AB79" s="14">
        <f>ROUND(IF(Q79=1,INDEX(新属性投放!$E$14:$E$34,卡牌属性!R79),INDEX(新属性投放!$E$42:$E$62,卡牌属性!R79))*INDEX($G$5:$G$42,L79),2)</f>
        <v>113.08</v>
      </c>
      <c r="AC79" s="29" t="s">
        <v>179</v>
      </c>
      <c r="AD79" s="14">
        <f>ROUND(IF(Q79=1,INDEX(新属性投放!$F$14:$F$34,卡牌属性!R79),INDEX(新属性投放!$F$42:$F$62,卡牌属性!R79))*INDEX($G$5:$G$42,L79)*SQRT(INDEX($I$5:$I$42,L79)),2)</f>
        <v>678.48</v>
      </c>
      <c r="AF79" s="14">
        <f t="shared" si="40"/>
        <v>2261</v>
      </c>
      <c r="AG79" s="14">
        <f t="shared" si="41"/>
        <v>1130</v>
      </c>
      <c r="AH79" s="14">
        <f t="shared" si="42"/>
        <v>6784</v>
      </c>
      <c r="AJ79" s="14">
        <f t="shared" si="31"/>
        <v>12639</v>
      </c>
      <c r="AK79" s="14">
        <f t="shared" si="32"/>
        <v>6315</v>
      </c>
      <c r="AL79" s="14">
        <f t="shared" si="33"/>
        <v>37926</v>
      </c>
    </row>
    <row r="80" spans="11:38" ht="16.5" x14ac:dyDescent="0.2">
      <c r="K80" s="13">
        <v>77</v>
      </c>
      <c r="L80" s="13">
        <f t="shared" si="34"/>
        <v>4</v>
      </c>
      <c r="M80" s="13">
        <f t="shared" si="35"/>
        <v>4</v>
      </c>
      <c r="N80" s="14">
        <f t="shared" si="36"/>
        <v>1101004</v>
      </c>
      <c r="O80" s="14" t="str">
        <f t="shared" si="37"/>
        <v>项昆仑14突</v>
      </c>
      <c r="P80" s="29" t="s">
        <v>470</v>
      </c>
      <c r="Q80" s="14">
        <f t="shared" si="38"/>
        <v>1</v>
      </c>
      <c r="R80" s="14">
        <f t="shared" si="39"/>
        <v>14</v>
      </c>
      <c r="S80" s="14" t="s">
        <v>39</v>
      </c>
      <c r="T80" s="14">
        <f>ROUND(((IF(Q80=1,INDEX(新属性投放!$J$14:$J$34,卡牌属性!R80),INDEX(新属性投放!$J$42:$J$62,卡牌属性!R80)))*INDEX($G$5:$G$42,L80)+IF(Q80=1,INDEX(新属性投放!R$20:R$23,卡牌属性!M80-1),INDEX(新属性投放!R$25:R$28,卡牌属性!M80-1)))/SQRT(INDEX($I$5:$I$42,L80)),2)</f>
        <v>10559.54</v>
      </c>
      <c r="U80" s="29" t="s">
        <v>178</v>
      </c>
      <c r="V80" s="14">
        <f>ROUND((IF(Q80=1,INDEX(新属性投放!$K$14:$K$34,卡牌属性!R80),INDEX(新属性投放!$K$42:$K$62,卡牌属性!R80))+IF(Q80=1,INDEX(新属性投放!S$20:S$23,卡牌属性!M80-1),INDEX(新属性投放!S$25:S$28,卡牌属性!M80-1)))*INDEX($G$5:$G$42,L80),2)</f>
        <v>5181.67</v>
      </c>
      <c r="W80" s="29" t="s">
        <v>179</v>
      </c>
      <c r="X80" s="14">
        <f>ROUND((IF(Q80=1,INDEX(新属性投放!$L$14:$L$34,卡牌属性!R80),INDEX(新属性投放!$L$42:$L$62,卡牌属性!R80))*INDEX($G$5:$G$42,L80)+IF(Q80=1,INDEX(新属性投放!T$20:T$23,卡牌属性!M80-1),INDEX(新属性投放!T$25:T$28,卡牌属性!M80-1)))*SQRT(INDEX($I$5:$I$42,L80)),2)</f>
        <v>32138.62</v>
      </c>
      <c r="Y80" s="29" t="s">
        <v>177</v>
      </c>
      <c r="Z80" s="14">
        <f>ROUND(IF(Q80=1,INDEX(新属性投放!$D$14:$D$34,卡牌属性!R80),INDEX(新属性投放!$D$42:$D$62,卡牌属性!R80))*INDEX($G$5:$G$42,L80)/SQRT(INDEX($I$5:$I$42,L80)),2)</f>
        <v>261.5</v>
      </c>
      <c r="AA80" s="29" t="s">
        <v>178</v>
      </c>
      <c r="AB80" s="14">
        <f>ROUND(IF(Q80=1,INDEX(新属性投放!$E$14:$E$34,卡牌属性!R80),INDEX(新属性投放!$E$42:$E$62,卡牌属性!R80))*INDEX($G$5:$G$42,L80),2)</f>
        <v>130.75</v>
      </c>
      <c r="AC80" s="29" t="s">
        <v>179</v>
      </c>
      <c r="AD80" s="14">
        <f>ROUND(IF(Q80=1,INDEX(新属性投放!$F$14:$F$34,卡牌属性!R80),INDEX(新属性投放!$F$42:$F$62,卡牌属性!R80))*INDEX($G$5:$G$42,L80)*SQRT(INDEX($I$5:$I$42,L80)),2)</f>
        <v>784.49</v>
      </c>
      <c r="AF80" s="14">
        <f t="shared" si="40"/>
        <v>2615</v>
      </c>
      <c r="AG80" s="14">
        <f t="shared" si="41"/>
        <v>1307</v>
      </c>
      <c r="AH80" s="14">
        <f t="shared" si="42"/>
        <v>7844</v>
      </c>
      <c r="AJ80" s="14">
        <f t="shared" si="31"/>
        <v>15254</v>
      </c>
      <c r="AK80" s="14">
        <f t="shared" si="32"/>
        <v>7622</v>
      </c>
      <c r="AL80" s="14">
        <f t="shared" si="33"/>
        <v>45770</v>
      </c>
    </row>
    <row r="81" spans="11:38" ht="16.5" x14ac:dyDescent="0.2">
      <c r="K81" s="13">
        <v>78</v>
      </c>
      <c r="L81" s="13">
        <f t="shared" si="34"/>
        <v>4</v>
      </c>
      <c r="M81" s="13">
        <f t="shared" si="35"/>
        <v>4</v>
      </c>
      <c r="N81" s="14">
        <f t="shared" si="36"/>
        <v>1101004</v>
      </c>
      <c r="O81" s="14" t="str">
        <f t="shared" si="37"/>
        <v>项昆仑15突</v>
      </c>
      <c r="P81" s="29" t="s">
        <v>470</v>
      </c>
      <c r="Q81" s="14">
        <f t="shared" si="38"/>
        <v>1</v>
      </c>
      <c r="R81" s="14">
        <f t="shared" si="39"/>
        <v>15</v>
      </c>
      <c r="S81" s="14" t="s">
        <v>39</v>
      </c>
      <c r="T81" s="14">
        <f>ROUND(((IF(Q81=1,INDEX(新属性投放!$J$14:$J$34,卡牌属性!R81),INDEX(新属性投放!$J$42:$J$62,卡牌属性!R81)))*INDEX($G$5:$G$42,L81)+IF(Q81=1,INDEX(新属性投放!R$20:R$23,卡牌属性!M81-1),INDEX(新属性投放!R$25:R$28,卡牌属性!M81-1)))/SQRT(INDEX($I$5:$I$42,L81)),2)</f>
        <v>12193.32</v>
      </c>
      <c r="U81" s="29" t="s">
        <v>178</v>
      </c>
      <c r="V81" s="14">
        <f>ROUND((IF(Q81=1,INDEX(新属性投放!$K$14:$K$34,卡牌属性!R81),INDEX(新属性投放!$K$42:$K$62,卡牌属性!R81))+IF(Q81=1,INDEX(新属性投放!S$20:S$23,卡牌属性!M81-1),INDEX(新属性投放!S$25:S$28,卡牌属性!M81-1)))*INDEX($G$5:$G$42,L81),2)</f>
        <v>5999.21</v>
      </c>
      <c r="W81" s="29" t="s">
        <v>179</v>
      </c>
      <c r="X81" s="14">
        <f>ROUND((IF(Q81=1,INDEX(新属性投放!$L$14:$L$34,卡牌属性!R81),INDEX(新属性投放!$L$42:$L$62,卡牌属性!R81))*INDEX($G$5:$G$42,L81)+IF(Q81=1,INDEX(新属性投放!T$20:T$23,卡牌属性!M81-1),INDEX(新属性投放!T$25:T$28,卡牌属性!M81-1)))*SQRT(INDEX($I$5:$I$42,L81)),2)</f>
        <v>37039.949999999997</v>
      </c>
      <c r="Y81" s="29" t="s">
        <v>177</v>
      </c>
      <c r="Z81" s="14">
        <f>ROUND(IF(Q81=1,INDEX(新属性投放!$D$14:$D$34,卡牌属性!R81),INDEX(新属性投放!$D$42:$D$62,卡牌属性!R81))*INDEX($G$5:$G$42,L81)/SQRT(INDEX($I$5:$I$42,L81)),2)</f>
        <v>302.33</v>
      </c>
      <c r="AA81" s="29" t="s">
        <v>178</v>
      </c>
      <c r="AB81" s="14">
        <f>ROUND(IF(Q81=1,INDEX(新属性投放!$E$14:$E$34,卡牌属性!R81),INDEX(新属性投放!$E$42:$E$62,卡牌属性!R81))*INDEX($G$5:$G$42,L81),2)</f>
        <v>151.16</v>
      </c>
      <c r="AC81" s="29" t="s">
        <v>179</v>
      </c>
      <c r="AD81" s="14">
        <f>ROUND(IF(Q81=1,INDEX(新属性投放!$F$14:$F$34,卡牌属性!R81),INDEX(新属性投放!$F$42:$F$62,卡牌属性!R81))*INDEX($G$5:$G$42,L81)*SQRT(INDEX($I$5:$I$42,L81)),2)</f>
        <v>906.98</v>
      </c>
      <c r="AF81" s="14">
        <f t="shared" si="40"/>
        <v>3023</v>
      </c>
      <c r="AG81" s="14">
        <f t="shared" si="41"/>
        <v>1511</v>
      </c>
      <c r="AH81" s="14">
        <f t="shared" si="42"/>
        <v>9069</v>
      </c>
      <c r="AJ81" s="14">
        <f t="shared" si="31"/>
        <v>18277</v>
      </c>
      <c r="AK81" s="14">
        <f t="shared" si="32"/>
        <v>9133</v>
      </c>
      <c r="AL81" s="14">
        <f t="shared" si="33"/>
        <v>54839</v>
      </c>
    </row>
    <row r="82" spans="11:38" ht="16.5" x14ac:dyDescent="0.2">
      <c r="K82" s="13">
        <v>79</v>
      </c>
      <c r="L82" s="13">
        <f t="shared" si="34"/>
        <v>4</v>
      </c>
      <c r="M82" s="13">
        <f t="shared" si="35"/>
        <v>4</v>
      </c>
      <c r="N82" s="14">
        <f t="shared" si="36"/>
        <v>1101004</v>
      </c>
      <c r="O82" s="14" t="str">
        <f t="shared" si="37"/>
        <v>项昆仑16突</v>
      </c>
      <c r="P82" s="29" t="s">
        <v>470</v>
      </c>
      <c r="Q82" s="14">
        <f t="shared" si="38"/>
        <v>1</v>
      </c>
      <c r="R82" s="14">
        <f t="shared" si="39"/>
        <v>16</v>
      </c>
      <c r="S82" s="14" t="s">
        <v>39</v>
      </c>
      <c r="T82" s="14">
        <f>ROUND(((IF(Q82=1,INDEX(新属性投放!$J$14:$J$34,卡牌属性!R82),INDEX(新属性投放!$J$42:$J$62,卡牌属性!R82)))*INDEX($G$5:$G$42,L82)+IF(Q82=1,INDEX(新属性投放!R$20:R$23,卡牌属性!M82-1),INDEX(新属性投放!R$25:R$28,卡牌属性!M82-1)))/SQRT(INDEX($I$5:$I$42,L82)),2)</f>
        <v>14083.26</v>
      </c>
      <c r="U82" s="29" t="s">
        <v>178</v>
      </c>
      <c r="V82" s="14">
        <f>ROUND((IF(Q82=1,INDEX(新属性投放!$K$14:$K$34,卡牌属性!R82),INDEX(新属性投放!$K$42:$K$62,卡牌属性!R82))+IF(Q82=1,INDEX(新属性投放!S$20:S$23,卡牌属性!M82-1),INDEX(新属性投放!S$25:S$28,卡牌属性!M82-1)))*INDEX($G$5:$G$42,L82),2)</f>
        <v>6943.53</v>
      </c>
      <c r="W82" s="29" t="s">
        <v>179</v>
      </c>
      <c r="X82" s="14">
        <f>ROUND((IF(Q82=1,INDEX(新属性投放!$L$14:$L$34,卡牌属性!R82),INDEX(新属性投放!$L$42:$L$62,卡牌属性!R82))*INDEX($G$5:$G$42,L82)+IF(Q82=1,INDEX(新属性投放!T$20:T$23,卡牌属性!M82-1),INDEX(新属性投放!T$25:T$28,卡牌属性!M82-1)))*SQRT(INDEX($I$5:$I$42,L82)),2)</f>
        <v>42709.77</v>
      </c>
      <c r="Y82" s="29" t="s">
        <v>177</v>
      </c>
      <c r="Z82" s="14">
        <f>ROUND(IF(Q82=1,INDEX(新属性投放!$D$14:$D$34,卡牌属性!R82),INDEX(新属性投放!$D$42:$D$62,卡牌属性!R82))*INDEX($G$5:$G$42,L82)/SQRT(INDEX($I$5:$I$42,L82)),2)</f>
        <v>349.58</v>
      </c>
      <c r="AA82" s="29" t="s">
        <v>178</v>
      </c>
      <c r="AB82" s="14">
        <f>ROUND(IF(Q82=1,INDEX(新属性投放!$E$14:$E$34,卡牌属性!R82),INDEX(新属性投放!$E$42:$E$62,卡牌属性!R82))*INDEX($G$5:$G$42,L82),2)</f>
        <v>174.79</v>
      </c>
      <c r="AC82" s="29" t="s">
        <v>179</v>
      </c>
      <c r="AD82" s="14">
        <f>ROUND(IF(Q82=1,INDEX(新属性投放!$F$14:$F$34,卡牌属性!R82),INDEX(新属性投放!$F$42:$F$62,卡牌属性!R82))*INDEX($G$5:$G$42,L82)*SQRT(INDEX($I$5:$I$42,L82)),2)</f>
        <v>1048.75</v>
      </c>
      <c r="AF82" s="14">
        <f t="shared" si="40"/>
        <v>3495</v>
      </c>
      <c r="AG82" s="14">
        <f t="shared" si="41"/>
        <v>1747</v>
      </c>
      <c r="AH82" s="14">
        <f t="shared" si="42"/>
        <v>10487</v>
      </c>
      <c r="AJ82" s="14">
        <f t="shared" si="31"/>
        <v>21772</v>
      </c>
      <c r="AK82" s="14">
        <f t="shared" si="32"/>
        <v>10880</v>
      </c>
      <c r="AL82" s="14">
        <f t="shared" si="33"/>
        <v>65326</v>
      </c>
    </row>
    <row r="83" spans="11:38" ht="16.5" x14ac:dyDescent="0.2">
      <c r="K83" s="13">
        <v>80</v>
      </c>
      <c r="L83" s="13">
        <f t="shared" si="34"/>
        <v>4</v>
      </c>
      <c r="M83" s="13">
        <f t="shared" si="35"/>
        <v>4</v>
      </c>
      <c r="N83" s="14">
        <f t="shared" si="36"/>
        <v>1101004</v>
      </c>
      <c r="O83" s="14" t="str">
        <f t="shared" si="37"/>
        <v>项昆仑17突</v>
      </c>
      <c r="P83" s="29" t="s">
        <v>470</v>
      </c>
      <c r="Q83" s="14">
        <f t="shared" si="38"/>
        <v>1</v>
      </c>
      <c r="R83" s="14">
        <f t="shared" si="39"/>
        <v>17</v>
      </c>
      <c r="S83" s="14" t="s">
        <v>39</v>
      </c>
      <c r="T83" s="14">
        <f>ROUND(((IF(Q83=1,INDEX(新属性投放!$J$14:$J$34,卡牌属性!R83),INDEX(新属性投放!$J$42:$J$62,卡牌属性!R83)))*INDEX($G$5:$G$42,L83)+IF(Q83=1,INDEX(新属性投放!R$20:R$23,卡牌属性!M83-1),INDEX(新属性投放!R$25:R$28,卡牌属性!M83-1)))/SQRT(INDEX($I$5:$I$42,L83)),2)</f>
        <v>16267.97</v>
      </c>
      <c r="U83" s="29" t="s">
        <v>178</v>
      </c>
      <c r="V83" s="14">
        <f>ROUND((IF(Q83=1,INDEX(新属性投放!$K$14:$K$34,卡牌属性!R83),INDEX(新属性投放!$K$42:$K$62,卡牌属性!R83))+IF(Q83=1,INDEX(新属性投放!S$20:S$23,卡牌属性!M83-1),INDEX(新属性投放!S$25:S$28,卡牌属性!M83-1)))*INDEX($G$5:$G$42,L83),2)</f>
        <v>8035.89</v>
      </c>
      <c r="W83" s="29" t="s">
        <v>179</v>
      </c>
      <c r="X83" s="14">
        <f>ROUND((IF(Q83=1,INDEX(新属性投放!$L$14:$L$34,卡牌属性!R83),INDEX(新属性投放!$L$42:$L$62,卡牌属性!R83))*INDEX($G$5:$G$42,L83)+IF(Q83=1,INDEX(新属性投放!T$20:T$23,卡牌属性!M83-1),INDEX(新属性投放!T$25:T$28,卡牌属性!M83-1)))*SQRT(INDEX($I$5:$I$42,L83)),2)</f>
        <v>49263.91</v>
      </c>
      <c r="Y83" s="29" t="s">
        <v>177</v>
      </c>
      <c r="Z83" s="14">
        <f>ROUND(IF(Q83=1,INDEX(新属性投放!$D$14:$D$34,卡牌属性!R83),INDEX(新属性投放!$D$42:$D$62,卡牌属性!R83))*INDEX($G$5:$G$42,L83)/SQRT(INDEX($I$5:$I$42,L83)),2)</f>
        <v>404.2</v>
      </c>
      <c r="AA83" s="29" t="s">
        <v>178</v>
      </c>
      <c r="AB83" s="14">
        <f>ROUND(IF(Q83=1,INDEX(新属性投放!$E$14:$E$34,卡牌属性!R83),INDEX(新属性投放!$E$42:$E$62,卡牌属性!R83))*INDEX($G$5:$G$42,L83),2)</f>
        <v>202.1</v>
      </c>
      <c r="AC83" s="29" t="s">
        <v>179</v>
      </c>
      <c r="AD83" s="14">
        <f>ROUND(IF(Q83=1,INDEX(新属性投放!$F$14:$F$34,卡牌属性!R83),INDEX(新属性投放!$F$42:$F$62,卡牌属性!R83))*INDEX($G$5:$G$42,L83)*SQRT(INDEX($I$5:$I$42,L83)),2)</f>
        <v>1212.5899999999999</v>
      </c>
      <c r="AF83" s="14">
        <f t="shared" si="40"/>
        <v>4042</v>
      </c>
      <c r="AG83" s="14">
        <f t="shared" si="41"/>
        <v>2021</v>
      </c>
      <c r="AH83" s="14">
        <f t="shared" si="42"/>
        <v>12125</v>
      </c>
      <c r="AJ83" s="14">
        <f t="shared" si="31"/>
        <v>25814</v>
      </c>
      <c r="AK83" s="14">
        <f t="shared" si="32"/>
        <v>12901</v>
      </c>
      <c r="AL83" s="14">
        <f t="shared" si="33"/>
        <v>77451</v>
      </c>
    </row>
    <row r="84" spans="11:38" ht="16.5" x14ac:dyDescent="0.2">
      <c r="K84" s="13">
        <v>81</v>
      </c>
      <c r="L84" s="13">
        <f t="shared" si="34"/>
        <v>4</v>
      </c>
      <c r="M84" s="13">
        <f t="shared" si="35"/>
        <v>4</v>
      </c>
      <c r="N84" s="14">
        <f t="shared" si="36"/>
        <v>1101004</v>
      </c>
      <c r="O84" s="14" t="str">
        <f t="shared" si="37"/>
        <v>项昆仑18突</v>
      </c>
      <c r="P84" s="29" t="s">
        <v>470</v>
      </c>
      <c r="Q84" s="14">
        <f t="shared" si="38"/>
        <v>1</v>
      </c>
      <c r="R84" s="14">
        <f t="shared" si="39"/>
        <v>18</v>
      </c>
      <c r="S84" s="14" t="s">
        <v>39</v>
      </c>
      <c r="T84" s="14">
        <f>ROUND(((IF(Q84=1,INDEX(新属性投放!$J$14:$J$34,卡牌属性!R84),INDEX(新属性投放!$J$42:$J$62,卡牌属性!R84)))*INDEX($G$5:$G$42,L84)+IF(Q84=1,INDEX(新属性投放!R$20:R$23,卡牌属性!M84-1),INDEX(新属性投放!R$25:R$28,卡牌属性!M84-1)))/SQRT(INDEX($I$5:$I$42,L84)),2)</f>
        <v>18794.650000000001</v>
      </c>
      <c r="U84" s="29" t="s">
        <v>178</v>
      </c>
      <c r="V84" s="14">
        <f>ROUND((IF(Q84=1,INDEX(新属性投放!$K$14:$K$34,卡牌属性!R84),INDEX(新属性投放!$K$42:$K$62,卡牌属性!R84))+IF(Q84=1,INDEX(新属性投放!S$20:S$23,卡牌属性!M84-1),INDEX(新属性投放!S$25:S$28,卡牌属性!M84-1)))*INDEX($G$5:$G$42,L84),2)</f>
        <v>9298.58</v>
      </c>
      <c r="W84" s="29" t="s">
        <v>179</v>
      </c>
      <c r="X84" s="14">
        <f>ROUND((IF(Q84=1,INDEX(新属性投放!$L$14:$L$34,卡牌属性!R84),INDEX(新属性投放!$L$42:$L$62,卡牌属性!R84))*INDEX($G$5:$G$42,L84)+IF(Q84=1,INDEX(新属性投放!T$20:T$23,卡牌属性!M84-1),INDEX(新属性投放!T$25:T$28,卡牌属性!M84-1)))*SQRT(INDEX($I$5:$I$42,L84)),2)</f>
        <v>56843.95</v>
      </c>
      <c r="Y84" s="29" t="s">
        <v>177</v>
      </c>
      <c r="Z84" s="14">
        <f>ROUND(IF(Q84=1,INDEX(新属性投放!$D$14:$D$34,卡牌属性!R84),INDEX(新属性投放!$D$42:$D$62,卡牌属性!R84))*INDEX($G$5:$G$42,L84)/SQRT(INDEX($I$5:$I$42,L84)),2)</f>
        <v>467.36</v>
      </c>
      <c r="AA84" s="29" t="s">
        <v>178</v>
      </c>
      <c r="AB84" s="14">
        <f>ROUND(IF(Q84=1,INDEX(新属性投放!$E$14:$E$34,卡牌属性!R84),INDEX(新属性投放!$E$42:$E$62,卡牌属性!R84))*INDEX($G$5:$G$42,L84),2)</f>
        <v>233.68</v>
      </c>
      <c r="AC84" s="29" t="s">
        <v>179</v>
      </c>
      <c r="AD84" s="14">
        <f>ROUND(IF(Q84=1,INDEX(新属性投放!$F$14:$F$34,卡牌属性!R84),INDEX(新属性投放!$F$42:$F$62,卡牌属性!R84))*INDEX($G$5:$G$42,L84)*SQRT(INDEX($I$5:$I$42,L84)),2)</f>
        <v>1402.09</v>
      </c>
      <c r="AF84" s="14">
        <f t="shared" si="40"/>
        <v>4673</v>
      </c>
      <c r="AG84" s="14">
        <f t="shared" si="41"/>
        <v>2336</v>
      </c>
      <c r="AH84" s="14">
        <f t="shared" si="42"/>
        <v>14020</v>
      </c>
      <c r="AJ84" s="14">
        <f t="shared" si="31"/>
        <v>30487</v>
      </c>
      <c r="AK84" s="14">
        <f t="shared" si="32"/>
        <v>15237</v>
      </c>
      <c r="AL84" s="14">
        <f t="shared" si="33"/>
        <v>91471</v>
      </c>
    </row>
    <row r="85" spans="11:38" ht="16.5" x14ac:dyDescent="0.2">
      <c r="K85" s="13">
        <v>82</v>
      </c>
      <c r="L85" s="13">
        <f t="shared" si="34"/>
        <v>4</v>
      </c>
      <c r="M85" s="13">
        <f t="shared" si="35"/>
        <v>4</v>
      </c>
      <c r="N85" s="14">
        <f t="shared" si="36"/>
        <v>1101004</v>
      </c>
      <c r="O85" s="14" t="str">
        <f t="shared" si="37"/>
        <v>项昆仑19突</v>
      </c>
      <c r="P85" s="29" t="s">
        <v>470</v>
      </c>
      <c r="Q85" s="14">
        <f t="shared" si="38"/>
        <v>1</v>
      </c>
      <c r="R85" s="14">
        <f t="shared" si="39"/>
        <v>19</v>
      </c>
      <c r="S85" s="14" t="s">
        <v>39</v>
      </c>
      <c r="T85" s="14">
        <f>ROUND(((IF(Q85=1,INDEX(新属性投放!$J$14:$J$34,卡牌属性!R85),INDEX(新属性投放!$J$42:$J$62,卡牌属性!R85)))*INDEX($G$5:$G$42,L85)+IF(Q85=1,INDEX(新属性投放!R$20:R$23,卡牌属性!M85-1),INDEX(新属性投放!R$25:R$28,卡牌属性!M85-1)))/SQRT(INDEX($I$5:$I$42,L85)),2)</f>
        <v>21715.17</v>
      </c>
      <c r="U85" s="29" t="s">
        <v>178</v>
      </c>
      <c r="V85" s="14">
        <f>ROUND((IF(Q85=1,INDEX(新属性投放!$K$14:$K$34,卡牌属性!R85),INDEX(新属性投放!$K$42:$K$62,卡牌属性!R85))+IF(Q85=1,INDEX(新属性投放!S$20:S$23,卡牌属性!M85-1),INDEX(新属性投放!S$25:S$28,卡牌属性!M85-1)))*INDEX($G$5:$G$42,L85),2)</f>
        <v>10759.48</v>
      </c>
      <c r="W85" s="29" t="s">
        <v>179</v>
      </c>
      <c r="X85" s="14">
        <f>ROUND((IF(Q85=1,INDEX(新属性投放!$L$14:$L$34,卡牌属性!R85),INDEX(新属性投放!$L$42:$L$62,卡牌属性!R85))*INDEX($G$5:$G$42,L85)+IF(Q85=1,INDEX(新属性投放!T$20:T$23,卡牌属性!M85-1),INDEX(新属性投放!T$25:T$28,卡牌属性!M85-1)))*SQRT(INDEX($I$5:$I$42,L85)),2)</f>
        <v>65605.5</v>
      </c>
      <c r="Y85" s="29" t="s">
        <v>177</v>
      </c>
      <c r="Z85" s="14">
        <f>ROUND(IF(Q85=1,INDEX(新属性投放!$D$14:$D$34,卡牌属性!R85),INDEX(新属性投放!$D$42:$D$62,卡牌属性!R85))*INDEX($G$5:$G$42,L85)/SQRT(INDEX($I$5:$I$42,L85)),2)</f>
        <v>540.38</v>
      </c>
      <c r="AA85" s="29" t="s">
        <v>178</v>
      </c>
      <c r="AB85" s="14">
        <f>ROUND(IF(Q85=1,INDEX(新属性投放!$E$14:$E$34,卡牌属性!R85),INDEX(新属性投放!$E$42:$E$62,卡牌属性!R85))*INDEX($G$5:$G$42,L85),2)</f>
        <v>270.19</v>
      </c>
      <c r="AC85" s="29" t="s">
        <v>179</v>
      </c>
      <c r="AD85" s="14">
        <f>ROUND(IF(Q85=1,INDEX(新属性投放!$F$14:$F$34,卡牌属性!R85),INDEX(新属性投放!$F$42:$F$62,卡牌属性!R85))*INDEX($G$5:$G$42,L85)*SQRT(INDEX($I$5:$I$42,L85)),2)</f>
        <v>1621.15</v>
      </c>
      <c r="AF85" s="14">
        <f t="shared" si="40"/>
        <v>5403</v>
      </c>
      <c r="AG85" s="14">
        <f t="shared" si="41"/>
        <v>2701</v>
      </c>
      <c r="AH85" s="14">
        <f t="shared" si="42"/>
        <v>16211</v>
      </c>
      <c r="AJ85" s="14">
        <f t="shared" si="31"/>
        <v>35890</v>
      </c>
      <c r="AK85" s="14">
        <f t="shared" si="32"/>
        <v>17938</v>
      </c>
      <c r="AL85" s="14">
        <f t="shared" si="33"/>
        <v>107682</v>
      </c>
    </row>
    <row r="86" spans="11:38" ht="16.5" x14ac:dyDescent="0.2">
      <c r="K86" s="13">
        <v>83</v>
      </c>
      <c r="L86" s="13">
        <f t="shared" si="34"/>
        <v>4</v>
      </c>
      <c r="M86" s="13">
        <f t="shared" si="35"/>
        <v>4</v>
      </c>
      <c r="N86" s="14">
        <f t="shared" si="36"/>
        <v>1101004</v>
      </c>
      <c r="O86" s="14" t="str">
        <f t="shared" si="37"/>
        <v>项昆仑20突</v>
      </c>
      <c r="P86" s="29" t="s">
        <v>470</v>
      </c>
      <c r="Q86" s="14">
        <f t="shared" si="38"/>
        <v>1</v>
      </c>
      <c r="R86" s="14">
        <f t="shared" si="39"/>
        <v>20</v>
      </c>
      <c r="S86" s="14" t="s">
        <v>39</v>
      </c>
      <c r="T86" s="14">
        <f>ROUND(((IF(Q86=1,INDEX(新属性投放!$J$14:$J$34,卡牌属性!R86),INDEX(新属性投放!$J$42:$J$62,卡牌属性!R86)))*INDEX($G$5:$G$42,L86)+IF(Q86=1,INDEX(新属性投放!R$20:R$23,卡牌属性!M86-1),INDEX(新属性投放!R$25:R$28,卡牌属性!M86-1)))/SQRT(INDEX($I$5:$I$42,L86)),2)</f>
        <v>25093.09</v>
      </c>
      <c r="U86" s="29" t="s">
        <v>178</v>
      </c>
      <c r="V86" s="14">
        <f>ROUND((IF(Q86=1,INDEX(新属性投放!$K$14:$K$34,卡牌属性!R86),INDEX(新属性投放!$K$42:$K$62,卡牌属性!R86))+IF(Q86=1,INDEX(新属性投放!S$20:S$23,卡牌属性!M86-1),INDEX(新属性投放!S$25:S$28,卡牌属性!M86-1)))*INDEX($G$5:$G$42,L86),2)</f>
        <v>12448.44</v>
      </c>
      <c r="W86" s="29" t="s">
        <v>179</v>
      </c>
      <c r="X86" s="14">
        <f>ROUND((IF(Q86=1,INDEX(新属性投放!$L$14:$L$34,卡牌属性!R86),INDEX(新属性投放!$L$42:$L$62,卡牌属性!R86))*INDEX($G$5:$G$42,L86)+IF(Q86=1,INDEX(新属性投放!T$20:T$23,卡牌属性!M86-1),INDEX(新属性投放!T$25:T$28,卡牌属性!M86-1)))*SQRT(INDEX($I$5:$I$42,L86)),2)</f>
        <v>75739.259999999995</v>
      </c>
      <c r="Y86" s="29" t="s">
        <v>177</v>
      </c>
      <c r="Z86" s="14">
        <f>ROUND(IF(Q86=1,INDEX(新属性投放!$D$14:$D$34,卡牌属性!R86),INDEX(新属性投放!$D$42:$D$62,卡牌属性!R86))*INDEX($G$5:$G$42,L86)/SQRT(INDEX($I$5:$I$42,L86)),2)</f>
        <v>624.83000000000004</v>
      </c>
      <c r="AA86" s="29" t="s">
        <v>178</v>
      </c>
      <c r="AB86" s="14">
        <f>ROUND(IF(Q86=1,INDEX(新属性投放!$E$14:$E$34,卡牌属性!R86),INDEX(新属性投放!$E$42:$E$62,卡牌属性!R86))*INDEX($G$5:$G$42,L86),2)</f>
        <v>312.42</v>
      </c>
      <c r="AC86" s="29" t="s">
        <v>179</v>
      </c>
      <c r="AD86" s="14">
        <f>ROUND(IF(Q86=1,INDEX(新属性投放!$F$14:$F$34,卡牌属性!R86),INDEX(新属性投放!$F$42:$F$62,卡牌属性!R86))*INDEX($G$5:$G$42,L86)*SQRT(INDEX($I$5:$I$42,L86)),2)</f>
        <v>1874.5</v>
      </c>
      <c r="AF86" s="14">
        <f t="shared" si="40"/>
        <v>6248</v>
      </c>
      <c r="AG86" s="14">
        <f t="shared" si="41"/>
        <v>3124</v>
      </c>
      <c r="AH86" s="14">
        <f t="shared" si="42"/>
        <v>18745</v>
      </c>
      <c r="AJ86" s="14">
        <f t="shared" si="31"/>
        <v>42138</v>
      </c>
      <c r="AK86" s="14">
        <f t="shared" si="32"/>
        <v>21062</v>
      </c>
      <c r="AL86" s="14">
        <f t="shared" si="33"/>
        <v>126427</v>
      </c>
    </row>
    <row r="87" spans="11:38" ht="16.5" x14ac:dyDescent="0.2">
      <c r="K87" s="13">
        <v>84</v>
      </c>
      <c r="L87" s="13">
        <f t="shared" si="34"/>
        <v>4</v>
      </c>
      <c r="M87" s="13">
        <f t="shared" si="35"/>
        <v>4</v>
      </c>
      <c r="N87" s="14">
        <f t="shared" si="36"/>
        <v>1101004</v>
      </c>
      <c r="O87" s="14" t="str">
        <f t="shared" si="37"/>
        <v>项昆仑21突</v>
      </c>
      <c r="P87" s="29" t="s">
        <v>470</v>
      </c>
      <c r="Q87" s="14">
        <f t="shared" si="38"/>
        <v>1</v>
      </c>
      <c r="R87" s="14">
        <f t="shared" si="39"/>
        <v>21</v>
      </c>
      <c r="S87" s="14" t="s">
        <v>39</v>
      </c>
      <c r="T87" s="14">
        <f>ROUND(((IF(Q87=1,INDEX(新属性投放!$J$14:$J$34,卡牌属性!R87),INDEX(新属性投放!$J$42:$J$62,卡牌属性!R87)))*INDEX($G$5:$G$42,L87)+IF(Q87=1,INDEX(新属性投放!R$20:R$23,卡牌属性!M87-1),INDEX(新属性投放!R$25:R$28,卡牌属性!M87-1)))/SQRT(INDEX($I$5:$I$42,L87)),2)</f>
        <v>28998.55</v>
      </c>
      <c r="U87" s="29" t="s">
        <v>178</v>
      </c>
      <c r="V87" s="14">
        <f>ROUND((IF(Q87=1,INDEX(新属性投放!$K$14:$K$34,卡牌属性!R87),INDEX(新属性投放!$K$42:$K$62,卡牌属性!R87))+IF(Q87=1,INDEX(新属性投放!S$20:S$23,卡牌属性!M87-1),INDEX(新属性投放!S$25:S$28,卡牌属性!M87-1)))*INDEX($G$5:$G$42,L87),2)</f>
        <v>14400.52</v>
      </c>
      <c r="W87" s="29" t="s">
        <v>179</v>
      </c>
      <c r="X87" s="14">
        <f>ROUND((IF(Q87=1,INDEX(新属性投放!$L$14:$L$34,卡牌属性!R87),INDEX(新属性投放!$L$42:$L$62,卡牌属性!R87))*INDEX($G$5:$G$42,L87)+IF(Q87=1,INDEX(新属性投放!T$20:T$23,卡牌属性!M87-1),INDEX(新属性投放!T$25:T$28,卡牌属性!M87-1)))*SQRT(INDEX($I$5:$I$42,L87)),2)</f>
        <v>87455.64</v>
      </c>
      <c r="Y87" s="29" t="s">
        <v>177</v>
      </c>
      <c r="Z87" s="14">
        <f>ROUND(IF(Q87=1,INDEX(新属性投放!$D$14:$D$34,卡牌属性!R87),INDEX(新属性投放!$D$42:$D$62,卡牌属性!R87))*INDEX($G$5:$G$42,L87)/SQRT(INDEX($I$5:$I$42,L87)),2)</f>
        <v>722.46</v>
      </c>
      <c r="AA87" s="29" t="s">
        <v>178</v>
      </c>
      <c r="AB87" s="14">
        <f>ROUND(IF(Q87=1,INDEX(新属性投放!$E$14:$E$34,卡牌属性!R87),INDEX(新属性投放!$E$42:$E$62,卡牌属性!R87))*INDEX($G$5:$G$42,L87),2)</f>
        <v>361.23</v>
      </c>
      <c r="AC87" s="29" t="s">
        <v>179</v>
      </c>
      <c r="AD87" s="14">
        <f>ROUND(IF(Q87=1,INDEX(新属性投放!$F$14:$F$34,卡牌属性!R87),INDEX(新属性投放!$F$42:$F$62,卡牌属性!R87))*INDEX($G$5:$G$42,L87)*SQRT(INDEX($I$5:$I$42,L87)),2)</f>
        <v>2167.39</v>
      </c>
      <c r="AF87" s="14">
        <f t="shared" si="40"/>
        <v>7224</v>
      </c>
      <c r="AG87" s="14">
        <f t="shared" si="41"/>
        <v>3612</v>
      </c>
      <c r="AH87" s="14">
        <f t="shared" si="42"/>
        <v>21673</v>
      </c>
      <c r="AJ87" s="14">
        <f t="shared" si="31"/>
        <v>49362</v>
      </c>
      <c r="AK87" s="14">
        <f t="shared" si="32"/>
        <v>24674</v>
      </c>
      <c r="AL87" s="14">
        <f t="shared" si="33"/>
        <v>148100</v>
      </c>
    </row>
    <row r="88" spans="11:38" ht="16.5" x14ac:dyDescent="0.2">
      <c r="K88" s="13">
        <v>85</v>
      </c>
      <c r="L88" s="13">
        <f t="shared" si="34"/>
        <v>5</v>
      </c>
      <c r="M88" s="13">
        <f t="shared" si="35"/>
        <v>4</v>
      </c>
      <c r="N88" s="14">
        <f t="shared" si="36"/>
        <v>1101005</v>
      </c>
      <c r="O88" s="14" t="str">
        <f t="shared" si="37"/>
        <v>刘羽禅1突</v>
      </c>
      <c r="P88" s="29" t="s">
        <v>470</v>
      </c>
      <c r="Q88" s="14">
        <f t="shared" si="38"/>
        <v>1</v>
      </c>
      <c r="R88" s="14">
        <f t="shared" si="39"/>
        <v>1</v>
      </c>
      <c r="S88" s="14" t="s">
        <v>39</v>
      </c>
      <c r="T88" s="14">
        <f>ROUND(((IF(Q88=1,INDEX(新属性投放!$J$14:$J$34,卡牌属性!R88),INDEX(新属性投放!$J$42:$J$62,卡牌属性!R88)))*INDEX($G$5:$G$42,L88)+IF(Q88=1,INDEX(新属性投放!R$20:R$23,卡牌属性!M88-1),INDEX(新属性投放!R$25:R$28,卡牌属性!M88-1)))/SQRT(INDEX($I$5:$I$42,L88)),2)</f>
        <v>230</v>
      </c>
      <c r="U88" s="29" t="s">
        <v>178</v>
      </c>
      <c r="V88" s="14">
        <f>ROUND((IF(Q88=1,INDEX(新属性投放!$K$14:$K$34,卡牌属性!R88),INDEX(新属性投放!$K$42:$K$62,卡牌属性!R88))+IF(Q88=1,INDEX(新属性投放!S$20:S$23,卡牌属性!M88-1),INDEX(新属性投放!S$25:S$28,卡牌属性!M88-1)))*INDEX($G$5:$G$42,L88),2)</f>
        <v>0</v>
      </c>
      <c r="W88" s="29" t="s">
        <v>179</v>
      </c>
      <c r="X88" s="14">
        <f>ROUND((IF(Q88=1,INDEX(新属性投放!$L$14:$L$34,卡牌属性!R88),INDEX(新属性投放!$L$42:$L$62,卡牌属性!R88))*INDEX($G$5:$G$42,L88)+IF(Q88=1,INDEX(新属性投放!T$20:T$23,卡牌属性!M88-1),INDEX(新属性投放!T$25:T$28,卡牌属性!M88-1)))*SQRT(INDEX($I$5:$I$42,L88)),2)</f>
        <v>1150</v>
      </c>
      <c r="Y88" s="29" t="s">
        <v>177</v>
      </c>
      <c r="Z88" s="14">
        <f>ROUND(IF(Q88=1,INDEX(新属性投放!$D$14:$D$34,卡牌属性!R88),INDEX(新属性投放!$D$42:$D$62,卡牌属性!R88))*INDEX($G$5:$G$42,L88)/SQRT(INDEX($I$5:$I$42,L88)),2)</f>
        <v>19.5</v>
      </c>
      <c r="AA88" s="29" t="s">
        <v>178</v>
      </c>
      <c r="AB88" s="14">
        <f>ROUND(IF(Q88=1,INDEX(新属性投放!$E$14:$E$34,卡牌属性!R88),INDEX(新属性投放!$E$42:$E$62,卡牌属性!R88))*INDEX($G$5:$G$42,L88),2)</f>
        <v>9.75</v>
      </c>
      <c r="AC88" s="29" t="s">
        <v>179</v>
      </c>
      <c r="AD88" s="14">
        <f>ROUND(IF(Q88=1,INDEX(新属性投放!$F$14:$F$34,卡牌属性!R88),INDEX(新属性投放!$F$42:$F$62,卡牌属性!R88))*INDEX($G$5:$G$42,L88)*SQRT(INDEX($I$5:$I$42,L88)),2)</f>
        <v>58.5</v>
      </c>
      <c r="AF88" s="14">
        <f t="shared" si="40"/>
        <v>195</v>
      </c>
      <c r="AG88" s="14">
        <f t="shared" si="41"/>
        <v>97</v>
      </c>
      <c r="AH88" s="14">
        <f t="shared" si="42"/>
        <v>585</v>
      </c>
      <c r="AJ88" s="14">
        <f t="shared" ref="AJ88" si="43">AF88</f>
        <v>195</v>
      </c>
      <c r="AK88" s="14">
        <f t="shared" ref="AK88" si="44">AG88</f>
        <v>97</v>
      </c>
      <c r="AL88" s="14">
        <f t="shared" ref="AL88" si="45">AH88</f>
        <v>585</v>
      </c>
    </row>
    <row r="89" spans="11:38" ht="16.5" x14ac:dyDescent="0.2">
      <c r="K89" s="13">
        <v>86</v>
      </c>
      <c r="L89" s="13">
        <f t="shared" si="34"/>
        <v>5</v>
      </c>
      <c r="M89" s="13">
        <f t="shared" si="35"/>
        <v>4</v>
      </c>
      <c r="N89" s="14">
        <f t="shared" si="36"/>
        <v>1101005</v>
      </c>
      <c r="O89" s="14" t="str">
        <f t="shared" si="37"/>
        <v>刘羽禅2突</v>
      </c>
      <c r="P89" s="29" t="s">
        <v>470</v>
      </c>
      <c r="Q89" s="14">
        <f t="shared" si="38"/>
        <v>1</v>
      </c>
      <c r="R89" s="14">
        <f t="shared" si="39"/>
        <v>2</v>
      </c>
      <c r="S89" s="14" t="s">
        <v>39</v>
      </c>
      <c r="T89" s="14">
        <f>ROUND(((IF(Q89=1,INDEX(新属性投放!$J$14:$J$34,卡牌属性!R89),INDEX(新属性投放!$J$42:$J$62,卡牌属性!R89)))*INDEX($G$5:$G$42,L89)+IF(Q89=1,INDEX(新属性投放!R$20:R$23,卡牌属性!M89-1),INDEX(新属性投放!R$25:R$28,卡牌属性!M89-1)))/SQRT(INDEX($I$5:$I$42,L89)),2)</f>
        <v>418.5</v>
      </c>
      <c r="U89" s="29" t="s">
        <v>178</v>
      </c>
      <c r="V89" s="14">
        <f>ROUND((IF(Q89=1,INDEX(新属性投放!$K$14:$K$34,卡牌属性!R89),INDEX(新属性投放!$K$42:$K$62,卡牌属性!R89))+IF(Q89=1,INDEX(新属性投放!S$20:S$23,卡牌属性!M89-1),INDEX(新属性投放!S$25:S$28,卡牌属性!M89-1)))*INDEX($G$5:$G$42,L89),2)</f>
        <v>109.85</v>
      </c>
      <c r="W89" s="29" t="s">
        <v>179</v>
      </c>
      <c r="X89" s="14">
        <f>ROUND((IF(Q89=1,INDEX(新属性投放!$L$14:$L$34,卡牌属性!R89),INDEX(新属性投放!$L$42:$L$62,卡牌属性!R89))*INDEX($G$5:$G$42,L89)+IF(Q89=1,INDEX(新属性投放!T$20:T$23,卡牌属性!M89-1),INDEX(新属性投放!T$25:T$28,卡牌属性!M89-1)))*SQRT(INDEX($I$5:$I$42,L89)),2)</f>
        <v>1715.5</v>
      </c>
      <c r="Y89" s="29" t="s">
        <v>177</v>
      </c>
      <c r="Z89" s="14">
        <f>ROUND(IF(Q89=1,INDEX(新属性投放!$D$14:$D$34,卡牌属性!R89),INDEX(新属性投放!$D$42:$D$62,卡牌属性!R89))*INDEX($G$5:$G$42,L89)/SQRT(INDEX($I$5:$I$42,L89)),2)</f>
        <v>17.899999999999999</v>
      </c>
      <c r="AA89" s="29" t="s">
        <v>178</v>
      </c>
      <c r="AB89" s="14">
        <f>ROUND(IF(Q89=1,INDEX(新属性投放!$E$14:$E$34,卡牌属性!R89),INDEX(新属性投放!$E$42:$E$62,卡牌属性!R89))*INDEX($G$5:$G$42,L89),2)</f>
        <v>8.9499999999999993</v>
      </c>
      <c r="AC89" s="29" t="s">
        <v>179</v>
      </c>
      <c r="AD89" s="14">
        <f>ROUND(IF(Q89=1,INDEX(新属性投放!$F$14:$F$34,卡牌属性!R89),INDEX(新属性投放!$F$42:$F$62,卡牌属性!R89))*INDEX($G$5:$G$42,L89)*SQRT(INDEX($I$5:$I$42,L89)),2)</f>
        <v>53.7</v>
      </c>
      <c r="AF89" s="14">
        <f t="shared" si="40"/>
        <v>179</v>
      </c>
      <c r="AG89" s="14">
        <f t="shared" si="41"/>
        <v>89</v>
      </c>
      <c r="AH89" s="14">
        <f t="shared" si="42"/>
        <v>537</v>
      </c>
      <c r="AJ89" s="14">
        <f t="shared" ref="AJ89:AJ108" si="46">AJ88+AF89</f>
        <v>374</v>
      </c>
      <c r="AK89" s="14">
        <f t="shared" ref="AK89:AK108" si="47">AK88+AG89</f>
        <v>186</v>
      </c>
      <c r="AL89" s="14">
        <f t="shared" ref="AL89:AL108" si="48">AL88+AH89</f>
        <v>1122</v>
      </c>
    </row>
    <row r="90" spans="11:38" ht="16.5" x14ac:dyDescent="0.2">
      <c r="K90" s="13">
        <v>87</v>
      </c>
      <c r="L90" s="13">
        <f t="shared" si="34"/>
        <v>5</v>
      </c>
      <c r="M90" s="13">
        <f t="shared" si="35"/>
        <v>4</v>
      </c>
      <c r="N90" s="14">
        <f t="shared" si="36"/>
        <v>1101005</v>
      </c>
      <c r="O90" s="14" t="str">
        <f t="shared" si="37"/>
        <v>刘羽禅3突</v>
      </c>
      <c r="P90" s="29" t="s">
        <v>470</v>
      </c>
      <c r="Q90" s="14">
        <f t="shared" si="38"/>
        <v>1</v>
      </c>
      <c r="R90" s="14">
        <f t="shared" si="39"/>
        <v>3</v>
      </c>
      <c r="S90" s="14" t="s">
        <v>39</v>
      </c>
      <c r="T90" s="14">
        <f>ROUND(((IF(Q90=1,INDEX(新属性投放!$J$14:$J$34,卡牌属性!R90),INDEX(新属性投放!$J$42:$J$62,卡牌属性!R90)))*INDEX($G$5:$G$42,L90)+IF(Q90=1,INDEX(新属性投放!R$20:R$23,卡牌属性!M90-1),INDEX(新属性投放!R$25:R$28,卡牌属性!M90-1)))/SQRT(INDEX($I$5:$I$42,L90)),2)</f>
        <v>641.71</v>
      </c>
      <c r="U90" s="29" t="s">
        <v>178</v>
      </c>
      <c r="V90" s="14">
        <f>ROUND((IF(Q90=1,INDEX(新属性投放!$K$14:$K$34,卡牌属性!R90),INDEX(新属性投放!$K$42:$K$62,卡牌属性!R90))+IF(Q90=1,INDEX(新属性投放!S$20:S$23,卡牌属性!M90-1),INDEX(新属性投放!S$25:S$28,卡牌属性!M90-1)))*INDEX($G$5:$G$42,L90),2)</f>
        <v>221.46</v>
      </c>
      <c r="W90" s="29" t="s">
        <v>179</v>
      </c>
      <c r="X90" s="14">
        <f>ROUND((IF(Q90=1,INDEX(新属性投放!$L$14:$L$34,卡牌属性!R90),INDEX(新属性投放!$L$42:$L$62,卡牌属性!R90))*INDEX($G$5:$G$42,L90)+IF(Q90=1,INDEX(新属性投放!T$20:T$23,卡牌属性!M90-1),INDEX(新属性投放!T$25:T$28,卡牌属性!M90-1)))*SQRT(INDEX($I$5:$I$42,L90)),2)</f>
        <v>2385.13</v>
      </c>
      <c r="Y90" s="29" t="s">
        <v>177</v>
      </c>
      <c r="Z90" s="14">
        <f>ROUND(IF(Q90=1,INDEX(新属性投放!$D$14:$D$34,卡牌属性!R90),INDEX(新属性投放!$D$42:$D$62,卡牌属性!R90))*INDEX($G$5:$G$42,L90)/SQRT(INDEX($I$5:$I$42,L90)),2)</f>
        <v>32.72</v>
      </c>
      <c r="AA90" s="29" t="s">
        <v>178</v>
      </c>
      <c r="AB90" s="14">
        <f>ROUND(IF(Q90=1,INDEX(新属性投放!$E$14:$E$34,卡牌属性!R90),INDEX(新属性投放!$E$42:$E$62,卡牌属性!R90))*INDEX($G$5:$G$42,L90),2)</f>
        <v>16.36</v>
      </c>
      <c r="AC90" s="29" t="s">
        <v>179</v>
      </c>
      <c r="AD90" s="14">
        <f>ROUND(IF(Q90=1,INDEX(新属性投放!$F$14:$F$34,卡牌属性!R90),INDEX(新属性投放!$F$42:$F$62,卡牌属性!R90))*INDEX($G$5:$G$42,L90)*SQRT(INDEX($I$5:$I$42,L90)),2)</f>
        <v>98.16</v>
      </c>
      <c r="AF90" s="14">
        <f t="shared" si="40"/>
        <v>327</v>
      </c>
      <c r="AG90" s="14">
        <f t="shared" si="41"/>
        <v>163</v>
      </c>
      <c r="AH90" s="14">
        <f t="shared" si="42"/>
        <v>981</v>
      </c>
      <c r="AJ90" s="14">
        <f t="shared" si="46"/>
        <v>701</v>
      </c>
      <c r="AK90" s="14">
        <f t="shared" si="47"/>
        <v>349</v>
      </c>
      <c r="AL90" s="14">
        <f t="shared" si="48"/>
        <v>2103</v>
      </c>
    </row>
    <row r="91" spans="11:38" ht="16.5" x14ac:dyDescent="0.2">
      <c r="K91" s="13">
        <v>88</v>
      </c>
      <c r="L91" s="13">
        <f t="shared" si="34"/>
        <v>5</v>
      </c>
      <c r="M91" s="13">
        <f t="shared" si="35"/>
        <v>4</v>
      </c>
      <c r="N91" s="14">
        <f t="shared" si="36"/>
        <v>1101005</v>
      </c>
      <c r="O91" s="14" t="str">
        <f t="shared" si="37"/>
        <v>刘羽禅4突</v>
      </c>
      <c r="P91" s="29" t="s">
        <v>470</v>
      </c>
      <c r="Q91" s="14">
        <f t="shared" si="38"/>
        <v>1</v>
      </c>
      <c r="R91" s="14">
        <f t="shared" si="39"/>
        <v>4</v>
      </c>
      <c r="S91" s="14" t="s">
        <v>39</v>
      </c>
      <c r="T91" s="14">
        <f>ROUND(((IF(Q91=1,INDEX(新属性投放!$J$14:$J$34,卡牌属性!R91),INDEX(新属性投放!$J$42:$J$62,卡牌属性!R91)))*INDEX($G$5:$G$42,L91)+IF(Q91=1,INDEX(新属性投放!R$20:R$23,卡牌属性!M91-1),INDEX(新属性投放!R$25:R$28,卡牌属性!M91-1)))/SQRT(INDEX($I$5:$I$42,L91)),2)</f>
        <v>1050.82</v>
      </c>
      <c r="U91" s="29" t="s">
        <v>178</v>
      </c>
      <c r="V91" s="14">
        <f>ROUND((IF(Q91=1,INDEX(新属性投放!$K$14:$K$34,卡牌属性!R91),INDEX(新属性投放!$K$42:$K$62,卡牌属性!R91))+IF(Q91=1,INDEX(新属性投放!S$20:S$23,卡牌属性!M91-1),INDEX(新属性投放!S$25:S$28,卡牌属性!M91-1)))*INDEX($G$5:$G$42,L91),2)</f>
        <v>425.36</v>
      </c>
      <c r="W91" s="29" t="s">
        <v>179</v>
      </c>
      <c r="X91" s="14">
        <f>ROUND((IF(Q91=1,INDEX(新属性投放!$L$14:$L$34,卡牌属性!R91),INDEX(新属性投放!$L$42:$L$62,卡牌属性!R91))*INDEX($G$5:$G$42,L91)+IF(Q91=1,INDEX(新属性投放!T$20:T$23,卡牌属性!M91-1),INDEX(新属性投放!T$25:T$28,卡牌属性!M91-1)))*SQRT(INDEX($I$5:$I$42,L91)),2)</f>
        <v>3612.46</v>
      </c>
      <c r="Y91" s="29" t="s">
        <v>177</v>
      </c>
      <c r="Z91" s="14">
        <f>ROUND(IF(Q91=1,INDEX(新属性投放!$D$14:$D$34,卡牌属性!R91),INDEX(新属性投放!$D$42:$D$62,卡牌属性!R91))*INDEX($G$5:$G$42,L91)/SQRT(INDEX($I$5:$I$42,L91)),2)</f>
        <v>39.17</v>
      </c>
      <c r="AA91" s="29" t="s">
        <v>178</v>
      </c>
      <c r="AB91" s="14">
        <f>ROUND(IF(Q91=1,INDEX(新属性投放!$E$14:$E$34,卡牌属性!R91),INDEX(新属性投放!$E$42:$E$62,卡牌属性!R91))*INDEX($G$5:$G$42,L91),2)</f>
        <v>19.579999999999998</v>
      </c>
      <c r="AC91" s="29" t="s">
        <v>179</v>
      </c>
      <c r="AD91" s="14">
        <f>ROUND(IF(Q91=1,INDEX(新属性投放!$F$14:$F$34,卡牌属性!R91),INDEX(新属性投放!$F$42:$F$62,卡牌属性!R91))*INDEX($G$5:$G$42,L91)*SQRT(INDEX($I$5:$I$42,L91)),2)</f>
        <v>117.51</v>
      </c>
      <c r="AF91" s="14">
        <f t="shared" si="40"/>
        <v>391</v>
      </c>
      <c r="AG91" s="14">
        <f t="shared" si="41"/>
        <v>195</v>
      </c>
      <c r="AH91" s="14">
        <f t="shared" si="42"/>
        <v>1175</v>
      </c>
      <c r="AJ91" s="14">
        <f t="shared" si="46"/>
        <v>1092</v>
      </c>
      <c r="AK91" s="14">
        <f t="shared" si="47"/>
        <v>544</v>
      </c>
      <c r="AL91" s="14">
        <f t="shared" si="48"/>
        <v>3278</v>
      </c>
    </row>
    <row r="92" spans="11:38" ht="16.5" x14ac:dyDescent="0.2">
      <c r="K92" s="13">
        <v>89</v>
      </c>
      <c r="L92" s="13">
        <f t="shared" si="34"/>
        <v>5</v>
      </c>
      <c r="M92" s="13">
        <f t="shared" si="35"/>
        <v>4</v>
      </c>
      <c r="N92" s="14">
        <f t="shared" si="36"/>
        <v>1101005</v>
      </c>
      <c r="O92" s="14" t="str">
        <f t="shared" si="37"/>
        <v>刘羽禅5突</v>
      </c>
      <c r="P92" s="29" t="s">
        <v>470</v>
      </c>
      <c r="Q92" s="14">
        <f t="shared" si="38"/>
        <v>1</v>
      </c>
      <c r="R92" s="14">
        <f t="shared" si="39"/>
        <v>5</v>
      </c>
      <c r="S92" s="14" t="s">
        <v>39</v>
      </c>
      <c r="T92" s="14">
        <f>ROUND(((IF(Q92=1,INDEX(新属性投放!$J$14:$J$34,卡牌属性!R92),INDEX(新属性投放!$J$42:$J$62,卡牌属性!R92)))*INDEX($G$5:$G$42,L92)+IF(Q92=1,INDEX(新属性投放!R$20:R$23,卡牌属性!M92-1),INDEX(新属性投放!R$25:R$28,卡牌属性!M92-1)))/SQRT(INDEX($I$5:$I$42,L92)),2)</f>
        <v>1540.01</v>
      </c>
      <c r="U92" s="29" t="s">
        <v>178</v>
      </c>
      <c r="V92" s="14">
        <f>ROUND((IF(Q92=1,INDEX(新属性投放!$K$14:$K$34,卡牌属性!R92),INDEX(新属性投放!$K$42:$K$62,卡牌属性!R92))+IF(Q92=1,INDEX(新属性投放!S$20:S$23,卡牌属性!M92-1),INDEX(新属性投放!S$25:S$28,卡牌属性!M92-1)))*INDEX($G$5:$G$42,L92),2)</f>
        <v>670.61</v>
      </c>
      <c r="W92" s="29" t="s">
        <v>179</v>
      </c>
      <c r="X92" s="14">
        <f>ROUND((IF(Q92=1,INDEX(新属性投放!$L$14:$L$34,卡牌属性!R92),INDEX(新属性投放!$L$42:$L$62,卡牌属性!R92))*INDEX($G$5:$G$42,L92)+IF(Q92=1,INDEX(新属性投放!T$20:T$23,卡牌属性!M92-1),INDEX(新属性投放!T$25:T$28,卡牌属性!M92-1)))*SQRT(INDEX($I$5:$I$42,L92)),2)</f>
        <v>5080.03</v>
      </c>
      <c r="Y92" s="29" t="s">
        <v>177</v>
      </c>
      <c r="Z92" s="14">
        <f>ROUND(IF(Q92=1,INDEX(新属性投放!$D$14:$D$34,卡牌属性!R92),INDEX(新属性投放!$D$42:$D$62,卡牌属性!R92))*INDEX($G$5:$G$42,L92)/SQRT(INDEX($I$5:$I$42,L92)),2)</f>
        <v>48.96</v>
      </c>
      <c r="AA92" s="29" t="s">
        <v>178</v>
      </c>
      <c r="AB92" s="14">
        <f>ROUND(IF(Q92=1,INDEX(新属性投放!$E$14:$E$34,卡牌属性!R92),INDEX(新属性投放!$E$42:$E$62,卡牌属性!R92))*INDEX($G$5:$G$42,L92),2)</f>
        <v>24.48</v>
      </c>
      <c r="AC92" s="29" t="s">
        <v>179</v>
      </c>
      <c r="AD92" s="14">
        <f>ROUND(IF(Q92=1,INDEX(新属性投放!$F$14:$F$34,卡牌属性!R92),INDEX(新属性投放!$F$42:$F$62,卡牌属性!R92))*INDEX($G$5:$G$42,L92)*SQRT(INDEX($I$5:$I$42,L92)),2)</f>
        <v>146.87</v>
      </c>
      <c r="AF92" s="14">
        <f t="shared" si="40"/>
        <v>489</v>
      </c>
      <c r="AG92" s="14">
        <f t="shared" si="41"/>
        <v>244</v>
      </c>
      <c r="AH92" s="14">
        <f t="shared" si="42"/>
        <v>1468</v>
      </c>
      <c r="AJ92" s="14">
        <f t="shared" si="46"/>
        <v>1581</v>
      </c>
      <c r="AK92" s="14">
        <f t="shared" si="47"/>
        <v>788</v>
      </c>
      <c r="AL92" s="14">
        <f t="shared" si="48"/>
        <v>4746</v>
      </c>
    </row>
    <row r="93" spans="11:38" ht="16.5" x14ac:dyDescent="0.2">
      <c r="K93" s="13">
        <v>90</v>
      </c>
      <c r="L93" s="13">
        <f t="shared" si="34"/>
        <v>5</v>
      </c>
      <c r="M93" s="13">
        <f t="shared" si="35"/>
        <v>4</v>
      </c>
      <c r="N93" s="14">
        <f t="shared" si="36"/>
        <v>1101005</v>
      </c>
      <c r="O93" s="14" t="str">
        <f t="shared" si="37"/>
        <v>刘羽禅6突</v>
      </c>
      <c r="P93" s="29" t="s">
        <v>470</v>
      </c>
      <c r="Q93" s="14">
        <f t="shared" si="38"/>
        <v>1</v>
      </c>
      <c r="R93" s="14">
        <f t="shared" si="39"/>
        <v>6</v>
      </c>
      <c r="S93" s="14" t="s">
        <v>39</v>
      </c>
      <c r="T93" s="14">
        <f>ROUND(((IF(Q93=1,INDEX(新属性投放!$J$14:$J$34,卡牌属性!R93),INDEX(新属性投放!$J$42:$J$62,卡牌属性!R93)))*INDEX($G$5:$G$42,L93)+IF(Q93=1,INDEX(新属性投放!R$20:R$23,卡牌属性!M93-1),INDEX(新属性投放!R$25:R$28,卡牌属性!M93-1)))/SQRT(INDEX($I$5:$I$42,L93)),2)</f>
        <v>2151.79</v>
      </c>
      <c r="U93" s="29" t="s">
        <v>178</v>
      </c>
      <c r="V93" s="14">
        <f>ROUND((IF(Q93=1,INDEX(新属性投放!$K$14:$K$34,卡牌属性!R93),INDEX(新属性投放!$K$42:$K$62,卡牌属性!R93))+IF(Q93=1,INDEX(新属性投放!S$20:S$23,卡牌属性!M93-1),INDEX(新属性投放!S$25:S$28,卡牌属性!M93-1)))*INDEX($G$5:$G$42,L93),2)</f>
        <v>976.5</v>
      </c>
      <c r="W93" s="29" t="s">
        <v>179</v>
      </c>
      <c r="X93" s="14">
        <f>ROUND((IF(Q93=1,INDEX(新属性投放!$L$14:$L$34,卡牌属性!R93),INDEX(新属性投放!$L$42:$L$62,卡牌属性!R93))*INDEX($G$5:$G$42,L93)+IF(Q93=1,INDEX(新属性投放!T$20:T$23,卡牌属性!M93-1),INDEX(新属性投放!T$25:T$28,卡牌属性!M93-1)))*SQRT(INDEX($I$5:$I$42,L93)),2)</f>
        <v>6915.37</v>
      </c>
      <c r="Y93" s="29" t="s">
        <v>177</v>
      </c>
      <c r="Z93" s="14">
        <f>ROUND(IF(Q93=1,INDEX(新属性投放!$D$14:$D$34,卡牌属性!R93),INDEX(新属性投放!$D$42:$D$62,卡牌属性!R93))*INDEX($G$5:$G$42,L93)/SQRT(INDEX($I$5:$I$42,L93)),2)</f>
        <v>63.51</v>
      </c>
      <c r="AA93" s="29" t="s">
        <v>178</v>
      </c>
      <c r="AB93" s="14">
        <f>ROUND(IF(Q93=1,INDEX(新属性投放!$E$14:$E$34,卡牌属性!R93),INDEX(新属性投放!$E$42:$E$62,卡牌属性!R93))*INDEX($G$5:$G$42,L93),2)</f>
        <v>31.75</v>
      </c>
      <c r="AC93" s="29" t="s">
        <v>179</v>
      </c>
      <c r="AD93" s="14">
        <f>ROUND(IF(Q93=1,INDEX(新属性投放!$F$14:$F$34,卡牌属性!R93),INDEX(新属性投放!$F$42:$F$62,卡牌属性!R93))*INDEX($G$5:$G$42,L93)*SQRT(INDEX($I$5:$I$42,L93)),2)</f>
        <v>190.52</v>
      </c>
      <c r="AF93" s="14">
        <f t="shared" si="40"/>
        <v>635</v>
      </c>
      <c r="AG93" s="14">
        <f t="shared" si="41"/>
        <v>317</v>
      </c>
      <c r="AH93" s="14">
        <f t="shared" si="42"/>
        <v>1905</v>
      </c>
      <c r="AJ93" s="14">
        <f t="shared" si="46"/>
        <v>2216</v>
      </c>
      <c r="AK93" s="14">
        <f t="shared" si="47"/>
        <v>1105</v>
      </c>
      <c r="AL93" s="14">
        <f t="shared" si="48"/>
        <v>6651</v>
      </c>
    </row>
    <row r="94" spans="11:38" ht="16.5" x14ac:dyDescent="0.2">
      <c r="K94" s="13">
        <v>91</v>
      </c>
      <c r="L94" s="13">
        <f t="shared" si="34"/>
        <v>5</v>
      </c>
      <c r="M94" s="13">
        <f t="shared" si="35"/>
        <v>4</v>
      </c>
      <c r="N94" s="14">
        <f t="shared" si="36"/>
        <v>1101005</v>
      </c>
      <c r="O94" s="14" t="str">
        <f t="shared" si="37"/>
        <v>刘羽禅7突</v>
      </c>
      <c r="P94" s="29" t="s">
        <v>470</v>
      </c>
      <c r="Q94" s="14">
        <f t="shared" si="38"/>
        <v>1</v>
      </c>
      <c r="R94" s="14">
        <f t="shared" si="39"/>
        <v>7</v>
      </c>
      <c r="S94" s="14" t="s">
        <v>39</v>
      </c>
      <c r="T94" s="14">
        <f>ROUND(((IF(Q94=1,INDEX(新属性投放!$J$14:$J$34,卡牌属性!R94),INDEX(新属性投放!$J$42:$J$62,卡牌属性!R94)))*INDEX($G$5:$G$42,L94)+IF(Q94=1,INDEX(新属性投放!R$20:R$23,卡牌属性!M94-1),INDEX(新属性投放!R$25:R$28,卡牌属性!M94-1)))/SQRT(INDEX($I$5:$I$42,L94)),2)</f>
        <v>2945.44</v>
      </c>
      <c r="U94" s="29" t="s">
        <v>178</v>
      </c>
      <c r="V94" s="14">
        <f>ROUND((IF(Q94=1,INDEX(新属性投放!$K$14:$K$34,卡牌属性!R94),INDEX(新属性投放!$K$42:$K$62,卡牌属性!R94))+IF(Q94=1,INDEX(新属性投放!S$20:S$23,卡牌属性!M94-1),INDEX(新属性投放!S$25:S$28,卡牌属性!M94-1)))*INDEX($G$5:$G$42,L94),2)</f>
        <v>1373.32</v>
      </c>
      <c r="W94" s="29" t="s">
        <v>179</v>
      </c>
      <c r="X94" s="14">
        <f>ROUND((IF(Q94=1,INDEX(新属性投放!$L$14:$L$34,卡牌属性!R94),INDEX(新属性投放!$L$42:$L$62,卡牌属性!R94))*INDEX($G$5:$G$42,L94)+IF(Q94=1,INDEX(新属性投放!T$20:T$23,卡牌属性!M94-1),INDEX(新属性投放!T$25:T$28,卡牌属性!M94-1)))*SQRT(INDEX($I$5:$I$42,L94)),2)</f>
        <v>9296.32</v>
      </c>
      <c r="Y94" s="29" t="s">
        <v>177</v>
      </c>
      <c r="Z94" s="14">
        <f>ROUND(IF(Q94=1,INDEX(新属性投放!$D$14:$D$34,卡牌属性!R94),INDEX(新属性投放!$D$42:$D$62,卡牌属性!R94))*INDEX($G$5:$G$42,L94)/SQRT(INDEX($I$5:$I$42,L94)),2)</f>
        <v>78.25</v>
      </c>
      <c r="AA94" s="29" t="s">
        <v>178</v>
      </c>
      <c r="AB94" s="14">
        <f>ROUND(IF(Q94=1,INDEX(新属性投放!$E$14:$E$34,卡牌属性!R94),INDEX(新属性投放!$E$42:$E$62,卡牌属性!R94))*INDEX($G$5:$G$42,L94),2)</f>
        <v>39.119999999999997</v>
      </c>
      <c r="AC94" s="29" t="s">
        <v>179</v>
      </c>
      <c r="AD94" s="14">
        <f>ROUND(IF(Q94=1,INDEX(新属性投放!$F$14:$F$34,卡牌属性!R94),INDEX(新属性投放!$F$42:$F$62,卡牌属性!R94))*INDEX($G$5:$G$42,L94)*SQRT(INDEX($I$5:$I$42,L94)),2)</f>
        <v>234.74</v>
      </c>
      <c r="AF94" s="14">
        <f t="shared" si="40"/>
        <v>782</v>
      </c>
      <c r="AG94" s="14">
        <f t="shared" si="41"/>
        <v>391</v>
      </c>
      <c r="AH94" s="14">
        <f t="shared" si="42"/>
        <v>2347</v>
      </c>
      <c r="AJ94" s="14">
        <f t="shared" si="46"/>
        <v>2998</v>
      </c>
      <c r="AK94" s="14">
        <f t="shared" si="47"/>
        <v>1496</v>
      </c>
      <c r="AL94" s="14">
        <f t="shared" si="48"/>
        <v>8998</v>
      </c>
    </row>
    <row r="95" spans="11:38" ht="16.5" x14ac:dyDescent="0.2">
      <c r="K95" s="13">
        <v>92</v>
      </c>
      <c r="L95" s="13">
        <f t="shared" si="34"/>
        <v>5</v>
      </c>
      <c r="M95" s="13">
        <f t="shared" si="35"/>
        <v>4</v>
      </c>
      <c r="N95" s="14">
        <f t="shared" si="36"/>
        <v>1101005</v>
      </c>
      <c r="O95" s="14" t="str">
        <f t="shared" si="37"/>
        <v>刘羽禅8突</v>
      </c>
      <c r="P95" s="29" t="s">
        <v>470</v>
      </c>
      <c r="Q95" s="14">
        <f t="shared" si="38"/>
        <v>1</v>
      </c>
      <c r="R95" s="14">
        <f t="shared" si="39"/>
        <v>8</v>
      </c>
      <c r="S95" s="14" t="s">
        <v>39</v>
      </c>
      <c r="T95" s="14">
        <f>ROUND(((IF(Q95=1,INDEX(新属性投放!$J$14:$J$34,卡牌属性!R95),INDEX(新属性投放!$J$42:$J$62,卡牌属性!R95)))*INDEX($G$5:$G$42,L95)+IF(Q95=1,INDEX(新属性投放!R$20:R$23,卡牌属性!M95-1),INDEX(新属性投放!R$25:R$28,卡牌属性!M95-1)))/SQRT(INDEX($I$5:$I$42,L95)),2)</f>
        <v>3922.91</v>
      </c>
      <c r="U95" s="29" t="s">
        <v>178</v>
      </c>
      <c r="V95" s="14">
        <f>ROUND((IF(Q95=1,INDEX(新属性投放!$K$14:$K$34,卡牌属性!R95),INDEX(新属性投放!$K$42:$K$62,卡牌属性!R95))+IF(Q95=1,INDEX(新属性投放!S$20:S$23,卡牌属性!M95-1),INDEX(新属性投放!S$25:S$28,卡牌属性!M95-1)))*INDEX($G$5:$G$42,L95),2)</f>
        <v>1862.06</v>
      </c>
      <c r="W95" s="29" t="s">
        <v>179</v>
      </c>
      <c r="X95" s="14">
        <f>ROUND((IF(Q95=1,INDEX(新属性投放!$L$14:$L$34,卡牌属性!R95),INDEX(新属性投放!$L$42:$L$62,卡牌属性!R95))*INDEX($G$5:$G$42,L95)+IF(Q95=1,INDEX(新属性投放!T$20:T$23,卡牌属性!M95-1),INDEX(新属性投放!T$25:T$28,卡牌属性!M95-1)))*SQRT(INDEX($I$5:$I$42,L95)),2)</f>
        <v>12228.73</v>
      </c>
      <c r="Y95" s="29" t="s">
        <v>177</v>
      </c>
      <c r="Z95" s="14">
        <f>ROUND(IF(Q95=1,INDEX(新属性投放!$D$14:$D$34,卡牌属性!R95),INDEX(新属性投放!$D$42:$D$62,卡牌属性!R95))*INDEX($G$5:$G$42,L95)/SQRT(INDEX($I$5:$I$42,L95)),2)</f>
        <v>97.75</v>
      </c>
      <c r="AA95" s="29" t="s">
        <v>178</v>
      </c>
      <c r="AB95" s="14">
        <f>ROUND(IF(Q95=1,INDEX(新属性投放!$E$14:$E$34,卡牌属性!R95),INDEX(新属性投放!$E$42:$E$62,卡牌属性!R95))*INDEX($G$5:$G$42,L95),2)</f>
        <v>48.87</v>
      </c>
      <c r="AC95" s="29" t="s">
        <v>179</v>
      </c>
      <c r="AD95" s="14">
        <f>ROUND(IF(Q95=1,INDEX(新属性投放!$F$14:$F$34,卡牌属性!R95),INDEX(新属性投放!$F$42:$F$62,卡牌属性!R95))*INDEX($G$5:$G$42,L95)*SQRT(INDEX($I$5:$I$42,L95)),2)</f>
        <v>293.24</v>
      </c>
      <c r="AF95" s="14">
        <f t="shared" si="40"/>
        <v>977</v>
      </c>
      <c r="AG95" s="14">
        <f t="shared" si="41"/>
        <v>488</v>
      </c>
      <c r="AH95" s="14">
        <f t="shared" si="42"/>
        <v>2932</v>
      </c>
      <c r="AJ95" s="14">
        <f t="shared" si="46"/>
        <v>3975</v>
      </c>
      <c r="AK95" s="14">
        <f t="shared" si="47"/>
        <v>1984</v>
      </c>
      <c r="AL95" s="14">
        <f t="shared" si="48"/>
        <v>11930</v>
      </c>
    </row>
    <row r="96" spans="11:38" ht="16.5" x14ac:dyDescent="0.2">
      <c r="K96" s="13">
        <v>93</v>
      </c>
      <c r="L96" s="13">
        <f t="shared" si="34"/>
        <v>5</v>
      </c>
      <c r="M96" s="13">
        <f t="shared" si="35"/>
        <v>4</v>
      </c>
      <c r="N96" s="14">
        <f t="shared" si="36"/>
        <v>1101005</v>
      </c>
      <c r="O96" s="14" t="str">
        <f t="shared" si="37"/>
        <v>刘羽禅9突</v>
      </c>
      <c r="P96" s="29" t="s">
        <v>470</v>
      </c>
      <c r="Q96" s="14">
        <f t="shared" si="38"/>
        <v>1</v>
      </c>
      <c r="R96" s="14">
        <f t="shared" si="39"/>
        <v>9</v>
      </c>
      <c r="S96" s="14" t="s">
        <v>39</v>
      </c>
      <c r="T96" s="14">
        <f>ROUND(((IF(Q96=1,INDEX(新属性投放!$J$14:$J$34,卡牌属性!R96),INDEX(新属性投放!$J$42:$J$62,卡牌属性!R96)))*INDEX($G$5:$G$42,L96)+IF(Q96=1,INDEX(新属性投放!R$20:R$23,卡牌属性!M96-1),INDEX(新属性投放!R$25:R$28,卡牌属性!M96-1)))/SQRT(INDEX($I$5:$I$42,L96)),2)</f>
        <v>5144.78</v>
      </c>
      <c r="U96" s="29" t="s">
        <v>178</v>
      </c>
      <c r="V96" s="14">
        <f>ROUND((IF(Q96=1,INDEX(新属性投放!$K$14:$K$34,卡牌属性!R96),INDEX(新属性投放!$K$42:$K$62,卡牌属性!R96))+IF(Q96=1,INDEX(新属性投放!S$20:S$23,卡牌属性!M96-1),INDEX(新属性投放!S$25:S$28,卡牌属性!M96-1)))*INDEX($G$5:$G$42,L96),2)</f>
        <v>2472.9899999999998</v>
      </c>
      <c r="W96" s="29" t="s">
        <v>179</v>
      </c>
      <c r="X96" s="14">
        <f>ROUND((IF(Q96=1,INDEX(新属性投放!$L$14:$L$34,卡牌属性!R96),INDEX(新属性投放!$L$42:$L$62,卡牌属性!R96))*INDEX($G$5:$G$42,L96)+IF(Q96=1,INDEX(新属性投放!T$20:T$23,卡牌属性!M96-1),INDEX(新属性投放!T$25:T$28,卡牌属性!M96-1)))*SQRT(INDEX($I$5:$I$42,L96)),2)</f>
        <v>15894.34</v>
      </c>
      <c r="Y96" s="29" t="s">
        <v>177</v>
      </c>
      <c r="Z96" s="14">
        <f>ROUND(IF(Q96=1,INDEX(新属性投放!$D$14:$D$34,卡牌属性!R96),INDEX(新属性投放!$D$42:$D$62,卡牌属性!R96))*INDEX($G$5:$G$42,L96)/SQRT(INDEX($I$5:$I$42,L96)),2)</f>
        <v>127.13</v>
      </c>
      <c r="AA96" s="29" t="s">
        <v>178</v>
      </c>
      <c r="AB96" s="14">
        <f>ROUND(IF(Q96=1,INDEX(新属性投放!$E$14:$E$34,卡牌属性!R96),INDEX(新属性投放!$E$42:$E$62,卡牌属性!R96))*INDEX($G$5:$G$42,L96),2)</f>
        <v>63.56</v>
      </c>
      <c r="AC96" s="29" t="s">
        <v>179</v>
      </c>
      <c r="AD96" s="14">
        <f>ROUND(IF(Q96=1,INDEX(新属性投放!$F$14:$F$34,卡牌属性!R96),INDEX(新属性投放!$F$42:$F$62,卡牌属性!R96))*INDEX($G$5:$G$42,L96)*SQRT(INDEX($I$5:$I$42,L96)),2)</f>
        <v>381.38</v>
      </c>
      <c r="AF96" s="14">
        <f t="shared" si="40"/>
        <v>1271</v>
      </c>
      <c r="AG96" s="14">
        <f t="shared" si="41"/>
        <v>635</v>
      </c>
      <c r="AH96" s="14">
        <f t="shared" si="42"/>
        <v>3813</v>
      </c>
      <c r="AJ96" s="14">
        <f t="shared" si="46"/>
        <v>5246</v>
      </c>
      <c r="AK96" s="14">
        <f t="shared" si="47"/>
        <v>2619</v>
      </c>
      <c r="AL96" s="14">
        <f t="shared" si="48"/>
        <v>15743</v>
      </c>
    </row>
    <row r="97" spans="11:38" ht="16.5" x14ac:dyDescent="0.2">
      <c r="K97" s="13">
        <v>94</v>
      </c>
      <c r="L97" s="13">
        <f t="shared" si="34"/>
        <v>5</v>
      </c>
      <c r="M97" s="13">
        <f t="shared" si="35"/>
        <v>4</v>
      </c>
      <c r="N97" s="14">
        <f t="shared" si="36"/>
        <v>1101005</v>
      </c>
      <c r="O97" s="14" t="str">
        <f t="shared" si="37"/>
        <v>刘羽禅10突</v>
      </c>
      <c r="P97" s="29" t="s">
        <v>470</v>
      </c>
      <c r="Q97" s="14">
        <f t="shared" si="38"/>
        <v>1</v>
      </c>
      <c r="R97" s="14">
        <f t="shared" si="39"/>
        <v>10</v>
      </c>
      <c r="S97" s="14" t="s">
        <v>39</v>
      </c>
      <c r="T97" s="14">
        <f>ROUND(((IF(Q97=1,INDEX(新属性投放!$J$14:$J$34,卡牌属性!R97),INDEX(新属性投放!$J$42:$J$62,卡牌属性!R97)))*INDEX($G$5:$G$42,L97)+IF(Q97=1,INDEX(新属性投放!R$20:R$23,卡牌属性!M97-1),INDEX(新属性投放!R$25:R$28,卡牌属性!M97-1)))/SQRT(INDEX($I$5:$I$42,L97)),2)</f>
        <v>5939.02</v>
      </c>
      <c r="U97" s="29" t="s">
        <v>178</v>
      </c>
      <c r="V97" s="14">
        <f>ROUND((IF(Q97=1,INDEX(新属性投放!$K$14:$K$34,卡牌属性!R97),INDEX(新属性投放!$K$42:$K$62,卡牌属性!R97))+IF(Q97=1,INDEX(新属性投放!S$20:S$23,卡牌属性!M97-1),INDEX(新属性投放!S$25:S$28,卡牌属性!M97-1)))*INDEX($G$5:$G$42,L97),2)</f>
        <v>2870.11</v>
      </c>
      <c r="W97" s="29" t="s">
        <v>179</v>
      </c>
      <c r="X97" s="14">
        <f>ROUND((IF(Q97=1,INDEX(新属性投放!$L$14:$L$34,卡牌属性!R97),INDEX(新属性投放!$L$42:$L$62,卡牌属性!R97))*INDEX($G$5:$G$42,L97)+IF(Q97=1,INDEX(新属性投放!T$20:T$23,卡牌属性!M97-1),INDEX(新属性投放!T$25:T$28,卡牌属性!M97-1)))*SQRT(INDEX($I$5:$I$42,L97)),2)</f>
        <v>18277.05</v>
      </c>
      <c r="Y97" s="29" t="s">
        <v>177</v>
      </c>
      <c r="Z97" s="14">
        <f>ROUND(IF(Q97=1,INDEX(新属性投放!$D$14:$D$34,卡牌属性!R97),INDEX(新属性投放!$D$42:$D$62,卡牌属性!R97))*INDEX($G$5:$G$42,L97)/SQRT(INDEX($I$5:$I$42,L97)),2)</f>
        <v>146.68</v>
      </c>
      <c r="AA97" s="29" t="s">
        <v>178</v>
      </c>
      <c r="AB97" s="14">
        <f>ROUND(IF(Q97=1,INDEX(新属性投放!$E$14:$E$34,卡牌属性!R97),INDEX(新属性投放!$E$42:$E$62,卡牌属性!R97))*INDEX($G$5:$G$42,L97),2)</f>
        <v>73.34</v>
      </c>
      <c r="AC97" s="29" t="s">
        <v>179</v>
      </c>
      <c r="AD97" s="14">
        <f>ROUND(IF(Q97=1,INDEX(新属性投放!$F$14:$F$34,卡牌属性!R97),INDEX(新属性投放!$F$42:$F$62,卡牌属性!R97))*INDEX($G$5:$G$42,L97)*SQRT(INDEX($I$5:$I$42,L97)),2)</f>
        <v>440.04</v>
      </c>
      <c r="AF97" s="14">
        <f t="shared" si="40"/>
        <v>1466</v>
      </c>
      <c r="AG97" s="14">
        <f t="shared" si="41"/>
        <v>733</v>
      </c>
      <c r="AH97" s="14">
        <f t="shared" si="42"/>
        <v>4400</v>
      </c>
      <c r="AJ97" s="14">
        <f t="shared" si="46"/>
        <v>6712</v>
      </c>
      <c r="AK97" s="14">
        <f t="shared" si="47"/>
        <v>3352</v>
      </c>
      <c r="AL97" s="14">
        <f t="shared" si="48"/>
        <v>20143</v>
      </c>
    </row>
    <row r="98" spans="11:38" ht="16.5" x14ac:dyDescent="0.2">
      <c r="K98" s="13">
        <v>95</v>
      </c>
      <c r="L98" s="13">
        <f t="shared" si="34"/>
        <v>5</v>
      </c>
      <c r="M98" s="13">
        <f t="shared" si="35"/>
        <v>4</v>
      </c>
      <c r="N98" s="14">
        <f t="shared" si="36"/>
        <v>1101005</v>
      </c>
      <c r="O98" s="14" t="str">
        <f t="shared" si="37"/>
        <v>刘羽禅11突</v>
      </c>
      <c r="P98" s="29" t="s">
        <v>470</v>
      </c>
      <c r="Q98" s="14">
        <f t="shared" si="38"/>
        <v>1</v>
      </c>
      <c r="R98" s="14">
        <f t="shared" si="39"/>
        <v>11</v>
      </c>
      <c r="S98" s="14" t="s">
        <v>39</v>
      </c>
      <c r="T98" s="14">
        <f>ROUND(((IF(Q98=1,INDEX(新属性投放!$J$14:$J$34,卡牌属性!R98),INDEX(新属性投放!$J$42:$J$62,卡牌属性!R98)))*INDEX($G$5:$G$42,L98)+IF(Q98=1,INDEX(新属性投放!R$20:R$23,卡牌属性!M98-1),INDEX(新属性投放!R$25:R$28,卡牌属性!M98-1)))/SQRT(INDEX($I$5:$I$42,L98)),2)</f>
        <v>6855.71</v>
      </c>
      <c r="U98" s="29" t="s">
        <v>178</v>
      </c>
      <c r="V98" s="14">
        <f>ROUND((IF(Q98=1,INDEX(新属性投放!$K$14:$K$34,卡牌属性!R98),INDEX(新属性投放!$K$42:$K$62,卡牌属性!R98))+IF(Q98=1,INDEX(新属性投放!S$20:S$23,卡牌属性!M98-1),INDEX(新属性投放!S$25:S$28,卡牌属性!M98-1)))*INDEX($G$5:$G$42,L98),2)</f>
        <v>3329.11</v>
      </c>
      <c r="W98" s="29" t="s">
        <v>179</v>
      </c>
      <c r="X98" s="14">
        <f>ROUND((IF(Q98=1,INDEX(新属性投放!$L$14:$L$34,卡牌属性!R98),INDEX(新属性投放!$L$42:$L$62,卡牌属性!R98))*INDEX($G$5:$G$42,L98)+IF(Q98=1,INDEX(新属性投放!T$20:T$23,卡牌属性!M98-1),INDEX(新属性投放!T$25:T$28,卡牌属性!M98-1)))*SQRT(INDEX($I$5:$I$42,L98)),2)</f>
        <v>21027.13</v>
      </c>
      <c r="Y98" s="29" t="s">
        <v>177</v>
      </c>
      <c r="Z98" s="14">
        <f>ROUND(IF(Q98=1,INDEX(新属性投放!$D$14:$D$34,卡牌属性!R98),INDEX(新属性投放!$D$42:$D$62,卡牌属性!R98))*INDEX($G$5:$G$42,L98)/SQRT(INDEX($I$5:$I$42,L98)),2)</f>
        <v>171.05</v>
      </c>
      <c r="AA98" s="29" t="s">
        <v>178</v>
      </c>
      <c r="AB98" s="14">
        <f>ROUND(IF(Q98=1,INDEX(新属性投放!$E$14:$E$34,卡牌属性!R98),INDEX(新属性投放!$E$42:$E$62,卡牌属性!R98))*INDEX($G$5:$G$42,L98),2)</f>
        <v>85.53</v>
      </c>
      <c r="AC98" s="29" t="s">
        <v>179</v>
      </c>
      <c r="AD98" s="14">
        <f>ROUND(IF(Q98=1,INDEX(新属性投放!$F$14:$F$34,卡牌属性!R98),INDEX(新属性投放!$F$42:$F$62,卡牌属性!R98))*INDEX($G$5:$G$42,L98)*SQRT(INDEX($I$5:$I$42,L98)),2)</f>
        <v>513.16</v>
      </c>
      <c r="AF98" s="14">
        <f t="shared" si="40"/>
        <v>1710</v>
      </c>
      <c r="AG98" s="14">
        <f t="shared" si="41"/>
        <v>855</v>
      </c>
      <c r="AH98" s="14">
        <f t="shared" si="42"/>
        <v>5131</v>
      </c>
      <c r="AJ98" s="14">
        <f t="shared" si="46"/>
        <v>8422</v>
      </c>
      <c r="AK98" s="14">
        <f t="shared" si="47"/>
        <v>4207</v>
      </c>
      <c r="AL98" s="14">
        <f t="shared" si="48"/>
        <v>25274</v>
      </c>
    </row>
    <row r="99" spans="11:38" ht="16.5" x14ac:dyDescent="0.2">
      <c r="K99" s="13">
        <v>96</v>
      </c>
      <c r="L99" s="13">
        <f t="shared" si="34"/>
        <v>5</v>
      </c>
      <c r="M99" s="13">
        <f t="shared" si="35"/>
        <v>4</v>
      </c>
      <c r="N99" s="14">
        <f t="shared" si="36"/>
        <v>1101005</v>
      </c>
      <c r="O99" s="14" t="str">
        <f t="shared" si="37"/>
        <v>刘羽禅12突</v>
      </c>
      <c r="P99" s="29" t="s">
        <v>470</v>
      </c>
      <c r="Q99" s="14">
        <f t="shared" si="38"/>
        <v>1</v>
      </c>
      <c r="R99" s="14">
        <f t="shared" si="39"/>
        <v>12</v>
      </c>
      <c r="S99" s="14" t="s">
        <v>39</v>
      </c>
      <c r="T99" s="14">
        <f>ROUND(((IF(Q99=1,INDEX(新属性投放!$J$14:$J$34,卡牌属性!R99),INDEX(新属性投放!$J$42:$J$62,卡牌属性!R99)))*INDEX($G$5:$G$42,L99)+IF(Q99=1,INDEX(新属性投放!R$20:R$23,卡牌属性!M99-1),INDEX(新属性投放!R$25:R$28,卡牌属性!M99-1)))/SQRT(INDEX($I$5:$I$42,L99)),2)</f>
        <v>7924.18</v>
      </c>
      <c r="U99" s="29" t="s">
        <v>178</v>
      </c>
      <c r="V99" s="14">
        <f>ROUND((IF(Q99=1,INDEX(新属性投放!$K$14:$K$34,卡牌属性!R99),INDEX(新属性投放!$K$42:$K$62,卡牌属性!R99))+IF(Q99=1,INDEX(新属性投放!S$20:S$23,卡牌属性!M99-1),INDEX(新属性投放!S$25:S$28,卡牌属性!M99-1)))*INDEX($G$5:$G$42,L99),2)</f>
        <v>3863.34</v>
      </c>
      <c r="W99" s="29" t="s">
        <v>179</v>
      </c>
      <c r="X99" s="14">
        <f>ROUND((IF(Q99=1,INDEX(新属性投放!$L$14:$L$34,卡牌属性!R99),INDEX(新属性投放!$L$42:$L$62,卡牌属性!R99))*INDEX($G$5:$G$42,L99)+IF(Q99=1,INDEX(新属性投放!T$20:T$23,卡牌属性!M99-1),INDEX(新属性投放!T$25:T$28,卡牌属性!M99-1)))*SQRT(INDEX($I$5:$I$42,L99)),2)</f>
        <v>24232.54</v>
      </c>
      <c r="Y99" s="29" t="s">
        <v>177</v>
      </c>
      <c r="Z99" s="14">
        <f>ROUND(IF(Q99=1,INDEX(新属性投放!$D$14:$D$34,卡牌属性!R99),INDEX(新属性投放!$D$42:$D$62,卡牌属性!R99))*INDEX($G$5:$G$42,L99)/SQRT(INDEX($I$5:$I$42,L99)),2)</f>
        <v>195.61</v>
      </c>
      <c r="AA99" s="29" t="s">
        <v>178</v>
      </c>
      <c r="AB99" s="14">
        <f>ROUND(IF(Q99=1,INDEX(新属性投放!$E$14:$E$34,卡牌属性!R99),INDEX(新属性投放!$E$42:$E$62,卡牌属性!R99))*INDEX($G$5:$G$42,L99),2)</f>
        <v>97.81</v>
      </c>
      <c r="AC99" s="29" t="s">
        <v>179</v>
      </c>
      <c r="AD99" s="14">
        <f>ROUND(IF(Q99=1,INDEX(新属性投放!$F$14:$F$34,卡牌属性!R99),INDEX(新属性投放!$F$42:$F$62,卡牌属性!R99))*INDEX($G$5:$G$42,L99)*SQRT(INDEX($I$5:$I$42,L99)),2)</f>
        <v>586.83000000000004</v>
      </c>
      <c r="AF99" s="14">
        <f t="shared" si="40"/>
        <v>1956</v>
      </c>
      <c r="AG99" s="14">
        <f t="shared" si="41"/>
        <v>978</v>
      </c>
      <c r="AH99" s="14">
        <f t="shared" si="42"/>
        <v>5868</v>
      </c>
      <c r="AJ99" s="14">
        <f t="shared" si="46"/>
        <v>10378</v>
      </c>
      <c r="AK99" s="14">
        <f t="shared" si="47"/>
        <v>5185</v>
      </c>
      <c r="AL99" s="14">
        <f t="shared" si="48"/>
        <v>31142</v>
      </c>
    </row>
    <row r="100" spans="11:38" ht="16.5" x14ac:dyDescent="0.2">
      <c r="K100" s="13">
        <v>97</v>
      </c>
      <c r="L100" s="13">
        <f t="shared" si="34"/>
        <v>5</v>
      </c>
      <c r="M100" s="13">
        <f t="shared" si="35"/>
        <v>4</v>
      </c>
      <c r="N100" s="14">
        <f t="shared" si="36"/>
        <v>1101005</v>
      </c>
      <c r="O100" s="14" t="str">
        <f t="shared" si="37"/>
        <v>刘羽禅13突</v>
      </c>
      <c r="P100" s="29" t="s">
        <v>470</v>
      </c>
      <c r="Q100" s="14">
        <f t="shared" si="38"/>
        <v>1</v>
      </c>
      <c r="R100" s="14">
        <f t="shared" si="39"/>
        <v>13</v>
      </c>
      <c r="S100" s="14" t="s">
        <v>39</v>
      </c>
      <c r="T100" s="14">
        <f>ROUND(((IF(Q100=1,INDEX(新属性投放!$J$14:$J$34,卡牌属性!R100),INDEX(新属性投放!$J$42:$J$62,卡牌属性!R100)))*INDEX($G$5:$G$42,L100)+IF(Q100=1,INDEX(新属性投放!R$20:R$23,卡牌属性!M100-1),INDEX(新属性投放!R$25:R$28,卡牌属性!M100-1)))/SQRT(INDEX($I$5:$I$42,L100)),2)</f>
        <v>9146.64</v>
      </c>
      <c r="U100" s="29" t="s">
        <v>178</v>
      </c>
      <c r="V100" s="14">
        <f>ROUND((IF(Q100=1,INDEX(新属性投放!$K$14:$K$34,卡牌属性!R100),INDEX(新属性投放!$K$42:$K$62,卡牌属性!R100))+IF(Q100=1,INDEX(新属性投放!S$20:S$23,卡牌属性!M100-1),INDEX(新属性投放!S$25:S$28,卡牌属性!M100-1)))*INDEX($G$5:$G$42,L100),2)</f>
        <v>4474.57</v>
      </c>
      <c r="W100" s="29" t="s">
        <v>179</v>
      </c>
      <c r="X100" s="14">
        <f>ROUND((IF(Q100=1,INDEX(新属性投放!$L$14:$L$34,卡牌属性!R100),INDEX(新属性投放!$L$42:$L$62,卡牌属性!R100))*INDEX($G$5:$G$42,L100)+IF(Q100=1,INDEX(新属性投放!T$20:T$23,卡牌属性!M100-1),INDEX(新属性投放!T$25:T$28,卡牌属性!M100-1)))*SQRT(INDEX($I$5:$I$42,L100)),2)</f>
        <v>27899.91</v>
      </c>
      <c r="Y100" s="29" t="s">
        <v>177</v>
      </c>
      <c r="Z100" s="14">
        <f>ROUND(IF(Q100=1,INDEX(新属性投放!$D$14:$D$34,卡牌属性!R100),INDEX(新属性投放!$D$42:$D$62,卡牌属性!R100))*INDEX($G$5:$G$42,L100)/SQRT(INDEX($I$5:$I$42,L100)),2)</f>
        <v>226.16</v>
      </c>
      <c r="AA100" s="29" t="s">
        <v>178</v>
      </c>
      <c r="AB100" s="14">
        <f>ROUND(IF(Q100=1,INDEX(新属性投放!$E$14:$E$34,卡牌属性!R100),INDEX(新属性投放!$E$42:$E$62,卡牌属性!R100))*INDEX($G$5:$G$42,L100),2)</f>
        <v>113.08</v>
      </c>
      <c r="AC100" s="29" t="s">
        <v>179</v>
      </c>
      <c r="AD100" s="14">
        <f>ROUND(IF(Q100=1,INDEX(新属性投放!$F$14:$F$34,卡牌属性!R100),INDEX(新属性投放!$F$42:$F$62,卡牌属性!R100))*INDEX($G$5:$G$42,L100)*SQRT(INDEX($I$5:$I$42,L100)),2)</f>
        <v>678.48</v>
      </c>
      <c r="AF100" s="14">
        <f t="shared" si="40"/>
        <v>2261</v>
      </c>
      <c r="AG100" s="14">
        <f t="shared" si="41"/>
        <v>1130</v>
      </c>
      <c r="AH100" s="14">
        <f t="shared" si="42"/>
        <v>6784</v>
      </c>
      <c r="AJ100" s="14">
        <f t="shared" si="46"/>
        <v>12639</v>
      </c>
      <c r="AK100" s="14">
        <f t="shared" si="47"/>
        <v>6315</v>
      </c>
      <c r="AL100" s="14">
        <f t="shared" si="48"/>
        <v>37926</v>
      </c>
    </row>
    <row r="101" spans="11:38" ht="16.5" x14ac:dyDescent="0.2">
      <c r="K101" s="13">
        <v>98</v>
      </c>
      <c r="L101" s="13">
        <f t="shared" si="34"/>
        <v>5</v>
      </c>
      <c r="M101" s="13">
        <f t="shared" si="35"/>
        <v>4</v>
      </c>
      <c r="N101" s="14">
        <f t="shared" si="36"/>
        <v>1101005</v>
      </c>
      <c r="O101" s="14" t="str">
        <f t="shared" si="37"/>
        <v>刘羽禅14突</v>
      </c>
      <c r="P101" s="29" t="s">
        <v>470</v>
      </c>
      <c r="Q101" s="14">
        <f t="shared" si="38"/>
        <v>1</v>
      </c>
      <c r="R101" s="14">
        <f t="shared" si="39"/>
        <v>14</v>
      </c>
      <c r="S101" s="14" t="s">
        <v>39</v>
      </c>
      <c r="T101" s="14">
        <f>ROUND(((IF(Q101=1,INDEX(新属性投放!$J$14:$J$34,卡牌属性!R101),INDEX(新属性投放!$J$42:$J$62,卡牌属性!R101)))*INDEX($G$5:$G$42,L101)+IF(Q101=1,INDEX(新属性投放!R$20:R$23,卡牌属性!M101-1),INDEX(新属性投放!R$25:R$28,卡牌属性!M101-1)))/SQRT(INDEX($I$5:$I$42,L101)),2)</f>
        <v>10559.54</v>
      </c>
      <c r="U101" s="29" t="s">
        <v>178</v>
      </c>
      <c r="V101" s="14">
        <f>ROUND((IF(Q101=1,INDEX(新属性投放!$K$14:$K$34,卡牌属性!R101),INDEX(新属性投放!$K$42:$K$62,卡牌属性!R101))+IF(Q101=1,INDEX(新属性投放!S$20:S$23,卡牌属性!M101-1),INDEX(新属性投放!S$25:S$28,卡牌属性!M101-1)))*INDEX($G$5:$G$42,L101),2)</f>
        <v>5181.67</v>
      </c>
      <c r="W101" s="29" t="s">
        <v>179</v>
      </c>
      <c r="X101" s="14">
        <f>ROUND((IF(Q101=1,INDEX(新属性投放!$L$14:$L$34,卡牌属性!R101),INDEX(新属性投放!$L$42:$L$62,卡牌属性!R101))*INDEX($G$5:$G$42,L101)+IF(Q101=1,INDEX(新属性投放!T$20:T$23,卡牌属性!M101-1),INDEX(新属性投放!T$25:T$28,卡牌属性!M101-1)))*SQRT(INDEX($I$5:$I$42,L101)),2)</f>
        <v>32138.62</v>
      </c>
      <c r="Y101" s="29" t="s">
        <v>177</v>
      </c>
      <c r="Z101" s="14">
        <f>ROUND(IF(Q101=1,INDEX(新属性投放!$D$14:$D$34,卡牌属性!R101),INDEX(新属性投放!$D$42:$D$62,卡牌属性!R101))*INDEX($G$5:$G$42,L101)/SQRT(INDEX($I$5:$I$42,L101)),2)</f>
        <v>261.5</v>
      </c>
      <c r="AA101" s="29" t="s">
        <v>178</v>
      </c>
      <c r="AB101" s="14">
        <f>ROUND(IF(Q101=1,INDEX(新属性投放!$E$14:$E$34,卡牌属性!R101),INDEX(新属性投放!$E$42:$E$62,卡牌属性!R101))*INDEX($G$5:$G$42,L101),2)</f>
        <v>130.75</v>
      </c>
      <c r="AC101" s="29" t="s">
        <v>179</v>
      </c>
      <c r="AD101" s="14">
        <f>ROUND(IF(Q101=1,INDEX(新属性投放!$F$14:$F$34,卡牌属性!R101),INDEX(新属性投放!$F$42:$F$62,卡牌属性!R101))*INDEX($G$5:$G$42,L101)*SQRT(INDEX($I$5:$I$42,L101)),2)</f>
        <v>784.49</v>
      </c>
      <c r="AF101" s="14">
        <f t="shared" si="40"/>
        <v>2615</v>
      </c>
      <c r="AG101" s="14">
        <f t="shared" si="41"/>
        <v>1307</v>
      </c>
      <c r="AH101" s="14">
        <f t="shared" si="42"/>
        <v>7844</v>
      </c>
      <c r="AJ101" s="14">
        <f t="shared" si="46"/>
        <v>15254</v>
      </c>
      <c r="AK101" s="14">
        <f t="shared" si="47"/>
        <v>7622</v>
      </c>
      <c r="AL101" s="14">
        <f t="shared" si="48"/>
        <v>45770</v>
      </c>
    </row>
    <row r="102" spans="11:38" ht="16.5" x14ac:dyDescent="0.2">
      <c r="K102" s="13">
        <v>99</v>
      </c>
      <c r="L102" s="13">
        <f t="shared" si="34"/>
        <v>5</v>
      </c>
      <c r="M102" s="13">
        <f t="shared" si="35"/>
        <v>4</v>
      </c>
      <c r="N102" s="14">
        <f t="shared" si="36"/>
        <v>1101005</v>
      </c>
      <c r="O102" s="14" t="str">
        <f t="shared" si="37"/>
        <v>刘羽禅15突</v>
      </c>
      <c r="P102" s="29" t="s">
        <v>470</v>
      </c>
      <c r="Q102" s="14">
        <f t="shared" si="38"/>
        <v>1</v>
      </c>
      <c r="R102" s="14">
        <f t="shared" si="39"/>
        <v>15</v>
      </c>
      <c r="S102" s="14" t="s">
        <v>39</v>
      </c>
      <c r="T102" s="14">
        <f>ROUND(((IF(Q102=1,INDEX(新属性投放!$J$14:$J$34,卡牌属性!R102),INDEX(新属性投放!$J$42:$J$62,卡牌属性!R102)))*INDEX($G$5:$G$42,L102)+IF(Q102=1,INDEX(新属性投放!R$20:R$23,卡牌属性!M102-1),INDEX(新属性投放!R$25:R$28,卡牌属性!M102-1)))/SQRT(INDEX($I$5:$I$42,L102)),2)</f>
        <v>12193.32</v>
      </c>
      <c r="U102" s="29" t="s">
        <v>178</v>
      </c>
      <c r="V102" s="14">
        <f>ROUND((IF(Q102=1,INDEX(新属性投放!$K$14:$K$34,卡牌属性!R102),INDEX(新属性投放!$K$42:$K$62,卡牌属性!R102))+IF(Q102=1,INDEX(新属性投放!S$20:S$23,卡牌属性!M102-1),INDEX(新属性投放!S$25:S$28,卡牌属性!M102-1)))*INDEX($G$5:$G$42,L102),2)</f>
        <v>5999.21</v>
      </c>
      <c r="W102" s="29" t="s">
        <v>179</v>
      </c>
      <c r="X102" s="14">
        <f>ROUND((IF(Q102=1,INDEX(新属性投放!$L$14:$L$34,卡牌属性!R102),INDEX(新属性投放!$L$42:$L$62,卡牌属性!R102))*INDEX($G$5:$G$42,L102)+IF(Q102=1,INDEX(新属性投放!T$20:T$23,卡牌属性!M102-1),INDEX(新属性投放!T$25:T$28,卡牌属性!M102-1)))*SQRT(INDEX($I$5:$I$42,L102)),2)</f>
        <v>37039.949999999997</v>
      </c>
      <c r="Y102" s="29" t="s">
        <v>177</v>
      </c>
      <c r="Z102" s="14">
        <f>ROUND(IF(Q102=1,INDEX(新属性投放!$D$14:$D$34,卡牌属性!R102),INDEX(新属性投放!$D$42:$D$62,卡牌属性!R102))*INDEX($G$5:$G$42,L102)/SQRT(INDEX($I$5:$I$42,L102)),2)</f>
        <v>302.33</v>
      </c>
      <c r="AA102" s="29" t="s">
        <v>178</v>
      </c>
      <c r="AB102" s="14">
        <f>ROUND(IF(Q102=1,INDEX(新属性投放!$E$14:$E$34,卡牌属性!R102),INDEX(新属性投放!$E$42:$E$62,卡牌属性!R102))*INDEX($G$5:$G$42,L102),2)</f>
        <v>151.16</v>
      </c>
      <c r="AC102" s="29" t="s">
        <v>179</v>
      </c>
      <c r="AD102" s="14">
        <f>ROUND(IF(Q102=1,INDEX(新属性投放!$F$14:$F$34,卡牌属性!R102),INDEX(新属性投放!$F$42:$F$62,卡牌属性!R102))*INDEX($G$5:$G$42,L102)*SQRT(INDEX($I$5:$I$42,L102)),2)</f>
        <v>906.98</v>
      </c>
      <c r="AF102" s="14">
        <f t="shared" si="40"/>
        <v>3023</v>
      </c>
      <c r="AG102" s="14">
        <f t="shared" si="41"/>
        <v>1511</v>
      </c>
      <c r="AH102" s="14">
        <f t="shared" si="42"/>
        <v>9069</v>
      </c>
      <c r="AJ102" s="14">
        <f t="shared" si="46"/>
        <v>18277</v>
      </c>
      <c r="AK102" s="14">
        <f t="shared" si="47"/>
        <v>9133</v>
      </c>
      <c r="AL102" s="14">
        <f t="shared" si="48"/>
        <v>54839</v>
      </c>
    </row>
    <row r="103" spans="11:38" ht="16.5" x14ac:dyDescent="0.2">
      <c r="K103" s="13">
        <v>100</v>
      </c>
      <c r="L103" s="13">
        <f t="shared" si="34"/>
        <v>5</v>
      </c>
      <c r="M103" s="13">
        <f t="shared" si="35"/>
        <v>4</v>
      </c>
      <c r="N103" s="14">
        <f t="shared" si="36"/>
        <v>1101005</v>
      </c>
      <c r="O103" s="14" t="str">
        <f t="shared" si="37"/>
        <v>刘羽禅16突</v>
      </c>
      <c r="P103" s="29" t="s">
        <v>470</v>
      </c>
      <c r="Q103" s="14">
        <f t="shared" si="38"/>
        <v>1</v>
      </c>
      <c r="R103" s="14">
        <f t="shared" si="39"/>
        <v>16</v>
      </c>
      <c r="S103" s="14" t="s">
        <v>39</v>
      </c>
      <c r="T103" s="14">
        <f>ROUND(((IF(Q103=1,INDEX(新属性投放!$J$14:$J$34,卡牌属性!R103),INDEX(新属性投放!$J$42:$J$62,卡牌属性!R103)))*INDEX($G$5:$G$42,L103)+IF(Q103=1,INDEX(新属性投放!R$20:R$23,卡牌属性!M103-1),INDEX(新属性投放!R$25:R$28,卡牌属性!M103-1)))/SQRT(INDEX($I$5:$I$42,L103)),2)</f>
        <v>14083.26</v>
      </c>
      <c r="U103" s="29" t="s">
        <v>178</v>
      </c>
      <c r="V103" s="14">
        <f>ROUND((IF(Q103=1,INDEX(新属性投放!$K$14:$K$34,卡牌属性!R103),INDEX(新属性投放!$K$42:$K$62,卡牌属性!R103))+IF(Q103=1,INDEX(新属性投放!S$20:S$23,卡牌属性!M103-1),INDEX(新属性投放!S$25:S$28,卡牌属性!M103-1)))*INDEX($G$5:$G$42,L103),2)</f>
        <v>6943.53</v>
      </c>
      <c r="W103" s="29" t="s">
        <v>179</v>
      </c>
      <c r="X103" s="14">
        <f>ROUND((IF(Q103=1,INDEX(新属性投放!$L$14:$L$34,卡牌属性!R103),INDEX(新属性投放!$L$42:$L$62,卡牌属性!R103))*INDEX($G$5:$G$42,L103)+IF(Q103=1,INDEX(新属性投放!T$20:T$23,卡牌属性!M103-1),INDEX(新属性投放!T$25:T$28,卡牌属性!M103-1)))*SQRT(INDEX($I$5:$I$42,L103)),2)</f>
        <v>42709.77</v>
      </c>
      <c r="Y103" s="29" t="s">
        <v>177</v>
      </c>
      <c r="Z103" s="14">
        <f>ROUND(IF(Q103=1,INDEX(新属性投放!$D$14:$D$34,卡牌属性!R103),INDEX(新属性投放!$D$42:$D$62,卡牌属性!R103))*INDEX($G$5:$G$42,L103)/SQRT(INDEX($I$5:$I$42,L103)),2)</f>
        <v>349.58</v>
      </c>
      <c r="AA103" s="29" t="s">
        <v>178</v>
      </c>
      <c r="AB103" s="14">
        <f>ROUND(IF(Q103=1,INDEX(新属性投放!$E$14:$E$34,卡牌属性!R103),INDEX(新属性投放!$E$42:$E$62,卡牌属性!R103))*INDEX($G$5:$G$42,L103),2)</f>
        <v>174.79</v>
      </c>
      <c r="AC103" s="29" t="s">
        <v>179</v>
      </c>
      <c r="AD103" s="14">
        <f>ROUND(IF(Q103=1,INDEX(新属性投放!$F$14:$F$34,卡牌属性!R103),INDEX(新属性投放!$F$42:$F$62,卡牌属性!R103))*INDEX($G$5:$G$42,L103)*SQRT(INDEX($I$5:$I$42,L103)),2)</f>
        <v>1048.75</v>
      </c>
      <c r="AF103" s="14">
        <f t="shared" si="40"/>
        <v>3495</v>
      </c>
      <c r="AG103" s="14">
        <f t="shared" si="41"/>
        <v>1747</v>
      </c>
      <c r="AH103" s="14">
        <f t="shared" si="42"/>
        <v>10487</v>
      </c>
      <c r="AJ103" s="14">
        <f t="shared" si="46"/>
        <v>21772</v>
      </c>
      <c r="AK103" s="14">
        <f t="shared" si="47"/>
        <v>10880</v>
      </c>
      <c r="AL103" s="14">
        <f t="shared" si="48"/>
        <v>65326</v>
      </c>
    </row>
    <row r="104" spans="11:38" ht="16.5" x14ac:dyDescent="0.2">
      <c r="K104" s="13">
        <v>101</v>
      </c>
      <c r="L104" s="13">
        <f t="shared" si="34"/>
        <v>5</v>
      </c>
      <c r="M104" s="13">
        <f t="shared" si="35"/>
        <v>4</v>
      </c>
      <c r="N104" s="14">
        <f t="shared" si="36"/>
        <v>1101005</v>
      </c>
      <c r="O104" s="14" t="str">
        <f t="shared" si="37"/>
        <v>刘羽禅17突</v>
      </c>
      <c r="P104" s="29" t="s">
        <v>470</v>
      </c>
      <c r="Q104" s="14">
        <f t="shared" si="38"/>
        <v>1</v>
      </c>
      <c r="R104" s="14">
        <f t="shared" si="39"/>
        <v>17</v>
      </c>
      <c r="S104" s="14" t="s">
        <v>39</v>
      </c>
      <c r="T104" s="14">
        <f>ROUND(((IF(Q104=1,INDEX(新属性投放!$J$14:$J$34,卡牌属性!R104),INDEX(新属性投放!$J$42:$J$62,卡牌属性!R104)))*INDEX($G$5:$G$42,L104)+IF(Q104=1,INDEX(新属性投放!R$20:R$23,卡牌属性!M104-1),INDEX(新属性投放!R$25:R$28,卡牌属性!M104-1)))/SQRT(INDEX($I$5:$I$42,L104)),2)</f>
        <v>16267.97</v>
      </c>
      <c r="U104" s="29" t="s">
        <v>178</v>
      </c>
      <c r="V104" s="14">
        <f>ROUND((IF(Q104=1,INDEX(新属性投放!$K$14:$K$34,卡牌属性!R104),INDEX(新属性投放!$K$42:$K$62,卡牌属性!R104))+IF(Q104=1,INDEX(新属性投放!S$20:S$23,卡牌属性!M104-1),INDEX(新属性投放!S$25:S$28,卡牌属性!M104-1)))*INDEX($G$5:$G$42,L104),2)</f>
        <v>8035.89</v>
      </c>
      <c r="W104" s="29" t="s">
        <v>179</v>
      </c>
      <c r="X104" s="14">
        <f>ROUND((IF(Q104=1,INDEX(新属性投放!$L$14:$L$34,卡牌属性!R104),INDEX(新属性投放!$L$42:$L$62,卡牌属性!R104))*INDEX($G$5:$G$42,L104)+IF(Q104=1,INDEX(新属性投放!T$20:T$23,卡牌属性!M104-1),INDEX(新属性投放!T$25:T$28,卡牌属性!M104-1)))*SQRT(INDEX($I$5:$I$42,L104)),2)</f>
        <v>49263.91</v>
      </c>
      <c r="Y104" s="29" t="s">
        <v>177</v>
      </c>
      <c r="Z104" s="14">
        <f>ROUND(IF(Q104=1,INDEX(新属性投放!$D$14:$D$34,卡牌属性!R104),INDEX(新属性投放!$D$42:$D$62,卡牌属性!R104))*INDEX($G$5:$G$42,L104)/SQRT(INDEX($I$5:$I$42,L104)),2)</f>
        <v>404.2</v>
      </c>
      <c r="AA104" s="29" t="s">
        <v>178</v>
      </c>
      <c r="AB104" s="14">
        <f>ROUND(IF(Q104=1,INDEX(新属性投放!$E$14:$E$34,卡牌属性!R104),INDEX(新属性投放!$E$42:$E$62,卡牌属性!R104))*INDEX($G$5:$G$42,L104),2)</f>
        <v>202.1</v>
      </c>
      <c r="AC104" s="29" t="s">
        <v>179</v>
      </c>
      <c r="AD104" s="14">
        <f>ROUND(IF(Q104=1,INDEX(新属性投放!$F$14:$F$34,卡牌属性!R104),INDEX(新属性投放!$F$42:$F$62,卡牌属性!R104))*INDEX($G$5:$G$42,L104)*SQRT(INDEX($I$5:$I$42,L104)),2)</f>
        <v>1212.5899999999999</v>
      </c>
      <c r="AF104" s="14">
        <f t="shared" si="40"/>
        <v>4042</v>
      </c>
      <c r="AG104" s="14">
        <f t="shared" si="41"/>
        <v>2021</v>
      </c>
      <c r="AH104" s="14">
        <f t="shared" si="42"/>
        <v>12125</v>
      </c>
      <c r="AJ104" s="14">
        <f t="shared" si="46"/>
        <v>25814</v>
      </c>
      <c r="AK104" s="14">
        <f t="shared" si="47"/>
        <v>12901</v>
      </c>
      <c r="AL104" s="14">
        <f t="shared" si="48"/>
        <v>77451</v>
      </c>
    </row>
    <row r="105" spans="11:38" ht="16.5" x14ac:dyDescent="0.2">
      <c r="K105" s="13">
        <v>102</v>
      </c>
      <c r="L105" s="13">
        <f t="shared" si="34"/>
        <v>5</v>
      </c>
      <c r="M105" s="13">
        <f t="shared" si="35"/>
        <v>4</v>
      </c>
      <c r="N105" s="14">
        <f t="shared" si="36"/>
        <v>1101005</v>
      </c>
      <c r="O105" s="14" t="str">
        <f t="shared" si="37"/>
        <v>刘羽禅18突</v>
      </c>
      <c r="P105" s="29" t="s">
        <v>470</v>
      </c>
      <c r="Q105" s="14">
        <f t="shared" si="38"/>
        <v>1</v>
      </c>
      <c r="R105" s="14">
        <f t="shared" si="39"/>
        <v>18</v>
      </c>
      <c r="S105" s="14" t="s">
        <v>39</v>
      </c>
      <c r="T105" s="14">
        <f>ROUND(((IF(Q105=1,INDEX(新属性投放!$J$14:$J$34,卡牌属性!R105),INDEX(新属性投放!$J$42:$J$62,卡牌属性!R105)))*INDEX($G$5:$G$42,L105)+IF(Q105=1,INDEX(新属性投放!R$20:R$23,卡牌属性!M105-1),INDEX(新属性投放!R$25:R$28,卡牌属性!M105-1)))/SQRT(INDEX($I$5:$I$42,L105)),2)</f>
        <v>18794.650000000001</v>
      </c>
      <c r="U105" s="29" t="s">
        <v>178</v>
      </c>
      <c r="V105" s="14">
        <f>ROUND((IF(Q105=1,INDEX(新属性投放!$K$14:$K$34,卡牌属性!R105),INDEX(新属性投放!$K$42:$K$62,卡牌属性!R105))+IF(Q105=1,INDEX(新属性投放!S$20:S$23,卡牌属性!M105-1),INDEX(新属性投放!S$25:S$28,卡牌属性!M105-1)))*INDEX($G$5:$G$42,L105),2)</f>
        <v>9298.58</v>
      </c>
      <c r="W105" s="29" t="s">
        <v>179</v>
      </c>
      <c r="X105" s="14">
        <f>ROUND((IF(Q105=1,INDEX(新属性投放!$L$14:$L$34,卡牌属性!R105),INDEX(新属性投放!$L$42:$L$62,卡牌属性!R105))*INDEX($G$5:$G$42,L105)+IF(Q105=1,INDEX(新属性投放!T$20:T$23,卡牌属性!M105-1),INDEX(新属性投放!T$25:T$28,卡牌属性!M105-1)))*SQRT(INDEX($I$5:$I$42,L105)),2)</f>
        <v>56843.95</v>
      </c>
      <c r="Y105" s="29" t="s">
        <v>177</v>
      </c>
      <c r="Z105" s="14">
        <f>ROUND(IF(Q105=1,INDEX(新属性投放!$D$14:$D$34,卡牌属性!R105),INDEX(新属性投放!$D$42:$D$62,卡牌属性!R105))*INDEX($G$5:$G$42,L105)/SQRT(INDEX($I$5:$I$42,L105)),2)</f>
        <v>467.36</v>
      </c>
      <c r="AA105" s="29" t="s">
        <v>178</v>
      </c>
      <c r="AB105" s="14">
        <f>ROUND(IF(Q105=1,INDEX(新属性投放!$E$14:$E$34,卡牌属性!R105),INDEX(新属性投放!$E$42:$E$62,卡牌属性!R105))*INDEX($G$5:$G$42,L105),2)</f>
        <v>233.68</v>
      </c>
      <c r="AC105" s="29" t="s">
        <v>179</v>
      </c>
      <c r="AD105" s="14">
        <f>ROUND(IF(Q105=1,INDEX(新属性投放!$F$14:$F$34,卡牌属性!R105),INDEX(新属性投放!$F$42:$F$62,卡牌属性!R105))*INDEX($G$5:$G$42,L105)*SQRT(INDEX($I$5:$I$42,L105)),2)</f>
        <v>1402.09</v>
      </c>
      <c r="AF105" s="14">
        <f t="shared" si="40"/>
        <v>4673</v>
      </c>
      <c r="AG105" s="14">
        <f t="shared" si="41"/>
        <v>2336</v>
      </c>
      <c r="AH105" s="14">
        <f t="shared" si="42"/>
        <v>14020</v>
      </c>
      <c r="AJ105" s="14">
        <f t="shared" si="46"/>
        <v>30487</v>
      </c>
      <c r="AK105" s="14">
        <f t="shared" si="47"/>
        <v>15237</v>
      </c>
      <c r="AL105" s="14">
        <f t="shared" si="48"/>
        <v>91471</v>
      </c>
    </row>
    <row r="106" spans="11:38" ht="16.5" x14ac:dyDescent="0.2">
      <c r="K106" s="13">
        <v>103</v>
      </c>
      <c r="L106" s="13">
        <f t="shared" si="34"/>
        <v>5</v>
      </c>
      <c r="M106" s="13">
        <f t="shared" si="35"/>
        <v>4</v>
      </c>
      <c r="N106" s="14">
        <f t="shared" si="36"/>
        <v>1101005</v>
      </c>
      <c r="O106" s="14" t="str">
        <f t="shared" si="37"/>
        <v>刘羽禅19突</v>
      </c>
      <c r="P106" s="29" t="s">
        <v>470</v>
      </c>
      <c r="Q106" s="14">
        <f t="shared" si="38"/>
        <v>1</v>
      </c>
      <c r="R106" s="14">
        <f t="shared" si="39"/>
        <v>19</v>
      </c>
      <c r="S106" s="14" t="s">
        <v>39</v>
      </c>
      <c r="T106" s="14">
        <f>ROUND(((IF(Q106=1,INDEX(新属性投放!$J$14:$J$34,卡牌属性!R106),INDEX(新属性投放!$J$42:$J$62,卡牌属性!R106)))*INDEX($G$5:$G$42,L106)+IF(Q106=1,INDEX(新属性投放!R$20:R$23,卡牌属性!M106-1),INDEX(新属性投放!R$25:R$28,卡牌属性!M106-1)))/SQRT(INDEX($I$5:$I$42,L106)),2)</f>
        <v>21715.17</v>
      </c>
      <c r="U106" s="29" t="s">
        <v>178</v>
      </c>
      <c r="V106" s="14">
        <f>ROUND((IF(Q106=1,INDEX(新属性投放!$K$14:$K$34,卡牌属性!R106),INDEX(新属性投放!$K$42:$K$62,卡牌属性!R106))+IF(Q106=1,INDEX(新属性投放!S$20:S$23,卡牌属性!M106-1),INDEX(新属性投放!S$25:S$28,卡牌属性!M106-1)))*INDEX($G$5:$G$42,L106),2)</f>
        <v>10759.48</v>
      </c>
      <c r="W106" s="29" t="s">
        <v>179</v>
      </c>
      <c r="X106" s="14">
        <f>ROUND((IF(Q106=1,INDEX(新属性投放!$L$14:$L$34,卡牌属性!R106),INDEX(新属性投放!$L$42:$L$62,卡牌属性!R106))*INDEX($G$5:$G$42,L106)+IF(Q106=1,INDEX(新属性投放!T$20:T$23,卡牌属性!M106-1),INDEX(新属性投放!T$25:T$28,卡牌属性!M106-1)))*SQRT(INDEX($I$5:$I$42,L106)),2)</f>
        <v>65605.5</v>
      </c>
      <c r="Y106" s="29" t="s">
        <v>177</v>
      </c>
      <c r="Z106" s="14">
        <f>ROUND(IF(Q106=1,INDEX(新属性投放!$D$14:$D$34,卡牌属性!R106),INDEX(新属性投放!$D$42:$D$62,卡牌属性!R106))*INDEX($G$5:$G$42,L106)/SQRT(INDEX($I$5:$I$42,L106)),2)</f>
        <v>540.38</v>
      </c>
      <c r="AA106" s="29" t="s">
        <v>178</v>
      </c>
      <c r="AB106" s="14">
        <f>ROUND(IF(Q106=1,INDEX(新属性投放!$E$14:$E$34,卡牌属性!R106),INDEX(新属性投放!$E$42:$E$62,卡牌属性!R106))*INDEX($G$5:$G$42,L106),2)</f>
        <v>270.19</v>
      </c>
      <c r="AC106" s="29" t="s">
        <v>179</v>
      </c>
      <c r="AD106" s="14">
        <f>ROUND(IF(Q106=1,INDEX(新属性投放!$F$14:$F$34,卡牌属性!R106),INDEX(新属性投放!$F$42:$F$62,卡牌属性!R106))*INDEX($G$5:$G$42,L106)*SQRT(INDEX($I$5:$I$42,L106)),2)</f>
        <v>1621.15</v>
      </c>
      <c r="AF106" s="14">
        <f t="shared" si="40"/>
        <v>5403</v>
      </c>
      <c r="AG106" s="14">
        <f t="shared" si="41"/>
        <v>2701</v>
      </c>
      <c r="AH106" s="14">
        <f t="shared" si="42"/>
        <v>16211</v>
      </c>
      <c r="AJ106" s="14">
        <f t="shared" si="46"/>
        <v>35890</v>
      </c>
      <c r="AK106" s="14">
        <f t="shared" si="47"/>
        <v>17938</v>
      </c>
      <c r="AL106" s="14">
        <f t="shared" si="48"/>
        <v>107682</v>
      </c>
    </row>
    <row r="107" spans="11:38" ht="16.5" x14ac:dyDescent="0.2">
      <c r="K107" s="13">
        <v>104</v>
      </c>
      <c r="L107" s="13">
        <f t="shared" si="34"/>
        <v>5</v>
      </c>
      <c r="M107" s="13">
        <f t="shared" si="35"/>
        <v>4</v>
      </c>
      <c r="N107" s="14">
        <f t="shared" si="36"/>
        <v>1101005</v>
      </c>
      <c r="O107" s="14" t="str">
        <f t="shared" si="37"/>
        <v>刘羽禅20突</v>
      </c>
      <c r="P107" s="29" t="s">
        <v>470</v>
      </c>
      <c r="Q107" s="14">
        <f t="shared" si="38"/>
        <v>1</v>
      </c>
      <c r="R107" s="14">
        <f t="shared" si="39"/>
        <v>20</v>
      </c>
      <c r="S107" s="14" t="s">
        <v>39</v>
      </c>
      <c r="T107" s="14">
        <f>ROUND(((IF(Q107=1,INDEX(新属性投放!$J$14:$J$34,卡牌属性!R107),INDEX(新属性投放!$J$42:$J$62,卡牌属性!R107)))*INDEX($G$5:$G$42,L107)+IF(Q107=1,INDEX(新属性投放!R$20:R$23,卡牌属性!M107-1),INDEX(新属性投放!R$25:R$28,卡牌属性!M107-1)))/SQRT(INDEX($I$5:$I$42,L107)),2)</f>
        <v>25093.09</v>
      </c>
      <c r="U107" s="29" t="s">
        <v>178</v>
      </c>
      <c r="V107" s="14">
        <f>ROUND((IF(Q107=1,INDEX(新属性投放!$K$14:$K$34,卡牌属性!R107),INDEX(新属性投放!$K$42:$K$62,卡牌属性!R107))+IF(Q107=1,INDEX(新属性投放!S$20:S$23,卡牌属性!M107-1),INDEX(新属性投放!S$25:S$28,卡牌属性!M107-1)))*INDEX($G$5:$G$42,L107),2)</f>
        <v>12448.44</v>
      </c>
      <c r="W107" s="29" t="s">
        <v>179</v>
      </c>
      <c r="X107" s="14">
        <f>ROUND((IF(Q107=1,INDEX(新属性投放!$L$14:$L$34,卡牌属性!R107),INDEX(新属性投放!$L$42:$L$62,卡牌属性!R107))*INDEX($G$5:$G$42,L107)+IF(Q107=1,INDEX(新属性投放!T$20:T$23,卡牌属性!M107-1),INDEX(新属性投放!T$25:T$28,卡牌属性!M107-1)))*SQRT(INDEX($I$5:$I$42,L107)),2)</f>
        <v>75739.259999999995</v>
      </c>
      <c r="Y107" s="29" t="s">
        <v>177</v>
      </c>
      <c r="Z107" s="14">
        <f>ROUND(IF(Q107=1,INDEX(新属性投放!$D$14:$D$34,卡牌属性!R107),INDEX(新属性投放!$D$42:$D$62,卡牌属性!R107))*INDEX($G$5:$G$42,L107)/SQRT(INDEX($I$5:$I$42,L107)),2)</f>
        <v>624.83000000000004</v>
      </c>
      <c r="AA107" s="29" t="s">
        <v>178</v>
      </c>
      <c r="AB107" s="14">
        <f>ROUND(IF(Q107=1,INDEX(新属性投放!$E$14:$E$34,卡牌属性!R107),INDEX(新属性投放!$E$42:$E$62,卡牌属性!R107))*INDEX($G$5:$G$42,L107),2)</f>
        <v>312.42</v>
      </c>
      <c r="AC107" s="29" t="s">
        <v>179</v>
      </c>
      <c r="AD107" s="14">
        <f>ROUND(IF(Q107=1,INDEX(新属性投放!$F$14:$F$34,卡牌属性!R107),INDEX(新属性投放!$F$42:$F$62,卡牌属性!R107))*INDEX($G$5:$G$42,L107)*SQRT(INDEX($I$5:$I$42,L107)),2)</f>
        <v>1874.5</v>
      </c>
      <c r="AF107" s="14">
        <f t="shared" si="40"/>
        <v>6248</v>
      </c>
      <c r="AG107" s="14">
        <f t="shared" si="41"/>
        <v>3124</v>
      </c>
      <c r="AH107" s="14">
        <f t="shared" si="42"/>
        <v>18745</v>
      </c>
      <c r="AJ107" s="14">
        <f t="shared" si="46"/>
        <v>42138</v>
      </c>
      <c r="AK107" s="14">
        <f t="shared" si="47"/>
        <v>21062</v>
      </c>
      <c r="AL107" s="14">
        <f t="shared" si="48"/>
        <v>126427</v>
      </c>
    </row>
    <row r="108" spans="11:38" ht="16.5" x14ac:dyDescent="0.2">
      <c r="K108" s="13">
        <v>105</v>
      </c>
      <c r="L108" s="13">
        <f t="shared" si="34"/>
        <v>5</v>
      </c>
      <c r="M108" s="13">
        <f t="shared" si="35"/>
        <v>4</v>
      </c>
      <c r="N108" s="14">
        <f t="shared" si="36"/>
        <v>1101005</v>
      </c>
      <c r="O108" s="14" t="str">
        <f t="shared" si="37"/>
        <v>刘羽禅21突</v>
      </c>
      <c r="P108" s="29" t="s">
        <v>470</v>
      </c>
      <c r="Q108" s="14">
        <f t="shared" si="38"/>
        <v>1</v>
      </c>
      <c r="R108" s="14">
        <f t="shared" si="39"/>
        <v>21</v>
      </c>
      <c r="S108" s="14" t="s">
        <v>39</v>
      </c>
      <c r="T108" s="14">
        <f>ROUND(((IF(Q108=1,INDEX(新属性投放!$J$14:$J$34,卡牌属性!R108),INDEX(新属性投放!$J$42:$J$62,卡牌属性!R108)))*INDEX($G$5:$G$42,L108)+IF(Q108=1,INDEX(新属性投放!R$20:R$23,卡牌属性!M108-1),INDEX(新属性投放!R$25:R$28,卡牌属性!M108-1)))/SQRT(INDEX($I$5:$I$42,L108)),2)</f>
        <v>28998.55</v>
      </c>
      <c r="U108" s="29" t="s">
        <v>178</v>
      </c>
      <c r="V108" s="14">
        <f>ROUND((IF(Q108=1,INDEX(新属性投放!$K$14:$K$34,卡牌属性!R108),INDEX(新属性投放!$K$42:$K$62,卡牌属性!R108))+IF(Q108=1,INDEX(新属性投放!S$20:S$23,卡牌属性!M108-1),INDEX(新属性投放!S$25:S$28,卡牌属性!M108-1)))*INDEX($G$5:$G$42,L108),2)</f>
        <v>14400.52</v>
      </c>
      <c r="W108" s="29" t="s">
        <v>179</v>
      </c>
      <c r="X108" s="14">
        <f>ROUND((IF(Q108=1,INDEX(新属性投放!$L$14:$L$34,卡牌属性!R108),INDEX(新属性投放!$L$42:$L$62,卡牌属性!R108))*INDEX($G$5:$G$42,L108)+IF(Q108=1,INDEX(新属性投放!T$20:T$23,卡牌属性!M108-1),INDEX(新属性投放!T$25:T$28,卡牌属性!M108-1)))*SQRT(INDEX($I$5:$I$42,L108)),2)</f>
        <v>87455.64</v>
      </c>
      <c r="Y108" s="29" t="s">
        <v>177</v>
      </c>
      <c r="Z108" s="14">
        <f>ROUND(IF(Q108=1,INDEX(新属性投放!$D$14:$D$34,卡牌属性!R108),INDEX(新属性投放!$D$42:$D$62,卡牌属性!R108))*INDEX($G$5:$G$42,L108)/SQRT(INDEX($I$5:$I$42,L108)),2)</f>
        <v>722.46</v>
      </c>
      <c r="AA108" s="29" t="s">
        <v>178</v>
      </c>
      <c r="AB108" s="14">
        <f>ROUND(IF(Q108=1,INDEX(新属性投放!$E$14:$E$34,卡牌属性!R108),INDEX(新属性投放!$E$42:$E$62,卡牌属性!R108))*INDEX($G$5:$G$42,L108),2)</f>
        <v>361.23</v>
      </c>
      <c r="AC108" s="29" t="s">
        <v>179</v>
      </c>
      <c r="AD108" s="14">
        <f>ROUND(IF(Q108=1,INDEX(新属性投放!$F$14:$F$34,卡牌属性!R108),INDEX(新属性投放!$F$42:$F$62,卡牌属性!R108))*INDEX($G$5:$G$42,L108)*SQRT(INDEX($I$5:$I$42,L108)),2)</f>
        <v>2167.39</v>
      </c>
      <c r="AF108" s="14">
        <f t="shared" si="40"/>
        <v>7224</v>
      </c>
      <c r="AG108" s="14">
        <f t="shared" si="41"/>
        <v>3612</v>
      </c>
      <c r="AH108" s="14">
        <f t="shared" si="42"/>
        <v>21673</v>
      </c>
      <c r="AJ108" s="14">
        <f t="shared" si="46"/>
        <v>49362</v>
      </c>
      <c r="AK108" s="14">
        <f t="shared" si="47"/>
        <v>24674</v>
      </c>
      <c r="AL108" s="14">
        <f t="shared" si="48"/>
        <v>148100</v>
      </c>
    </row>
    <row r="109" spans="11:38" ht="16.5" x14ac:dyDescent="0.2">
      <c r="K109" s="13">
        <v>106</v>
      </c>
      <c r="L109" s="13">
        <f t="shared" si="34"/>
        <v>6</v>
      </c>
      <c r="M109" s="13">
        <f t="shared" si="35"/>
        <v>4</v>
      </c>
      <c r="N109" s="14">
        <f t="shared" si="36"/>
        <v>1101006</v>
      </c>
      <c r="O109" s="14" t="str">
        <f t="shared" si="37"/>
        <v>红莲·缇娜1突</v>
      </c>
      <c r="P109" s="29" t="s">
        <v>470</v>
      </c>
      <c r="Q109" s="14">
        <f t="shared" si="38"/>
        <v>1</v>
      </c>
      <c r="R109" s="14">
        <f t="shared" si="39"/>
        <v>1</v>
      </c>
      <c r="S109" s="14" t="s">
        <v>39</v>
      </c>
      <c r="T109" s="14">
        <f>ROUND(((IF(Q109=1,INDEX(新属性投放!$J$14:$J$34,卡牌属性!R109),INDEX(新属性投放!$J$42:$J$62,卡牌属性!R109)))*INDEX($G$5:$G$42,L109)+IF(Q109=1,INDEX(新属性投放!R$20:R$23,卡牌属性!M109-1),INDEX(新属性投放!R$25:R$28,卡牌属性!M109-1)))/SQRT(INDEX($I$5:$I$42,L109)),2)</f>
        <v>230</v>
      </c>
      <c r="U109" s="29" t="s">
        <v>178</v>
      </c>
      <c r="V109" s="14">
        <f>ROUND((IF(Q109=1,INDEX(新属性投放!$K$14:$K$34,卡牌属性!R109),INDEX(新属性投放!$K$42:$K$62,卡牌属性!R109))+IF(Q109=1,INDEX(新属性投放!S$20:S$23,卡牌属性!M109-1),INDEX(新属性投放!S$25:S$28,卡牌属性!M109-1)))*INDEX($G$5:$G$42,L109),2)</f>
        <v>0</v>
      </c>
      <c r="W109" s="29" t="s">
        <v>179</v>
      </c>
      <c r="X109" s="14">
        <f>ROUND((IF(Q109=1,INDEX(新属性投放!$L$14:$L$34,卡牌属性!R109),INDEX(新属性投放!$L$42:$L$62,卡牌属性!R109))*INDEX($G$5:$G$42,L109)+IF(Q109=1,INDEX(新属性投放!T$20:T$23,卡牌属性!M109-1),INDEX(新属性投放!T$25:T$28,卡牌属性!M109-1)))*SQRT(INDEX($I$5:$I$42,L109)),2)</f>
        <v>1150</v>
      </c>
      <c r="Y109" s="29" t="s">
        <v>177</v>
      </c>
      <c r="Z109" s="14">
        <f>ROUND(IF(Q109=1,INDEX(新属性投放!$D$14:$D$34,卡牌属性!R109),INDEX(新属性投放!$D$42:$D$62,卡牌属性!R109))*INDEX($G$5:$G$42,L109)/SQRT(INDEX($I$5:$I$42,L109)),2)</f>
        <v>19.5</v>
      </c>
      <c r="AA109" s="29" t="s">
        <v>178</v>
      </c>
      <c r="AB109" s="14">
        <f>ROUND(IF(Q109=1,INDEX(新属性投放!$E$14:$E$34,卡牌属性!R109),INDEX(新属性投放!$E$42:$E$62,卡牌属性!R109))*INDEX($G$5:$G$42,L109),2)</f>
        <v>9.75</v>
      </c>
      <c r="AC109" s="29" t="s">
        <v>179</v>
      </c>
      <c r="AD109" s="14">
        <f>ROUND(IF(Q109=1,INDEX(新属性投放!$F$14:$F$34,卡牌属性!R109),INDEX(新属性投放!$F$42:$F$62,卡牌属性!R109))*INDEX($G$5:$G$42,L109)*SQRT(INDEX($I$5:$I$42,L109)),2)</f>
        <v>58.5</v>
      </c>
      <c r="AF109" s="14">
        <f t="shared" si="40"/>
        <v>195</v>
      </c>
      <c r="AG109" s="14">
        <f t="shared" si="41"/>
        <v>97</v>
      </c>
      <c r="AH109" s="14">
        <f t="shared" si="42"/>
        <v>585</v>
      </c>
      <c r="AJ109" s="14">
        <f t="shared" ref="AJ109" si="49">AF109</f>
        <v>195</v>
      </c>
      <c r="AK109" s="14">
        <f t="shared" ref="AK109" si="50">AG109</f>
        <v>97</v>
      </c>
      <c r="AL109" s="14">
        <f t="shared" ref="AL109" si="51">AH109</f>
        <v>585</v>
      </c>
    </row>
    <row r="110" spans="11:38" ht="16.5" x14ac:dyDescent="0.2">
      <c r="K110" s="13">
        <v>107</v>
      </c>
      <c r="L110" s="13">
        <f t="shared" si="34"/>
        <v>6</v>
      </c>
      <c r="M110" s="13">
        <f t="shared" si="35"/>
        <v>4</v>
      </c>
      <c r="N110" s="14">
        <f t="shared" si="36"/>
        <v>1101006</v>
      </c>
      <c r="O110" s="14" t="str">
        <f t="shared" si="37"/>
        <v>红莲·缇娜2突</v>
      </c>
      <c r="P110" s="29" t="s">
        <v>470</v>
      </c>
      <c r="Q110" s="14">
        <f t="shared" si="38"/>
        <v>1</v>
      </c>
      <c r="R110" s="14">
        <f t="shared" si="39"/>
        <v>2</v>
      </c>
      <c r="S110" s="14" t="s">
        <v>39</v>
      </c>
      <c r="T110" s="14">
        <f>ROUND(((IF(Q110=1,INDEX(新属性投放!$J$14:$J$34,卡牌属性!R110),INDEX(新属性投放!$J$42:$J$62,卡牌属性!R110)))*INDEX($G$5:$G$42,L110)+IF(Q110=1,INDEX(新属性投放!R$20:R$23,卡牌属性!M110-1),INDEX(新属性投放!R$25:R$28,卡牌属性!M110-1)))/SQRT(INDEX($I$5:$I$42,L110)),2)</f>
        <v>418.5</v>
      </c>
      <c r="U110" s="29" t="s">
        <v>178</v>
      </c>
      <c r="V110" s="14">
        <f>ROUND((IF(Q110=1,INDEX(新属性投放!$K$14:$K$34,卡牌属性!R110),INDEX(新属性投放!$K$42:$K$62,卡牌属性!R110))+IF(Q110=1,INDEX(新属性投放!S$20:S$23,卡牌属性!M110-1),INDEX(新属性投放!S$25:S$28,卡牌属性!M110-1)))*INDEX($G$5:$G$42,L110),2)</f>
        <v>109.85</v>
      </c>
      <c r="W110" s="29" t="s">
        <v>179</v>
      </c>
      <c r="X110" s="14">
        <f>ROUND((IF(Q110=1,INDEX(新属性投放!$L$14:$L$34,卡牌属性!R110),INDEX(新属性投放!$L$42:$L$62,卡牌属性!R110))*INDEX($G$5:$G$42,L110)+IF(Q110=1,INDEX(新属性投放!T$20:T$23,卡牌属性!M110-1),INDEX(新属性投放!T$25:T$28,卡牌属性!M110-1)))*SQRT(INDEX($I$5:$I$42,L110)),2)</f>
        <v>1715.5</v>
      </c>
      <c r="Y110" s="29" t="s">
        <v>177</v>
      </c>
      <c r="Z110" s="14">
        <f>ROUND(IF(Q110=1,INDEX(新属性投放!$D$14:$D$34,卡牌属性!R110),INDEX(新属性投放!$D$42:$D$62,卡牌属性!R110))*INDEX($G$5:$G$42,L110)/SQRT(INDEX($I$5:$I$42,L110)),2)</f>
        <v>17.899999999999999</v>
      </c>
      <c r="AA110" s="29" t="s">
        <v>178</v>
      </c>
      <c r="AB110" s="14">
        <f>ROUND(IF(Q110=1,INDEX(新属性投放!$E$14:$E$34,卡牌属性!R110),INDEX(新属性投放!$E$42:$E$62,卡牌属性!R110))*INDEX($G$5:$G$42,L110),2)</f>
        <v>8.9499999999999993</v>
      </c>
      <c r="AC110" s="29" t="s">
        <v>179</v>
      </c>
      <c r="AD110" s="14">
        <f>ROUND(IF(Q110=1,INDEX(新属性投放!$F$14:$F$34,卡牌属性!R110),INDEX(新属性投放!$F$42:$F$62,卡牌属性!R110))*INDEX($G$5:$G$42,L110)*SQRT(INDEX($I$5:$I$42,L110)),2)</f>
        <v>53.7</v>
      </c>
      <c r="AF110" s="14">
        <f t="shared" si="40"/>
        <v>179</v>
      </c>
      <c r="AG110" s="14">
        <f t="shared" si="41"/>
        <v>89</v>
      </c>
      <c r="AH110" s="14">
        <f t="shared" si="42"/>
        <v>537</v>
      </c>
      <c r="AJ110" s="14">
        <f t="shared" ref="AJ110:AJ129" si="52">AJ109+AF110</f>
        <v>374</v>
      </c>
      <c r="AK110" s="14">
        <f t="shared" ref="AK110:AK129" si="53">AK109+AG110</f>
        <v>186</v>
      </c>
      <c r="AL110" s="14">
        <f t="shared" ref="AL110:AL129" si="54">AL109+AH110</f>
        <v>1122</v>
      </c>
    </row>
    <row r="111" spans="11:38" ht="16.5" x14ac:dyDescent="0.2">
      <c r="K111" s="13">
        <v>108</v>
      </c>
      <c r="L111" s="13">
        <f t="shared" si="34"/>
        <v>6</v>
      </c>
      <c r="M111" s="13">
        <f t="shared" si="35"/>
        <v>4</v>
      </c>
      <c r="N111" s="14">
        <f t="shared" si="36"/>
        <v>1101006</v>
      </c>
      <c r="O111" s="14" t="str">
        <f t="shared" si="37"/>
        <v>红莲·缇娜3突</v>
      </c>
      <c r="P111" s="29" t="s">
        <v>470</v>
      </c>
      <c r="Q111" s="14">
        <f t="shared" si="38"/>
        <v>1</v>
      </c>
      <c r="R111" s="14">
        <f t="shared" si="39"/>
        <v>3</v>
      </c>
      <c r="S111" s="14" t="s">
        <v>39</v>
      </c>
      <c r="T111" s="14">
        <f>ROUND(((IF(Q111=1,INDEX(新属性投放!$J$14:$J$34,卡牌属性!R111),INDEX(新属性投放!$J$42:$J$62,卡牌属性!R111)))*INDEX($G$5:$G$42,L111)+IF(Q111=1,INDEX(新属性投放!R$20:R$23,卡牌属性!M111-1),INDEX(新属性投放!R$25:R$28,卡牌属性!M111-1)))/SQRT(INDEX($I$5:$I$42,L111)),2)</f>
        <v>641.71</v>
      </c>
      <c r="U111" s="29" t="s">
        <v>178</v>
      </c>
      <c r="V111" s="14">
        <f>ROUND((IF(Q111=1,INDEX(新属性投放!$K$14:$K$34,卡牌属性!R111),INDEX(新属性投放!$K$42:$K$62,卡牌属性!R111))+IF(Q111=1,INDEX(新属性投放!S$20:S$23,卡牌属性!M111-1),INDEX(新属性投放!S$25:S$28,卡牌属性!M111-1)))*INDEX($G$5:$G$42,L111),2)</f>
        <v>221.46</v>
      </c>
      <c r="W111" s="29" t="s">
        <v>179</v>
      </c>
      <c r="X111" s="14">
        <f>ROUND((IF(Q111=1,INDEX(新属性投放!$L$14:$L$34,卡牌属性!R111),INDEX(新属性投放!$L$42:$L$62,卡牌属性!R111))*INDEX($G$5:$G$42,L111)+IF(Q111=1,INDEX(新属性投放!T$20:T$23,卡牌属性!M111-1),INDEX(新属性投放!T$25:T$28,卡牌属性!M111-1)))*SQRT(INDEX($I$5:$I$42,L111)),2)</f>
        <v>2385.13</v>
      </c>
      <c r="Y111" s="29" t="s">
        <v>177</v>
      </c>
      <c r="Z111" s="14">
        <f>ROUND(IF(Q111=1,INDEX(新属性投放!$D$14:$D$34,卡牌属性!R111),INDEX(新属性投放!$D$42:$D$62,卡牌属性!R111))*INDEX($G$5:$G$42,L111)/SQRT(INDEX($I$5:$I$42,L111)),2)</f>
        <v>32.72</v>
      </c>
      <c r="AA111" s="29" t="s">
        <v>178</v>
      </c>
      <c r="AB111" s="14">
        <f>ROUND(IF(Q111=1,INDEX(新属性投放!$E$14:$E$34,卡牌属性!R111),INDEX(新属性投放!$E$42:$E$62,卡牌属性!R111))*INDEX($G$5:$G$42,L111),2)</f>
        <v>16.36</v>
      </c>
      <c r="AC111" s="29" t="s">
        <v>179</v>
      </c>
      <c r="AD111" s="14">
        <f>ROUND(IF(Q111=1,INDEX(新属性投放!$F$14:$F$34,卡牌属性!R111),INDEX(新属性投放!$F$42:$F$62,卡牌属性!R111))*INDEX($G$5:$G$42,L111)*SQRT(INDEX($I$5:$I$42,L111)),2)</f>
        <v>98.16</v>
      </c>
      <c r="AF111" s="14">
        <f t="shared" si="40"/>
        <v>327</v>
      </c>
      <c r="AG111" s="14">
        <f t="shared" si="41"/>
        <v>163</v>
      </c>
      <c r="AH111" s="14">
        <f t="shared" si="42"/>
        <v>981</v>
      </c>
      <c r="AJ111" s="14">
        <f t="shared" si="52"/>
        <v>701</v>
      </c>
      <c r="AK111" s="14">
        <f t="shared" si="53"/>
        <v>349</v>
      </c>
      <c r="AL111" s="14">
        <f t="shared" si="54"/>
        <v>2103</v>
      </c>
    </row>
    <row r="112" spans="11:38" ht="16.5" x14ac:dyDescent="0.2">
      <c r="K112" s="13">
        <v>109</v>
      </c>
      <c r="L112" s="13">
        <f t="shared" si="34"/>
        <v>6</v>
      </c>
      <c r="M112" s="13">
        <f t="shared" si="35"/>
        <v>4</v>
      </c>
      <c r="N112" s="14">
        <f t="shared" si="36"/>
        <v>1101006</v>
      </c>
      <c r="O112" s="14" t="str">
        <f t="shared" si="37"/>
        <v>红莲·缇娜4突</v>
      </c>
      <c r="P112" s="29" t="s">
        <v>470</v>
      </c>
      <c r="Q112" s="14">
        <f t="shared" si="38"/>
        <v>1</v>
      </c>
      <c r="R112" s="14">
        <f t="shared" si="39"/>
        <v>4</v>
      </c>
      <c r="S112" s="14" t="s">
        <v>39</v>
      </c>
      <c r="T112" s="14">
        <f>ROUND(((IF(Q112=1,INDEX(新属性投放!$J$14:$J$34,卡牌属性!R112),INDEX(新属性投放!$J$42:$J$62,卡牌属性!R112)))*INDEX($G$5:$G$42,L112)+IF(Q112=1,INDEX(新属性投放!R$20:R$23,卡牌属性!M112-1),INDEX(新属性投放!R$25:R$28,卡牌属性!M112-1)))/SQRT(INDEX($I$5:$I$42,L112)),2)</f>
        <v>1050.82</v>
      </c>
      <c r="U112" s="29" t="s">
        <v>178</v>
      </c>
      <c r="V112" s="14">
        <f>ROUND((IF(Q112=1,INDEX(新属性投放!$K$14:$K$34,卡牌属性!R112),INDEX(新属性投放!$K$42:$K$62,卡牌属性!R112))+IF(Q112=1,INDEX(新属性投放!S$20:S$23,卡牌属性!M112-1),INDEX(新属性投放!S$25:S$28,卡牌属性!M112-1)))*INDEX($G$5:$G$42,L112),2)</f>
        <v>425.36</v>
      </c>
      <c r="W112" s="29" t="s">
        <v>179</v>
      </c>
      <c r="X112" s="14">
        <f>ROUND((IF(Q112=1,INDEX(新属性投放!$L$14:$L$34,卡牌属性!R112),INDEX(新属性投放!$L$42:$L$62,卡牌属性!R112))*INDEX($G$5:$G$42,L112)+IF(Q112=1,INDEX(新属性投放!T$20:T$23,卡牌属性!M112-1),INDEX(新属性投放!T$25:T$28,卡牌属性!M112-1)))*SQRT(INDEX($I$5:$I$42,L112)),2)</f>
        <v>3612.46</v>
      </c>
      <c r="Y112" s="29" t="s">
        <v>177</v>
      </c>
      <c r="Z112" s="14">
        <f>ROUND(IF(Q112=1,INDEX(新属性投放!$D$14:$D$34,卡牌属性!R112),INDEX(新属性投放!$D$42:$D$62,卡牌属性!R112))*INDEX($G$5:$G$42,L112)/SQRT(INDEX($I$5:$I$42,L112)),2)</f>
        <v>39.17</v>
      </c>
      <c r="AA112" s="29" t="s">
        <v>178</v>
      </c>
      <c r="AB112" s="14">
        <f>ROUND(IF(Q112=1,INDEX(新属性投放!$E$14:$E$34,卡牌属性!R112),INDEX(新属性投放!$E$42:$E$62,卡牌属性!R112))*INDEX($G$5:$G$42,L112),2)</f>
        <v>19.579999999999998</v>
      </c>
      <c r="AC112" s="29" t="s">
        <v>179</v>
      </c>
      <c r="AD112" s="14">
        <f>ROUND(IF(Q112=1,INDEX(新属性投放!$F$14:$F$34,卡牌属性!R112),INDEX(新属性投放!$F$42:$F$62,卡牌属性!R112))*INDEX($G$5:$G$42,L112)*SQRT(INDEX($I$5:$I$42,L112)),2)</f>
        <v>117.51</v>
      </c>
      <c r="AF112" s="14">
        <f t="shared" si="40"/>
        <v>391</v>
      </c>
      <c r="AG112" s="14">
        <f t="shared" si="41"/>
        <v>195</v>
      </c>
      <c r="AH112" s="14">
        <f t="shared" si="42"/>
        <v>1175</v>
      </c>
      <c r="AJ112" s="14">
        <f t="shared" si="52"/>
        <v>1092</v>
      </c>
      <c r="AK112" s="14">
        <f t="shared" si="53"/>
        <v>544</v>
      </c>
      <c r="AL112" s="14">
        <f t="shared" si="54"/>
        <v>3278</v>
      </c>
    </row>
    <row r="113" spans="11:38" ht="16.5" x14ac:dyDescent="0.2">
      <c r="K113" s="13">
        <v>110</v>
      </c>
      <c r="L113" s="13">
        <f t="shared" si="34"/>
        <v>6</v>
      </c>
      <c r="M113" s="13">
        <f t="shared" si="35"/>
        <v>4</v>
      </c>
      <c r="N113" s="14">
        <f t="shared" si="36"/>
        <v>1101006</v>
      </c>
      <c r="O113" s="14" t="str">
        <f t="shared" si="37"/>
        <v>红莲·缇娜5突</v>
      </c>
      <c r="P113" s="29" t="s">
        <v>470</v>
      </c>
      <c r="Q113" s="14">
        <f t="shared" si="38"/>
        <v>1</v>
      </c>
      <c r="R113" s="14">
        <f t="shared" si="39"/>
        <v>5</v>
      </c>
      <c r="S113" s="14" t="s">
        <v>39</v>
      </c>
      <c r="T113" s="14">
        <f>ROUND(((IF(Q113=1,INDEX(新属性投放!$J$14:$J$34,卡牌属性!R113),INDEX(新属性投放!$J$42:$J$62,卡牌属性!R113)))*INDEX($G$5:$G$42,L113)+IF(Q113=1,INDEX(新属性投放!R$20:R$23,卡牌属性!M113-1),INDEX(新属性投放!R$25:R$28,卡牌属性!M113-1)))/SQRT(INDEX($I$5:$I$42,L113)),2)</f>
        <v>1540.01</v>
      </c>
      <c r="U113" s="29" t="s">
        <v>178</v>
      </c>
      <c r="V113" s="14">
        <f>ROUND((IF(Q113=1,INDEX(新属性投放!$K$14:$K$34,卡牌属性!R113),INDEX(新属性投放!$K$42:$K$62,卡牌属性!R113))+IF(Q113=1,INDEX(新属性投放!S$20:S$23,卡牌属性!M113-1),INDEX(新属性投放!S$25:S$28,卡牌属性!M113-1)))*INDEX($G$5:$G$42,L113),2)</f>
        <v>670.61</v>
      </c>
      <c r="W113" s="29" t="s">
        <v>179</v>
      </c>
      <c r="X113" s="14">
        <f>ROUND((IF(Q113=1,INDEX(新属性投放!$L$14:$L$34,卡牌属性!R113),INDEX(新属性投放!$L$42:$L$62,卡牌属性!R113))*INDEX($G$5:$G$42,L113)+IF(Q113=1,INDEX(新属性投放!T$20:T$23,卡牌属性!M113-1),INDEX(新属性投放!T$25:T$28,卡牌属性!M113-1)))*SQRT(INDEX($I$5:$I$42,L113)),2)</f>
        <v>5080.03</v>
      </c>
      <c r="Y113" s="29" t="s">
        <v>177</v>
      </c>
      <c r="Z113" s="14">
        <f>ROUND(IF(Q113=1,INDEX(新属性投放!$D$14:$D$34,卡牌属性!R113),INDEX(新属性投放!$D$42:$D$62,卡牌属性!R113))*INDEX($G$5:$G$42,L113)/SQRT(INDEX($I$5:$I$42,L113)),2)</f>
        <v>48.96</v>
      </c>
      <c r="AA113" s="29" t="s">
        <v>178</v>
      </c>
      <c r="AB113" s="14">
        <f>ROUND(IF(Q113=1,INDEX(新属性投放!$E$14:$E$34,卡牌属性!R113),INDEX(新属性投放!$E$42:$E$62,卡牌属性!R113))*INDEX($G$5:$G$42,L113),2)</f>
        <v>24.48</v>
      </c>
      <c r="AC113" s="29" t="s">
        <v>179</v>
      </c>
      <c r="AD113" s="14">
        <f>ROUND(IF(Q113=1,INDEX(新属性投放!$F$14:$F$34,卡牌属性!R113),INDEX(新属性投放!$F$42:$F$62,卡牌属性!R113))*INDEX($G$5:$G$42,L113)*SQRT(INDEX($I$5:$I$42,L113)),2)</f>
        <v>146.87</v>
      </c>
      <c r="AF113" s="14">
        <f t="shared" si="40"/>
        <v>489</v>
      </c>
      <c r="AG113" s="14">
        <f t="shared" si="41"/>
        <v>244</v>
      </c>
      <c r="AH113" s="14">
        <f t="shared" si="42"/>
        <v>1468</v>
      </c>
      <c r="AJ113" s="14">
        <f t="shared" si="52"/>
        <v>1581</v>
      </c>
      <c r="AK113" s="14">
        <f t="shared" si="53"/>
        <v>788</v>
      </c>
      <c r="AL113" s="14">
        <f t="shared" si="54"/>
        <v>4746</v>
      </c>
    </row>
    <row r="114" spans="11:38" ht="16.5" x14ac:dyDescent="0.2">
      <c r="K114" s="13">
        <v>111</v>
      </c>
      <c r="L114" s="13">
        <f t="shared" si="34"/>
        <v>6</v>
      </c>
      <c r="M114" s="13">
        <f t="shared" si="35"/>
        <v>4</v>
      </c>
      <c r="N114" s="14">
        <f t="shared" si="36"/>
        <v>1101006</v>
      </c>
      <c r="O114" s="14" t="str">
        <f t="shared" si="37"/>
        <v>红莲·缇娜6突</v>
      </c>
      <c r="P114" s="29" t="s">
        <v>470</v>
      </c>
      <c r="Q114" s="14">
        <f t="shared" si="38"/>
        <v>1</v>
      </c>
      <c r="R114" s="14">
        <f t="shared" si="39"/>
        <v>6</v>
      </c>
      <c r="S114" s="14" t="s">
        <v>39</v>
      </c>
      <c r="T114" s="14">
        <f>ROUND(((IF(Q114=1,INDEX(新属性投放!$J$14:$J$34,卡牌属性!R114),INDEX(新属性投放!$J$42:$J$62,卡牌属性!R114)))*INDEX($G$5:$G$42,L114)+IF(Q114=1,INDEX(新属性投放!R$20:R$23,卡牌属性!M114-1),INDEX(新属性投放!R$25:R$28,卡牌属性!M114-1)))/SQRT(INDEX($I$5:$I$42,L114)),2)</f>
        <v>2151.79</v>
      </c>
      <c r="U114" s="29" t="s">
        <v>178</v>
      </c>
      <c r="V114" s="14">
        <f>ROUND((IF(Q114=1,INDEX(新属性投放!$K$14:$K$34,卡牌属性!R114),INDEX(新属性投放!$K$42:$K$62,卡牌属性!R114))+IF(Q114=1,INDEX(新属性投放!S$20:S$23,卡牌属性!M114-1),INDEX(新属性投放!S$25:S$28,卡牌属性!M114-1)))*INDEX($G$5:$G$42,L114),2)</f>
        <v>976.5</v>
      </c>
      <c r="W114" s="29" t="s">
        <v>179</v>
      </c>
      <c r="X114" s="14">
        <f>ROUND((IF(Q114=1,INDEX(新属性投放!$L$14:$L$34,卡牌属性!R114),INDEX(新属性投放!$L$42:$L$62,卡牌属性!R114))*INDEX($G$5:$G$42,L114)+IF(Q114=1,INDEX(新属性投放!T$20:T$23,卡牌属性!M114-1),INDEX(新属性投放!T$25:T$28,卡牌属性!M114-1)))*SQRT(INDEX($I$5:$I$42,L114)),2)</f>
        <v>6915.37</v>
      </c>
      <c r="Y114" s="29" t="s">
        <v>177</v>
      </c>
      <c r="Z114" s="14">
        <f>ROUND(IF(Q114=1,INDEX(新属性投放!$D$14:$D$34,卡牌属性!R114),INDEX(新属性投放!$D$42:$D$62,卡牌属性!R114))*INDEX($G$5:$G$42,L114)/SQRT(INDEX($I$5:$I$42,L114)),2)</f>
        <v>63.51</v>
      </c>
      <c r="AA114" s="29" t="s">
        <v>178</v>
      </c>
      <c r="AB114" s="14">
        <f>ROUND(IF(Q114=1,INDEX(新属性投放!$E$14:$E$34,卡牌属性!R114),INDEX(新属性投放!$E$42:$E$62,卡牌属性!R114))*INDEX($G$5:$G$42,L114),2)</f>
        <v>31.75</v>
      </c>
      <c r="AC114" s="29" t="s">
        <v>179</v>
      </c>
      <c r="AD114" s="14">
        <f>ROUND(IF(Q114=1,INDEX(新属性投放!$F$14:$F$34,卡牌属性!R114),INDEX(新属性投放!$F$42:$F$62,卡牌属性!R114))*INDEX($G$5:$G$42,L114)*SQRT(INDEX($I$5:$I$42,L114)),2)</f>
        <v>190.52</v>
      </c>
      <c r="AF114" s="14">
        <f t="shared" si="40"/>
        <v>635</v>
      </c>
      <c r="AG114" s="14">
        <f t="shared" si="41"/>
        <v>317</v>
      </c>
      <c r="AH114" s="14">
        <f t="shared" si="42"/>
        <v>1905</v>
      </c>
      <c r="AJ114" s="14">
        <f t="shared" si="52"/>
        <v>2216</v>
      </c>
      <c r="AK114" s="14">
        <f t="shared" si="53"/>
        <v>1105</v>
      </c>
      <c r="AL114" s="14">
        <f t="shared" si="54"/>
        <v>6651</v>
      </c>
    </row>
    <row r="115" spans="11:38" ht="16.5" x14ac:dyDescent="0.2">
      <c r="K115" s="13">
        <v>112</v>
      </c>
      <c r="L115" s="13">
        <f t="shared" si="34"/>
        <v>6</v>
      </c>
      <c r="M115" s="13">
        <f t="shared" si="35"/>
        <v>4</v>
      </c>
      <c r="N115" s="14">
        <f t="shared" si="36"/>
        <v>1101006</v>
      </c>
      <c r="O115" s="14" t="str">
        <f t="shared" si="37"/>
        <v>红莲·缇娜7突</v>
      </c>
      <c r="P115" s="29" t="s">
        <v>470</v>
      </c>
      <c r="Q115" s="14">
        <f t="shared" si="38"/>
        <v>1</v>
      </c>
      <c r="R115" s="14">
        <f t="shared" si="39"/>
        <v>7</v>
      </c>
      <c r="S115" s="14" t="s">
        <v>39</v>
      </c>
      <c r="T115" s="14">
        <f>ROUND(((IF(Q115=1,INDEX(新属性投放!$J$14:$J$34,卡牌属性!R115),INDEX(新属性投放!$J$42:$J$62,卡牌属性!R115)))*INDEX($G$5:$G$42,L115)+IF(Q115=1,INDEX(新属性投放!R$20:R$23,卡牌属性!M115-1),INDEX(新属性投放!R$25:R$28,卡牌属性!M115-1)))/SQRT(INDEX($I$5:$I$42,L115)),2)</f>
        <v>2945.44</v>
      </c>
      <c r="U115" s="29" t="s">
        <v>178</v>
      </c>
      <c r="V115" s="14">
        <f>ROUND((IF(Q115=1,INDEX(新属性投放!$K$14:$K$34,卡牌属性!R115),INDEX(新属性投放!$K$42:$K$62,卡牌属性!R115))+IF(Q115=1,INDEX(新属性投放!S$20:S$23,卡牌属性!M115-1),INDEX(新属性投放!S$25:S$28,卡牌属性!M115-1)))*INDEX($G$5:$G$42,L115),2)</f>
        <v>1373.32</v>
      </c>
      <c r="W115" s="29" t="s">
        <v>179</v>
      </c>
      <c r="X115" s="14">
        <f>ROUND((IF(Q115=1,INDEX(新属性投放!$L$14:$L$34,卡牌属性!R115),INDEX(新属性投放!$L$42:$L$62,卡牌属性!R115))*INDEX($G$5:$G$42,L115)+IF(Q115=1,INDEX(新属性投放!T$20:T$23,卡牌属性!M115-1),INDEX(新属性投放!T$25:T$28,卡牌属性!M115-1)))*SQRT(INDEX($I$5:$I$42,L115)),2)</f>
        <v>9296.32</v>
      </c>
      <c r="Y115" s="29" t="s">
        <v>177</v>
      </c>
      <c r="Z115" s="14">
        <f>ROUND(IF(Q115=1,INDEX(新属性投放!$D$14:$D$34,卡牌属性!R115),INDEX(新属性投放!$D$42:$D$62,卡牌属性!R115))*INDEX($G$5:$G$42,L115)/SQRT(INDEX($I$5:$I$42,L115)),2)</f>
        <v>78.25</v>
      </c>
      <c r="AA115" s="29" t="s">
        <v>178</v>
      </c>
      <c r="AB115" s="14">
        <f>ROUND(IF(Q115=1,INDEX(新属性投放!$E$14:$E$34,卡牌属性!R115),INDEX(新属性投放!$E$42:$E$62,卡牌属性!R115))*INDEX($G$5:$G$42,L115),2)</f>
        <v>39.119999999999997</v>
      </c>
      <c r="AC115" s="29" t="s">
        <v>179</v>
      </c>
      <c r="AD115" s="14">
        <f>ROUND(IF(Q115=1,INDEX(新属性投放!$F$14:$F$34,卡牌属性!R115),INDEX(新属性投放!$F$42:$F$62,卡牌属性!R115))*INDEX($G$5:$G$42,L115)*SQRT(INDEX($I$5:$I$42,L115)),2)</f>
        <v>234.74</v>
      </c>
      <c r="AF115" s="14">
        <f t="shared" si="40"/>
        <v>782</v>
      </c>
      <c r="AG115" s="14">
        <f t="shared" si="41"/>
        <v>391</v>
      </c>
      <c r="AH115" s="14">
        <f t="shared" si="42"/>
        <v>2347</v>
      </c>
      <c r="AJ115" s="14">
        <f t="shared" si="52"/>
        <v>2998</v>
      </c>
      <c r="AK115" s="14">
        <f t="shared" si="53"/>
        <v>1496</v>
      </c>
      <c r="AL115" s="14">
        <f t="shared" si="54"/>
        <v>8998</v>
      </c>
    </row>
    <row r="116" spans="11:38" ht="16.5" x14ac:dyDescent="0.2">
      <c r="K116" s="13">
        <v>113</v>
      </c>
      <c r="L116" s="13">
        <f t="shared" si="34"/>
        <v>6</v>
      </c>
      <c r="M116" s="13">
        <f t="shared" si="35"/>
        <v>4</v>
      </c>
      <c r="N116" s="14">
        <f t="shared" si="36"/>
        <v>1101006</v>
      </c>
      <c r="O116" s="14" t="str">
        <f t="shared" si="37"/>
        <v>红莲·缇娜8突</v>
      </c>
      <c r="P116" s="29" t="s">
        <v>470</v>
      </c>
      <c r="Q116" s="14">
        <f t="shared" si="38"/>
        <v>1</v>
      </c>
      <c r="R116" s="14">
        <f t="shared" si="39"/>
        <v>8</v>
      </c>
      <c r="S116" s="14" t="s">
        <v>39</v>
      </c>
      <c r="T116" s="14">
        <f>ROUND(((IF(Q116=1,INDEX(新属性投放!$J$14:$J$34,卡牌属性!R116),INDEX(新属性投放!$J$42:$J$62,卡牌属性!R116)))*INDEX($G$5:$G$42,L116)+IF(Q116=1,INDEX(新属性投放!R$20:R$23,卡牌属性!M116-1),INDEX(新属性投放!R$25:R$28,卡牌属性!M116-1)))/SQRT(INDEX($I$5:$I$42,L116)),2)</f>
        <v>3922.91</v>
      </c>
      <c r="U116" s="29" t="s">
        <v>178</v>
      </c>
      <c r="V116" s="14">
        <f>ROUND((IF(Q116=1,INDEX(新属性投放!$K$14:$K$34,卡牌属性!R116),INDEX(新属性投放!$K$42:$K$62,卡牌属性!R116))+IF(Q116=1,INDEX(新属性投放!S$20:S$23,卡牌属性!M116-1),INDEX(新属性投放!S$25:S$28,卡牌属性!M116-1)))*INDEX($G$5:$G$42,L116),2)</f>
        <v>1862.06</v>
      </c>
      <c r="W116" s="29" t="s">
        <v>179</v>
      </c>
      <c r="X116" s="14">
        <f>ROUND((IF(Q116=1,INDEX(新属性投放!$L$14:$L$34,卡牌属性!R116),INDEX(新属性投放!$L$42:$L$62,卡牌属性!R116))*INDEX($G$5:$G$42,L116)+IF(Q116=1,INDEX(新属性投放!T$20:T$23,卡牌属性!M116-1),INDEX(新属性投放!T$25:T$28,卡牌属性!M116-1)))*SQRT(INDEX($I$5:$I$42,L116)),2)</f>
        <v>12228.73</v>
      </c>
      <c r="Y116" s="29" t="s">
        <v>177</v>
      </c>
      <c r="Z116" s="14">
        <f>ROUND(IF(Q116=1,INDEX(新属性投放!$D$14:$D$34,卡牌属性!R116),INDEX(新属性投放!$D$42:$D$62,卡牌属性!R116))*INDEX($G$5:$G$42,L116)/SQRT(INDEX($I$5:$I$42,L116)),2)</f>
        <v>97.75</v>
      </c>
      <c r="AA116" s="29" t="s">
        <v>178</v>
      </c>
      <c r="AB116" s="14">
        <f>ROUND(IF(Q116=1,INDEX(新属性投放!$E$14:$E$34,卡牌属性!R116),INDEX(新属性投放!$E$42:$E$62,卡牌属性!R116))*INDEX($G$5:$G$42,L116),2)</f>
        <v>48.87</v>
      </c>
      <c r="AC116" s="29" t="s">
        <v>179</v>
      </c>
      <c r="AD116" s="14">
        <f>ROUND(IF(Q116=1,INDEX(新属性投放!$F$14:$F$34,卡牌属性!R116),INDEX(新属性投放!$F$42:$F$62,卡牌属性!R116))*INDEX($G$5:$G$42,L116)*SQRT(INDEX($I$5:$I$42,L116)),2)</f>
        <v>293.24</v>
      </c>
      <c r="AF116" s="14">
        <f t="shared" si="40"/>
        <v>977</v>
      </c>
      <c r="AG116" s="14">
        <f t="shared" si="41"/>
        <v>488</v>
      </c>
      <c r="AH116" s="14">
        <f t="shared" si="42"/>
        <v>2932</v>
      </c>
      <c r="AJ116" s="14">
        <f t="shared" si="52"/>
        <v>3975</v>
      </c>
      <c r="AK116" s="14">
        <f t="shared" si="53"/>
        <v>1984</v>
      </c>
      <c r="AL116" s="14">
        <f t="shared" si="54"/>
        <v>11930</v>
      </c>
    </row>
    <row r="117" spans="11:38" ht="16.5" x14ac:dyDescent="0.2">
      <c r="K117" s="13">
        <v>114</v>
      </c>
      <c r="L117" s="13">
        <f t="shared" si="34"/>
        <v>6</v>
      </c>
      <c r="M117" s="13">
        <f t="shared" si="35"/>
        <v>4</v>
      </c>
      <c r="N117" s="14">
        <f t="shared" si="36"/>
        <v>1101006</v>
      </c>
      <c r="O117" s="14" t="str">
        <f t="shared" si="37"/>
        <v>红莲·缇娜9突</v>
      </c>
      <c r="P117" s="29" t="s">
        <v>470</v>
      </c>
      <c r="Q117" s="14">
        <f t="shared" si="38"/>
        <v>1</v>
      </c>
      <c r="R117" s="14">
        <f t="shared" si="39"/>
        <v>9</v>
      </c>
      <c r="S117" s="14" t="s">
        <v>39</v>
      </c>
      <c r="T117" s="14">
        <f>ROUND(((IF(Q117=1,INDEX(新属性投放!$J$14:$J$34,卡牌属性!R117),INDEX(新属性投放!$J$42:$J$62,卡牌属性!R117)))*INDEX($G$5:$G$42,L117)+IF(Q117=1,INDEX(新属性投放!R$20:R$23,卡牌属性!M117-1),INDEX(新属性投放!R$25:R$28,卡牌属性!M117-1)))/SQRT(INDEX($I$5:$I$42,L117)),2)</f>
        <v>5144.78</v>
      </c>
      <c r="U117" s="29" t="s">
        <v>178</v>
      </c>
      <c r="V117" s="14">
        <f>ROUND((IF(Q117=1,INDEX(新属性投放!$K$14:$K$34,卡牌属性!R117),INDEX(新属性投放!$K$42:$K$62,卡牌属性!R117))+IF(Q117=1,INDEX(新属性投放!S$20:S$23,卡牌属性!M117-1),INDEX(新属性投放!S$25:S$28,卡牌属性!M117-1)))*INDEX($G$5:$G$42,L117),2)</f>
        <v>2472.9899999999998</v>
      </c>
      <c r="W117" s="29" t="s">
        <v>179</v>
      </c>
      <c r="X117" s="14">
        <f>ROUND((IF(Q117=1,INDEX(新属性投放!$L$14:$L$34,卡牌属性!R117),INDEX(新属性投放!$L$42:$L$62,卡牌属性!R117))*INDEX($G$5:$G$42,L117)+IF(Q117=1,INDEX(新属性投放!T$20:T$23,卡牌属性!M117-1),INDEX(新属性投放!T$25:T$28,卡牌属性!M117-1)))*SQRT(INDEX($I$5:$I$42,L117)),2)</f>
        <v>15894.34</v>
      </c>
      <c r="Y117" s="29" t="s">
        <v>177</v>
      </c>
      <c r="Z117" s="14">
        <f>ROUND(IF(Q117=1,INDEX(新属性投放!$D$14:$D$34,卡牌属性!R117),INDEX(新属性投放!$D$42:$D$62,卡牌属性!R117))*INDEX($G$5:$G$42,L117)/SQRT(INDEX($I$5:$I$42,L117)),2)</f>
        <v>127.13</v>
      </c>
      <c r="AA117" s="29" t="s">
        <v>178</v>
      </c>
      <c r="AB117" s="14">
        <f>ROUND(IF(Q117=1,INDEX(新属性投放!$E$14:$E$34,卡牌属性!R117),INDEX(新属性投放!$E$42:$E$62,卡牌属性!R117))*INDEX($G$5:$G$42,L117),2)</f>
        <v>63.56</v>
      </c>
      <c r="AC117" s="29" t="s">
        <v>179</v>
      </c>
      <c r="AD117" s="14">
        <f>ROUND(IF(Q117=1,INDEX(新属性投放!$F$14:$F$34,卡牌属性!R117),INDEX(新属性投放!$F$42:$F$62,卡牌属性!R117))*INDEX($G$5:$G$42,L117)*SQRT(INDEX($I$5:$I$42,L117)),2)</f>
        <v>381.38</v>
      </c>
      <c r="AF117" s="14">
        <f t="shared" si="40"/>
        <v>1271</v>
      </c>
      <c r="AG117" s="14">
        <f t="shared" si="41"/>
        <v>635</v>
      </c>
      <c r="AH117" s="14">
        <f t="shared" si="42"/>
        <v>3813</v>
      </c>
      <c r="AJ117" s="14">
        <f t="shared" si="52"/>
        <v>5246</v>
      </c>
      <c r="AK117" s="14">
        <f t="shared" si="53"/>
        <v>2619</v>
      </c>
      <c r="AL117" s="14">
        <f t="shared" si="54"/>
        <v>15743</v>
      </c>
    </row>
    <row r="118" spans="11:38" ht="16.5" x14ac:dyDescent="0.2">
      <c r="K118" s="13">
        <v>115</v>
      </c>
      <c r="L118" s="13">
        <f t="shared" si="34"/>
        <v>6</v>
      </c>
      <c r="M118" s="13">
        <f t="shared" si="35"/>
        <v>4</v>
      </c>
      <c r="N118" s="14">
        <f t="shared" si="36"/>
        <v>1101006</v>
      </c>
      <c r="O118" s="14" t="str">
        <f t="shared" si="37"/>
        <v>红莲·缇娜10突</v>
      </c>
      <c r="P118" s="29" t="s">
        <v>470</v>
      </c>
      <c r="Q118" s="14">
        <f t="shared" si="38"/>
        <v>1</v>
      </c>
      <c r="R118" s="14">
        <f t="shared" si="39"/>
        <v>10</v>
      </c>
      <c r="S118" s="14" t="s">
        <v>39</v>
      </c>
      <c r="T118" s="14">
        <f>ROUND(((IF(Q118=1,INDEX(新属性投放!$J$14:$J$34,卡牌属性!R118),INDEX(新属性投放!$J$42:$J$62,卡牌属性!R118)))*INDEX($G$5:$G$42,L118)+IF(Q118=1,INDEX(新属性投放!R$20:R$23,卡牌属性!M118-1),INDEX(新属性投放!R$25:R$28,卡牌属性!M118-1)))/SQRT(INDEX($I$5:$I$42,L118)),2)</f>
        <v>5939.02</v>
      </c>
      <c r="U118" s="29" t="s">
        <v>178</v>
      </c>
      <c r="V118" s="14">
        <f>ROUND((IF(Q118=1,INDEX(新属性投放!$K$14:$K$34,卡牌属性!R118),INDEX(新属性投放!$K$42:$K$62,卡牌属性!R118))+IF(Q118=1,INDEX(新属性投放!S$20:S$23,卡牌属性!M118-1),INDEX(新属性投放!S$25:S$28,卡牌属性!M118-1)))*INDEX($G$5:$G$42,L118),2)</f>
        <v>2870.11</v>
      </c>
      <c r="W118" s="29" t="s">
        <v>179</v>
      </c>
      <c r="X118" s="14">
        <f>ROUND((IF(Q118=1,INDEX(新属性投放!$L$14:$L$34,卡牌属性!R118),INDEX(新属性投放!$L$42:$L$62,卡牌属性!R118))*INDEX($G$5:$G$42,L118)+IF(Q118=1,INDEX(新属性投放!T$20:T$23,卡牌属性!M118-1),INDEX(新属性投放!T$25:T$28,卡牌属性!M118-1)))*SQRT(INDEX($I$5:$I$42,L118)),2)</f>
        <v>18277.05</v>
      </c>
      <c r="Y118" s="29" t="s">
        <v>177</v>
      </c>
      <c r="Z118" s="14">
        <f>ROUND(IF(Q118=1,INDEX(新属性投放!$D$14:$D$34,卡牌属性!R118),INDEX(新属性投放!$D$42:$D$62,卡牌属性!R118))*INDEX($G$5:$G$42,L118)/SQRT(INDEX($I$5:$I$42,L118)),2)</f>
        <v>146.68</v>
      </c>
      <c r="AA118" s="29" t="s">
        <v>178</v>
      </c>
      <c r="AB118" s="14">
        <f>ROUND(IF(Q118=1,INDEX(新属性投放!$E$14:$E$34,卡牌属性!R118),INDEX(新属性投放!$E$42:$E$62,卡牌属性!R118))*INDEX($G$5:$G$42,L118),2)</f>
        <v>73.34</v>
      </c>
      <c r="AC118" s="29" t="s">
        <v>179</v>
      </c>
      <c r="AD118" s="14">
        <f>ROUND(IF(Q118=1,INDEX(新属性投放!$F$14:$F$34,卡牌属性!R118),INDEX(新属性投放!$F$42:$F$62,卡牌属性!R118))*INDEX($G$5:$G$42,L118)*SQRT(INDEX($I$5:$I$42,L118)),2)</f>
        <v>440.04</v>
      </c>
      <c r="AF118" s="14">
        <f t="shared" si="40"/>
        <v>1466</v>
      </c>
      <c r="AG118" s="14">
        <f t="shared" si="41"/>
        <v>733</v>
      </c>
      <c r="AH118" s="14">
        <f t="shared" si="42"/>
        <v>4400</v>
      </c>
      <c r="AJ118" s="14">
        <f t="shared" si="52"/>
        <v>6712</v>
      </c>
      <c r="AK118" s="14">
        <f t="shared" si="53"/>
        <v>3352</v>
      </c>
      <c r="AL118" s="14">
        <f t="shared" si="54"/>
        <v>20143</v>
      </c>
    </row>
    <row r="119" spans="11:38" ht="16.5" x14ac:dyDescent="0.2">
      <c r="K119" s="13">
        <v>116</v>
      </c>
      <c r="L119" s="13">
        <f t="shared" si="34"/>
        <v>6</v>
      </c>
      <c r="M119" s="13">
        <f t="shared" si="35"/>
        <v>4</v>
      </c>
      <c r="N119" s="14">
        <f t="shared" si="36"/>
        <v>1101006</v>
      </c>
      <c r="O119" s="14" t="str">
        <f t="shared" si="37"/>
        <v>红莲·缇娜11突</v>
      </c>
      <c r="P119" s="29" t="s">
        <v>470</v>
      </c>
      <c r="Q119" s="14">
        <f t="shared" si="38"/>
        <v>1</v>
      </c>
      <c r="R119" s="14">
        <f t="shared" si="39"/>
        <v>11</v>
      </c>
      <c r="S119" s="14" t="s">
        <v>39</v>
      </c>
      <c r="T119" s="14">
        <f>ROUND(((IF(Q119=1,INDEX(新属性投放!$J$14:$J$34,卡牌属性!R119),INDEX(新属性投放!$J$42:$J$62,卡牌属性!R119)))*INDEX($G$5:$G$42,L119)+IF(Q119=1,INDEX(新属性投放!R$20:R$23,卡牌属性!M119-1),INDEX(新属性投放!R$25:R$28,卡牌属性!M119-1)))/SQRT(INDEX($I$5:$I$42,L119)),2)</f>
        <v>6855.71</v>
      </c>
      <c r="U119" s="29" t="s">
        <v>178</v>
      </c>
      <c r="V119" s="14">
        <f>ROUND((IF(Q119=1,INDEX(新属性投放!$K$14:$K$34,卡牌属性!R119),INDEX(新属性投放!$K$42:$K$62,卡牌属性!R119))+IF(Q119=1,INDEX(新属性投放!S$20:S$23,卡牌属性!M119-1),INDEX(新属性投放!S$25:S$28,卡牌属性!M119-1)))*INDEX($G$5:$G$42,L119),2)</f>
        <v>3329.11</v>
      </c>
      <c r="W119" s="29" t="s">
        <v>179</v>
      </c>
      <c r="X119" s="14">
        <f>ROUND((IF(Q119=1,INDEX(新属性投放!$L$14:$L$34,卡牌属性!R119),INDEX(新属性投放!$L$42:$L$62,卡牌属性!R119))*INDEX($G$5:$G$42,L119)+IF(Q119=1,INDEX(新属性投放!T$20:T$23,卡牌属性!M119-1),INDEX(新属性投放!T$25:T$28,卡牌属性!M119-1)))*SQRT(INDEX($I$5:$I$42,L119)),2)</f>
        <v>21027.13</v>
      </c>
      <c r="Y119" s="29" t="s">
        <v>177</v>
      </c>
      <c r="Z119" s="14">
        <f>ROUND(IF(Q119=1,INDEX(新属性投放!$D$14:$D$34,卡牌属性!R119),INDEX(新属性投放!$D$42:$D$62,卡牌属性!R119))*INDEX($G$5:$G$42,L119)/SQRT(INDEX($I$5:$I$42,L119)),2)</f>
        <v>171.05</v>
      </c>
      <c r="AA119" s="29" t="s">
        <v>178</v>
      </c>
      <c r="AB119" s="14">
        <f>ROUND(IF(Q119=1,INDEX(新属性投放!$E$14:$E$34,卡牌属性!R119),INDEX(新属性投放!$E$42:$E$62,卡牌属性!R119))*INDEX($G$5:$G$42,L119),2)</f>
        <v>85.53</v>
      </c>
      <c r="AC119" s="29" t="s">
        <v>179</v>
      </c>
      <c r="AD119" s="14">
        <f>ROUND(IF(Q119=1,INDEX(新属性投放!$F$14:$F$34,卡牌属性!R119),INDEX(新属性投放!$F$42:$F$62,卡牌属性!R119))*INDEX($G$5:$G$42,L119)*SQRT(INDEX($I$5:$I$42,L119)),2)</f>
        <v>513.16</v>
      </c>
      <c r="AF119" s="14">
        <f t="shared" si="40"/>
        <v>1710</v>
      </c>
      <c r="AG119" s="14">
        <f t="shared" si="41"/>
        <v>855</v>
      </c>
      <c r="AH119" s="14">
        <f t="shared" si="42"/>
        <v>5131</v>
      </c>
      <c r="AJ119" s="14">
        <f t="shared" si="52"/>
        <v>8422</v>
      </c>
      <c r="AK119" s="14">
        <f t="shared" si="53"/>
        <v>4207</v>
      </c>
      <c r="AL119" s="14">
        <f t="shared" si="54"/>
        <v>25274</v>
      </c>
    </row>
    <row r="120" spans="11:38" ht="16.5" x14ac:dyDescent="0.2">
      <c r="K120" s="13">
        <v>117</v>
      </c>
      <c r="L120" s="13">
        <f t="shared" si="34"/>
        <v>6</v>
      </c>
      <c r="M120" s="13">
        <f t="shared" si="35"/>
        <v>4</v>
      </c>
      <c r="N120" s="14">
        <f t="shared" si="36"/>
        <v>1101006</v>
      </c>
      <c r="O120" s="14" t="str">
        <f t="shared" si="37"/>
        <v>红莲·缇娜12突</v>
      </c>
      <c r="P120" s="29" t="s">
        <v>470</v>
      </c>
      <c r="Q120" s="14">
        <f t="shared" si="38"/>
        <v>1</v>
      </c>
      <c r="R120" s="14">
        <f t="shared" si="39"/>
        <v>12</v>
      </c>
      <c r="S120" s="14" t="s">
        <v>39</v>
      </c>
      <c r="T120" s="14">
        <f>ROUND(((IF(Q120=1,INDEX(新属性投放!$J$14:$J$34,卡牌属性!R120),INDEX(新属性投放!$J$42:$J$62,卡牌属性!R120)))*INDEX($G$5:$G$42,L120)+IF(Q120=1,INDEX(新属性投放!R$20:R$23,卡牌属性!M120-1),INDEX(新属性投放!R$25:R$28,卡牌属性!M120-1)))/SQRT(INDEX($I$5:$I$42,L120)),2)</f>
        <v>7924.18</v>
      </c>
      <c r="U120" s="29" t="s">
        <v>178</v>
      </c>
      <c r="V120" s="14">
        <f>ROUND((IF(Q120=1,INDEX(新属性投放!$K$14:$K$34,卡牌属性!R120),INDEX(新属性投放!$K$42:$K$62,卡牌属性!R120))+IF(Q120=1,INDEX(新属性投放!S$20:S$23,卡牌属性!M120-1),INDEX(新属性投放!S$25:S$28,卡牌属性!M120-1)))*INDEX($G$5:$G$42,L120),2)</f>
        <v>3863.34</v>
      </c>
      <c r="W120" s="29" t="s">
        <v>179</v>
      </c>
      <c r="X120" s="14">
        <f>ROUND((IF(Q120=1,INDEX(新属性投放!$L$14:$L$34,卡牌属性!R120),INDEX(新属性投放!$L$42:$L$62,卡牌属性!R120))*INDEX($G$5:$G$42,L120)+IF(Q120=1,INDEX(新属性投放!T$20:T$23,卡牌属性!M120-1),INDEX(新属性投放!T$25:T$28,卡牌属性!M120-1)))*SQRT(INDEX($I$5:$I$42,L120)),2)</f>
        <v>24232.54</v>
      </c>
      <c r="Y120" s="29" t="s">
        <v>177</v>
      </c>
      <c r="Z120" s="14">
        <f>ROUND(IF(Q120=1,INDEX(新属性投放!$D$14:$D$34,卡牌属性!R120),INDEX(新属性投放!$D$42:$D$62,卡牌属性!R120))*INDEX($G$5:$G$42,L120)/SQRT(INDEX($I$5:$I$42,L120)),2)</f>
        <v>195.61</v>
      </c>
      <c r="AA120" s="29" t="s">
        <v>178</v>
      </c>
      <c r="AB120" s="14">
        <f>ROUND(IF(Q120=1,INDEX(新属性投放!$E$14:$E$34,卡牌属性!R120),INDEX(新属性投放!$E$42:$E$62,卡牌属性!R120))*INDEX($G$5:$G$42,L120),2)</f>
        <v>97.81</v>
      </c>
      <c r="AC120" s="29" t="s">
        <v>179</v>
      </c>
      <c r="AD120" s="14">
        <f>ROUND(IF(Q120=1,INDEX(新属性投放!$F$14:$F$34,卡牌属性!R120),INDEX(新属性投放!$F$42:$F$62,卡牌属性!R120))*INDEX($G$5:$G$42,L120)*SQRT(INDEX($I$5:$I$42,L120)),2)</f>
        <v>586.83000000000004</v>
      </c>
      <c r="AF120" s="14">
        <f t="shared" si="40"/>
        <v>1956</v>
      </c>
      <c r="AG120" s="14">
        <f t="shared" si="41"/>
        <v>978</v>
      </c>
      <c r="AH120" s="14">
        <f t="shared" si="42"/>
        <v>5868</v>
      </c>
      <c r="AJ120" s="14">
        <f t="shared" si="52"/>
        <v>10378</v>
      </c>
      <c r="AK120" s="14">
        <f t="shared" si="53"/>
        <v>5185</v>
      </c>
      <c r="AL120" s="14">
        <f t="shared" si="54"/>
        <v>31142</v>
      </c>
    </row>
    <row r="121" spans="11:38" ht="16.5" x14ac:dyDescent="0.2">
      <c r="K121" s="13">
        <v>118</v>
      </c>
      <c r="L121" s="13">
        <f t="shared" si="34"/>
        <v>6</v>
      </c>
      <c r="M121" s="13">
        <f t="shared" si="35"/>
        <v>4</v>
      </c>
      <c r="N121" s="14">
        <f t="shared" si="36"/>
        <v>1101006</v>
      </c>
      <c r="O121" s="14" t="str">
        <f t="shared" si="37"/>
        <v>红莲·缇娜13突</v>
      </c>
      <c r="P121" s="29" t="s">
        <v>470</v>
      </c>
      <c r="Q121" s="14">
        <f t="shared" si="38"/>
        <v>1</v>
      </c>
      <c r="R121" s="14">
        <f t="shared" si="39"/>
        <v>13</v>
      </c>
      <c r="S121" s="14" t="s">
        <v>39</v>
      </c>
      <c r="T121" s="14">
        <f>ROUND(((IF(Q121=1,INDEX(新属性投放!$J$14:$J$34,卡牌属性!R121),INDEX(新属性投放!$J$42:$J$62,卡牌属性!R121)))*INDEX($G$5:$G$42,L121)+IF(Q121=1,INDEX(新属性投放!R$20:R$23,卡牌属性!M121-1),INDEX(新属性投放!R$25:R$28,卡牌属性!M121-1)))/SQRT(INDEX($I$5:$I$42,L121)),2)</f>
        <v>9146.64</v>
      </c>
      <c r="U121" s="29" t="s">
        <v>178</v>
      </c>
      <c r="V121" s="14">
        <f>ROUND((IF(Q121=1,INDEX(新属性投放!$K$14:$K$34,卡牌属性!R121),INDEX(新属性投放!$K$42:$K$62,卡牌属性!R121))+IF(Q121=1,INDEX(新属性投放!S$20:S$23,卡牌属性!M121-1),INDEX(新属性投放!S$25:S$28,卡牌属性!M121-1)))*INDEX($G$5:$G$42,L121),2)</f>
        <v>4474.57</v>
      </c>
      <c r="W121" s="29" t="s">
        <v>179</v>
      </c>
      <c r="X121" s="14">
        <f>ROUND((IF(Q121=1,INDEX(新属性投放!$L$14:$L$34,卡牌属性!R121),INDEX(新属性投放!$L$42:$L$62,卡牌属性!R121))*INDEX($G$5:$G$42,L121)+IF(Q121=1,INDEX(新属性投放!T$20:T$23,卡牌属性!M121-1),INDEX(新属性投放!T$25:T$28,卡牌属性!M121-1)))*SQRT(INDEX($I$5:$I$42,L121)),2)</f>
        <v>27899.91</v>
      </c>
      <c r="Y121" s="29" t="s">
        <v>177</v>
      </c>
      <c r="Z121" s="14">
        <f>ROUND(IF(Q121=1,INDEX(新属性投放!$D$14:$D$34,卡牌属性!R121),INDEX(新属性投放!$D$42:$D$62,卡牌属性!R121))*INDEX($G$5:$G$42,L121)/SQRT(INDEX($I$5:$I$42,L121)),2)</f>
        <v>226.16</v>
      </c>
      <c r="AA121" s="29" t="s">
        <v>178</v>
      </c>
      <c r="AB121" s="14">
        <f>ROUND(IF(Q121=1,INDEX(新属性投放!$E$14:$E$34,卡牌属性!R121),INDEX(新属性投放!$E$42:$E$62,卡牌属性!R121))*INDEX($G$5:$G$42,L121),2)</f>
        <v>113.08</v>
      </c>
      <c r="AC121" s="29" t="s">
        <v>179</v>
      </c>
      <c r="AD121" s="14">
        <f>ROUND(IF(Q121=1,INDEX(新属性投放!$F$14:$F$34,卡牌属性!R121),INDEX(新属性投放!$F$42:$F$62,卡牌属性!R121))*INDEX($G$5:$G$42,L121)*SQRT(INDEX($I$5:$I$42,L121)),2)</f>
        <v>678.48</v>
      </c>
      <c r="AF121" s="14">
        <f t="shared" si="40"/>
        <v>2261</v>
      </c>
      <c r="AG121" s="14">
        <f t="shared" si="41"/>
        <v>1130</v>
      </c>
      <c r="AH121" s="14">
        <f t="shared" si="42"/>
        <v>6784</v>
      </c>
      <c r="AJ121" s="14">
        <f t="shared" si="52"/>
        <v>12639</v>
      </c>
      <c r="AK121" s="14">
        <f t="shared" si="53"/>
        <v>6315</v>
      </c>
      <c r="AL121" s="14">
        <f t="shared" si="54"/>
        <v>37926</v>
      </c>
    </row>
    <row r="122" spans="11:38" ht="16.5" x14ac:dyDescent="0.2">
      <c r="K122" s="13">
        <v>119</v>
      </c>
      <c r="L122" s="13">
        <f t="shared" si="34"/>
        <v>6</v>
      </c>
      <c r="M122" s="13">
        <f t="shared" si="35"/>
        <v>4</v>
      </c>
      <c r="N122" s="14">
        <f t="shared" si="36"/>
        <v>1101006</v>
      </c>
      <c r="O122" s="14" t="str">
        <f t="shared" si="37"/>
        <v>红莲·缇娜14突</v>
      </c>
      <c r="P122" s="29" t="s">
        <v>470</v>
      </c>
      <c r="Q122" s="14">
        <f t="shared" si="38"/>
        <v>1</v>
      </c>
      <c r="R122" s="14">
        <f t="shared" si="39"/>
        <v>14</v>
      </c>
      <c r="S122" s="14" t="s">
        <v>39</v>
      </c>
      <c r="T122" s="14">
        <f>ROUND(((IF(Q122=1,INDEX(新属性投放!$J$14:$J$34,卡牌属性!R122),INDEX(新属性投放!$J$42:$J$62,卡牌属性!R122)))*INDEX($G$5:$G$42,L122)+IF(Q122=1,INDEX(新属性投放!R$20:R$23,卡牌属性!M122-1),INDEX(新属性投放!R$25:R$28,卡牌属性!M122-1)))/SQRT(INDEX($I$5:$I$42,L122)),2)</f>
        <v>10559.54</v>
      </c>
      <c r="U122" s="29" t="s">
        <v>178</v>
      </c>
      <c r="V122" s="14">
        <f>ROUND((IF(Q122=1,INDEX(新属性投放!$K$14:$K$34,卡牌属性!R122),INDEX(新属性投放!$K$42:$K$62,卡牌属性!R122))+IF(Q122=1,INDEX(新属性投放!S$20:S$23,卡牌属性!M122-1),INDEX(新属性投放!S$25:S$28,卡牌属性!M122-1)))*INDEX($G$5:$G$42,L122),2)</f>
        <v>5181.67</v>
      </c>
      <c r="W122" s="29" t="s">
        <v>179</v>
      </c>
      <c r="X122" s="14">
        <f>ROUND((IF(Q122=1,INDEX(新属性投放!$L$14:$L$34,卡牌属性!R122),INDEX(新属性投放!$L$42:$L$62,卡牌属性!R122))*INDEX($G$5:$G$42,L122)+IF(Q122=1,INDEX(新属性投放!T$20:T$23,卡牌属性!M122-1),INDEX(新属性投放!T$25:T$28,卡牌属性!M122-1)))*SQRT(INDEX($I$5:$I$42,L122)),2)</f>
        <v>32138.62</v>
      </c>
      <c r="Y122" s="29" t="s">
        <v>177</v>
      </c>
      <c r="Z122" s="14">
        <f>ROUND(IF(Q122=1,INDEX(新属性投放!$D$14:$D$34,卡牌属性!R122),INDEX(新属性投放!$D$42:$D$62,卡牌属性!R122))*INDEX($G$5:$G$42,L122)/SQRT(INDEX($I$5:$I$42,L122)),2)</f>
        <v>261.5</v>
      </c>
      <c r="AA122" s="29" t="s">
        <v>178</v>
      </c>
      <c r="AB122" s="14">
        <f>ROUND(IF(Q122=1,INDEX(新属性投放!$E$14:$E$34,卡牌属性!R122),INDEX(新属性投放!$E$42:$E$62,卡牌属性!R122))*INDEX($G$5:$G$42,L122),2)</f>
        <v>130.75</v>
      </c>
      <c r="AC122" s="29" t="s">
        <v>179</v>
      </c>
      <c r="AD122" s="14">
        <f>ROUND(IF(Q122=1,INDEX(新属性投放!$F$14:$F$34,卡牌属性!R122),INDEX(新属性投放!$F$42:$F$62,卡牌属性!R122))*INDEX($G$5:$G$42,L122)*SQRT(INDEX($I$5:$I$42,L122)),2)</f>
        <v>784.49</v>
      </c>
      <c r="AF122" s="14">
        <f t="shared" si="40"/>
        <v>2615</v>
      </c>
      <c r="AG122" s="14">
        <f t="shared" si="41"/>
        <v>1307</v>
      </c>
      <c r="AH122" s="14">
        <f t="shared" si="42"/>
        <v>7844</v>
      </c>
      <c r="AJ122" s="14">
        <f t="shared" si="52"/>
        <v>15254</v>
      </c>
      <c r="AK122" s="14">
        <f t="shared" si="53"/>
        <v>7622</v>
      </c>
      <c r="AL122" s="14">
        <f t="shared" si="54"/>
        <v>45770</v>
      </c>
    </row>
    <row r="123" spans="11:38" ht="16.5" x14ac:dyDescent="0.2">
      <c r="K123" s="13">
        <v>120</v>
      </c>
      <c r="L123" s="13">
        <f t="shared" si="34"/>
        <v>6</v>
      </c>
      <c r="M123" s="13">
        <f t="shared" si="35"/>
        <v>4</v>
      </c>
      <c r="N123" s="14">
        <f t="shared" si="36"/>
        <v>1101006</v>
      </c>
      <c r="O123" s="14" t="str">
        <f t="shared" si="37"/>
        <v>红莲·缇娜15突</v>
      </c>
      <c r="P123" s="29" t="s">
        <v>470</v>
      </c>
      <c r="Q123" s="14">
        <f t="shared" si="38"/>
        <v>1</v>
      </c>
      <c r="R123" s="14">
        <f t="shared" si="39"/>
        <v>15</v>
      </c>
      <c r="S123" s="14" t="s">
        <v>39</v>
      </c>
      <c r="T123" s="14">
        <f>ROUND(((IF(Q123=1,INDEX(新属性投放!$J$14:$J$34,卡牌属性!R123),INDEX(新属性投放!$J$42:$J$62,卡牌属性!R123)))*INDEX($G$5:$G$42,L123)+IF(Q123=1,INDEX(新属性投放!R$20:R$23,卡牌属性!M123-1),INDEX(新属性投放!R$25:R$28,卡牌属性!M123-1)))/SQRT(INDEX($I$5:$I$42,L123)),2)</f>
        <v>12193.32</v>
      </c>
      <c r="U123" s="29" t="s">
        <v>178</v>
      </c>
      <c r="V123" s="14">
        <f>ROUND((IF(Q123=1,INDEX(新属性投放!$K$14:$K$34,卡牌属性!R123),INDEX(新属性投放!$K$42:$K$62,卡牌属性!R123))+IF(Q123=1,INDEX(新属性投放!S$20:S$23,卡牌属性!M123-1),INDEX(新属性投放!S$25:S$28,卡牌属性!M123-1)))*INDEX($G$5:$G$42,L123),2)</f>
        <v>5999.21</v>
      </c>
      <c r="W123" s="29" t="s">
        <v>179</v>
      </c>
      <c r="X123" s="14">
        <f>ROUND((IF(Q123=1,INDEX(新属性投放!$L$14:$L$34,卡牌属性!R123),INDEX(新属性投放!$L$42:$L$62,卡牌属性!R123))*INDEX($G$5:$G$42,L123)+IF(Q123=1,INDEX(新属性投放!T$20:T$23,卡牌属性!M123-1),INDEX(新属性投放!T$25:T$28,卡牌属性!M123-1)))*SQRT(INDEX($I$5:$I$42,L123)),2)</f>
        <v>37039.949999999997</v>
      </c>
      <c r="Y123" s="29" t="s">
        <v>177</v>
      </c>
      <c r="Z123" s="14">
        <f>ROUND(IF(Q123=1,INDEX(新属性投放!$D$14:$D$34,卡牌属性!R123),INDEX(新属性投放!$D$42:$D$62,卡牌属性!R123))*INDEX($G$5:$G$42,L123)/SQRT(INDEX($I$5:$I$42,L123)),2)</f>
        <v>302.33</v>
      </c>
      <c r="AA123" s="29" t="s">
        <v>178</v>
      </c>
      <c r="AB123" s="14">
        <f>ROUND(IF(Q123=1,INDEX(新属性投放!$E$14:$E$34,卡牌属性!R123),INDEX(新属性投放!$E$42:$E$62,卡牌属性!R123))*INDEX($G$5:$G$42,L123),2)</f>
        <v>151.16</v>
      </c>
      <c r="AC123" s="29" t="s">
        <v>179</v>
      </c>
      <c r="AD123" s="14">
        <f>ROUND(IF(Q123=1,INDEX(新属性投放!$F$14:$F$34,卡牌属性!R123),INDEX(新属性投放!$F$42:$F$62,卡牌属性!R123))*INDEX($G$5:$G$42,L123)*SQRT(INDEX($I$5:$I$42,L123)),2)</f>
        <v>906.98</v>
      </c>
      <c r="AF123" s="14">
        <f t="shared" si="40"/>
        <v>3023</v>
      </c>
      <c r="AG123" s="14">
        <f t="shared" si="41"/>
        <v>1511</v>
      </c>
      <c r="AH123" s="14">
        <f t="shared" si="42"/>
        <v>9069</v>
      </c>
      <c r="AJ123" s="14">
        <f t="shared" si="52"/>
        <v>18277</v>
      </c>
      <c r="AK123" s="14">
        <f t="shared" si="53"/>
        <v>9133</v>
      </c>
      <c r="AL123" s="14">
        <f t="shared" si="54"/>
        <v>54839</v>
      </c>
    </row>
    <row r="124" spans="11:38" ht="16.5" x14ac:dyDescent="0.2">
      <c r="K124" s="13">
        <v>121</v>
      </c>
      <c r="L124" s="13">
        <f t="shared" si="34"/>
        <v>6</v>
      </c>
      <c r="M124" s="13">
        <f t="shared" si="35"/>
        <v>4</v>
      </c>
      <c r="N124" s="14">
        <f t="shared" si="36"/>
        <v>1101006</v>
      </c>
      <c r="O124" s="14" t="str">
        <f t="shared" si="37"/>
        <v>红莲·缇娜16突</v>
      </c>
      <c r="P124" s="29" t="s">
        <v>470</v>
      </c>
      <c r="Q124" s="14">
        <f t="shared" si="38"/>
        <v>1</v>
      </c>
      <c r="R124" s="14">
        <f t="shared" si="39"/>
        <v>16</v>
      </c>
      <c r="S124" s="14" t="s">
        <v>39</v>
      </c>
      <c r="T124" s="14">
        <f>ROUND(((IF(Q124=1,INDEX(新属性投放!$J$14:$J$34,卡牌属性!R124),INDEX(新属性投放!$J$42:$J$62,卡牌属性!R124)))*INDEX($G$5:$G$42,L124)+IF(Q124=1,INDEX(新属性投放!R$20:R$23,卡牌属性!M124-1),INDEX(新属性投放!R$25:R$28,卡牌属性!M124-1)))/SQRT(INDEX($I$5:$I$42,L124)),2)</f>
        <v>14083.26</v>
      </c>
      <c r="U124" s="29" t="s">
        <v>178</v>
      </c>
      <c r="V124" s="14">
        <f>ROUND((IF(Q124=1,INDEX(新属性投放!$K$14:$K$34,卡牌属性!R124),INDEX(新属性投放!$K$42:$K$62,卡牌属性!R124))+IF(Q124=1,INDEX(新属性投放!S$20:S$23,卡牌属性!M124-1),INDEX(新属性投放!S$25:S$28,卡牌属性!M124-1)))*INDEX($G$5:$G$42,L124),2)</f>
        <v>6943.53</v>
      </c>
      <c r="W124" s="29" t="s">
        <v>179</v>
      </c>
      <c r="X124" s="14">
        <f>ROUND((IF(Q124=1,INDEX(新属性投放!$L$14:$L$34,卡牌属性!R124),INDEX(新属性投放!$L$42:$L$62,卡牌属性!R124))*INDEX($G$5:$G$42,L124)+IF(Q124=1,INDEX(新属性投放!T$20:T$23,卡牌属性!M124-1),INDEX(新属性投放!T$25:T$28,卡牌属性!M124-1)))*SQRT(INDEX($I$5:$I$42,L124)),2)</f>
        <v>42709.77</v>
      </c>
      <c r="Y124" s="29" t="s">
        <v>177</v>
      </c>
      <c r="Z124" s="14">
        <f>ROUND(IF(Q124=1,INDEX(新属性投放!$D$14:$D$34,卡牌属性!R124),INDEX(新属性投放!$D$42:$D$62,卡牌属性!R124))*INDEX($G$5:$G$42,L124)/SQRT(INDEX($I$5:$I$42,L124)),2)</f>
        <v>349.58</v>
      </c>
      <c r="AA124" s="29" t="s">
        <v>178</v>
      </c>
      <c r="AB124" s="14">
        <f>ROUND(IF(Q124=1,INDEX(新属性投放!$E$14:$E$34,卡牌属性!R124),INDEX(新属性投放!$E$42:$E$62,卡牌属性!R124))*INDEX($G$5:$G$42,L124),2)</f>
        <v>174.79</v>
      </c>
      <c r="AC124" s="29" t="s">
        <v>179</v>
      </c>
      <c r="AD124" s="14">
        <f>ROUND(IF(Q124=1,INDEX(新属性投放!$F$14:$F$34,卡牌属性!R124),INDEX(新属性投放!$F$42:$F$62,卡牌属性!R124))*INDEX($G$5:$G$42,L124)*SQRT(INDEX($I$5:$I$42,L124)),2)</f>
        <v>1048.75</v>
      </c>
      <c r="AF124" s="14">
        <f t="shared" si="40"/>
        <v>3495</v>
      </c>
      <c r="AG124" s="14">
        <f t="shared" si="41"/>
        <v>1747</v>
      </c>
      <c r="AH124" s="14">
        <f t="shared" si="42"/>
        <v>10487</v>
      </c>
      <c r="AJ124" s="14">
        <f t="shared" si="52"/>
        <v>21772</v>
      </c>
      <c r="AK124" s="14">
        <f t="shared" si="53"/>
        <v>10880</v>
      </c>
      <c r="AL124" s="14">
        <f t="shared" si="54"/>
        <v>65326</v>
      </c>
    </row>
    <row r="125" spans="11:38" ht="16.5" x14ac:dyDescent="0.2">
      <c r="K125" s="13">
        <v>122</v>
      </c>
      <c r="L125" s="13">
        <f t="shared" si="34"/>
        <v>6</v>
      </c>
      <c r="M125" s="13">
        <f t="shared" si="35"/>
        <v>4</v>
      </c>
      <c r="N125" s="14">
        <f t="shared" si="36"/>
        <v>1101006</v>
      </c>
      <c r="O125" s="14" t="str">
        <f t="shared" si="37"/>
        <v>红莲·缇娜17突</v>
      </c>
      <c r="P125" s="29" t="s">
        <v>470</v>
      </c>
      <c r="Q125" s="14">
        <f t="shared" si="38"/>
        <v>1</v>
      </c>
      <c r="R125" s="14">
        <f t="shared" si="39"/>
        <v>17</v>
      </c>
      <c r="S125" s="14" t="s">
        <v>39</v>
      </c>
      <c r="T125" s="14">
        <f>ROUND(((IF(Q125=1,INDEX(新属性投放!$J$14:$J$34,卡牌属性!R125),INDEX(新属性投放!$J$42:$J$62,卡牌属性!R125)))*INDEX($G$5:$G$42,L125)+IF(Q125=1,INDEX(新属性投放!R$20:R$23,卡牌属性!M125-1),INDEX(新属性投放!R$25:R$28,卡牌属性!M125-1)))/SQRT(INDEX($I$5:$I$42,L125)),2)</f>
        <v>16267.97</v>
      </c>
      <c r="U125" s="29" t="s">
        <v>178</v>
      </c>
      <c r="V125" s="14">
        <f>ROUND((IF(Q125=1,INDEX(新属性投放!$K$14:$K$34,卡牌属性!R125),INDEX(新属性投放!$K$42:$K$62,卡牌属性!R125))+IF(Q125=1,INDEX(新属性投放!S$20:S$23,卡牌属性!M125-1),INDEX(新属性投放!S$25:S$28,卡牌属性!M125-1)))*INDEX($G$5:$G$42,L125),2)</f>
        <v>8035.89</v>
      </c>
      <c r="W125" s="29" t="s">
        <v>179</v>
      </c>
      <c r="X125" s="14">
        <f>ROUND((IF(Q125=1,INDEX(新属性投放!$L$14:$L$34,卡牌属性!R125),INDEX(新属性投放!$L$42:$L$62,卡牌属性!R125))*INDEX($G$5:$G$42,L125)+IF(Q125=1,INDEX(新属性投放!T$20:T$23,卡牌属性!M125-1),INDEX(新属性投放!T$25:T$28,卡牌属性!M125-1)))*SQRT(INDEX($I$5:$I$42,L125)),2)</f>
        <v>49263.91</v>
      </c>
      <c r="Y125" s="29" t="s">
        <v>177</v>
      </c>
      <c r="Z125" s="14">
        <f>ROUND(IF(Q125=1,INDEX(新属性投放!$D$14:$D$34,卡牌属性!R125),INDEX(新属性投放!$D$42:$D$62,卡牌属性!R125))*INDEX($G$5:$G$42,L125)/SQRT(INDEX($I$5:$I$42,L125)),2)</f>
        <v>404.2</v>
      </c>
      <c r="AA125" s="29" t="s">
        <v>178</v>
      </c>
      <c r="AB125" s="14">
        <f>ROUND(IF(Q125=1,INDEX(新属性投放!$E$14:$E$34,卡牌属性!R125),INDEX(新属性投放!$E$42:$E$62,卡牌属性!R125))*INDEX($G$5:$G$42,L125),2)</f>
        <v>202.1</v>
      </c>
      <c r="AC125" s="29" t="s">
        <v>179</v>
      </c>
      <c r="AD125" s="14">
        <f>ROUND(IF(Q125=1,INDEX(新属性投放!$F$14:$F$34,卡牌属性!R125),INDEX(新属性投放!$F$42:$F$62,卡牌属性!R125))*INDEX($G$5:$G$42,L125)*SQRT(INDEX($I$5:$I$42,L125)),2)</f>
        <v>1212.5899999999999</v>
      </c>
      <c r="AF125" s="14">
        <f t="shared" si="40"/>
        <v>4042</v>
      </c>
      <c r="AG125" s="14">
        <f t="shared" si="41"/>
        <v>2021</v>
      </c>
      <c r="AH125" s="14">
        <f t="shared" si="42"/>
        <v>12125</v>
      </c>
      <c r="AJ125" s="14">
        <f t="shared" si="52"/>
        <v>25814</v>
      </c>
      <c r="AK125" s="14">
        <f t="shared" si="53"/>
        <v>12901</v>
      </c>
      <c r="AL125" s="14">
        <f t="shared" si="54"/>
        <v>77451</v>
      </c>
    </row>
    <row r="126" spans="11:38" ht="16.5" x14ac:dyDescent="0.2">
      <c r="K126" s="13">
        <v>123</v>
      </c>
      <c r="L126" s="13">
        <f t="shared" si="34"/>
        <v>6</v>
      </c>
      <c r="M126" s="13">
        <f t="shared" si="35"/>
        <v>4</v>
      </c>
      <c r="N126" s="14">
        <f t="shared" si="36"/>
        <v>1101006</v>
      </c>
      <c r="O126" s="14" t="str">
        <f t="shared" si="37"/>
        <v>红莲·缇娜18突</v>
      </c>
      <c r="P126" s="29" t="s">
        <v>470</v>
      </c>
      <c r="Q126" s="14">
        <f t="shared" si="38"/>
        <v>1</v>
      </c>
      <c r="R126" s="14">
        <f t="shared" si="39"/>
        <v>18</v>
      </c>
      <c r="S126" s="14" t="s">
        <v>39</v>
      </c>
      <c r="T126" s="14">
        <f>ROUND(((IF(Q126=1,INDEX(新属性投放!$J$14:$J$34,卡牌属性!R126),INDEX(新属性投放!$J$42:$J$62,卡牌属性!R126)))*INDEX($G$5:$G$42,L126)+IF(Q126=1,INDEX(新属性投放!R$20:R$23,卡牌属性!M126-1),INDEX(新属性投放!R$25:R$28,卡牌属性!M126-1)))/SQRT(INDEX($I$5:$I$42,L126)),2)</f>
        <v>18794.650000000001</v>
      </c>
      <c r="U126" s="29" t="s">
        <v>178</v>
      </c>
      <c r="V126" s="14">
        <f>ROUND((IF(Q126=1,INDEX(新属性投放!$K$14:$K$34,卡牌属性!R126),INDEX(新属性投放!$K$42:$K$62,卡牌属性!R126))+IF(Q126=1,INDEX(新属性投放!S$20:S$23,卡牌属性!M126-1),INDEX(新属性投放!S$25:S$28,卡牌属性!M126-1)))*INDEX($G$5:$G$42,L126),2)</f>
        <v>9298.58</v>
      </c>
      <c r="W126" s="29" t="s">
        <v>179</v>
      </c>
      <c r="X126" s="14">
        <f>ROUND((IF(Q126=1,INDEX(新属性投放!$L$14:$L$34,卡牌属性!R126),INDEX(新属性投放!$L$42:$L$62,卡牌属性!R126))*INDEX($G$5:$G$42,L126)+IF(Q126=1,INDEX(新属性投放!T$20:T$23,卡牌属性!M126-1),INDEX(新属性投放!T$25:T$28,卡牌属性!M126-1)))*SQRT(INDEX($I$5:$I$42,L126)),2)</f>
        <v>56843.95</v>
      </c>
      <c r="Y126" s="29" t="s">
        <v>177</v>
      </c>
      <c r="Z126" s="14">
        <f>ROUND(IF(Q126=1,INDEX(新属性投放!$D$14:$D$34,卡牌属性!R126),INDEX(新属性投放!$D$42:$D$62,卡牌属性!R126))*INDEX($G$5:$G$42,L126)/SQRT(INDEX($I$5:$I$42,L126)),2)</f>
        <v>467.36</v>
      </c>
      <c r="AA126" s="29" t="s">
        <v>178</v>
      </c>
      <c r="AB126" s="14">
        <f>ROUND(IF(Q126=1,INDEX(新属性投放!$E$14:$E$34,卡牌属性!R126),INDEX(新属性投放!$E$42:$E$62,卡牌属性!R126))*INDEX($G$5:$G$42,L126),2)</f>
        <v>233.68</v>
      </c>
      <c r="AC126" s="29" t="s">
        <v>179</v>
      </c>
      <c r="AD126" s="14">
        <f>ROUND(IF(Q126=1,INDEX(新属性投放!$F$14:$F$34,卡牌属性!R126),INDEX(新属性投放!$F$42:$F$62,卡牌属性!R126))*INDEX($G$5:$G$42,L126)*SQRT(INDEX($I$5:$I$42,L126)),2)</f>
        <v>1402.09</v>
      </c>
      <c r="AF126" s="14">
        <f t="shared" si="40"/>
        <v>4673</v>
      </c>
      <c r="AG126" s="14">
        <f t="shared" si="41"/>
        <v>2336</v>
      </c>
      <c r="AH126" s="14">
        <f t="shared" si="42"/>
        <v>14020</v>
      </c>
      <c r="AJ126" s="14">
        <f t="shared" si="52"/>
        <v>30487</v>
      </c>
      <c r="AK126" s="14">
        <f t="shared" si="53"/>
        <v>15237</v>
      </c>
      <c r="AL126" s="14">
        <f t="shared" si="54"/>
        <v>91471</v>
      </c>
    </row>
    <row r="127" spans="11:38" ht="16.5" x14ac:dyDescent="0.2">
      <c r="K127" s="13">
        <v>124</v>
      </c>
      <c r="L127" s="13">
        <f t="shared" si="34"/>
        <v>6</v>
      </c>
      <c r="M127" s="13">
        <f t="shared" si="35"/>
        <v>4</v>
      </c>
      <c r="N127" s="14">
        <f t="shared" si="36"/>
        <v>1101006</v>
      </c>
      <c r="O127" s="14" t="str">
        <f t="shared" si="37"/>
        <v>红莲·缇娜19突</v>
      </c>
      <c r="P127" s="29" t="s">
        <v>470</v>
      </c>
      <c r="Q127" s="14">
        <f t="shared" si="38"/>
        <v>1</v>
      </c>
      <c r="R127" s="14">
        <f t="shared" si="39"/>
        <v>19</v>
      </c>
      <c r="S127" s="14" t="s">
        <v>39</v>
      </c>
      <c r="T127" s="14">
        <f>ROUND(((IF(Q127=1,INDEX(新属性投放!$J$14:$J$34,卡牌属性!R127),INDEX(新属性投放!$J$42:$J$62,卡牌属性!R127)))*INDEX($G$5:$G$42,L127)+IF(Q127=1,INDEX(新属性投放!R$20:R$23,卡牌属性!M127-1),INDEX(新属性投放!R$25:R$28,卡牌属性!M127-1)))/SQRT(INDEX($I$5:$I$42,L127)),2)</f>
        <v>21715.17</v>
      </c>
      <c r="U127" s="29" t="s">
        <v>178</v>
      </c>
      <c r="V127" s="14">
        <f>ROUND((IF(Q127=1,INDEX(新属性投放!$K$14:$K$34,卡牌属性!R127),INDEX(新属性投放!$K$42:$K$62,卡牌属性!R127))+IF(Q127=1,INDEX(新属性投放!S$20:S$23,卡牌属性!M127-1),INDEX(新属性投放!S$25:S$28,卡牌属性!M127-1)))*INDEX($G$5:$G$42,L127),2)</f>
        <v>10759.48</v>
      </c>
      <c r="W127" s="29" t="s">
        <v>179</v>
      </c>
      <c r="X127" s="14">
        <f>ROUND((IF(Q127=1,INDEX(新属性投放!$L$14:$L$34,卡牌属性!R127),INDEX(新属性投放!$L$42:$L$62,卡牌属性!R127))*INDEX($G$5:$G$42,L127)+IF(Q127=1,INDEX(新属性投放!T$20:T$23,卡牌属性!M127-1),INDEX(新属性投放!T$25:T$28,卡牌属性!M127-1)))*SQRT(INDEX($I$5:$I$42,L127)),2)</f>
        <v>65605.5</v>
      </c>
      <c r="Y127" s="29" t="s">
        <v>177</v>
      </c>
      <c r="Z127" s="14">
        <f>ROUND(IF(Q127=1,INDEX(新属性投放!$D$14:$D$34,卡牌属性!R127),INDEX(新属性投放!$D$42:$D$62,卡牌属性!R127))*INDEX($G$5:$G$42,L127)/SQRT(INDEX($I$5:$I$42,L127)),2)</f>
        <v>540.38</v>
      </c>
      <c r="AA127" s="29" t="s">
        <v>178</v>
      </c>
      <c r="AB127" s="14">
        <f>ROUND(IF(Q127=1,INDEX(新属性投放!$E$14:$E$34,卡牌属性!R127),INDEX(新属性投放!$E$42:$E$62,卡牌属性!R127))*INDEX($G$5:$G$42,L127),2)</f>
        <v>270.19</v>
      </c>
      <c r="AC127" s="29" t="s">
        <v>179</v>
      </c>
      <c r="AD127" s="14">
        <f>ROUND(IF(Q127=1,INDEX(新属性投放!$F$14:$F$34,卡牌属性!R127),INDEX(新属性投放!$F$42:$F$62,卡牌属性!R127))*INDEX($G$5:$G$42,L127)*SQRT(INDEX($I$5:$I$42,L127)),2)</f>
        <v>1621.15</v>
      </c>
      <c r="AF127" s="14">
        <f t="shared" si="40"/>
        <v>5403</v>
      </c>
      <c r="AG127" s="14">
        <f t="shared" si="41"/>
        <v>2701</v>
      </c>
      <c r="AH127" s="14">
        <f t="shared" si="42"/>
        <v>16211</v>
      </c>
      <c r="AJ127" s="14">
        <f t="shared" si="52"/>
        <v>35890</v>
      </c>
      <c r="AK127" s="14">
        <f t="shared" si="53"/>
        <v>17938</v>
      </c>
      <c r="AL127" s="14">
        <f t="shared" si="54"/>
        <v>107682</v>
      </c>
    </row>
    <row r="128" spans="11:38" ht="16.5" x14ac:dyDescent="0.2">
      <c r="K128" s="13">
        <v>125</v>
      </c>
      <c r="L128" s="13">
        <f t="shared" si="34"/>
        <v>6</v>
      </c>
      <c r="M128" s="13">
        <f t="shared" si="35"/>
        <v>4</v>
      </c>
      <c r="N128" s="14">
        <f t="shared" si="36"/>
        <v>1101006</v>
      </c>
      <c r="O128" s="14" t="str">
        <f t="shared" si="37"/>
        <v>红莲·缇娜20突</v>
      </c>
      <c r="P128" s="29" t="s">
        <v>470</v>
      </c>
      <c r="Q128" s="14">
        <f t="shared" si="38"/>
        <v>1</v>
      </c>
      <c r="R128" s="14">
        <f t="shared" si="39"/>
        <v>20</v>
      </c>
      <c r="S128" s="14" t="s">
        <v>39</v>
      </c>
      <c r="T128" s="14">
        <f>ROUND(((IF(Q128=1,INDEX(新属性投放!$J$14:$J$34,卡牌属性!R128),INDEX(新属性投放!$J$42:$J$62,卡牌属性!R128)))*INDEX($G$5:$G$42,L128)+IF(Q128=1,INDEX(新属性投放!R$20:R$23,卡牌属性!M128-1),INDEX(新属性投放!R$25:R$28,卡牌属性!M128-1)))/SQRT(INDEX($I$5:$I$42,L128)),2)</f>
        <v>25093.09</v>
      </c>
      <c r="U128" s="29" t="s">
        <v>178</v>
      </c>
      <c r="V128" s="14">
        <f>ROUND((IF(Q128=1,INDEX(新属性投放!$K$14:$K$34,卡牌属性!R128),INDEX(新属性投放!$K$42:$K$62,卡牌属性!R128))+IF(Q128=1,INDEX(新属性投放!S$20:S$23,卡牌属性!M128-1),INDEX(新属性投放!S$25:S$28,卡牌属性!M128-1)))*INDEX($G$5:$G$42,L128),2)</f>
        <v>12448.44</v>
      </c>
      <c r="W128" s="29" t="s">
        <v>179</v>
      </c>
      <c r="X128" s="14">
        <f>ROUND((IF(Q128=1,INDEX(新属性投放!$L$14:$L$34,卡牌属性!R128),INDEX(新属性投放!$L$42:$L$62,卡牌属性!R128))*INDEX($G$5:$G$42,L128)+IF(Q128=1,INDEX(新属性投放!T$20:T$23,卡牌属性!M128-1),INDEX(新属性投放!T$25:T$28,卡牌属性!M128-1)))*SQRT(INDEX($I$5:$I$42,L128)),2)</f>
        <v>75739.259999999995</v>
      </c>
      <c r="Y128" s="29" t="s">
        <v>177</v>
      </c>
      <c r="Z128" s="14">
        <f>ROUND(IF(Q128=1,INDEX(新属性投放!$D$14:$D$34,卡牌属性!R128),INDEX(新属性投放!$D$42:$D$62,卡牌属性!R128))*INDEX($G$5:$G$42,L128)/SQRT(INDEX($I$5:$I$42,L128)),2)</f>
        <v>624.83000000000004</v>
      </c>
      <c r="AA128" s="29" t="s">
        <v>178</v>
      </c>
      <c r="AB128" s="14">
        <f>ROUND(IF(Q128=1,INDEX(新属性投放!$E$14:$E$34,卡牌属性!R128),INDEX(新属性投放!$E$42:$E$62,卡牌属性!R128))*INDEX($G$5:$G$42,L128),2)</f>
        <v>312.42</v>
      </c>
      <c r="AC128" s="29" t="s">
        <v>179</v>
      </c>
      <c r="AD128" s="14">
        <f>ROUND(IF(Q128=1,INDEX(新属性投放!$F$14:$F$34,卡牌属性!R128),INDEX(新属性投放!$F$42:$F$62,卡牌属性!R128))*INDEX($G$5:$G$42,L128)*SQRT(INDEX($I$5:$I$42,L128)),2)</f>
        <v>1874.5</v>
      </c>
      <c r="AF128" s="14">
        <f t="shared" si="40"/>
        <v>6248</v>
      </c>
      <c r="AG128" s="14">
        <f t="shared" si="41"/>
        <v>3124</v>
      </c>
      <c r="AH128" s="14">
        <f t="shared" si="42"/>
        <v>18745</v>
      </c>
      <c r="AJ128" s="14">
        <f t="shared" si="52"/>
        <v>42138</v>
      </c>
      <c r="AK128" s="14">
        <f t="shared" si="53"/>
        <v>21062</v>
      </c>
      <c r="AL128" s="14">
        <f t="shared" si="54"/>
        <v>126427</v>
      </c>
    </row>
    <row r="129" spans="11:38" ht="16.5" x14ac:dyDescent="0.2">
      <c r="K129" s="13">
        <v>126</v>
      </c>
      <c r="L129" s="13">
        <f t="shared" si="34"/>
        <v>6</v>
      </c>
      <c r="M129" s="13">
        <f t="shared" si="35"/>
        <v>4</v>
      </c>
      <c r="N129" s="14">
        <f t="shared" si="36"/>
        <v>1101006</v>
      </c>
      <c r="O129" s="14" t="str">
        <f t="shared" si="37"/>
        <v>红莲·缇娜21突</v>
      </c>
      <c r="P129" s="29" t="s">
        <v>470</v>
      </c>
      <c r="Q129" s="14">
        <f t="shared" si="38"/>
        <v>1</v>
      </c>
      <c r="R129" s="14">
        <f t="shared" si="39"/>
        <v>21</v>
      </c>
      <c r="S129" s="14" t="s">
        <v>39</v>
      </c>
      <c r="T129" s="14">
        <f>ROUND(((IF(Q129=1,INDEX(新属性投放!$J$14:$J$34,卡牌属性!R129),INDEX(新属性投放!$J$42:$J$62,卡牌属性!R129)))*INDEX($G$5:$G$42,L129)+IF(Q129=1,INDEX(新属性投放!R$20:R$23,卡牌属性!M129-1),INDEX(新属性投放!R$25:R$28,卡牌属性!M129-1)))/SQRT(INDEX($I$5:$I$42,L129)),2)</f>
        <v>28998.55</v>
      </c>
      <c r="U129" s="29" t="s">
        <v>178</v>
      </c>
      <c r="V129" s="14">
        <f>ROUND((IF(Q129=1,INDEX(新属性投放!$K$14:$K$34,卡牌属性!R129),INDEX(新属性投放!$K$42:$K$62,卡牌属性!R129))+IF(Q129=1,INDEX(新属性投放!S$20:S$23,卡牌属性!M129-1),INDEX(新属性投放!S$25:S$28,卡牌属性!M129-1)))*INDEX($G$5:$G$42,L129),2)</f>
        <v>14400.52</v>
      </c>
      <c r="W129" s="29" t="s">
        <v>179</v>
      </c>
      <c r="X129" s="14">
        <f>ROUND((IF(Q129=1,INDEX(新属性投放!$L$14:$L$34,卡牌属性!R129),INDEX(新属性投放!$L$42:$L$62,卡牌属性!R129))*INDEX($G$5:$G$42,L129)+IF(Q129=1,INDEX(新属性投放!T$20:T$23,卡牌属性!M129-1),INDEX(新属性投放!T$25:T$28,卡牌属性!M129-1)))*SQRT(INDEX($I$5:$I$42,L129)),2)</f>
        <v>87455.64</v>
      </c>
      <c r="Y129" s="29" t="s">
        <v>177</v>
      </c>
      <c r="Z129" s="14">
        <f>ROUND(IF(Q129=1,INDEX(新属性投放!$D$14:$D$34,卡牌属性!R129),INDEX(新属性投放!$D$42:$D$62,卡牌属性!R129))*INDEX($G$5:$G$42,L129)/SQRT(INDEX($I$5:$I$42,L129)),2)</f>
        <v>722.46</v>
      </c>
      <c r="AA129" s="29" t="s">
        <v>178</v>
      </c>
      <c r="AB129" s="14">
        <f>ROUND(IF(Q129=1,INDEX(新属性投放!$E$14:$E$34,卡牌属性!R129),INDEX(新属性投放!$E$42:$E$62,卡牌属性!R129))*INDEX($G$5:$G$42,L129),2)</f>
        <v>361.23</v>
      </c>
      <c r="AC129" s="29" t="s">
        <v>179</v>
      </c>
      <c r="AD129" s="14">
        <f>ROUND(IF(Q129=1,INDEX(新属性投放!$F$14:$F$34,卡牌属性!R129),INDEX(新属性投放!$F$42:$F$62,卡牌属性!R129))*INDEX($G$5:$G$42,L129)*SQRT(INDEX($I$5:$I$42,L129)),2)</f>
        <v>2167.39</v>
      </c>
      <c r="AF129" s="14">
        <f t="shared" si="40"/>
        <v>7224</v>
      </c>
      <c r="AG129" s="14">
        <f t="shared" si="41"/>
        <v>3612</v>
      </c>
      <c r="AH129" s="14">
        <f t="shared" si="42"/>
        <v>21673</v>
      </c>
      <c r="AJ129" s="14">
        <f t="shared" si="52"/>
        <v>49362</v>
      </c>
      <c r="AK129" s="14">
        <f t="shared" si="53"/>
        <v>24674</v>
      </c>
      <c r="AL129" s="14">
        <f t="shared" si="54"/>
        <v>148100</v>
      </c>
    </row>
    <row r="130" spans="11:38" ht="16.5" x14ac:dyDescent="0.2">
      <c r="K130" s="13">
        <v>127</v>
      </c>
      <c r="L130" s="13">
        <f t="shared" si="34"/>
        <v>7</v>
      </c>
      <c r="M130" s="13">
        <f t="shared" si="35"/>
        <v>4</v>
      </c>
      <c r="N130" s="14">
        <f t="shared" si="36"/>
        <v>1101007</v>
      </c>
      <c r="O130" s="14" t="str">
        <f t="shared" si="37"/>
        <v>战斗曹焱兵1突</v>
      </c>
      <c r="P130" s="29" t="s">
        <v>470</v>
      </c>
      <c r="Q130" s="14">
        <f t="shared" si="38"/>
        <v>1</v>
      </c>
      <c r="R130" s="14">
        <f t="shared" si="39"/>
        <v>1</v>
      </c>
      <c r="S130" s="14" t="s">
        <v>39</v>
      </c>
      <c r="T130" s="14">
        <f>ROUND(((IF(Q130=1,INDEX(新属性投放!$J$14:$J$34,卡牌属性!R130),INDEX(新属性投放!$J$42:$J$62,卡牌属性!R130)))*INDEX($G$5:$G$42,L130)+IF(Q130=1,INDEX(新属性投放!R$20:R$23,卡牌属性!M130-1),INDEX(新属性投放!R$25:R$28,卡牌属性!M130-1)))/SQRT(INDEX($I$5:$I$42,L130)),2)</f>
        <v>230</v>
      </c>
      <c r="U130" s="29" t="s">
        <v>178</v>
      </c>
      <c r="V130" s="14">
        <f>ROUND((IF(Q130=1,INDEX(新属性投放!$K$14:$K$34,卡牌属性!R130),INDEX(新属性投放!$K$42:$K$62,卡牌属性!R130))+IF(Q130=1,INDEX(新属性投放!S$20:S$23,卡牌属性!M130-1),INDEX(新属性投放!S$25:S$28,卡牌属性!M130-1)))*INDEX($G$5:$G$42,L130),2)</f>
        <v>0</v>
      </c>
      <c r="W130" s="29" t="s">
        <v>179</v>
      </c>
      <c r="X130" s="14">
        <f>ROUND((IF(Q130=1,INDEX(新属性投放!$L$14:$L$34,卡牌属性!R130),INDEX(新属性投放!$L$42:$L$62,卡牌属性!R130))*INDEX($G$5:$G$42,L130)+IF(Q130=1,INDEX(新属性投放!T$20:T$23,卡牌属性!M130-1),INDEX(新属性投放!T$25:T$28,卡牌属性!M130-1)))*SQRT(INDEX($I$5:$I$42,L130)),2)</f>
        <v>1150</v>
      </c>
      <c r="Y130" s="29" t="s">
        <v>177</v>
      </c>
      <c r="Z130" s="14">
        <f>ROUND(IF(Q130=1,INDEX(新属性投放!$D$14:$D$34,卡牌属性!R130),INDEX(新属性投放!$D$42:$D$62,卡牌属性!R130))*INDEX($G$5:$G$42,L130)/SQRT(INDEX($I$5:$I$42,L130)),2)</f>
        <v>19.5</v>
      </c>
      <c r="AA130" s="29" t="s">
        <v>178</v>
      </c>
      <c r="AB130" s="14">
        <f>ROUND(IF(Q130=1,INDEX(新属性投放!$E$14:$E$34,卡牌属性!R130),INDEX(新属性投放!$E$42:$E$62,卡牌属性!R130))*INDEX($G$5:$G$42,L130),2)</f>
        <v>9.75</v>
      </c>
      <c r="AC130" s="29" t="s">
        <v>179</v>
      </c>
      <c r="AD130" s="14">
        <f>ROUND(IF(Q130=1,INDEX(新属性投放!$F$14:$F$34,卡牌属性!R130),INDEX(新属性投放!$F$42:$F$62,卡牌属性!R130))*INDEX($G$5:$G$42,L130)*SQRT(INDEX($I$5:$I$42,L130)),2)</f>
        <v>58.5</v>
      </c>
      <c r="AF130" s="14">
        <f t="shared" si="40"/>
        <v>195</v>
      </c>
      <c r="AG130" s="14">
        <f t="shared" si="41"/>
        <v>97</v>
      </c>
      <c r="AH130" s="14">
        <f t="shared" si="42"/>
        <v>585</v>
      </c>
      <c r="AJ130" s="14">
        <f t="shared" ref="AJ130" si="55">AF130</f>
        <v>195</v>
      </c>
      <c r="AK130" s="14">
        <f t="shared" ref="AK130" si="56">AG130</f>
        <v>97</v>
      </c>
      <c r="AL130" s="14">
        <f t="shared" ref="AL130" si="57">AH130</f>
        <v>585</v>
      </c>
    </row>
    <row r="131" spans="11:38" ht="16.5" x14ac:dyDescent="0.2">
      <c r="K131" s="13">
        <v>128</v>
      </c>
      <c r="L131" s="13">
        <f t="shared" si="34"/>
        <v>7</v>
      </c>
      <c r="M131" s="13">
        <f t="shared" si="35"/>
        <v>4</v>
      </c>
      <c r="N131" s="14">
        <f t="shared" si="36"/>
        <v>1101007</v>
      </c>
      <c r="O131" s="14" t="str">
        <f t="shared" si="37"/>
        <v>战斗曹焱兵2突</v>
      </c>
      <c r="P131" s="29" t="s">
        <v>470</v>
      </c>
      <c r="Q131" s="14">
        <f t="shared" si="38"/>
        <v>1</v>
      </c>
      <c r="R131" s="14">
        <f t="shared" si="39"/>
        <v>2</v>
      </c>
      <c r="S131" s="14" t="s">
        <v>39</v>
      </c>
      <c r="T131" s="14">
        <f>ROUND(((IF(Q131=1,INDEX(新属性投放!$J$14:$J$34,卡牌属性!R131),INDEX(新属性投放!$J$42:$J$62,卡牌属性!R131)))*INDEX($G$5:$G$42,L131)+IF(Q131=1,INDEX(新属性投放!R$20:R$23,卡牌属性!M131-1),INDEX(新属性投放!R$25:R$28,卡牌属性!M131-1)))/SQRT(INDEX($I$5:$I$42,L131)),2)</f>
        <v>418.5</v>
      </c>
      <c r="U131" s="29" t="s">
        <v>178</v>
      </c>
      <c r="V131" s="14">
        <f>ROUND((IF(Q131=1,INDEX(新属性投放!$K$14:$K$34,卡牌属性!R131),INDEX(新属性投放!$K$42:$K$62,卡牌属性!R131))+IF(Q131=1,INDEX(新属性投放!S$20:S$23,卡牌属性!M131-1),INDEX(新属性投放!S$25:S$28,卡牌属性!M131-1)))*INDEX($G$5:$G$42,L131),2)</f>
        <v>109.85</v>
      </c>
      <c r="W131" s="29" t="s">
        <v>179</v>
      </c>
      <c r="X131" s="14">
        <f>ROUND((IF(Q131=1,INDEX(新属性投放!$L$14:$L$34,卡牌属性!R131),INDEX(新属性投放!$L$42:$L$62,卡牌属性!R131))*INDEX($G$5:$G$42,L131)+IF(Q131=1,INDEX(新属性投放!T$20:T$23,卡牌属性!M131-1),INDEX(新属性投放!T$25:T$28,卡牌属性!M131-1)))*SQRT(INDEX($I$5:$I$42,L131)),2)</f>
        <v>1715.5</v>
      </c>
      <c r="Y131" s="29" t="s">
        <v>177</v>
      </c>
      <c r="Z131" s="14">
        <f>ROUND(IF(Q131=1,INDEX(新属性投放!$D$14:$D$34,卡牌属性!R131),INDEX(新属性投放!$D$42:$D$62,卡牌属性!R131))*INDEX($G$5:$G$42,L131)/SQRT(INDEX($I$5:$I$42,L131)),2)</f>
        <v>17.899999999999999</v>
      </c>
      <c r="AA131" s="29" t="s">
        <v>178</v>
      </c>
      <c r="AB131" s="14">
        <f>ROUND(IF(Q131=1,INDEX(新属性投放!$E$14:$E$34,卡牌属性!R131),INDEX(新属性投放!$E$42:$E$62,卡牌属性!R131))*INDEX($G$5:$G$42,L131),2)</f>
        <v>8.9499999999999993</v>
      </c>
      <c r="AC131" s="29" t="s">
        <v>179</v>
      </c>
      <c r="AD131" s="14">
        <f>ROUND(IF(Q131=1,INDEX(新属性投放!$F$14:$F$34,卡牌属性!R131),INDEX(新属性投放!$F$42:$F$62,卡牌属性!R131))*INDEX($G$5:$G$42,L131)*SQRT(INDEX($I$5:$I$42,L131)),2)</f>
        <v>53.7</v>
      </c>
      <c r="AF131" s="14">
        <f t="shared" si="40"/>
        <v>179</v>
      </c>
      <c r="AG131" s="14">
        <f t="shared" si="41"/>
        <v>89</v>
      </c>
      <c r="AH131" s="14">
        <f t="shared" si="42"/>
        <v>537</v>
      </c>
      <c r="AJ131" s="14">
        <f t="shared" ref="AJ131:AJ150" si="58">AJ130+AF131</f>
        <v>374</v>
      </c>
      <c r="AK131" s="14">
        <f t="shared" ref="AK131:AK150" si="59">AK130+AG131</f>
        <v>186</v>
      </c>
      <c r="AL131" s="14">
        <f t="shared" ref="AL131:AL150" si="60">AL130+AH131</f>
        <v>1122</v>
      </c>
    </row>
    <row r="132" spans="11:38" ht="16.5" x14ac:dyDescent="0.2">
      <c r="K132" s="13">
        <v>129</v>
      </c>
      <c r="L132" s="13">
        <f t="shared" si="34"/>
        <v>7</v>
      </c>
      <c r="M132" s="13">
        <f t="shared" si="35"/>
        <v>4</v>
      </c>
      <c r="N132" s="14">
        <f t="shared" si="36"/>
        <v>1101007</v>
      </c>
      <c r="O132" s="14" t="str">
        <f t="shared" si="37"/>
        <v>战斗曹焱兵3突</v>
      </c>
      <c r="P132" s="29" t="s">
        <v>470</v>
      </c>
      <c r="Q132" s="14">
        <f t="shared" si="38"/>
        <v>1</v>
      </c>
      <c r="R132" s="14">
        <f t="shared" si="39"/>
        <v>3</v>
      </c>
      <c r="S132" s="14" t="s">
        <v>39</v>
      </c>
      <c r="T132" s="14">
        <f>ROUND(((IF(Q132=1,INDEX(新属性投放!$J$14:$J$34,卡牌属性!R132),INDEX(新属性投放!$J$42:$J$62,卡牌属性!R132)))*INDEX($G$5:$G$42,L132)+IF(Q132=1,INDEX(新属性投放!R$20:R$23,卡牌属性!M132-1),INDEX(新属性投放!R$25:R$28,卡牌属性!M132-1)))/SQRT(INDEX($I$5:$I$42,L132)),2)</f>
        <v>641.71</v>
      </c>
      <c r="U132" s="29" t="s">
        <v>178</v>
      </c>
      <c r="V132" s="14">
        <f>ROUND((IF(Q132=1,INDEX(新属性投放!$K$14:$K$34,卡牌属性!R132),INDEX(新属性投放!$K$42:$K$62,卡牌属性!R132))+IF(Q132=1,INDEX(新属性投放!S$20:S$23,卡牌属性!M132-1),INDEX(新属性投放!S$25:S$28,卡牌属性!M132-1)))*INDEX($G$5:$G$42,L132),2)</f>
        <v>221.46</v>
      </c>
      <c r="W132" s="29" t="s">
        <v>179</v>
      </c>
      <c r="X132" s="14">
        <f>ROUND((IF(Q132=1,INDEX(新属性投放!$L$14:$L$34,卡牌属性!R132),INDEX(新属性投放!$L$42:$L$62,卡牌属性!R132))*INDEX($G$5:$G$42,L132)+IF(Q132=1,INDEX(新属性投放!T$20:T$23,卡牌属性!M132-1),INDEX(新属性投放!T$25:T$28,卡牌属性!M132-1)))*SQRT(INDEX($I$5:$I$42,L132)),2)</f>
        <v>2385.13</v>
      </c>
      <c r="Y132" s="29" t="s">
        <v>177</v>
      </c>
      <c r="Z132" s="14">
        <f>ROUND(IF(Q132=1,INDEX(新属性投放!$D$14:$D$34,卡牌属性!R132),INDEX(新属性投放!$D$42:$D$62,卡牌属性!R132))*INDEX($G$5:$G$42,L132)/SQRT(INDEX($I$5:$I$42,L132)),2)</f>
        <v>32.72</v>
      </c>
      <c r="AA132" s="29" t="s">
        <v>178</v>
      </c>
      <c r="AB132" s="14">
        <f>ROUND(IF(Q132=1,INDEX(新属性投放!$E$14:$E$34,卡牌属性!R132),INDEX(新属性投放!$E$42:$E$62,卡牌属性!R132))*INDEX($G$5:$G$42,L132),2)</f>
        <v>16.36</v>
      </c>
      <c r="AC132" s="29" t="s">
        <v>179</v>
      </c>
      <c r="AD132" s="14">
        <f>ROUND(IF(Q132=1,INDEX(新属性投放!$F$14:$F$34,卡牌属性!R132),INDEX(新属性投放!$F$42:$F$62,卡牌属性!R132))*INDEX($G$5:$G$42,L132)*SQRT(INDEX($I$5:$I$42,L132)),2)</f>
        <v>98.16</v>
      </c>
      <c r="AF132" s="14">
        <f t="shared" si="40"/>
        <v>327</v>
      </c>
      <c r="AG132" s="14">
        <f t="shared" si="41"/>
        <v>163</v>
      </c>
      <c r="AH132" s="14">
        <f t="shared" si="42"/>
        <v>981</v>
      </c>
      <c r="AJ132" s="14">
        <f t="shared" si="58"/>
        <v>701</v>
      </c>
      <c r="AK132" s="14">
        <f t="shared" si="59"/>
        <v>349</v>
      </c>
      <c r="AL132" s="14">
        <f t="shared" si="60"/>
        <v>2103</v>
      </c>
    </row>
    <row r="133" spans="11:38" ht="16.5" x14ac:dyDescent="0.2">
      <c r="K133" s="13">
        <v>130</v>
      </c>
      <c r="L133" s="13">
        <f t="shared" ref="L133:L196" si="61">MATCH(K133-1,$F$4:$F$41,1)</f>
        <v>7</v>
      </c>
      <c r="M133" s="13">
        <f t="shared" ref="M133:M196" si="62">INDEX($D$5:$D$42,L133)</f>
        <v>4</v>
      </c>
      <c r="N133" s="14">
        <f t="shared" ref="N133:N196" si="63">INDEX($A$4:$A$42,L133+1)</f>
        <v>1101007</v>
      </c>
      <c r="O133" s="14" t="str">
        <f t="shared" ref="O133:O196" si="64">INDEX($B$4:$B$42,MATCH(N133,$A$4:$A$42,0))&amp;R133&amp;"突"</f>
        <v>战斗曹焱兵4突</v>
      </c>
      <c r="P133" s="29" t="s">
        <v>470</v>
      </c>
      <c r="Q133" s="14">
        <f t="shared" ref="Q133:Q196" si="65">INDEX($C$4:$C$42,L133+1)</f>
        <v>1</v>
      </c>
      <c r="R133" s="14">
        <f t="shared" ref="R133:R196" si="66">K133-INDEX($F$4:$F$42,L133)</f>
        <v>4</v>
      </c>
      <c r="S133" s="14" t="s">
        <v>39</v>
      </c>
      <c r="T133" s="14">
        <f>ROUND(((IF(Q133=1,INDEX(新属性投放!$J$14:$J$34,卡牌属性!R133),INDEX(新属性投放!$J$42:$J$62,卡牌属性!R133)))*INDEX($G$5:$G$42,L133)+IF(Q133=1,INDEX(新属性投放!R$20:R$23,卡牌属性!M133-1),INDEX(新属性投放!R$25:R$28,卡牌属性!M133-1)))/SQRT(INDEX($I$5:$I$42,L133)),2)</f>
        <v>1050.82</v>
      </c>
      <c r="U133" s="29" t="s">
        <v>178</v>
      </c>
      <c r="V133" s="14">
        <f>ROUND((IF(Q133=1,INDEX(新属性投放!$K$14:$K$34,卡牌属性!R133),INDEX(新属性投放!$K$42:$K$62,卡牌属性!R133))+IF(Q133=1,INDEX(新属性投放!S$20:S$23,卡牌属性!M133-1),INDEX(新属性投放!S$25:S$28,卡牌属性!M133-1)))*INDEX($G$5:$G$42,L133),2)</f>
        <v>425.36</v>
      </c>
      <c r="W133" s="29" t="s">
        <v>179</v>
      </c>
      <c r="X133" s="14">
        <f>ROUND((IF(Q133=1,INDEX(新属性投放!$L$14:$L$34,卡牌属性!R133),INDEX(新属性投放!$L$42:$L$62,卡牌属性!R133))*INDEX($G$5:$G$42,L133)+IF(Q133=1,INDEX(新属性投放!T$20:T$23,卡牌属性!M133-1),INDEX(新属性投放!T$25:T$28,卡牌属性!M133-1)))*SQRT(INDEX($I$5:$I$42,L133)),2)</f>
        <v>3612.46</v>
      </c>
      <c r="Y133" s="29" t="s">
        <v>177</v>
      </c>
      <c r="Z133" s="14">
        <f>ROUND(IF(Q133=1,INDEX(新属性投放!$D$14:$D$34,卡牌属性!R133),INDEX(新属性投放!$D$42:$D$62,卡牌属性!R133))*INDEX($G$5:$G$42,L133)/SQRT(INDEX($I$5:$I$42,L133)),2)</f>
        <v>39.17</v>
      </c>
      <c r="AA133" s="29" t="s">
        <v>178</v>
      </c>
      <c r="AB133" s="14">
        <f>ROUND(IF(Q133=1,INDEX(新属性投放!$E$14:$E$34,卡牌属性!R133),INDEX(新属性投放!$E$42:$E$62,卡牌属性!R133))*INDEX($G$5:$G$42,L133),2)</f>
        <v>19.579999999999998</v>
      </c>
      <c r="AC133" s="29" t="s">
        <v>179</v>
      </c>
      <c r="AD133" s="14">
        <f>ROUND(IF(Q133=1,INDEX(新属性投放!$F$14:$F$34,卡牌属性!R133),INDEX(新属性投放!$F$42:$F$62,卡牌属性!R133))*INDEX($G$5:$G$42,L133)*SQRT(INDEX($I$5:$I$42,L133)),2)</f>
        <v>117.51</v>
      </c>
      <c r="AF133" s="14">
        <f t="shared" ref="AF133:AF196" si="67">INT(Z133*AF$2*10)</f>
        <v>391</v>
      </c>
      <c r="AG133" s="14">
        <f t="shared" ref="AG133:AG196" si="68">INT(AB133*AF$2*10)</f>
        <v>195</v>
      </c>
      <c r="AH133" s="14">
        <f t="shared" ref="AH133:AH196" si="69">INT(AD133*AF$2*10)</f>
        <v>1175</v>
      </c>
      <c r="AJ133" s="14">
        <f t="shared" si="58"/>
        <v>1092</v>
      </c>
      <c r="AK133" s="14">
        <f t="shared" si="59"/>
        <v>544</v>
      </c>
      <c r="AL133" s="14">
        <f t="shared" si="60"/>
        <v>3278</v>
      </c>
    </row>
    <row r="134" spans="11:38" ht="16.5" x14ac:dyDescent="0.2">
      <c r="K134" s="13">
        <v>131</v>
      </c>
      <c r="L134" s="13">
        <f t="shared" si="61"/>
        <v>7</v>
      </c>
      <c r="M134" s="13">
        <f t="shared" si="62"/>
        <v>4</v>
      </c>
      <c r="N134" s="14">
        <f t="shared" si="63"/>
        <v>1101007</v>
      </c>
      <c r="O134" s="14" t="str">
        <f t="shared" si="64"/>
        <v>战斗曹焱兵5突</v>
      </c>
      <c r="P134" s="29" t="s">
        <v>470</v>
      </c>
      <c r="Q134" s="14">
        <f t="shared" si="65"/>
        <v>1</v>
      </c>
      <c r="R134" s="14">
        <f t="shared" si="66"/>
        <v>5</v>
      </c>
      <c r="S134" s="14" t="s">
        <v>39</v>
      </c>
      <c r="T134" s="14">
        <f>ROUND(((IF(Q134=1,INDEX(新属性投放!$J$14:$J$34,卡牌属性!R134),INDEX(新属性投放!$J$42:$J$62,卡牌属性!R134)))*INDEX($G$5:$G$42,L134)+IF(Q134=1,INDEX(新属性投放!R$20:R$23,卡牌属性!M134-1),INDEX(新属性投放!R$25:R$28,卡牌属性!M134-1)))/SQRT(INDEX($I$5:$I$42,L134)),2)</f>
        <v>1540.01</v>
      </c>
      <c r="U134" s="29" t="s">
        <v>178</v>
      </c>
      <c r="V134" s="14">
        <f>ROUND((IF(Q134=1,INDEX(新属性投放!$K$14:$K$34,卡牌属性!R134),INDEX(新属性投放!$K$42:$K$62,卡牌属性!R134))+IF(Q134=1,INDEX(新属性投放!S$20:S$23,卡牌属性!M134-1),INDEX(新属性投放!S$25:S$28,卡牌属性!M134-1)))*INDEX($G$5:$G$42,L134),2)</f>
        <v>670.61</v>
      </c>
      <c r="W134" s="29" t="s">
        <v>179</v>
      </c>
      <c r="X134" s="14">
        <f>ROUND((IF(Q134=1,INDEX(新属性投放!$L$14:$L$34,卡牌属性!R134),INDEX(新属性投放!$L$42:$L$62,卡牌属性!R134))*INDEX($G$5:$G$42,L134)+IF(Q134=1,INDEX(新属性投放!T$20:T$23,卡牌属性!M134-1),INDEX(新属性投放!T$25:T$28,卡牌属性!M134-1)))*SQRT(INDEX($I$5:$I$42,L134)),2)</f>
        <v>5080.03</v>
      </c>
      <c r="Y134" s="29" t="s">
        <v>177</v>
      </c>
      <c r="Z134" s="14">
        <f>ROUND(IF(Q134=1,INDEX(新属性投放!$D$14:$D$34,卡牌属性!R134),INDEX(新属性投放!$D$42:$D$62,卡牌属性!R134))*INDEX($G$5:$G$42,L134)/SQRT(INDEX($I$5:$I$42,L134)),2)</f>
        <v>48.96</v>
      </c>
      <c r="AA134" s="29" t="s">
        <v>178</v>
      </c>
      <c r="AB134" s="14">
        <f>ROUND(IF(Q134=1,INDEX(新属性投放!$E$14:$E$34,卡牌属性!R134),INDEX(新属性投放!$E$42:$E$62,卡牌属性!R134))*INDEX($G$5:$G$42,L134),2)</f>
        <v>24.48</v>
      </c>
      <c r="AC134" s="29" t="s">
        <v>179</v>
      </c>
      <c r="AD134" s="14">
        <f>ROUND(IF(Q134=1,INDEX(新属性投放!$F$14:$F$34,卡牌属性!R134),INDEX(新属性投放!$F$42:$F$62,卡牌属性!R134))*INDEX($G$5:$G$42,L134)*SQRT(INDEX($I$5:$I$42,L134)),2)</f>
        <v>146.87</v>
      </c>
      <c r="AF134" s="14">
        <f t="shared" si="67"/>
        <v>489</v>
      </c>
      <c r="AG134" s="14">
        <f t="shared" si="68"/>
        <v>244</v>
      </c>
      <c r="AH134" s="14">
        <f t="shared" si="69"/>
        <v>1468</v>
      </c>
      <c r="AJ134" s="14">
        <f t="shared" si="58"/>
        <v>1581</v>
      </c>
      <c r="AK134" s="14">
        <f t="shared" si="59"/>
        <v>788</v>
      </c>
      <c r="AL134" s="14">
        <f t="shared" si="60"/>
        <v>4746</v>
      </c>
    </row>
    <row r="135" spans="11:38" ht="16.5" x14ac:dyDescent="0.2">
      <c r="K135" s="13">
        <v>132</v>
      </c>
      <c r="L135" s="13">
        <f t="shared" si="61"/>
        <v>7</v>
      </c>
      <c r="M135" s="13">
        <f t="shared" si="62"/>
        <v>4</v>
      </c>
      <c r="N135" s="14">
        <f t="shared" si="63"/>
        <v>1101007</v>
      </c>
      <c r="O135" s="14" t="str">
        <f t="shared" si="64"/>
        <v>战斗曹焱兵6突</v>
      </c>
      <c r="P135" s="29" t="s">
        <v>470</v>
      </c>
      <c r="Q135" s="14">
        <f t="shared" si="65"/>
        <v>1</v>
      </c>
      <c r="R135" s="14">
        <f t="shared" si="66"/>
        <v>6</v>
      </c>
      <c r="S135" s="14" t="s">
        <v>39</v>
      </c>
      <c r="T135" s="14">
        <f>ROUND(((IF(Q135=1,INDEX(新属性投放!$J$14:$J$34,卡牌属性!R135),INDEX(新属性投放!$J$42:$J$62,卡牌属性!R135)))*INDEX($G$5:$G$42,L135)+IF(Q135=1,INDEX(新属性投放!R$20:R$23,卡牌属性!M135-1),INDEX(新属性投放!R$25:R$28,卡牌属性!M135-1)))/SQRT(INDEX($I$5:$I$42,L135)),2)</f>
        <v>2151.79</v>
      </c>
      <c r="U135" s="29" t="s">
        <v>178</v>
      </c>
      <c r="V135" s="14">
        <f>ROUND((IF(Q135=1,INDEX(新属性投放!$K$14:$K$34,卡牌属性!R135),INDEX(新属性投放!$K$42:$K$62,卡牌属性!R135))+IF(Q135=1,INDEX(新属性投放!S$20:S$23,卡牌属性!M135-1),INDEX(新属性投放!S$25:S$28,卡牌属性!M135-1)))*INDEX($G$5:$G$42,L135),2)</f>
        <v>976.5</v>
      </c>
      <c r="W135" s="29" t="s">
        <v>179</v>
      </c>
      <c r="X135" s="14">
        <f>ROUND((IF(Q135=1,INDEX(新属性投放!$L$14:$L$34,卡牌属性!R135),INDEX(新属性投放!$L$42:$L$62,卡牌属性!R135))*INDEX($G$5:$G$42,L135)+IF(Q135=1,INDEX(新属性投放!T$20:T$23,卡牌属性!M135-1),INDEX(新属性投放!T$25:T$28,卡牌属性!M135-1)))*SQRT(INDEX($I$5:$I$42,L135)),2)</f>
        <v>6915.37</v>
      </c>
      <c r="Y135" s="29" t="s">
        <v>177</v>
      </c>
      <c r="Z135" s="14">
        <f>ROUND(IF(Q135=1,INDEX(新属性投放!$D$14:$D$34,卡牌属性!R135),INDEX(新属性投放!$D$42:$D$62,卡牌属性!R135))*INDEX($G$5:$G$42,L135)/SQRT(INDEX($I$5:$I$42,L135)),2)</f>
        <v>63.51</v>
      </c>
      <c r="AA135" s="29" t="s">
        <v>178</v>
      </c>
      <c r="AB135" s="14">
        <f>ROUND(IF(Q135=1,INDEX(新属性投放!$E$14:$E$34,卡牌属性!R135),INDEX(新属性投放!$E$42:$E$62,卡牌属性!R135))*INDEX($G$5:$G$42,L135),2)</f>
        <v>31.75</v>
      </c>
      <c r="AC135" s="29" t="s">
        <v>179</v>
      </c>
      <c r="AD135" s="14">
        <f>ROUND(IF(Q135=1,INDEX(新属性投放!$F$14:$F$34,卡牌属性!R135),INDEX(新属性投放!$F$42:$F$62,卡牌属性!R135))*INDEX($G$5:$G$42,L135)*SQRT(INDEX($I$5:$I$42,L135)),2)</f>
        <v>190.52</v>
      </c>
      <c r="AF135" s="14">
        <f t="shared" si="67"/>
        <v>635</v>
      </c>
      <c r="AG135" s="14">
        <f t="shared" si="68"/>
        <v>317</v>
      </c>
      <c r="AH135" s="14">
        <f t="shared" si="69"/>
        <v>1905</v>
      </c>
      <c r="AJ135" s="14">
        <f t="shared" si="58"/>
        <v>2216</v>
      </c>
      <c r="AK135" s="14">
        <f t="shared" si="59"/>
        <v>1105</v>
      </c>
      <c r="AL135" s="14">
        <f t="shared" si="60"/>
        <v>6651</v>
      </c>
    </row>
    <row r="136" spans="11:38" ht="16.5" x14ac:dyDescent="0.2">
      <c r="K136" s="13">
        <v>133</v>
      </c>
      <c r="L136" s="13">
        <f t="shared" si="61"/>
        <v>7</v>
      </c>
      <c r="M136" s="13">
        <f t="shared" si="62"/>
        <v>4</v>
      </c>
      <c r="N136" s="14">
        <f t="shared" si="63"/>
        <v>1101007</v>
      </c>
      <c r="O136" s="14" t="str">
        <f t="shared" si="64"/>
        <v>战斗曹焱兵7突</v>
      </c>
      <c r="P136" s="29" t="s">
        <v>470</v>
      </c>
      <c r="Q136" s="14">
        <f t="shared" si="65"/>
        <v>1</v>
      </c>
      <c r="R136" s="14">
        <f t="shared" si="66"/>
        <v>7</v>
      </c>
      <c r="S136" s="14" t="s">
        <v>39</v>
      </c>
      <c r="T136" s="14">
        <f>ROUND(((IF(Q136=1,INDEX(新属性投放!$J$14:$J$34,卡牌属性!R136),INDEX(新属性投放!$J$42:$J$62,卡牌属性!R136)))*INDEX($G$5:$G$42,L136)+IF(Q136=1,INDEX(新属性投放!R$20:R$23,卡牌属性!M136-1),INDEX(新属性投放!R$25:R$28,卡牌属性!M136-1)))/SQRT(INDEX($I$5:$I$42,L136)),2)</f>
        <v>2945.44</v>
      </c>
      <c r="U136" s="29" t="s">
        <v>178</v>
      </c>
      <c r="V136" s="14">
        <f>ROUND((IF(Q136=1,INDEX(新属性投放!$K$14:$K$34,卡牌属性!R136),INDEX(新属性投放!$K$42:$K$62,卡牌属性!R136))+IF(Q136=1,INDEX(新属性投放!S$20:S$23,卡牌属性!M136-1),INDEX(新属性投放!S$25:S$28,卡牌属性!M136-1)))*INDEX($G$5:$G$42,L136),2)</f>
        <v>1373.32</v>
      </c>
      <c r="W136" s="29" t="s">
        <v>179</v>
      </c>
      <c r="X136" s="14">
        <f>ROUND((IF(Q136=1,INDEX(新属性投放!$L$14:$L$34,卡牌属性!R136),INDEX(新属性投放!$L$42:$L$62,卡牌属性!R136))*INDEX($G$5:$G$42,L136)+IF(Q136=1,INDEX(新属性投放!T$20:T$23,卡牌属性!M136-1),INDEX(新属性投放!T$25:T$28,卡牌属性!M136-1)))*SQRT(INDEX($I$5:$I$42,L136)),2)</f>
        <v>9296.32</v>
      </c>
      <c r="Y136" s="29" t="s">
        <v>177</v>
      </c>
      <c r="Z136" s="14">
        <f>ROUND(IF(Q136=1,INDEX(新属性投放!$D$14:$D$34,卡牌属性!R136),INDEX(新属性投放!$D$42:$D$62,卡牌属性!R136))*INDEX($G$5:$G$42,L136)/SQRT(INDEX($I$5:$I$42,L136)),2)</f>
        <v>78.25</v>
      </c>
      <c r="AA136" s="29" t="s">
        <v>178</v>
      </c>
      <c r="AB136" s="14">
        <f>ROUND(IF(Q136=1,INDEX(新属性投放!$E$14:$E$34,卡牌属性!R136),INDEX(新属性投放!$E$42:$E$62,卡牌属性!R136))*INDEX($G$5:$G$42,L136),2)</f>
        <v>39.119999999999997</v>
      </c>
      <c r="AC136" s="29" t="s">
        <v>179</v>
      </c>
      <c r="AD136" s="14">
        <f>ROUND(IF(Q136=1,INDEX(新属性投放!$F$14:$F$34,卡牌属性!R136),INDEX(新属性投放!$F$42:$F$62,卡牌属性!R136))*INDEX($G$5:$G$42,L136)*SQRT(INDEX($I$5:$I$42,L136)),2)</f>
        <v>234.74</v>
      </c>
      <c r="AF136" s="14">
        <f t="shared" si="67"/>
        <v>782</v>
      </c>
      <c r="AG136" s="14">
        <f t="shared" si="68"/>
        <v>391</v>
      </c>
      <c r="AH136" s="14">
        <f t="shared" si="69"/>
        <v>2347</v>
      </c>
      <c r="AJ136" s="14">
        <f t="shared" si="58"/>
        <v>2998</v>
      </c>
      <c r="AK136" s="14">
        <f t="shared" si="59"/>
        <v>1496</v>
      </c>
      <c r="AL136" s="14">
        <f t="shared" si="60"/>
        <v>8998</v>
      </c>
    </row>
    <row r="137" spans="11:38" ht="16.5" x14ac:dyDescent="0.2">
      <c r="K137" s="13">
        <v>134</v>
      </c>
      <c r="L137" s="13">
        <f t="shared" si="61"/>
        <v>7</v>
      </c>
      <c r="M137" s="13">
        <f t="shared" si="62"/>
        <v>4</v>
      </c>
      <c r="N137" s="14">
        <f t="shared" si="63"/>
        <v>1101007</v>
      </c>
      <c r="O137" s="14" t="str">
        <f t="shared" si="64"/>
        <v>战斗曹焱兵8突</v>
      </c>
      <c r="P137" s="29" t="s">
        <v>470</v>
      </c>
      <c r="Q137" s="14">
        <f t="shared" si="65"/>
        <v>1</v>
      </c>
      <c r="R137" s="14">
        <f t="shared" si="66"/>
        <v>8</v>
      </c>
      <c r="S137" s="14" t="s">
        <v>39</v>
      </c>
      <c r="T137" s="14">
        <f>ROUND(((IF(Q137=1,INDEX(新属性投放!$J$14:$J$34,卡牌属性!R137),INDEX(新属性投放!$J$42:$J$62,卡牌属性!R137)))*INDEX($G$5:$G$42,L137)+IF(Q137=1,INDEX(新属性投放!R$20:R$23,卡牌属性!M137-1),INDEX(新属性投放!R$25:R$28,卡牌属性!M137-1)))/SQRT(INDEX($I$5:$I$42,L137)),2)</f>
        <v>3922.91</v>
      </c>
      <c r="U137" s="29" t="s">
        <v>178</v>
      </c>
      <c r="V137" s="14">
        <f>ROUND((IF(Q137=1,INDEX(新属性投放!$K$14:$K$34,卡牌属性!R137),INDEX(新属性投放!$K$42:$K$62,卡牌属性!R137))+IF(Q137=1,INDEX(新属性投放!S$20:S$23,卡牌属性!M137-1),INDEX(新属性投放!S$25:S$28,卡牌属性!M137-1)))*INDEX($G$5:$G$42,L137),2)</f>
        <v>1862.06</v>
      </c>
      <c r="W137" s="29" t="s">
        <v>179</v>
      </c>
      <c r="X137" s="14">
        <f>ROUND((IF(Q137=1,INDEX(新属性投放!$L$14:$L$34,卡牌属性!R137),INDEX(新属性投放!$L$42:$L$62,卡牌属性!R137))*INDEX($G$5:$G$42,L137)+IF(Q137=1,INDEX(新属性投放!T$20:T$23,卡牌属性!M137-1),INDEX(新属性投放!T$25:T$28,卡牌属性!M137-1)))*SQRT(INDEX($I$5:$I$42,L137)),2)</f>
        <v>12228.73</v>
      </c>
      <c r="Y137" s="29" t="s">
        <v>177</v>
      </c>
      <c r="Z137" s="14">
        <f>ROUND(IF(Q137=1,INDEX(新属性投放!$D$14:$D$34,卡牌属性!R137),INDEX(新属性投放!$D$42:$D$62,卡牌属性!R137))*INDEX($G$5:$G$42,L137)/SQRT(INDEX($I$5:$I$42,L137)),2)</f>
        <v>97.75</v>
      </c>
      <c r="AA137" s="29" t="s">
        <v>178</v>
      </c>
      <c r="AB137" s="14">
        <f>ROUND(IF(Q137=1,INDEX(新属性投放!$E$14:$E$34,卡牌属性!R137),INDEX(新属性投放!$E$42:$E$62,卡牌属性!R137))*INDEX($G$5:$G$42,L137),2)</f>
        <v>48.87</v>
      </c>
      <c r="AC137" s="29" t="s">
        <v>179</v>
      </c>
      <c r="AD137" s="14">
        <f>ROUND(IF(Q137=1,INDEX(新属性投放!$F$14:$F$34,卡牌属性!R137),INDEX(新属性投放!$F$42:$F$62,卡牌属性!R137))*INDEX($G$5:$G$42,L137)*SQRT(INDEX($I$5:$I$42,L137)),2)</f>
        <v>293.24</v>
      </c>
      <c r="AF137" s="14">
        <f t="shared" si="67"/>
        <v>977</v>
      </c>
      <c r="AG137" s="14">
        <f t="shared" si="68"/>
        <v>488</v>
      </c>
      <c r="AH137" s="14">
        <f t="shared" si="69"/>
        <v>2932</v>
      </c>
      <c r="AJ137" s="14">
        <f t="shared" si="58"/>
        <v>3975</v>
      </c>
      <c r="AK137" s="14">
        <f t="shared" si="59"/>
        <v>1984</v>
      </c>
      <c r="AL137" s="14">
        <f t="shared" si="60"/>
        <v>11930</v>
      </c>
    </row>
    <row r="138" spans="11:38" ht="16.5" x14ac:dyDescent="0.2">
      <c r="K138" s="13">
        <v>135</v>
      </c>
      <c r="L138" s="13">
        <f t="shared" si="61"/>
        <v>7</v>
      </c>
      <c r="M138" s="13">
        <f t="shared" si="62"/>
        <v>4</v>
      </c>
      <c r="N138" s="14">
        <f t="shared" si="63"/>
        <v>1101007</v>
      </c>
      <c r="O138" s="14" t="str">
        <f t="shared" si="64"/>
        <v>战斗曹焱兵9突</v>
      </c>
      <c r="P138" s="29" t="s">
        <v>470</v>
      </c>
      <c r="Q138" s="14">
        <f t="shared" si="65"/>
        <v>1</v>
      </c>
      <c r="R138" s="14">
        <f t="shared" si="66"/>
        <v>9</v>
      </c>
      <c r="S138" s="14" t="s">
        <v>39</v>
      </c>
      <c r="T138" s="14">
        <f>ROUND(((IF(Q138=1,INDEX(新属性投放!$J$14:$J$34,卡牌属性!R138),INDEX(新属性投放!$J$42:$J$62,卡牌属性!R138)))*INDEX($G$5:$G$42,L138)+IF(Q138=1,INDEX(新属性投放!R$20:R$23,卡牌属性!M138-1),INDEX(新属性投放!R$25:R$28,卡牌属性!M138-1)))/SQRT(INDEX($I$5:$I$42,L138)),2)</f>
        <v>5144.78</v>
      </c>
      <c r="U138" s="29" t="s">
        <v>178</v>
      </c>
      <c r="V138" s="14">
        <f>ROUND((IF(Q138=1,INDEX(新属性投放!$K$14:$K$34,卡牌属性!R138),INDEX(新属性投放!$K$42:$K$62,卡牌属性!R138))+IF(Q138=1,INDEX(新属性投放!S$20:S$23,卡牌属性!M138-1),INDEX(新属性投放!S$25:S$28,卡牌属性!M138-1)))*INDEX($G$5:$G$42,L138),2)</f>
        <v>2472.9899999999998</v>
      </c>
      <c r="W138" s="29" t="s">
        <v>179</v>
      </c>
      <c r="X138" s="14">
        <f>ROUND((IF(Q138=1,INDEX(新属性投放!$L$14:$L$34,卡牌属性!R138),INDEX(新属性投放!$L$42:$L$62,卡牌属性!R138))*INDEX($G$5:$G$42,L138)+IF(Q138=1,INDEX(新属性投放!T$20:T$23,卡牌属性!M138-1),INDEX(新属性投放!T$25:T$28,卡牌属性!M138-1)))*SQRT(INDEX($I$5:$I$42,L138)),2)</f>
        <v>15894.34</v>
      </c>
      <c r="Y138" s="29" t="s">
        <v>177</v>
      </c>
      <c r="Z138" s="14">
        <f>ROUND(IF(Q138=1,INDEX(新属性投放!$D$14:$D$34,卡牌属性!R138),INDEX(新属性投放!$D$42:$D$62,卡牌属性!R138))*INDEX($G$5:$G$42,L138)/SQRT(INDEX($I$5:$I$42,L138)),2)</f>
        <v>127.13</v>
      </c>
      <c r="AA138" s="29" t="s">
        <v>178</v>
      </c>
      <c r="AB138" s="14">
        <f>ROUND(IF(Q138=1,INDEX(新属性投放!$E$14:$E$34,卡牌属性!R138),INDEX(新属性投放!$E$42:$E$62,卡牌属性!R138))*INDEX($G$5:$G$42,L138),2)</f>
        <v>63.56</v>
      </c>
      <c r="AC138" s="29" t="s">
        <v>179</v>
      </c>
      <c r="AD138" s="14">
        <f>ROUND(IF(Q138=1,INDEX(新属性投放!$F$14:$F$34,卡牌属性!R138),INDEX(新属性投放!$F$42:$F$62,卡牌属性!R138))*INDEX($G$5:$G$42,L138)*SQRT(INDEX($I$5:$I$42,L138)),2)</f>
        <v>381.38</v>
      </c>
      <c r="AF138" s="14">
        <f t="shared" si="67"/>
        <v>1271</v>
      </c>
      <c r="AG138" s="14">
        <f t="shared" si="68"/>
        <v>635</v>
      </c>
      <c r="AH138" s="14">
        <f t="shared" si="69"/>
        <v>3813</v>
      </c>
      <c r="AJ138" s="14">
        <f t="shared" si="58"/>
        <v>5246</v>
      </c>
      <c r="AK138" s="14">
        <f t="shared" si="59"/>
        <v>2619</v>
      </c>
      <c r="AL138" s="14">
        <f t="shared" si="60"/>
        <v>15743</v>
      </c>
    </row>
    <row r="139" spans="11:38" ht="16.5" x14ac:dyDescent="0.2">
      <c r="K139" s="13">
        <v>136</v>
      </c>
      <c r="L139" s="13">
        <f t="shared" si="61"/>
        <v>7</v>
      </c>
      <c r="M139" s="13">
        <f t="shared" si="62"/>
        <v>4</v>
      </c>
      <c r="N139" s="14">
        <f t="shared" si="63"/>
        <v>1101007</v>
      </c>
      <c r="O139" s="14" t="str">
        <f t="shared" si="64"/>
        <v>战斗曹焱兵10突</v>
      </c>
      <c r="P139" s="29" t="s">
        <v>470</v>
      </c>
      <c r="Q139" s="14">
        <f t="shared" si="65"/>
        <v>1</v>
      </c>
      <c r="R139" s="14">
        <f t="shared" si="66"/>
        <v>10</v>
      </c>
      <c r="S139" s="14" t="s">
        <v>39</v>
      </c>
      <c r="T139" s="14">
        <f>ROUND(((IF(Q139=1,INDEX(新属性投放!$J$14:$J$34,卡牌属性!R139),INDEX(新属性投放!$J$42:$J$62,卡牌属性!R139)))*INDEX($G$5:$G$42,L139)+IF(Q139=1,INDEX(新属性投放!R$20:R$23,卡牌属性!M139-1),INDEX(新属性投放!R$25:R$28,卡牌属性!M139-1)))/SQRT(INDEX($I$5:$I$42,L139)),2)</f>
        <v>5939.02</v>
      </c>
      <c r="U139" s="29" t="s">
        <v>178</v>
      </c>
      <c r="V139" s="14">
        <f>ROUND((IF(Q139=1,INDEX(新属性投放!$K$14:$K$34,卡牌属性!R139),INDEX(新属性投放!$K$42:$K$62,卡牌属性!R139))+IF(Q139=1,INDEX(新属性投放!S$20:S$23,卡牌属性!M139-1),INDEX(新属性投放!S$25:S$28,卡牌属性!M139-1)))*INDEX($G$5:$G$42,L139),2)</f>
        <v>2870.11</v>
      </c>
      <c r="W139" s="29" t="s">
        <v>179</v>
      </c>
      <c r="X139" s="14">
        <f>ROUND((IF(Q139=1,INDEX(新属性投放!$L$14:$L$34,卡牌属性!R139),INDEX(新属性投放!$L$42:$L$62,卡牌属性!R139))*INDEX($G$5:$G$42,L139)+IF(Q139=1,INDEX(新属性投放!T$20:T$23,卡牌属性!M139-1),INDEX(新属性投放!T$25:T$28,卡牌属性!M139-1)))*SQRT(INDEX($I$5:$I$42,L139)),2)</f>
        <v>18277.05</v>
      </c>
      <c r="Y139" s="29" t="s">
        <v>177</v>
      </c>
      <c r="Z139" s="14">
        <f>ROUND(IF(Q139=1,INDEX(新属性投放!$D$14:$D$34,卡牌属性!R139),INDEX(新属性投放!$D$42:$D$62,卡牌属性!R139))*INDEX($G$5:$G$42,L139)/SQRT(INDEX($I$5:$I$42,L139)),2)</f>
        <v>146.68</v>
      </c>
      <c r="AA139" s="29" t="s">
        <v>178</v>
      </c>
      <c r="AB139" s="14">
        <f>ROUND(IF(Q139=1,INDEX(新属性投放!$E$14:$E$34,卡牌属性!R139),INDEX(新属性投放!$E$42:$E$62,卡牌属性!R139))*INDEX($G$5:$G$42,L139),2)</f>
        <v>73.34</v>
      </c>
      <c r="AC139" s="29" t="s">
        <v>179</v>
      </c>
      <c r="AD139" s="14">
        <f>ROUND(IF(Q139=1,INDEX(新属性投放!$F$14:$F$34,卡牌属性!R139),INDEX(新属性投放!$F$42:$F$62,卡牌属性!R139))*INDEX($G$5:$G$42,L139)*SQRT(INDEX($I$5:$I$42,L139)),2)</f>
        <v>440.04</v>
      </c>
      <c r="AF139" s="14">
        <f t="shared" si="67"/>
        <v>1466</v>
      </c>
      <c r="AG139" s="14">
        <f t="shared" si="68"/>
        <v>733</v>
      </c>
      <c r="AH139" s="14">
        <f t="shared" si="69"/>
        <v>4400</v>
      </c>
      <c r="AJ139" s="14">
        <f t="shared" si="58"/>
        <v>6712</v>
      </c>
      <c r="AK139" s="14">
        <f t="shared" si="59"/>
        <v>3352</v>
      </c>
      <c r="AL139" s="14">
        <f t="shared" si="60"/>
        <v>20143</v>
      </c>
    </row>
    <row r="140" spans="11:38" ht="16.5" x14ac:dyDescent="0.2">
      <c r="K140" s="13">
        <v>137</v>
      </c>
      <c r="L140" s="13">
        <f t="shared" si="61"/>
        <v>7</v>
      </c>
      <c r="M140" s="13">
        <f t="shared" si="62"/>
        <v>4</v>
      </c>
      <c r="N140" s="14">
        <f t="shared" si="63"/>
        <v>1101007</v>
      </c>
      <c r="O140" s="14" t="str">
        <f t="shared" si="64"/>
        <v>战斗曹焱兵11突</v>
      </c>
      <c r="P140" s="29" t="s">
        <v>470</v>
      </c>
      <c r="Q140" s="14">
        <f t="shared" si="65"/>
        <v>1</v>
      </c>
      <c r="R140" s="14">
        <f t="shared" si="66"/>
        <v>11</v>
      </c>
      <c r="S140" s="14" t="s">
        <v>39</v>
      </c>
      <c r="T140" s="14">
        <f>ROUND(((IF(Q140=1,INDEX(新属性投放!$J$14:$J$34,卡牌属性!R140),INDEX(新属性投放!$J$42:$J$62,卡牌属性!R140)))*INDEX($G$5:$G$42,L140)+IF(Q140=1,INDEX(新属性投放!R$20:R$23,卡牌属性!M140-1),INDEX(新属性投放!R$25:R$28,卡牌属性!M140-1)))/SQRT(INDEX($I$5:$I$42,L140)),2)</f>
        <v>6855.71</v>
      </c>
      <c r="U140" s="29" t="s">
        <v>178</v>
      </c>
      <c r="V140" s="14">
        <f>ROUND((IF(Q140=1,INDEX(新属性投放!$K$14:$K$34,卡牌属性!R140),INDEX(新属性投放!$K$42:$K$62,卡牌属性!R140))+IF(Q140=1,INDEX(新属性投放!S$20:S$23,卡牌属性!M140-1),INDEX(新属性投放!S$25:S$28,卡牌属性!M140-1)))*INDEX($G$5:$G$42,L140),2)</f>
        <v>3329.11</v>
      </c>
      <c r="W140" s="29" t="s">
        <v>179</v>
      </c>
      <c r="X140" s="14">
        <f>ROUND((IF(Q140=1,INDEX(新属性投放!$L$14:$L$34,卡牌属性!R140),INDEX(新属性投放!$L$42:$L$62,卡牌属性!R140))*INDEX($G$5:$G$42,L140)+IF(Q140=1,INDEX(新属性投放!T$20:T$23,卡牌属性!M140-1),INDEX(新属性投放!T$25:T$28,卡牌属性!M140-1)))*SQRT(INDEX($I$5:$I$42,L140)),2)</f>
        <v>21027.13</v>
      </c>
      <c r="Y140" s="29" t="s">
        <v>177</v>
      </c>
      <c r="Z140" s="14">
        <f>ROUND(IF(Q140=1,INDEX(新属性投放!$D$14:$D$34,卡牌属性!R140),INDEX(新属性投放!$D$42:$D$62,卡牌属性!R140))*INDEX($G$5:$G$42,L140)/SQRT(INDEX($I$5:$I$42,L140)),2)</f>
        <v>171.05</v>
      </c>
      <c r="AA140" s="29" t="s">
        <v>178</v>
      </c>
      <c r="AB140" s="14">
        <f>ROUND(IF(Q140=1,INDEX(新属性投放!$E$14:$E$34,卡牌属性!R140),INDEX(新属性投放!$E$42:$E$62,卡牌属性!R140))*INDEX($G$5:$G$42,L140),2)</f>
        <v>85.53</v>
      </c>
      <c r="AC140" s="29" t="s">
        <v>179</v>
      </c>
      <c r="AD140" s="14">
        <f>ROUND(IF(Q140=1,INDEX(新属性投放!$F$14:$F$34,卡牌属性!R140),INDEX(新属性投放!$F$42:$F$62,卡牌属性!R140))*INDEX($G$5:$G$42,L140)*SQRT(INDEX($I$5:$I$42,L140)),2)</f>
        <v>513.16</v>
      </c>
      <c r="AF140" s="14">
        <f t="shared" si="67"/>
        <v>1710</v>
      </c>
      <c r="AG140" s="14">
        <f t="shared" si="68"/>
        <v>855</v>
      </c>
      <c r="AH140" s="14">
        <f t="shared" si="69"/>
        <v>5131</v>
      </c>
      <c r="AJ140" s="14">
        <f t="shared" si="58"/>
        <v>8422</v>
      </c>
      <c r="AK140" s="14">
        <f t="shared" si="59"/>
        <v>4207</v>
      </c>
      <c r="AL140" s="14">
        <f t="shared" si="60"/>
        <v>25274</v>
      </c>
    </row>
    <row r="141" spans="11:38" ht="16.5" x14ac:dyDescent="0.2">
      <c r="K141" s="13">
        <v>138</v>
      </c>
      <c r="L141" s="13">
        <f t="shared" si="61"/>
        <v>7</v>
      </c>
      <c r="M141" s="13">
        <f t="shared" si="62"/>
        <v>4</v>
      </c>
      <c r="N141" s="14">
        <f t="shared" si="63"/>
        <v>1101007</v>
      </c>
      <c r="O141" s="14" t="str">
        <f t="shared" si="64"/>
        <v>战斗曹焱兵12突</v>
      </c>
      <c r="P141" s="29" t="s">
        <v>470</v>
      </c>
      <c r="Q141" s="14">
        <f t="shared" si="65"/>
        <v>1</v>
      </c>
      <c r="R141" s="14">
        <f t="shared" si="66"/>
        <v>12</v>
      </c>
      <c r="S141" s="14" t="s">
        <v>39</v>
      </c>
      <c r="T141" s="14">
        <f>ROUND(((IF(Q141=1,INDEX(新属性投放!$J$14:$J$34,卡牌属性!R141),INDEX(新属性投放!$J$42:$J$62,卡牌属性!R141)))*INDEX($G$5:$G$42,L141)+IF(Q141=1,INDEX(新属性投放!R$20:R$23,卡牌属性!M141-1),INDEX(新属性投放!R$25:R$28,卡牌属性!M141-1)))/SQRT(INDEX($I$5:$I$42,L141)),2)</f>
        <v>7924.18</v>
      </c>
      <c r="U141" s="29" t="s">
        <v>178</v>
      </c>
      <c r="V141" s="14">
        <f>ROUND((IF(Q141=1,INDEX(新属性投放!$K$14:$K$34,卡牌属性!R141),INDEX(新属性投放!$K$42:$K$62,卡牌属性!R141))+IF(Q141=1,INDEX(新属性投放!S$20:S$23,卡牌属性!M141-1),INDEX(新属性投放!S$25:S$28,卡牌属性!M141-1)))*INDEX($G$5:$G$42,L141),2)</f>
        <v>3863.34</v>
      </c>
      <c r="W141" s="29" t="s">
        <v>179</v>
      </c>
      <c r="X141" s="14">
        <f>ROUND((IF(Q141=1,INDEX(新属性投放!$L$14:$L$34,卡牌属性!R141),INDEX(新属性投放!$L$42:$L$62,卡牌属性!R141))*INDEX($G$5:$G$42,L141)+IF(Q141=1,INDEX(新属性投放!T$20:T$23,卡牌属性!M141-1),INDEX(新属性投放!T$25:T$28,卡牌属性!M141-1)))*SQRT(INDEX($I$5:$I$42,L141)),2)</f>
        <v>24232.54</v>
      </c>
      <c r="Y141" s="29" t="s">
        <v>177</v>
      </c>
      <c r="Z141" s="14">
        <f>ROUND(IF(Q141=1,INDEX(新属性投放!$D$14:$D$34,卡牌属性!R141),INDEX(新属性投放!$D$42:$D$62,卡牌属性!R141))*INDEX($G$5:$G$42,L141)/SQRT(INDEX($I$5:$I$42,L141)),2)</f>
        <v>195.61</v>
      </c>
      <c r="AA141" s="29" t="s">
        <v>178</v>
      </c>
      <c r="AB141" s="14">
        <f>ROUND(IF(Q141=1,INDEX(新属性投放!$E$14:$E$34,卡牌属性!R141),INDEX(新属性投放!$E$42:$E$62,卡牌属性!R141))*INDEX($G$5:$G$42,L141),2)</f>
        <v>97.81</v>
      </c>
      <c r="AC141" s="29" t="s">
        <v>179</v>
      </c>
      <c r="AD141" s="14">
        <f>ROUND(IF(Q141=1,INDEX(新属性投放!$F$14:$F$34,卡牌属性!R141),INDEX(新属性投放!$F$42:$F$62,卡牌属性!R141))*INDEX($G$5:$G$42,L141)*SQRT(INDEX($I$5:$I$42,L141)),2)</f>
        <v>586.83000000000004</v>
      </c>
      <c r="AF141" s="14">
        <f t="shared" si="67"/>
        <v>1956</v>
      </c>
      <c r="AG141" s="14">
        <f t="shared" si="68"/>
        <v>978</v>
      </c>
      <c r="AH141" s="14">
        <f t="shared" si="69"/>
        <v>5868</v>
      </c>
      <c r="AJ141" s="14">
        <f t="shared" si="58"/>
        <v>10378</v>
      </c>
      <c r="AK141" s="14">
        <f t="shared" si="59"/>
        <v>5185</v>
      </c>
      <c r="AL141" s="14">
        <f t="shared" si="60"/>
        <v>31142</v>
      </c>
    </row>
    <row r="142" spans="11:38" ht="16.5" x14ac:dyDescent="0.2">
      <c r="K142" s="13">
        <v>139</v>
      </c>
      <c r="L142" s="13">
        <f t="shared" si="61"/>
        <v>7</v>
      </c>
      <c r="M142" s="13">
        <f t="shared" si="62"/>
        <v>4</v>
      </c>
      <c r="N142" s="14">
        <f t="shared" si="63"/>
        <v>1101007</v>
      </c>
      <c r="O142" s="14" t="str">
        <f t="shared" si="64"/>
        <v>战斗曹焱兵13突</v>
      </c>
      <c r="P142" s="29" t="s">
        <v>470</v>
      </c>
      <c r="Q142" s="14">
        <f t="shared" si="65"/>
        <v>1</v>
      </c>
      <c r="R142" s="14">
        <f t="shared" si="66"/>
        <v>13</v>
      </c>
      <c r="S142" s="14" t="s">
        <v>39</v>
      </c>
      <c r="T142" s="14">
        <f>ROUND(((IF(Q142=1,INDEX(新属性投放!$J$14:$J$34,卡牌属性!R142),INDEX(新属性投放!$J$42:$J$62,卡牌属性!R142)))*INDEX($G$5:$G$42,L142)+IF(Q142=1,INDEX(新属性投放!R$20:R$23,卡牌属性!M142-1),INDEX(新属性投放!R$25:R$28,卡牌属性!M142-1)))/SQRT(INDEX($I$5:$I$42,L142)),2)</f>
        <v>9146.64</v>
      </c>
      <c r="U142" s="29" t="s">
        <v>178</v>
      </c>
      <c r="V142" s="14">
        <f>ROUND((IF(Q142=1,INDEX(新属性投放!$K$14:$K$34,卡牌属性!R142),INDEX(新属性投放!$K$42:$K$62,卡牌属性!R142))+IF(Q142=1,INDEX(新属性投放!S$20:S$23,卡牌属性!M142-1),INDEX(新属性投放!S$25:S$28,卡牌属性!M142-1)))*INDEX($G$5:$G$42,L142),2)</f>
        <v>4474.57</v>
      </c>
      <c r="W142" s="29" t="s">
        <v>179</v>
      </c>
      <c r="X142" s="14">
        <f>ROUND((IF(Q142=1,INDEX(新属性投放!$L$14:$L$34,卡牌属性!R142),INDEX(新属性投放!$L$42:$L$62,卡牌属性!R142))*INDEX($G$5:$G$42,L142)+IF(Q142=1,INDEX(新属性投放!T$20:T$23,卡牌属性!M142-1),INDEX(新属性投放!T$25:T$28,卡牌属性!M142-1)))*SQRT(INDEX($I$5:$I$42,L142)),2)</f>
        <v>27899.91</v>
      </c>
      <c r="Y142" s="29" t="s">
        <v>177</v>
      </c>
      <c r="Z142" s="14">
        <f>ROUND(IF(Q142=1,INDEX(新属性投放!$D$14:$D$34,卡牌属性!R142),INDEX(新属性投放!$D$42:$D$62,卡牌属性!R142))*INDEX($G$5:$G$42,L142)/SQRT(INDEX($I$5:$I$42,L142)),2)</f>
        <v>226.16</v>
      </c>
      <c r="AA142" s="29" t="s">
        <v>178</v>
      </c>
      <c r="AB142" s="14">
        <f>ROUND(IF(Q142=1,INDEX(新属性投放!$E$14:$E$34,卡牌属性!R142),INDEX(新属性投放!$E$42:$E$62,卡牌属性!R142))*INDEX($G$5:$G$42,L142),2)</f>
        <v>113.08</v>
      </c>
      <c r="AC142" s="29" t="s">
        <v>179</v>
      </c>
      <c r="AD142" s="14">
        <f>ROUND(IF(Q142=1,INDEX(新属性投放!$F$14:$F$34,卡牌属性!R142),INDEX(新属性投放!$F$42:$F$62,卡牌属性!R142))*INDEX($G$5:$G$42,L142)*SQRT(INDEX($I$5:$I$42,L142)),2)</f>
        <v>678.48</v>
      </c>
      <c r="AF142" s="14">
        <f t="shared" si="67"/>
        <v>2261</v>
      </c>
      <c r="AG142" s="14">
        <f t="shared" si="68"/>
        <v>1130</v>
      </c>
      <c r="AH142" s="14">
        <f t="shared" si="69"/>
        <v>6784</v>
      </c>
      <c r="AJ142" s="14">
        <f t="shared" si="58"/>
        <v>12639</v>
      </c>
      <c r="AK142" s="14">
        <f t="shared" si="59"/>
        <v>6315</v>
      </c>
      <c r="AL142" s="14">
        <f t="shared" si="60"/>
        <v>37926</v>
      </c>
    </row>
    <row r="143" spans="11:38" ht="16.5" x14ac:dyDescent="0.2">
      <c r="K143" s="13">
        <v>140</v>
      </c>
      <c r="L143" s="13">
        <f t="shared" si="61"/>
        <v>7</v>
      </c>
      <c r="M143" s="13">
        <f t="shared" si="62"/>
        <v>4</v>
      </c>
      <c r="N143" s="14">
        <f t="shared" si="63"/>
        <v>1101007</v>
      </c>
      <c r="O143" s="14" t="str">
        <f t="shared" si="64"/>
        <v>战斗曹焱兵14突</v>
      </c>
      <c r="P143" s="29" t="s">
        <v>470</v>
      </c>
      <c r="Q143" s="14">
        <f t="shared" si="65"/>
        <v>1</v>
      </c>
      <c r="R143" s="14">
        <f t="shared" si="66"/>
        <v>14</v>
      </c>
      <c r="S143" s="14" t="s">
        <v>39</v>
      </c>
      <c r="T143" s="14">
        <f>ROUND(((IF(Q143=1,INDEX(新属性投放!$J$14:$J$34,卡牌属性!R143),INDEX(新属性投放!$J$42:$J$62,卡牌属性!R143)))*INDEX($G$5:$G$42,L143)+IF(Q143=1,INDEX(新属性投放!R$20:R$23,卡牌属性!M143-1),INDEX(新属性投放!R$25:R$28,卡牌属性!M143-1)))/SQRT(INDEX($I$5:$I$42,L143)),2)</f>
        <v>10559.54</v>
      </c>
      <c r="U143" s="29" t="s">
        <v>178</v>
      </c>
      <c r="V143" s="14">
        <f>ROUND((IF(Q143=1,INDEX(新属性投放!$K$14:$K$34,卡牌属性!R143),INDEX(新属性投放!$K$42:$K$62,卡牌属性!R143))+IF(Q143=1,INDEX(新属性投放!S$20:S$23,卡牌属性!M143-1),INDEX(新属性投放!S$25:S$28,卡牌属性!M143-1)))*INDEX($G$5:$G$42,L143),2)</f>
        <v>5181.67</v>
      </c>
      <c r="W143" s="29" t="s">
        <v>179</v>
      </c>
      <c r="X143" s="14">
        <f>ROUND((IF(Q143=1,INDEX(新属性投放!$L$14:$L$34,卡牌属性!R143),INDEX(新属性投放!$L$42:$L$62,卡牌属性!R143))*INDEX($G$5:$G$42,L143)+IF(Q143=1,INDEX(新属性投放!T$20:T$23,卡牌属性!M143-1),INDEX(新属性投放!T$25:T$28,卡牌属性!M143-1)))*SQRT(INDEX($I$5:$I$42,L143)),2)</f>
        <v>32138.62</v>
      </c>
      <c r="Y143" s="29" t="s">
        <v>177</v>
      </c>
      <c r="Z143" s="14">
        <f>ROUND(IF(Q143=1,INDEX(新属性投放!$D$14:$D$34,卡牌属性!R143),INDEX(新属性投放!$D$42:$D$62,卡牌属性!R143))*INDEX($G$5:$G$42,L143)/SQRT(INDEX($I$5:$I$42,L143)),2)</f>
        <v>261.5</v>
      </c>
      <c r="AA143" s="29" t="s">
        <v>178</v>
      </c>
      <c r="AB143" s="14">
        <f>ROUND(IF(Q143=1,INDEX(新属性投放!$E$14:$E$34,卡牌属性!R143),INDEX(新属性投放!$E$42:$E$62,卡牌属性!R143))*INDEX($G$5:$G$42,L143),2)</f>
        <v>130.75</v>
      </c>
      <c r="AC143" s="29" t="s">
        <v>179</v>
      </c>
      <c r="AD143" s="14">
        <f>ROUND(IF(Q143=1,INDEX(新属性投放!$F$14:$F$34,卡牌属性!R143),INDEX(新属性投放!$F$42:$F$62,卡牌属性!R143))*INDEX($G$5:$G$42,L143)*SQRT(INDEX($I$5:$I$42,L143)),2)</f>
        <v>784.49</v>
      </c>
      <c r="AF143" s="14">
        <f t="shared" si="67"/>
        <v>2615</v>
      </c>
      <c r="AG143" s="14">
        <f t="shared" si="68"/>
        <v>1307</v>
      </c>
      <c r="AH143" s="14">
        <f t="shared" si="69"/>
        <v>7844</v>
      </c>
      <c r="AJ143" s="14">
        <f t="shared" si="58"/>
        <v>15254</v>
      </c>
      <c r="AK143" s="14">
        <f t="shared" si="59"/>
        <v>7622</v>
      </c>
      <c r="AL143" s="14">
        <f t="shared" si="60"/>
        <v>45770</v>
      </c>
    </row>
    <row r="144" spans="11:38" ht="16.5" x14ac:dyDescent="0.2">
      <c r="K144" s="13">
        <v>141</v>
      </c>
      <c r="L144" s="13">
        <f t="shared" si="61"/>
        <v>7</v>
      </c>
      <c r="M144" s="13">
        <f t="shared" si="62"/>
        <v>4</v>
      </c>
      <c r="N144" s="14">
        <f t="shared" si="63"/>
        <v>1101007</v>
      </c>
      <c r="O144" s="14" t="str">
        <f t="shared" si="64"/>
        <v>战斗曹焱兵15突</v>
      </c>
      <c r="P144" s="29" t="s">
        <v>470</v>
      </c>
      <c r="Q144" s="14">
        <f t="shared" si="65"/>
        <v>1</v>
      </c>
      <c r="R144" s="14">
        <f t="shared" si="66"/>
        <v>15</v>
      </c>
      <c r="S144" s="14" t="s">
        <v>39</v>
      </c>
      <c r="T144" s="14">
        <f>ROUND(((IF(Q144=1,INDEX(新属性投放!$J$14:$J$34,卡牌属性!R144),INDEX(新属性投放!$J$42:$J$62,卡牌属性!R144)))*INDEX($G$5:$G$42,L144)+IF(Q144=1,INDEX(新属性投放!R$20:R$23,卡牌属性!M144-1),INDEX(新属性投放!R$25:R$28,卡牌属性!M144-1)))/SQRT(INDEX($I$5:$I$42,L144)),2)</f>
        <v>12193.32</v>
      </c>
      <c r="U144" s="29" t="s">
        <v>178</v>
      </c>
      <c r="V144" s="14">
        <f>ROUND((IF(Q144=1,INDEX(新属性投放!$K$14:$K$34,卡牌属性!R144),INDEX(新属性投放!$K$42:$K$62,卡牌属性!R144))+IF(Q144=1,INDEX(新属性投放!S$20:S$23,卡牌属性!M144-1),INDEX(新属性投放!S$25:S$28,卡牌属性!M144-1)))*INDEX($G$5:$G$42,L144),2)</f>
        <v>5999.21</v>
      </c>
      <c r="W144" s="29" t="s">
        <v>179</v>
      </c>
      <c r="X144" s="14">
        <f>ROUND((IF(Q144=1,INDEX(新属性投放!$L$14:$L$34,卡牌属性!R144),INDEX(新属性投放!$L$42:$L$62,卡牌属性!R144))*INDEX($G$5:$G$42,L144)+IF(Q144=1,INDEX(新属性投放!T$20:T$23,卡牌属性!M144-1),INDEX(新属性投放!T$25:T$28,卡牌属性!M144-1)))*SQRT(INDEX($I$5:$I$42,L144)),2)</f>
        <v>37039.949999999997</v>
      </c>
      <c r="Y144" s="29" t="s">
        <v>177</v>
      </c>
      <c r="Z144" s="14">
        <f>ROUND(IF(Q144=1,INDEX(新属性投放!$D$14:$D$34,卡牌属性!R144),INDEX(新属性投放!$D$42:$D$62,卡牌属性!R144))*INDEX($G$5:$G$42,L144)/SQRT(INDEX($I$5:$I$42,L144)),2)</f>
        <v>302.33</v>
      </c>
      <c r="AA144" s="29" t="s">
        <v>178</v>
      </c>
      <c r="AB144" s="14">
        <f>ROUND(IF(Q144=1,INDEX(新属性投放!$E$14:$E$34,卡牌属性!R144),INDEX(新属性投放!$E$42:$E$62,卡牌属性!R144))*INDEX($G$5:$G$42,L144),2)</f>
        <v>151.16</v>
      </c>
      <c r="AC144" s="29" t="s">
        <v>179</v>
      </c>
      <c r="AD144" s="14">
        <f>ROUND(IF(Q144=1,INDEX(新属性投放!$F$14:$F$34,卡牌属性!R144),INDEX(新属性投放!$F$42:$F$62,卡牌属性!R144))*INDEX($G$5:$G$42,L144)*SQRT(INDEX($I$5:$I$42,L144)),2)</f>
        <v>906.98</v>
      </c>
      <c r="AF144" s="14">
        <f t="shared" si="67"/>
        <v>3023</v>
      </c>
      <c r="AG144" s="14">
        <f t="shared" si="68"/>
        <v>1511</v>
      </c>
      <c r="AH144" s="14">
        <f t="shared" si="69"/>
        <v>9069</v>
      </c>
      <c r="AJ144" s="14">
        <f t="shared" si="58"/>
        <v>18277</v>
      </c>
      <c r="AK144" s="14">
        <f t="shared" si="59"/>
        <v>9133</v>
      </c>
      <c r="AL144" s="14">
        <f t="shared" si="60"/>
        <v>54839</v>
      </c>
    </row>
    <row r="145" spans="11:38" ht="16.5" x14ac:dyDescent="0.2">
      <c r="K145" s="13">
        <v>142</v>
      </c>
      <c r="L145" s="13">
        <f t="shared" si="61"/>
        <v>7</v>
      </c>
      <c r="M145" s="13">
        <f t="shared" si="62"/>
        <v>4</v>
      </c>
      <c r="N145" s="14">
        <f t="shared" si="63"/>
        <v>1101007</v>
      </c>
      <c r="O145" s="14" t="str">
        <f t="shared" si="64"/>
        <v>战斗曹焱兵16突</v>
      </c>
      <c r="P145" s="29" t="s">
        <v>470</v>
      </c>
      <c r="Q145" s="14">
        <f t="shared" si="65"/>
        <v>1</v>
      </c>
      <c r="R145" s="14">
        <f t="shared" si="66"/>
        <v>16</v>
      </c>
      <c r="S145" s="14" t="s">
        <v>39</v>
      </c>
      <c r="T145" s="14">
        <f>ROUND(((IF(Q145=1,INDEX(新属性投放!$J$14:$J$34,卡牌属性!R145),INDEX(新属性投放!$J$42:$J$62,卡牌属性!R145)))*INDEX($G$5:$G$42,L145)+IF(Q145=1,INDEX(新属性投放!R$20:R$23,卡牌属性!M145-1),INDEX(新属性投放!R$25:R$28,卡牌属性!M145-1)))/SQRT(INDEX($I$5:$I$42,L145)),2)</f>
        <v>14083.26</v>
      </c>
      <c r="U145" s="29" t="s">
        <v>178</v>
      </c>
      <c r="V145" s="14">
        <f>ROUND((IF(Q145=1,INDEX(新属性投放!$K$14:$K$34,卡牌属性!R145),INDEX(新属性投放!$K$42:$K$62,卡牌属性!R145))+IF(Q145=1,INDEX(新属性投放!S$20:S$23,卡牌属性!M145-1),INDEX(新属性投放!S$25:S$28,卡牌属性!M145-1)))*INDEX($G$5:$G$42,L145),2)</f>
        <v>6943.53</v>
      </c>
      <c r="W145" s="29" t="s">
        <v>179</v>
      </c>
      <c r="X145" s="14">
        <f>ROUND((IF(Q145=1,INDEX(新属性投放!$L$14:$L$34,卡牌属性!R145),INDEX(新属性投放!$L$42:$L$62,卡牌属性!R145))*INDEX($G$5:$G$42,L145)+IF(Q145=1,INDEX(新属性投放!T$20:T$23,卡牌属性!M145-1),INDEX(新属性投放!T$25:T$28,卡牌属性!M145-1)))*SQRT(INDEX($I$5:$I$42,L145)),2)</f>
        <v>42709.77</v>
      </c>
      <c r="Y145" s="29" t="s">
        <v>177</v>
      </c>
      <c r="Z145" s="14">
        <f>ROUND(IF(Q145=1,INDEX(新属性投放!$D$14:$D$34,卡牌属性!R145),INDEX(新属性投放!$D$42:$D$62,卡牌属性!R145))*INDEX($G$5:$G$42,L145)/SQRT(INDEX($I$5:$I$42,L145)),2)</f>
        <v>349.58</v>
      </c>
      <c r="AA145" s="29" t="s">
        <v>178</v>
      </c>
      <c r="AB145" s="14">
        <f>ROUND(IF(Q145=1,INDEX(新属性投放!$E$14:$E$34,卡牌属性!R145),INDEX(新属性投放!$E$42:$E$62,卡牌属性!R145))*INDEX($G$5:$G$42,L145),2)</f>
        <v>174.79</v>
      </c>
      <c r="AC145" s="29" t="s">
        <v>179</v>
      </c>
      <c r="AD145" s="14">
        <f>ROUND(IF(Q145=1,INDEX(新属性投放!$F$14:$F$34,卡牌属性!R145),INDEX(新属性投放!$F$42:$F$62,卡牌属性!R145))*INDEX($G$5:$G$42,L145)*SQRT(INDEX($I$5:$I$42,L145)),2)</f>
        <v>1048.75</v>
      </c>
      <c r="AF145" s="14">
        <f t="shared" si="67"/>
        <v>3495</v>
      </c>
      <c r="AG145" s="14">
        <f t="shared" si="68"/>
        <v>1747</v>
      </c>
      <c r="AH145" s="14">
        <f t="shared" si="69"/>
        <v>10487</v>
      </c>
      <c r="AJ145" s="14">
        <f t="shared" si="58"/>
        <v>21772</v>
      </c>
      <c r="AK145" s="14">
        <f t="shared" si="59"/>
        <v>10880</v>
      </c>
      <c r="AL145" s="14">
        <f t="shared" si="60"/>
        <v>65326</v>
      </c>
    </row>
    <row r="146" spans="11:38" ht="16.5" x14ac:dyDescent="0.2">
      <c r="K146" s="13">
        <v>143</v>
      </c>
      <c r="L146" s="13">
        <f t="shared" si="61"/>
        <v>7</v>
      </c>
      <c r="M146" s="13">
        <f t="shared" si="62"/>
        <v>4</v>
      </c>
      <c r="N146" s="14">
        <f t="shared" si="63"/>
        <v>1101007</v>
      </c>
      <c r="O146" s="14" t="str">
        <f t="shared" si="64"/>
        <v>战斗曹焱兵17突</v>
      </c>
      <c r="P146" s="29" t="s">
        <v>470</v>
      </c>
      <c r="Q146" s="14">
        <f t="shared" si="65"/>
        <v>1</v>
      </c>
      <c r="R146" s="14">
        <f t="shared" si="66"/>
        <v>17</v>
      </c>
      <c r="S146" s="14" t="s">
        <v>39</v>
      </c>
      <c r="T146" s="14">
        <f>ROUND(((IF(Q146=1,INDEX(新属性投放!$J$14:$J$34,卡牌属性!R146),INDEX(新属性投放!$J$42:$J$62,卡牌属性!R146)))*INDEX($G$5:$G$42,L146)+IF(Q146=1,INDEX(新属性投放!R$20:R$23,卡牌属性!M146-1),INDEX(新属性投放!R$25:R$28,卡牌属性!M146-1)))/SQRT(INDEX($I$5:$I$42,L146)),2)</f>
        <v>16267.97</v>
      </c>
      <c r="U146" s="29" t="s">
        <v>178</v>
      </c>
      <c r="V146" s="14">
        <f>ROUND((IF(Q146=1,INDEX(新属性投放!$K$14:$K$34,卡牌属性!R146),INDEX(新属性投放!$K$42:$K$62,卡牌属性!R146))+IF(Q146=1,INDEX(新属性投放!S$20:S$23,卡牌属性!M146-1),INDEX(新属性投放!S$25:S$28,卡牌属性!M146-1)))*INDEX($G$5:$G$42,L146),2)</f>
        <v>8035.89</v>
      </c>
      <c r="W146" s="29" t="s">
        <v>179</v>
      </c>
      <c r="X146" s="14">
        <f>ROUND((IF(Q146=1,INDEX(新属性投放!$L$14:$L$34,卡牌属性!R146),INDEX(新属性投放!$L$42:$L$62,卡牌属性!R146))*INDEX($G$5:$G$42,L146)+IF(Q146=1,INDEX(新属性投放!T$20:T$23,卡牌属性!M146-1),INDEX(新属性投放!T$25:T$28,卡牌属性!M146-1)))*SQRT(INDEX($I$5:$I$42,L146)),2)</f>
        <v>49263.91</v>
      </c>
      <c r="Y146" s="29" t="s">
        <v>177</v>
      </c>
      <c r="Z146" s="14">
        <f>ROUND(IF(Q146=1,INDEX(新属性投放!$D$14:$D$34,卡牌属性!R146),INDEX(新属性投放!$D$42:$D$62,卡牌属性!R146))*INDEX($G$5:$G$42,L146)/SQRT(INDEX($I$5:$I$42,L146)),2)</f>
        <v>404.2</v>
      </c>
      <c r="AA146" s="29" t="s">
        <v>178</v>
      </c>
      <c r="AB146" s="14">
        <f>ROUND(IF(Q146=1,INDEX(新属性投放!$E$14:$E$34,卡牌属性!R146),INDEX(新属性投放!$E$42:$E$62,卡牌属性!R146))*INDEX($G$5:$G$42,L146),2)</f>
        <v>202.1</v>
      </c>
      <c r="AC146" s="29" t="s">
        <v>179</v>
      </c>
      <c r="AD146" s="14">
        <f>ROUND(IF(Q146=1,INDEX(新属性投放!$F$14:$F$34,卡牌属性!R146),INDEX(新属性投放!$F$42:$F$62,卡牌属性!R146))*INDEX($G$5:$G$42,L146)*SQRT(INDEX($I$5:$I$42,L146)),2)</f>
        <v>1212.5899999999999</v>
      </c>
      <c r="AF146" s="14">
        <f t="shared" si="67"/>
        <v>4042</v>
      </c>
      <c r="AG146" s="14">
        <f t="shared" si="68"/>
        <v>2021</v>
      </c>
      <c r="AH146" s="14">
        <f t="shared" si="69"/>
        <v>12125</v>
      </c>
      <c r="AJ146" s="14">
        <f t="shared" si="58"/>
        <v>25814</v>
      </c>
      <c r="AK146" s="14">
        <f t="shared" si="59"/>
        <v>12901</v>
      </c>
      <c r="AL146" s="14">
        <f t="shared" si="60"/>
        <v>77451</v>
      </c>
    </row>
    <row r="147" spans="11:38" ht="16.5" x14ac:dyDescent="0.2">
      <c r="K147" s="13">
        <v>144</v>
      </c>
      <c r="L147" s="13">
        <f t="shared" si="61"/>
        <v>7</v>
      </c>
      <c r="M147" s="13">
        <f t="shared" si="62"/>
        <v>4</v>
      </c>
      <c r="N147" s="14">
        <f t="shared" si="63"/>
        <v>1101007</v>
      </c>
      <c r="O147" s="14" t="str">
        <f t="shared" si="64"/>
        <v>战斗曹焱兵18突</v>
      </c>
      <c r="P147" s="29" t="s">
        <v>470</v>
      </c>
      <c r="Q147" s="14">
        <f t="shared" si="65"/>
        <v>1</v>
      </c>
      <c r="R147" s="14">
        <f t="shared" si="66"/>
        <v>18</v>
      </c>
      <c r="S147" s="14" t="s">
        <v>39</v>
      </c>
      <c r="T147" s="14">
        <f>ROUND(((IF(Q147=1,INDEX(新属性投放!$J$14:$J$34,卡牌属性!R147),INDEX(新属性投放!$J$42:$J$62,卡牌属性!R147)))*INDEX($G$5:$G$42,L147)+IF(Q147=1,INDEX(新属性投放!R$20:R$23,卡牌属性!M147-1),INDEX(新属性投放!R$25:R$28,卡牌属性!M147-1)))/SQRT(INDEX($I$5:$I$42,L147)),2)</f>
        <v>18794.650000000001</v>
      </c>
      <c r="U147" s="29" t="s">
        <v>178</v>
      </c>
      <c r="V147" s="14">
        <f>ROUND((IF(Q147=1,INDEX(新属性投放!$K$14:$K$34,卡牌属性!R147),INDEX(新属性投放!$K$42:$K$62,卡牌属性!R147))+IF(Q147=1,INDEX(新属性投放!S$20:S$23,卡牌属性!M147-1),INDEX(新属性投放!S$25:S$28,卡牌属性!M147-1)))*INDEX($G$5:$G$42,L147),2)</f>
        <v>9298.58</v>
      </c>
      <c r="W147" s="29" t="s">
        <v>179</v>
      </c>
      <c r="X147" s="14">
        <f>ROUND((IF(Q147=1,INDEX(新属性投放!$L$14:$L$34,卡牌属性!R147),INDEX(新属性投放!$L$42:$L$62,卡牌属性!R147))*INDEX($G$5:$G$42,L147)+IF(Q147=1,INDEX(新属性投放!T$20:T$23,卡牌属性!M147-1),INDEX(新属性投放!T$25:T$28,卡牌属性!M147-1)))*SQRT(INDEX($I$5:$I$42,L147)),2)</f>
        <v>56843.95</v>
      </c>
      <c r="Y147" s="29" t="s">
        <v>177</v>
      </c>
      <c r="Z147" s="14">
        <f>ROUND(IF(Q147=1,INDEX(新属性投放!$D$14:$D$34,卡牌属性!R147),INDEX(新属性投放!$D$42:$D$62,卡牌属性!R147))*INDEX($G$5:$G$42,L147)/SQRT(INDEX($I$5:$I$42,L147)),2)</f>
        <v>467.36</v>
      </c>
      <c r="AA147" s="29" t="s">
        <v>178</v>
      </c>
      <c r="AB147" s="14">
        <f>ROUND(IF(Q147=1,INDEX(新属性投放!$E$14:$E$34,卡牌属性!R147),INDEX(新属性投放!$E$42:$E$62,卡牌属性!R147))*INDEX($G$5:$G$42,L147),2)</f>
        <v>233.68</v>
      </c>
      <c r="AC147" s="29" t="s">
        <v>179</v>
      </c>
      <c r="AD147" s="14">
        <f>ROUND(IF(Q147=1,INDEX(新属性投放!$F$14:$F$34,卡牌属性!R147),INDEX(新属性投放!$F$42:$F$62,卡牌属性!R147))*INDEX($G$5:$G$42,L147)*SQRT(INDEX($I$5:$I$42,L147)),2)</f>
        <v>1402.09</v>
      </c>
      <c r="AF147" s="14">
        <f t="shared" si="67"/>
        <v>4673</v>
      </c>
      <c r="AG147" s="14">
        <f t="shared" si="68"/>
        <v>2336</v>
      </c>
      <c r="AH147" s="14">
        <f t="shared" si="69"/>
        <v>14020</v>
      </c>
      <c r="AJ147" s="14">
        <f t="shared" si="58"/>
        <v>30487</v>
      </c>
      <c r="AK147" s="14">
        <f t="shared" si="59"/>
        <v>15237</v>
      </c>
      <c r="AL147" s="14">
        <f t="shared" si="60"/>
        <v>91471</v>
      </c>
    </row>
    <row r="148" spans="11:38" ht="16.5" x14ac:dyDescent="0.2">
      <c r="K148" s="13">
        <v>145</v>
      </c>
      <c r="L148" s="13">
        <f t="shared" si="61"/>
        <v>7</v>
      </c>
      <c r="M148" s="13">
        <f t="shared" si="62"/>
        <v>4</v>
      </c>
      <c r="N148" s="14">
        <f t="shared" si="63"/>
        <v>1101007</v>
      </c>
      <c r="O148" s="14" t="str">
        <f t="shared" si="64"/>
        <v>战斗曹焱兵19突</v>
      </c>
      <c r="P148" s="29" t="s">
        <v>470</v>
      </c>
      <c r="Q148" s="14">
        <f t="shared" si="65"/>
        <v>1</v>
      </c>
      <c r="R148" s="14">
        <f t="shared" si="66"/>
        <v>19</v>
      </c>
      <c r="S148" s="14" t="s">
        <v>39</v>
      </c>
      <c r="T148" s="14">
        <f>ROUND(((IF(Q148=1,INDEX(新属性投放!$J$14:$J$34,卡牌属性!R148),INDEX(新属性投放!$J$42:$J$62,卡牌属性!R148)))*INDEX($G$5:$G$42,L148)+IF(Q148=1,INDEX(新属性投放!R$20:R$23,卡牌属性!M148-1),INDEX(新属性投放!R$25:R$28,卡牌属性!M148-1)))/SQRT(INDEX($I$5:$I$42,L148)),2)</f>
        <v>21715.17</v>
      </c>
      <c r="U148" s="29" t="s">
        <v>178</v>
      </c>
      <c r="V148" s="14">
        <f>ROUND((IF(Q148=1,INDEX(新属性投放!$K$14:$K$34,卡牌属性!R148),INDEX(新属性投放!$K$42:$K$62,卡牌属性!R148))+IF(Q148=1,INDEX(新属性投放!S$20:S$23,卡牌属性!M148-1),INDEX(新属性投放!S$25:S$28,卡牌属性!M148-1)))*INDEX($G$5:$G$42,L148),2)</f>
        <v>10759.48</v>
      </c>
      <c r="W148" s="29" t="s">
        <v>179</v>
      </c>
      <c r="X148" s="14">
        <f>ROUND((IF(Q148=1,INDEX(新属性投放!$L$14:$L$34,卡牌属性!R148),INDEX(新属性投放!$L$42:$L$62,卡牌属性!R148))*INDEX($G$5:$G$42,L148)+IF(Q148=1,INDEX(新属性投放!T$20:T$23,卡牌属性!M148-1),INDEX(新属性投放!T$25:T$28,卡牌属性!M148-1)))*SQRT(INDEX($I$5:$I$42,L148)),2)</f>
        <v>65605.5</v>
      </c>
      <c r="Y148" s="29" t="s">
        <v>177</v>
      </c>
      <c r="Z148" s="14">
        <f>ROUND(IF(Q148=1,INDEX(新属性投放!$D$14:$D$34,卡牌属性!R148),INDEX(新属性投放!$D$42:$D$62,卡牌属性!R148))*INDEX($G$5:$G$42,L148)/SQRT(INDEX($I$5:$I$42,L148)),2)</f>
        <v>540.38</v>
      </c>
      <c r="AA148" s="29" t="s">
        <v>178</v>
      </c>
      <c r="AB148" s="14">
        <f>ROUND(IF(Q148=1,INDEX(新属性投放!$E$14:$E$34,卡牌属性!R148),INDEX(新属性投放!$E$42:$E$62,卡牌属性!R148))*INDEX($G$5:$G$42,L148),2)</f>
        <v>270.19</v>
      </c>
      <c r="AC148" s="29" t="s">
        <v>179</v>
      </c>
      <c r="AD148" s="14">
        <f>ROUND(IF(Q148=1,INDEX(新属性投放!$F$14:$F$34,卡牌属性!R148),INDEX(新属性投放!$F$42:$F$62,卡牌属性!R148))*INDEX($G$5:$G$42,L148)*SQRT(INDEX($I$5:$I$42,L148)),2)</f>
        <v>1621.15</v>
      </c>
      <c r="AF148" s="14">
        <f t="shared" si="67"/>
        <v>5403</v>
      </c>
      <c r="AG148" s="14">
        <f t="shared" si="68"/>
        <v>2701</v>
      </c>
      <c r="AH148" s="14">
        <f t="shared" si="69"/>
        <v>16211</v>
      </c>
      <c r="AJ148" s="14">
        <f t="shared" si="58"/>
        <v>35890</v>
      </c>
      <c r="AK148" s="14">
        <f t="shared" si="59"/>
        <v>17938</v>
      </c>
      <c r="AL148" s="14">
        <f t="shared" si="60"/>
        <v>107682</v>
      </c>
    </row>
    <row r="149" spans="11:38" ht="16.5" x14ac:dyDescent="0.2">
      <c r="K149" s="13">
        <v>146</v>
      </c>
      <c r="L149" s="13">
        <f t="shared" si="61"/>
        <v>7</v>
      </c>
      <c r="M149" s="13">
        <f t="shared" si="62"/>
        <v>4</v>
      </c>
      <c r="N149" s="14">
        <f t="shared" si="63"/>
        <v>1101007</v>
      </c>
      <c r="O149" s="14" t="str">
        <f t="shared" si="64"/>
        <v>战斗曹焱兵20突</v>
      </c>
      <c r="P149" s="29" t="s">
        <v>470</v>
      </c>
      <c r="Q149" s="14">
        <f t="shared" si="65"/>
        <v>1</v>
      </c>
      <c r="R149" s="14">
        <f t="shared" si="66"/>
        <v>20</v>
      </c>
      <c r="S149" s="14" t="s">
        <v>39</v>
      </c>
      <c r="T149" s="14">
        <f>ROUND(((IF(Q149=1,INDEX(新属性投放!$J$14:$J$34,卡牌属性!R149),INDEX(新属性投放!$J$42:$J$62,卡牌属性!R149)))*INDEX($G$5:$G$42,L149)+IF(Q149=1,INDEX(新属性投放!R$20:R$23,卡牌属性!M149-1),INDEX(新属性投放!R$25:R$28,卡牌属性!M149-1)))/SQRT(INDEX($I$5:$I$42,L149)),2)</f>
        <v>25093.09</v>
      </c>
      <c r="U149" s="29" t="s">
        <v>178</v>
      </c>
      <c r="V149" s="14">
        <f>ROUND((IF(Q149=1,INDEX(新属性投放!$K$14:$K$34,卡牌属性!R149),INDEX(新属性投放!$K$42:$K$62,卡牌属性!R149))+IF(Q149=1,INDEX(新属性投放!S$20:S$23,卡牌属性!M149-1),INDEX(新属性投放!S$25:S$28,卡牌属性!M149-1)))*INDEX($G$5:$G$42,L149),2)</f>
        <v>12448.44</v>
      </c>
      <c r="W149" s="29" t="s">
        <v>179</v>
      </c>
      <c r="X149" s="14">
        <f>ROUND((IF(Q149=1,INDEX(新属性投放!$L$14:$L$34,卡牌属性!R149),INDEX(新属性投放!$L$42:$L$62,卡牌属性!R149))*INDEX($G$5:$G$42,L149)+IF(Q149=1,INDEX(新属性投放!T$20:T$23,卡牌属性!M149-1),INDEX(新属性投放!T$25:T$28,卡牌属性!M149-1)))*SQRT(INDEX($I$5:$I$42,L149)),2)</f>
        <v>75739.259999999995</v>
      </c>
      <c r="Y149" s="29" t="s">
        <v>177</v>
      </c>
      <c r="Z149" s="14">
        <f>ROUND(IF(Q149=1,INDEX(新属性投放!$D$14:$D$34,卡牌属性!R149),INDEX(新属性投放!$D$42:$D$62,卡牌属性!R149))*INDEX($G$5:$G$42,L149)/SQRT(INDEX($I$5:$I$42,L149)),2)</f>
        <v>624.83000000000004</v>
      </c>
      <c r="AA149" s="29" t="s">
        <v>178</v>
      </c>
      <c r="AB149" s="14">
        <f>ROUND(IF(Q149=1,INDEX(新属性投放!$E$14:$E$34,卡牌属性!R149),INDEX(新属性投放!$E$42:$E$62,卡牌属性!R149))*INDEX($G$5:$G$42,L149),2)</f>
        <v>312.42</v>
      </c>
      <c r="AC149" s="29" t="s">
        <v>179</v>
      </c>
      <c r="AD149" s="14">
        <f>ROUND(IF(Q149=1,INDEX(新属性投放!$F$14:$F$34,卡牌属性!R149),INDEX(新属性投放!$F$42:$F$62,卡牌属性!R149))*INDEX($G$5:$G$42,L149)*SQRT(INDEX($I$5:$I$42,L149)),2)</f>
        <v>1874.5</v>
      </c>
      <c r="AF149" s="14">
        <f t="shared" si="67"/>
        <v>6248</v>
      </c>
      <c r="AG149" s="14">
        <f t="shared" si="68"/>
        <v>3124</v>
      </c>
      <c r="AH149" s="14">
        <f t="shared" si="69"/>
        <v>18745</v>
      </c>
      <c r="AJ149" s="14">
        <f t="shared" si="58"/>
        <v>42138</v>
      </c>
      <c r="AK149" s="14">
        <f t="shared" si="59"/>
        <v>21062</v>
      </c>
      <c r="AL149" s="14">
        <f t="shared" si="60"/>
        <v>126427</v>
      </c>
    </row>
    <row r="150" spans="11:38" ht="16.5" x14ac:dyDescent="0.2">
      <c r="K150" s="13">
        <v>147</v>
      </c>
      <c r="L150" s="13">
        <f t="shared" si="61"/>
        <v>7</v>
      </c>
      <c r="M150" s="13">
        <f t="shared" si="62"/>
        <v>4</v>
      </c>
      <c r="N150" s="14">
        <f t="shared" si="63"/>
        <v>1101007</v>
      </c>
      <c r="O150" s="14" t="str">
        <f t="shared" si="64"/>
        <v>战斗曹焱兵21突</v>
      </c>
      <c r="P150" s="29" t="s">
        <v>470</v>
      </c>
      <c r="Q150" s="14">
        <f t="shared" si="65"/>
        <v>1</v>
      </c>
      <c r="R150" s="14">
        <f t="shared" si="66"/>
        <v>21</v>
      </c>
      <c r="S150" s="14" t="s">
        <v>39</v>
      </c>
      <c r="T150" s="14">
        <f>ROUND(((IF(Q150=1,INDEX(新属性投放!$J$14:$J$34,卡牌属性!R150),INDEX(新属性投放!$J$42:$J$62,卡牌属性!R150)))*INDEX($G$5:$G$42,L150)+IF(Q150=1,INDEX(新属性投放!R$20:R$23,卡牌属性!M150-1),INDEX(新属性投放!R$25:R$28,卡牌属性!M150-1)))/SQRT(INDEX($I$5:$I$42,L150)),2)</f>
        <v>28998.55</v>
      </c>
      <c r="U150" s="29" t="s">
        <v>178</v>
      </c>
      <c r="V150" s="14">
        <f>ROUND((IF(Q150=1,INDEX(新属性投放!$K$14:$K$34,卡牌属性!R150),INDEX(新属性投放!$K$42:$K$62,卡牌属性!R150))+IF(Q150=1,INDEX(新属性投放!S$20:S$23,卡牌属性!M150-1),INDEX(新属性投放!S$25:S$28,卡牌属性!M150-1)))*INDEX($G$5:$G$42,L150),2)</f>
        <v>14400.52</v>
      </c>
      <c r="W150" s="29" t="s">
        <v>179</v>
      </c>
      <c r="X150" s="14">
        <f>ROUND((IF(Q150=1,INDEX(新属性投放!$L$14:$L$34,卡牌属性!R150),INDEX(新属性投放!$L$42:$L$62,卡牌属性!R150))*INDEX($G$5:$G$42,L150)+IF(Q150=1,INDEX(新属性投放!T$20:T$23,卡牌属性!M150-1),INDEX(新属性投放!T$25:T$28,卡牌属性!M150-1)))*SQRT(INDEX($I$5:$I$42,L150)),2)</f>
        <v>87455.64</v>
      </c>
      <c r="Y150" s="29" t="s">
        <v>177</v>
      </c>
      <c r="Z150" s="14">
        <f>ROUND(IF(Q150=1,INDEX(新属性投放!$D$14:$D$34,卡牌属性!R150),INDEX(新属性投放!$D$42:$D$62,卡牌属性!R150))*INDEX($G$5:$G$42,L150)/SQRT(INDEX($I$5:$I$42,L150)),2)</f>
        <v>722.46</v>
      </c>
      <c r="AA150" s="29" t="s">
        <v>178</v>
      </c>
      <c r="AB150" s="14">
        <f>ROUND(IF(Q150=1,INDEX(新属性投放!$E$14:$E$34,卡牌属性!R150),INDEX(新属性投放!$E$42:$E$62,卡牌属性!R150))*INDEX($G$5:$G$42,L150),2)</f>
        <v>361.23</v>
      </c>
      <c r="AC150" s="29" t="s">
        <v>179</v>
      </c>
      <c r="AD150" s="14">
        <f>ROUND(IF(Q150=1,INDEX(新属性投放!$F$14:$F$34,卡牌属性!R150),INDEX(新属性投放!$F$42:$F$62,卡牌属性!R150))*INDEX($G$5:$G$42,L150)*SQRT(INDEX($I$5:$I$42,L150)),2)</f>
        <v>2167.39</v>
      </c>
      <c r="AF150" s="14">
        <f t="shared" si="67"/>
        <v>7224</v>
      </c>
      <c r="AG150" s="14">
        <f t="shared" si="68"/>
        <v>3612</v>
      </c>
      <c r="AH150" s="14">
        <f t="shared" si="69"/>
        <v>21673</v>
      </c>
      <c r="AJ150" s="14">
        <f t="shared" si="58"/>
        <v>49362</v>
      </c>
      <c r="AK150" s="14">
        <f t="shared" si="59"/>
        <v>24674</v>
      </c>
      <c r="AL150" s="14">
        <f t="shared" si="60"/>
        <v>148100</v>
      </c>
    </row>
    <row r="151" spans="11:38" ht="16.5" x14ac:dyDescent="0.2">
      <c r="K151" s="13">
        <v>148</v>
      </c>
      <c r="L151" s="13">
        <f t="shared" si="61"/>
        <v>8</v>
      </c>
      <c r="M151" s="13">
        <f t="shared" si="62"/>
        <v>2</v>
      </c>
      <c r="N151" s="14">
        <f t="shared" si="63"/>
        <v>1101008</v>
      </c>
      <c r="O151" s="14" t="str">
        <f t="shared" si="64"/>
        <v>黑尔·坎普1突</v>
      </c>
      <c r="P151" s="29" t="s">
        <v>470</v>
      </c>
      <c r="Q151" s="14">
        <f t="shared" si="65"/>
        <v>1</v>
      </c>
      <c r="R151" s="14">
        <f t="shared" si="66"/>
        <v>1</v>
      </c>
      <c r="S151" s="14" t="s">
        <v>39</v>
      </c>
      <c r="T151" s="14">
        <f>ROUND(((IF(Q151=1,INDEX(新属性投放!$J$14:$J$34,卡牌属性!R151),INDEX(新属性投放!$J$42:$J$62,卡牌属性!R151)))*INDEX($G$5:$G$42,L151)+IF(Q151=1,INDEX(新属性投放!R$20:R$23,卡牌属性!M151-1),INDEX(新属性投放!R$25:R$28,卡牌属性!M151-1)))/SQRT(INDEX($I$5:$I$42,L151)),2)</f>
        <v>100</v>
      </c>
      <c r="U151" s="29" t="s">
        <v>178</v>
      </c>
      <c r="V151" s="14">
        <f>ROUND((IF(Q151=1,INDEX(新属性投放!$K$14:$K$34,卡牌属性!R151),INDEX(新属性投放!$K$42:$K$62,卡牌属性!R151))+IF(Q151=1,INDEX(新属性投放!S$20:S$23,卡牌属性!M151-1),INDEX(新属性投放!S$25:S$28,卡牌属性!M151-1)))*INDEX($G$5:$G$42,L151),2)</f>
        <v>0</v>
      </c>
      <c r="W151" s="29" t="s">
        <v>179</v>
      </c>
      <c r="X151" s="14">
        <f>ROUND((IF(Q151=1,INDEX(新属性投放!$L$14:$L$34,卡牌属性!R151),INDEX(新属性投放!$L$42:$L$62,卡牌属性!R151))*INDEX($G$5:$G$42,L151)+IF(Q151=1,INDEX(新属性投放!T$20:T$23,卡牌属性!M151-1),INDEX(新属性投放!T$25:T$28,卡牌属性!M151-1)))*SQRT(INDEX($I$5:$I$42,L151)),2)</f>
        <v>500</v>
      </c>
      <c r="Y151" s="29" t="s">
        <v>177</v>
      </c>
      <c r="Z151" s="14">
        <f>ROUND(IF(Q151=1,INDEX(新属性投放!$D$14:$D$34,卡牌属性!R151),INDEX(新属性投放!$D$42:$D$62,卡牌属性!R151))*INDEX($G$5:$G$42,L151)/SQRT(INDEX($I$5:$I$42,L151)),2)</f>
        <v>15</v>
      </c>
      <c r="AA151" s="29" t="s">
        <v>178</v>
      </c>
      <c r="AB151" s="14">
        <f>ROUND(IF(Q151=1,INDEX(新属性投放!$E$14:$E$34,卡牌属性!R151),INDEX(新属性投放!$E$42:$E$62,卡牌属性!R151))*INDEX($G$5:$G$42,L151),2)</f>
        <v>7.5</v>
      </c>
      <c r="AC151" s="29" t="s">
        <v>179</v>
      </c>
      <c r="AD151" s="14">
        <f>ROUND(IF(Q151=1,INDEX(新属性投放!$F$14:$F$34,卡牌属性!R151),INDEX(新属性投放!$F$42:$F$62,卡牌属性!R151))*INDEX($G$5:$G$42,L151)*SQRT(INDEX($I$5:$I$42,L151)),2)</f>
        <v>45</v>
      </c>
      <c r="AF151" s="14">
        <f t="shared" si="67"/>
        <v>150</v>
      </c>
      <c r="AG151" s="14">
        <f t="shared" si="68"/>
        <v>75</v>
      </c>
      <c r="AH151" s="14">
        <f t="shared" si="69"/>
        <v>450</v>
      </c>
      <c r="AJ151" s="14">
        <f t="shared" ref="AJ151" si="70">AF151</f>
        <v>150</v>
      </c>
      <c r="AK151" s="14">
        <f t="shared" ref="AK151" si="71">AG151</f>
        <v>75</v>
      </c>
      <c r="AL151" s="14">
        <f t="shared" ref="AL151" si="72">AH151</f>
        <v>450</v>
      </c>
    </row>
    <row r="152" spans="11:38" ht="16.5" x14ac:dyDescent="0.2">
      <c r="K152" s="13">
        <v>149</v>
      </c>
      <c r="L152" s="13">
        <f t="shared" si="61"/>
        <v>8</v>
      </c>
      <c r="M152" s="13">
        <f t="shared" si="62"/>
        <v>2</v>
      </c>
      <c r="N152" s="14">
        <f t="shared" si="63"/>
        <v>1101008</v>
      </c>
      <c r="O152" s="14" t="str">
        <f t="shared" si="64"/>
        <v>黑尔·坎普2突</v>
      </c>
      <c r="P152" s="29" t="s">
        <v>470</v>
      </c>
      <c r="Q152" s="14">
        <f t="shared" si="65"/>
        <v>1</v>
      </c>
      <c r="R152" s="14">
        <f t="shared" si="66"/>
        <v>2</v>
      </c>
      <c r="S152" s="14" t="s">
        <v>39</v>
      </c>
      <c r="T152" s="14">
        <f>ROUND(((IF(Q152=1,INDEX(新属性投放!$J$14:$J$34,卡牌属性!R152),INDEX(新属性投放!$J$42:$J$62,卡牌属性!R152)))*INDEX($G$5:$G$42,L152)+IF(Q152=1,INDEX(新属性投放!R$20:R$23,卡牌属性!M152-1),INDEX(新属性投放!R$25:R$28,卡牌属性!M152-1)))/SQRT(INDEX($I$5:$I$42,L152)),2)</f>
        <v>245</v>
      </c>
      <c r="U152" s="29" t="s">
        <v>178</v>
      </c>
      <c r="V152" s="14">
        <f>ROUND((IF(Q152=1,INDEX(新属性投放!$K$14:$K$34,卡牌属性!R152),INDEX(新属性投放!$K$42:$K$62,卡牌属性!R152))+IF(Q152=1,INDEX(新属性投放!S$20:S$23,卡牌属性!M152-1),INDEX(新属性投放!S$25:S$28,卡牌属性!M152-1)))*INDEX($G$5:$G$42,L152),2)</f>
        <v>84.5</v>
      </c>
      <c r="W152" s="29" t="s">
        <v>179</v>
      </c>
      <c r="X152" s="14">
        <f>ROUND((IF(Q152=1,INDEX(新属性投放!$L$14:$L$34,卡牌属性!R152),INDEX(新属性投放!$L$42:$L$62,卡牌属性!R152))*INDEX($G$5:$G$42,L152)+IF(Q152=1,INDEX(新属性投放!T$20:T$23,卡牌属性!M152-1),INDEX(新属性投放!T$25:T$28,卡牌属性!M152-1)))*SQRT(INDEX($I$5:$I$42,L152)),2)</f>
        <v>935</v>
      </c>
      <c r="Y152" s="29" t="s">
        <v>177</v>
      </c>
      <c r="Z152" s="14">
        <f>ROUND(IF(Q152=1,INDEX(新属性投放!$D$14:$D$34,卡牌属性!R152),INDEX(新属性投放!$D$42:$D$62,卡牌属性!R152))*INDEX($G$5:$G$42,L152)/SQRT(INDEX($I$5:$I$42,L152)),2)</f>
        <v>13.77</v>
      </c>
      <c r="AA152" s="29" t="s">
        <v>178</v>
      </c>
      <c r="AB152" s="14">
        <f>ROUND(IF(Q152=1,INDEX(新属性投放!$E$14:$E$34,卡牌属性!R152),INDEX(新属性投放!$E$42:$E$62,卡牌属性!R152))*INDEX($G$5:$G$42,L152),2)</f>
        <v>6.89</v>
      </c>
      <c r="AC152" s="29" t="s">
        <v>179</v>
      </c>
      <c r="AD152" s="14">
        <f>ROUND(IF(Q152=1,INDEX(新属性投放!$F$14:$F$34,卡牌属性!R152),INDEX(新属性投放!$F$42:$F$62,卡牌属性!R152))*INDEX($G$5:$G$42,L152)*SQRT(INDEX($I$5:$I$42,L152)),2)</f>
        <v>41.31</v>
      </c>
      <c r="AF152" s="14">
        <f t="shared" si="67"/>
        <v>137</v>
      </c>
      <c r="AG152" s="14">
        <f t="shared" si="68"/>
        <v>68</v>
      </c>
      <c r="AH152" s="14">
        <f t="shared" si="69"/>
        <v>413</v>
      </c>
      <c r="AJ152" s="14">
        <f t="shared" ref="AJ152:AJ171" si="73">AJ151+AF152</f>
        <v>287</v>
      </c>
      <c r="AK152" s="14">
        <f t="shared" ref="AK152:AK171" si="74">AK151+AG152</f>
        <v>143</v>
      </c>
      <c r="AL152" s="14">
        <f t="shared" ref="AL152:AL171" si="75">AL151+AH152</f>
        <v>863</v>
      </c>
    </row>
    <row r="153" spans="11:38" ht="16.5" x14ac:dyDescent="0.2">
      <c r="K153" s="13">
        <v>150</v>
      </c>
      <c r="L153" s="13">
        <f t="shared" si="61"/>
        <v>8</v>
      </c>
      <c r="M153" s="13">
        <f t="shared" si="62"/>
        <v>2</v>
      </c>
      <c r="N153" s="14">
        <f t="shared" si="63"/>
        <v>1101008</v>
      </c>
      <c r="O153" s="14" t="str">
        <f t="shared" si="64"/>
        <v>黑尔·坎普3突</v>
      </c>
      <c r="P153" s="29" t="s">
        <v>470</v>
      </c>
      <c r="Q153" s="14">
        <f t="shared" si="65"/>
        <v>1</v>
      </c>
      <c r="R153" s="14">
        <f t="shared" si="66"/>
        <v>3</v>
      </c>
      <c r="S153" s="14" t="s">
        <v>39</v>
      </c>
      <c r="T153" s="14">
        <f>ROUND(((IF(Q153=1,INDEX(新属性投放!$J$14:$J$34,卡牌属性!R153),INDEX(新属性投放!$J$42:$J$62,卡牌属性!R153)))*INDEX($G$5:$G$42,L153)+IF(Q153=1,INDEX(新属性投放!R$20:R$23,卡牌属性!M153-1),INDEX(新属性投放!R$25:R$28,卡牌属性!M153-1)))/SQRT(INDEX($I$5:$I$42,L153)),2)</f>
        <v>416.7</v>
      </c>
      <c r="U153" s="29" t="s">
        <v>178</v>
      </c>
      <c r="V153" s="14">
        <f>ROUND((IF(Q153=1,INDEX(新属性投放!$K$14:$K$34,卡牌属性!R153),INDEX(新属性投放!$K$42:$K$62,卡牌属性!R153))+IF(Q153=1,INDEX(新属性投放!S$20:S$23,卡牌属性!M153-1),INDEX(新属性投放!S$25:S$28,卡牌属性!M153-1)))*INDEX($G$5:$G$42,L153),2)</f>
        <v>170.35</v>
      </c>
      <c r="W153" s="29" t="s">
        <v>179</v>
      </c>
      <c r="X153" s="14">
        <f>ROUND((IF(Q153=1,INDEX(新属性投放!$L$14:$L$34,卡牌属性!R153),INDEX(新属性投放!$L$42:$L$62,卡牌属性!R153))*INDEX($G$5:$G$42,L153)+IF(Q153=1,INDEX(新属性投放!T$20:T$23,卡牌属性!M153-1),INDEX(新属性投放!T$25:T$28,卡牌属性!M153-1)))*SQRT(INDEX($I$5:$I$42,L153)),2)</f>
        <v>1450.1</v>
      </c>
      <c r="Y153" s="29" t="s">
        <v>177</v>
      </c>
      <c r="Z153" s="14">
        <f>ROUND(IF(Q153=1,INDEX(新属性投放!$D$14:$D$34,卡牌属性!R153),INDEX(新属性投放!$D$42:$D$62,卡牌属性!R153))*INDEX($G$5:$G$42,L153)/SQRT(INDEX($I$5:$I$42,L153)),2)</f>
        <v>25.17</v>
      </c>
      <c r="AA153" s="29" t="s">
        <v>178</v>
      </c>
      <c r="AB153" s="14">
        <f>ROUND(IF(Q153=1,INDEX(新属性投放!$E$14:$E$34,卡牌属性!R153),INDEX(新属性投放!$E$42:$E$62,卡牌属性!R153))*INDEX($G$5:$G$42,L153),2)</f>
        <v>12.59</v>
      </c>
      <c r="AC153" s="29" t="s">
        <v>179</v>
      </c>
      <c r="AD153" s="14">
        <f>ROUND(IF(Q153=1,INDEX(新属性投放!$F$14:$F$34,卡牌属性!R153),INDEX(新属性投放!$F$42:$F$62,卡牌属性!R153))*INDEX($G$5:$G$42,L153)*SQRT(INDEX($I$5:$I$42,L153)),2)</f>
        <v>75.510000000000005</v>
      </c>
      <c r="AF153" s="14">
        <f t="shared" si="67"/>
        <v>251</v>
      </c>
      <c r="AG153" s="14">
        <f t="shared" si="68"/>
        <v>125</v>
      </c>
      <c r="AH153" s="14">
        <f t="shared" si="69"/>
        <v>755</v>
      </c>
      <c r="AJ153" s="14">
        <f t="shared" si="73"/>
        <v>538</v>
      </c>
      <c r="AK153" s="14">
        <f t="shared" si="74"/>
        <v>268</v>
      </c>
      <c r="AL153" s="14">
        <f t="shared" si="75"/>
        <v>1618</v>
      </c>
    </row>
    <row r="154" spans="11:38" ht="16.5" x14ac:dyDescent="0.2">
      <c r="K154" s="13">
        <v>151</v>
      </c>
      <c r="L154" s="13">
        <f t="shared" si="61"/>
        <v>8</v>
      </c>
      <c r="M154" s="13">
        <f t="shared" si="62"/>
        <v>2</v>
      </c>
      <c r="N154" s="14">
        <f t="shared" si="63"/>
        <v>1101008</v>
      </c>
      <c r="O154" s="14" t="str">
        <f t="shared" si="64"/>
        <v>黑尔·坎普4突</v>
      </c>
      <c r="P154" s="29" t="s">
        <v>470</v>
      </c>
      <c r="Q154" s="14">
        <f t="shared" si="65"/>
        <v>1</v>
      </c>
      <c r="R154" s="14">
        <f t="shared" si="66"/>
        <v>4</v>
      </c>
      <c r="S154" s="14" t="s">
        <v>39</v>
      </c>
      <c r="T154" s="14">
        <f>ROUND(((IF(Q154=1,INDEX(新属性投放!$J$14:$J$34,卡牌属性!R154),INDEX(新属性投放!$J$42:$J$62,卡牌属性!R154)))*INDEX($G$5:$G$42,L154)+IF(Q154=1,INDEX(新属性投放!R$20:R$23,卡牌属性!M154-1),INDEX(新属性投放!R$25:R$28,卡牌属性!M154-1)))/SQRT(INDEX($I$5:$I$42,L154)),2)</f>
        <v>731.4</v>
      </c>
      <c r="U154" s="29" t="s">
        <v>178</v>
      </c>
      <c r="V154" s="14">
        <f>ROUND((IF(Q154=1,INDEX(新属性投放!$K$14:$K$34,卡牌属性!R154),INDEX(新属性投放!$K$42:$K$62,卡牌属性!R154))+IF(Q154=1,INDEX(新属性投放!S$20:S$23,卡牌属性!M154-1),INDEX(新属性投放!S$25:S$28,卡牌属性!M154-1)))*INDEX($G$5:$G$42,L154),2)</f>
        <v>327.2</v>
      </c>
      <c r="W154" s="29" t="s">
        <v>179</v>
      </c>
      <c r="X154" s="14">
        <f>ROUND((IF(Q154=1,INDEX(新属性投放!$L$14:$L$34,卡牌属性!R154),INDEX(新属性投放!$L$42:$L$62,卡牌属性!R154))*INDEX($G$5:$G$42,L154)+IF(Q154=1,INDEX(新属性投放!T$20:T$23,卡牌属性!M154-1),INDEX(新属性投放!T$25:T$28,卡牌属性!M154-1)))*SQRT(INDEX($I$5:$I$42,L154)),2)</f>
        <v>2394.1999999999998</v>
      </c>
      <c r="Y154" s="29" t="s">
        <v>177</v>
      </c>
      <c r="Z154" s="14">
        <f>ROUND(IF(Q154=1,INDEX(新属性投放!$D$14:$D$34,卡牌属性!R154),INDEX(新属性投放!$D$42:$D$62,卡牌属性!R154))*INDEX($G$5:$G$42,L154)/SQRT(INDEX($I$5:$I$42,L154)),2)</f>
        <v>30.13</v>
      </c>
      <c r="AA154" s="29" t="s">
        <v>178</v>
      </c>
      <c r="AB154" s="14">
        <f>ROUND(IF(Q154=1,INDEX(新属性投放!$E$14:$E$34,卡牌属性!R154),INDEX(新属性投放!$E$42:$E$62,卡牌属性!R154))*INDEX($G$5:$G$42,L154),2)</f>
        <v>15.07</v>
      </c>
      <c r="AC154" s="29" t="s">
        <v>179</v>
      </c>
      <c r="AD154" s="14">
        <f>ROUND(IF(Q154=1,INDEX(新属性投放!$F$14:$F$34,卡牌属性!R154),INDEX(新属性投放!$F$42:$F$62,卡牌属性!R154))*INDEX($G$5:$G$42,L154)*SQRT(INDEX($I$5:$I$42,L154)),2)</f>
        <v>90.39</v>
      </c>
      <c r="AF154" s="14">
        <f t="shared" si="67"/>
        <v>301</v>
      </c>
      <c r="AG154" s="14">
        <f t="shared" si="68"/>
        <v>150</v>
      </c>
      <c r="AH154" s="14">
        <f t="shared" si="69"/>
        <v>903</v>
      </c>
      <c r="AJ154" s="14">
        <f t="shared" si="73"/>
        <v>839</v>
      </c>
      <c r="AK154" s="14">
        <f t="shared" si="74"/>
        <v>418</v>
      </c>
      <c r="AL154" s="14">
        <f t="shared" si="75"/>
        <v>2521</v>
      </c>
    </row>
    <row r="155" spans="11:38" ht="16.5" x14ac:dyDescent="0.2">
      <c r="K155" s="13">
        <v>152</v>
      </c>
      <c r="L155" s="13">
        <f t="shared" si="61"/>
        <v>8</v>
      </c>
      <c r="M155" s="13">
        <f t="shared" si="62"/>
        <v>2</v>
      </c>
      <c r="N155" s="14">
        <f t="shared" si="63"/>
        <v>1101008</v>
      </c>
      <c r="O155" s="14" t="str">
        <f t="shared" si="64"/>
        <v>黑尔·坎普5突</v>
      </c>
      <c r="P155" s="29" t="s">
        <v>470</v>
      </c>
      <c r="Q155" s="14">
        <f t="shared" si="65"/>
        <v>1</v>
      </c>
      <c r="R155" s="14">
        <f t="shared" si="66"/>
        <v>5</v>
      </c>
      <c r="S155" s="14" t="s">
        <v>39</v>
      </c>
      <c r="T155" s="14">
        <f>ROUND(((IF(Q155=1,INDEX(新属性投放!$J$14:$J$34,卡牌属性!R155),INDEX(新属性投放!$J$42:$J$62,卡牌属性!R155)))*INDEX($G$5:$G$42,L155)+IF(Q155=1,INDEX(新属性投放!R$20:R$23,卡牌属性!M155-1),INDEX(新属性投放!R$25:R$28,卡牌属性!M155-1)))/SQRT(INDEX($I$5:$I$42,L155)),2)</f>
        <v>1107.7</v>
      </c>
      <c r="U155" s="29" t="s">
        <v>178</v>
      </c>
      <c r="V155" s="14">
        <f>ROUND((IF(Q155=1,INDEX(新属性投放!$K$14:$K$34,卡牌属性!R155),INDEX(新属性投放!$K$42:$K$62,卡牌属性!R155))+IF(Q155=1,INDEX(新属性投放!S$20:S$23,卡牌属性!M155-1),INDEX(新属性投放!S$25:S$28,卡牌属性!M155-1)))*INDEX($G$5:$G$42,L155),2)</f>
        <v>515.85</v>
      </c>
      <c r="W155" s="29" t="s">
        <v>179</v>
      </c>
      <c r="X155" s="14">
        <f>ROUND((IF(Q155=1,INDEX(新属性投放!$L$14:$L$34,卡牌属性!R155),INDEX(新属性投放!$L$42:$L$62,卡牌属性!R155))*INDEX($G$5:$G$42,L155)+IF(Q155=1,INDEX(新属性投放!T$20:T$23,卡牌属性!M155-1),INDEX(新属性投放!T$25:T$28,卡牌属性!M155-1)))*SQRT(INDEX($I$5:$I$42,L155)),2)</f>
        <v>3523.1</v>
      </c>
      <c r="Y155" s="29" t="s">
        <v>177</v>
      </c>
      <c r="Z155" s="14">
        <f>ROUND(IF(Q155=1,INDEX(新属性投放!$D$14:$D$34,卡牌属性!R155),INDEX(新属性投放!$D$42:$D$62,卡牌属性!R155))*INDEX($G$5:$G$42,L155)/SQRT(INDEX($I$5:$I$42,L155)),2)</f>
        <v>37.659999999999997</v>
      </c>
      <c r="AA155" s="29" t="s">
        <v>178</v>
      </c>
      <c r="AB155" s="14">
        <f>ROUND(IF(Q155=1,INDEX(新属性投放!$E$14:$E$34,卡牌属性!R155),INDEX(新属性投放!$E$42:$E$62,卡牌属性!R155))*INDEX($G$5:$G$42,L155),2)</f>
        <v>18.829999999999998</v>
      </c>
      <c r="AC155" s="29" t="s">
        <v>179</v>
      </c>
      <c r="AD155" s="14">
        <f>ROUND(IF(Q155=1,INDEX(新属性投放!$F$14:$F$34,卡牌属性!R155),INDEX(新属性投放!$F$42:$F$62,卡牌属性!R155))*INDEX($G$5:$G$42,L155)*SQRT(INDEX($I$5:$I$42,L155)),2)</f>
        <v>112.98</v>
      </c>
      <c r="AF155" s="14">
        <f t="shared" si="67"/>
        <v>376</v>
      </c>
      <c r="AG155" s="14">
        <f t="shared" si="68"/>
        <v>188</v>
      </c>
      <c r="AH155" s="14">
        <f t="shared" si="69"/>
        <v>1129</v>
      </c>
      <c r="AJ155" s="14">
        <f t="shared" si="73"/>
        <v>1215</v>
      </c>
      <c r="AK155" s="14">
        <f t="shared" si="74"/>
        <v>606</v>
      </c>
      <c r="AL155" s="14">
        <f t="shared" si="75"/>
        <v>3650</v>
      </c>
    </row>
    <row r="156" spans="11:38" ht="16.5" x14ac:dyDescent="0.2">
      <c r="K156" s="13">
        <v>153</v>
      </c>
      <c r="L156" s="13">
        <f t="shared" si="61"/>
        <v>8</v>
      </c>
      <c r="M156" s="13">
        <f t="shared" si="62"/>
        <v>2</v>
      </c>
      <c r="N156" s="14">
        <f t="shared" si="63"/>
        <v>1101008</v>
      </c>
      <c r="O156" s="14" t="str">
        <f t="shared" si="64"/>
        <v>黑尔·坎普6突</v>
      </c>
      <c r="P156" s="29" t="s">
        <v>470</v>
      </c>
      <c r="Q156" s="14">
        <f t="shared" si="65"/>
        <v>1</v>
      </c>
      <c r="R156" s="14">
        <f t="shared" si="66"/>
        <v>6</v>
      </c>
      <c r="S156" s="14" t="s">
        <v>39</v>
      </c>
      <c r="T156" s="14">
        <f>ROUND(((IF(Q156=1,INDEX(新属性投放!$J$14:$J$34,卡牌属性!R156),INDEX(新属性投放!$J$42:$J$62,卡牌属性!R156)))*INDEX($G$5:$G$42,L156)+IF(Q156=1,INDEX(新属性投放!R$20:R$23,卡牌属性!M156-1),INDEX(新属性投放!R$25:R$28,卡牌属性!M156-1)))/SQRT(INDEX($I$5:$I$42,L156)),2)</f>
        <v>1578.3</v>
      </c>
      <c r="U156" s="29" t="s">
        <v>178</v>
      </c>
      <c r="V156" s="14">
        <f>ROUND((IF(Q156=1,INDEX(新属性投放!$K$14:$K$34,卡牌属性!R156),INDEX(新属性投放!$K$42:$K$62,卡牌属性!R156))+IF(Q156=1,INDEX(新属性投放!S$20:S$23,卡牌属性!M156-1),INDEX(新属性投放!S$25:S$28,卡牌属性!M156-1)))*INDEX($G$5:$G$42,L156),2)</f>
        <v>751.15</v>
      </c>
      <c r="W156" s="29" t="s">
        <v>179</v>
      </c>
      <c r="X156" s="14">
        <f>ROUND((IF(Q156=1,INDEX(新属性投放!$L$14:$L$34,卡牌属性!R156),INDEX(新属性投放!$L$42:$L$62,卡牌属性!R156))*INDEX($G$5:$G$42,L156)+IF(Q156=1,INDEX(新属性投放!T$20:T$23,卡牌属性!M156-1),INDEX(新属性投放!T$25:T$28,卡牌属性!M156-1)))*SQRT(INDEX($I$5:$I$42,L156)),2)</f>
        <v>4934.8999999999996</v>
      </c>
      <c r="Y156" s="29" t="s">
        <v>177</v>
      </c>
      <c r="Z156" s="14">
        <f>ROUND(IF(Q156=1,INDEX(新属性投放!$D$14:$D$34,卡牌属性!R156),INDEX(新属性投放!$D$42:$D$62,卡牌属性!R156))*INDEX($G$5:$G$42,L156)/SQRT(INDEX($I$5:$I$42,L156)),2)</f>
        <v>48.85</v>
      </c>
      <c r="AA156" s="29" t="s">
        <v>178</v>
      </c>
      <c r="AB156" s="14">
        <f>ROUND(IF(Q156=1,INDEX(新属性投放!$E$14:$E$34,卡牌属性!R156),INDEX(新属性投放!$E$42:$E$62,卡牌属性!R156))*INDEX($G$5:$G$42,L156),2)</f>
        <v>24.43</v>
      </c>
      <c r="AC156" s="29" t="s">
        <v>179</v>
      </c>
      <c r="AD156" s="14">
        <f>ROUND(IF(Q156=1,INDEX(新属性投放!$F$14:$F$34,卡牌属性!R156),INDEX(新属性投放!$F$42:$F$62,卡牌属性!R156))*INDEX($G$5:$G$42,L156)*SQRT(INDEX($I$5:$I$42,L156)),2)</f>
        <v>146.55000000000001</v>
      </c>
      <c r="AF156" s="14">
        <f t="shared" si="67"/>
        <v>488</v>
      </c>
      <c r="AG156" s="14">
        <f t="shared" si="68"/>
        <v>244</v>
      </c>
      <c r="AH156" s="14">
        <f t="shared" si="69"/>
        <v>1465</v>
      </c>
      <c r="AJ156" s="14">
        <f t="shared" si="73"/>
        <v>1703</v>
      </c>
      <c r="AK156" s="14">
        <f t="shared" si="74"/>
        <v>850</v>
      </c>
      <c r="AL156" s="14">
        <f t="shared" si="75"/>
        <v>5115</v>
      </c>
    </row>
    <row r="157" spans="11:38" ht="16.5" x14ac:dyDescent="0.2">
      <c r="K157" s="13">
        <v>154</v>
      </c>
      <c r="L157" s="13">
        <f t="shared" si="61"/>
        <v>8</v>
      </c>
      <c r="M157" s="13">
        <f t="shared" si="62"/>
        <v>2</v>
      </c>
      <c r="N157" s="14">
        <f t="shared" si="63"/>
        <v>1101008</v>
      </c>
      <c r="O157" s="14" t="str">
        <f t="shared" si="64"/>
        <v>黑尔·坎普7突</v>
      </c>
      <c r="P157" s="29" t="s">
        <v>470</v>
      </c>
      <c r="Q157" s="14">
        <f t="shared" si="65"/>
        <v>1</v>
      </c>
      <c r="R157" s="14">
        <f t="shared" si="66"/>
        <v>7</v>
      </c>
      <c r="S157" s="14" t="s">
        <v>39</v>
      </c>
      <c r="T157" s="14">
        <f>ROUND(((IF(Q157=1,INDEX(新属性投放!$J$14:$J$34,卡牌属性!R157),INDEX(新属性投放!$J$42:$J$62,卡牌属性!R157)))*INDEX($G$5:$G$42,L157)+IF(Q157=1,INDEX(新属性投放!R$20:R$23,卡牌属性!M157-1),INDEX(新属性投放!R$25:R$28,卡牌属性!M157-1)))/SQRT(INDEX($I$5:$I$42,L157)),2)</f>
        <v>2188.8000000000002</v>
      </c>
      <c r="U157" s="29" t="s">
        <v>178</v>
      </c>
      <c r="V157" s="14">
        <f>ROUND((IF(Q157=1,INDEX(新属性投放!$K$14:$K$34,卡牌属性!R157),INDEX(新属性投放!$K$42:$K$62,卡牌属性!R157))+IF(Q157=1,INDEX(新属性投放!S$20:S$23,卡牌属性!M157-1),INDEX(新属性投放!S$25:S$28,卡牌属性!M157-1)))*INDEX($G$5:$G$42,L157),2)</f>
        <v>1056.4000000000001</v>
      </c>
      <c r="W157" s="29" t="s">
        <v>179</v>
      </c>
      <c r="X157" s="14">
        <f>ROUND((IF(Q157=1,INDEX(新属性投放!$L$14:$L$34,卡牌属性!R157),INDEX(新属性投放!$L$42:$L$62,卡牌属性!R157))*INDEX($G$5:$G$42,L157)+IF(Q157=1,INDEX(新属性投放!T$20:T$23,卡牌属性!M157-1),INDEX(新属性投放!T$25:T$28,卡牌属性!M157-1)))*SQRT(INDEX($I$5:$I$42,L157)),2)</f>
        <v>6766.4</v>
      </c>
      <c r="Y157" s="29" t="s">
        <v>177</v>
      </c>
      <c r="Z157" s="14">
        <f>ROUND(IF(Q157=1,INDEX(新属性投放!$D$14:$D$34,卡牌属性!R157),INDEX(新属性投放!$D$42:$D$62,卡牌属性!R157))*INDEX($G$5:$G$42,L157)/SQRT(INDEX($I$5:$I$42,L157)),2)</f>
        <v>60.19</v>
      </c>
      <c r="AA157" s="29" t="s">
        <v>178</v>
      </c>
      <c r="AB157" s="14">
        <f>ROUND(IF(Q157=1,INDEX(新属性投放!$E$14:$E$34,卡牌属性!R157),INDEX(新属性投放!$E$42:$E$62,卡牌属性!R157))*INDEX($G$5:$G$42,L157),2)</f>
        <v>30.1</v>
      </c>
      <c r="AC157" s="29" t="s">
        <v>179</v>
      </c>
      <c r="AD157" s="14">
        <f>ROUND(IF(Q157=1,INDEX(新属性投放!$F$14:$F$34,卡牌属性!R157),INDEX(新属性投放!$F$42:$F$62,卡牌属性!R157))*INDEX($G$5:$G$42,L157)*SQRT(INDEX($I$5:$I$42,L157)),2)</f>
        <v>180.57</v>
      </c>
      <c r="AF157" s="14">
        <f t="shared" si="67"/>
        <v>601</v>
      </c>
      <c r="AG157" s="14">
        <f t="shared" si="68"/>
        <v>301</v>
      </c>
      <c r="AH157" s="14">
        <f t="shared" si="69"/>
        <v>1805</v>
      </c>
      <c r="AJ157" s="14">
        <f t="shared" si="73"/>
        <v>2304</v>
      </c>
      <c r="AK157" s="14">
        <f t="shared" si="74"/>
        <v>1151</v>
      </c>
      <c r="AL157" s="14">
        <f t="shared" si="75"/>
        <v>6920</v>
      </c>
    </row>
    <row r="158" spans="11:38" ht="16.5" x14ac:dyDescent="0.2">
      <c r="K158" s="13">
        <v>155</v>
      </c>
      <c r="L158" s="13">
        <f t="shared" si="61"/>
        <v>8</v>
      </c>
      <c r="M158" s="13">
        <f t="shared" si="62"/>
        <v>2</v>
      </c>
      <c r="N158" s="14">
        <f t="shared" si="63"/>
        <v>1101008</v>
      </c>
      <c r="O158" s="14" t="str">
        <f t="shared" si="64"/>
        <v>黑尔·坎普8突</v>
      </c>
      <c r="P158" s="29" t="s">
        <v>470</v>
      </c>
      <c r="Q158" s="14">
        <f t="shared" si="65"/>
        <v>1</v>
      </c>
      <c r="R158" s="14">
        <f t="shared" si="66"/>
        <v>8</v>
      </c>
      <c r="S158" s="14" t="s">
        <v>39</v>
      </c>
      <c r="T158" s="14">
        <f>ROUND(((IF(Q158=1,INDEX(新属性投放!$J$14:$J$34,卡牌属性!R158),INDEX(新属性投放!$J$42:$J$62,卡牌属性!R158)))*INDEX($G$5:$G$42,L158)+IF(Q158=1,INDEX(新属性投放!R$20:R$23,卡牌属性!M158-1),INDEX(新属性投放!R$25:R$28,卡牌属性!M158-1)))/SQRT(INDEX($I$5:$I$42,L158)),2)</f>
        <v>2940.7</v>
      </c>
      <c r="U158" s="29" t="s">
        <v>178</v>
      </c>
      <c r="V158" s="14">
        <f>ROUND((IF(Q158=1,INDEX(新属性投放!$K$14:$K$34,卡牌属性!R158),INDEX(新属性投放!$K$42:$K$62,卡牌属性!R158))+IF(Q158=1,INDEX(新属性投放!S$20:S$23,卡牌属性!M158-1),INDEX(新属性投放!S$25:S$28,卡牌属性!M158-1)))*INDEX($G$5:$G$42,L158),2)</f>
        <v>1432.35</v>
      </c>
      <c r="W158" s="29" t="s">
        <v>179</v>
      </c>
      <c r="X158" s="14">
        <f>ROUND((IF(Q158=1,INDEX(新属性投放!$L$14:$L$34,卡牌属性!R158),INDEX(新属性投放!$L$42:$L$62,卡牌属性!R158))*INDEX($G$5:$G$42,L158)+IF(Q158=1,INDEX(新属性投放!T$20:T$23,卡牌属性!M158-1),INDEX(新属性投放!T$25:T$28,卡牌属性!M158-1)))*SQRT(INDEX($I$5:$I$42,L158)),2)</f>
        <v>9022.1</v>
      </c>
      <c r="Y158" s="29" t="s">
        <v>177</v>
      </c>
      <c r="Z158" s="14">
        <f>ROUND(IF(Q158=1,INDEX(新属性投放!$D$14:$D$34,卡牌属性!R158),INDEX(新属性投放!$D$42:$D$62,卡牌属性!R158))*INDEX($G$5:$G$42,L158)/SQRT(INDEX($I$5:$I$42,L158)),2)</f>
        <v>75.19</v>
      </c>
      <c r="AA158" s="29" t="s">
        <v>178</v>
      </c>
      <c r="AB158" s="14">
        <f>ROUND(IF(Q158=1,INDEX(新属性投放!$E$14:$E$34,卡牌属性!R158),INDEX(新属性投放!$E$42:$E$62,卡牌属性!R158))*INDEX($G$5:$G$42,L158),2)</f>
        <v>37.6</v>
      </c>
      <c r="AC158" s="29" t="s">
        <v>179</v>
      </c>
      <c r="AD158" s="14">
        <f>ROUND(IF(Q158=1,INDEX(新属性投放!$F$14:$F$34,卡牌属性!R158),INDEX(新属性投放!$F$42:$F$62,卡牌属性!R158))*INDEX($G$5:$G$42,L158)*SQRT(INDEX($I$5:$I$42,L158)),2)</f>
        <v>225.57</v>
      </c>
      <c r="AF158" s="14">
        <f t="shared" si="67"/>
        <v>751</v>
      </c>
      <c r="AG158" s="14">
        <f t="shared" si="68"/>
        <v>376</v>
      </c>
      <c r="AH158" s="14">
        <f t="shared" si="69"/>
        <v>2255</v>
      </c>
      <c r="AJ158" s="14">
        <f t="shared" si="73"/>
        <v>3055</v>
      </c>
      <c r="AK158" s="14">
        <f t="shared" si="74"/>
        <v>1527</v>
      </c>
      <c r="AL158" s="14">
        <f t="shared" si="75"/>
        <v>9175</v>
      </c>
    </row>
    <row r="159" spans="11:38" ht="16.5" x14ac:dyDescent="0.2">
      <c r="K159" s="13">
        <v>156</v>
      </c>
      <c r="L159" s="13">
        <f t="shared" si="61"/>
        <v>8</v>
      </c>
      <c r="M159" s="13">
        <f t="shared" si="62"/>
        <v>2</v>
      </c>
      <c r="N159" s="14">
        <f t="shared" si="63"/>
        <v>1101008</v>
      </c>
      <c r="O159" s="14" t="str">
        <f t="shared" si="64"/>
        <v>黑尔·坎普9突</v>
      </c>
      <c r="P159" s="29" t="s">
        <v>470</v>
      </c>
      <c r="Q159" s="14">
        <f t="shared" si="65"/>
        <v>1</v>
      </c>
      <c r="R159" s="14">
        <f t="shared" si="66"/>
        <v>9</v>
      </c>
      <c r="S159" s="14" t="s">
        <v>39</v>
      </c>
      <c r="T159" s="14">
        <f>ROUND(((IF(Q159=1,INDEX(新属性投放!$J$14:$J$34,卡牌属性!R159),INDEX(新属性投放!$J$42:$J$62,卡牌属性!R159)))*INDEX($G$5:$G$42,L159)+IF(Q159=1,INDEX(新属性投放!R$20:R$23,卡牌属性!M159-1),INDEX(新属性投放!R$25:R$28,卡牌属性!M159-1)))/SQRT(INDEX($I$5:$I$42,L159)),2)</f>
        <v>3880.6</v>
      </c>
      <c r="U159" s="29" t="s">
        <v>178</v>
      </c>
      <c r="V159" s="14">
        <f>ROUND((IF(Q159=1,INDEX(新属性投放!$K$14:$K$34,卡牌属性!R159),INDEX(新属性投放!$K$42:$K$62,卡牌属性!R159))+IF(Q159=1,INDEX(新属性投放!S$20:S$23,卡牌属性!M159-1),INDEX(新属性投放!S$25:S$28,卡牌属性!M159-1)))*INDEX($G$5:$G$42,L159),2)</f>
        <v>1902.3</v>
      </c>
      <c r="W159" s="29" t="s">
        <v>179</v>
      </c>
      <c r="X159" s="14">
        <f>ROUND((IF(Q159=1,INDEX(新属性投放!$L$14:$L$34,卡牌属性!R159),INDEX(新属性投放!$L$42:$L$62,卡牌属性!R159))*INDEX($G$5:$G$42,L159)+IF(Q159=1,INDEX(新属性投放!T$20:T$23,卡牌属性!M159-1),INDEX(新属性投放!T$25:T$28,卡牌属性!M159-1)))*SQRT(INDEX($I$5:$I$42,L159)),2)</f>
        <v>11841.8</v>
      </c>
      <c r="Y159" s="29" t="s">
        <v>177</v>
      </c>
      <c r="Z159" s="14">
        <f>ROUND(IF(Q159=1,INDEX(新属性投放!$D$14:$D$34,卡牌属性!R159),INDEX(新属性投放!$D$42:$D$62,卡牌属性!R159))*INDEX($G$5:$G$42,L159)/SQRT(INDEX($I$5:$I$42,L159)),2)</f>
        <v>97.79</v>
      </c>
      <c r="AA159" s="29" t="s">
        <v>178</v>
      </c>
      <c r="AB159" s="14">
        <f>ROUND(IF(Q159=1,INDEX(新属性投放!$E$14:$E$34,卡牌属性!R159),INDEX(新属性投放!$E$42:$E$62,卡牌属性!R159))*INDEX($G$5:$G$42,L159),2)</f>
        <v>48.9</v>
      </c>
      <c r="AC159" s="29" t="s">
        <v>179</v>
      </c>
      <c r="AD159" s="14">
        <f>ROUND(IF(Q159=1,INDEX(新属性投放!$F$14:$F$34,卡牌属性!R159),INDEX(新属性投放!$F$42:$F$62,卡牌属性!R159))*INDEX($G$5:$G$42,L159)*SQRT(INDEX($I$5:$I$42,L159)),2)</f>
        <v>293.37</v>
      </c>
      <c r="AF159" s="14">
        <f t="shared" si="67"/>
        <v>977</v>
      </c>
      <c r="AG159" s="14">
        <f t="shared" si="68"/>
        <v>489</v>
      </c>
      <c r="AH159" s="14">
        <f t="shared" si="69"/>
        <v>2933</v>
      </c>
      <c r="AJ159" s="14">
        <f t="shared" si="73"/>
        <v>4032</v>
      </c>
      <c r="AK159" s="14">
        <f t="shared" si="74"/>
        <v>2016</v>
      </c>
      <c r="AL159" s="14">
        <f t="shared" si="75"/>
        <v>12108</v>
      </c>
    </row>
    <row r="160" spans="11:38" ht="16.5" x14ac:dyDescent="0.2">
      <c r="K160" s="13">
        <v>157</v>
      </c>
      <c r="L160" s="13">
        <f t="shared" si="61"/>
        <v>8</v>
      </c>
      <c r="M160" s="13">
        <f t="shared" si="62"/>
        <v>2</v>
      </c>
      <c r="N160" s="14">
        <f t="shared" si="63"/>
        <v>1101008</v>
      </c>
      <c r="O160" s="14" t="str">
        <f t="shared" si="64"/>
        <v>黑尔·坎普10突</v>
      </c>
      <c r="P160" s="29" t="s">
        <v>470</v>
      </c>
      <c r="Q160" s="14">
        <f t="shared" si="65"/>
        <v>1</v>
      </c>
      <c r="R160" s="14">
        <f t="shared" si="66"/>
        <v>10</v>
      </c>
      <c r="S160" s="14" t="s">
        <v>39</v>
      </c>
      <c r="T160" s="14">
        <f>ROUND(((IF(Q160=1,INDEX(新属性投放!$J$14:$J$34,卡牌属性!R160),INDEX(新属性投放!$J$42:$J$62,卡牌属性!R160)))*INDEX($G$5:$G$42,L160)+IF(Q160=1,INDEX(新属性投放!R$20:R$23,卡牌属性!M160-1),INDEX(新属性投放!R$25:R$28,卡牌属性!M160-1)))/SQRT(INDEX($I$5:$I$42,L160)),2)</f>
        <v>4491.55</v>
      </c>
      <c r="U160" s="29" t="s">
        <v>178</v>
      </c>
      <c r="V160" s="14">
        <f>ROUND((IF(Q160=1,INDEX(新属性投放!$K$14:$K$34,卡牌属性!R160),INDEX(新属性投放!$K$42:$K$62,卡牌属性!R160))+IF(Q160=1,INDEX(新属性投放!S$20:S$23,卡牌属性!M160-1),INDEX(新属性投放!S$25:S$28,卡牌属性!M160-1)))*INDEX($G$5:$G$42,L160),2)</f>
        <v>2207.7800000000002</v>
      </c>
      <c r="W160" s="29" t="s">
        <v>179</v>
      </c>
      <c r="X160" s="14">
        <f>ROUND((IF(Q160=1,INDEX(新属性投放!$L$14:$L$34,卡牌属性!R160),INDEX(新属性投放!$L$42:$L$62,卡牌属性!R160))*INDEX($G$5:$G$42,L160)+IF(Q160=1,INDEX(新属性投放!T$20:T$23,卡牌属性!M160-1),INDEX(新属性投放!T$25:T$28,卡牌属性!M160-1)))*SQRT(INDEX($I$5:$I$42,L160)),2)</f>
        <v>13674.65</v>
      </c>
      <c r="Y160" s="29" t="s">
        <v>177</v>
      </c>
      <c r="Z160" s="14">
        <f>ROUND(IF(Q160=1,INDEX(新属性投放!$D$14:$D$34,卡牌属性!R160),INDEX(新属性投放!$D$42:$D$62,卡牌属性!R160))*INDEX($G$5:$G$42,L160)/SQRT(INDEX($I$5:$I$42,L160)),2)</f>
        <v>112.83</v>
      </c>
      <c r="AA160" s="29" t="s">
        <v>178</v>
      </c>
      <c r="AB160" s="14">
        <f>ROUND(IF(Q160=1,INDEX(新属性投放!$E$14:$E$34,卡牌属性!R160),INDEX(新属性投放!$E$42:$E$62,卡牌属性!R160))*INDEX($G$5:$G$42,L160),2)</f>
        <v>56.42</v>
      </c>
      <c r="AC160" s="29" t="s">
        <v>179</v>
      </c>
      <c r="AD160" s="14">
        <f>ROUND(IF(Q160=1,INDEX(新属性投放!$F$14:$F$34,卡牌属性!R160),INDEX(新属性投放!$F$42:$F$62,卡牌属性!R160))*INDEX($G$5:$G$42,L160)*SQRT(INDEX($I$5:$I$42,L160)),2)</f>
        <v>338.49</v>
      </c>
      <c r="AF160" s="14">
        <f t="shared" si="67"/>
        <v>1128</v>
      </c>
      <c r="AG160" s="14">
        <f t="shared" si="68"/>
        <v>564</v>
      </c>
      <c r="AH160" s="14">
        <f t="shared" si="69"/>
        <v>3384</v>
      </c>
      <c r="AJ160" s="14">
        <f t="shared" si="73"/>
        <v>5160</v>
      </c>
      <c r="AK160" s="14">
        <f t="shared" si="74"/>
        <v>2580</v>
      </c>
      <c r="AL160" s="14">
        <f t="shared" si="75"/>
        <v>15492</v>
      </c>
    </row>
    <row r="161" spans="11:38" ht="16.5" x14ac:dyDescent="0.2">
      <c r="K161" s="13">
        <v>158</v>
      </c>
      <c r="L161" s="13">
        <f t="shared" si="61"/>
        <v>8</v>
      </c>
      <c r="M161" s="13">
        <f t="shared" si="62"/>
        <v>2</v>
      </c>
      <c r="N161" s="14">
        <f t="shared" si="63"/>
        <v>1101008</v>
      </c>
      <c r="O161" s="14" t="str">
        <f t="shared" si="64"/>
        <v>黑尔·坎普11突</v>
      </c>
      <c r="P161" s="29" t="s">
        <v>470</v>
      </c>
      <c r="Q161" s="14">
        <f t="shared" si="65"/>
        <v>1</v>
      </c>
      <c r="R161" s="14">
        <f t="shared" si="66"/>
        <v>11</v>
      </c>
      <c r="S161" s="14" t="s">
        <v>39</v>
      </c>
      <c r="T161" s="14">
        <f>ROUND(((IF(Q161=1,INDEX(新属性投放!$J$14:$J$34,卡牌属性!R161),INDEX(新属性投放!$J$42:$J$62,卡牌属性!R161)))*INDEX($G$5:$G$42,L161)+IF(Q161=1,INDEX(新属性投放!R$20:R$23,卡牌属性!M161-1),INDEX(新属性投放!R$25:R$28,卡牌属性!M161-1)))/SQRT(INDEX($I$5:$I$42,L161)),2)</f>
        <v>5196.7</v>
      </c>
      <c r="U161" s="29" t="s">
        <v>178</v>
      </c>
      <c r="V161" s="14">
        <f>ROUND((IF(Q161=1,INDEX(新属性投放!$K$14:$K$34,卡牌属性!R161),INDEX(新属性投放!$K$42:$K$62,卡牌属性!R161))+IF(Q161=1,INDEX(新属性投放!S$20:S$23,卡牌属性!M161-1),INDEX(新属性投放!S$25:S$28,卡牌属性!M161-1)))*INDEX($G$5:$G$42,L161),2)</f>
        <v>2560.85</v>
      </c>
      <c r="W161" s="29" t="s">
        <v>179</v>
      </c>
      <c r="X161" s="14">
        <f>ROUND((IF(Q161=1,INDEX(新属性投放!$L$14:$L$34,卡牌属性!R161),INDEX(新属性投放!$L$42:$L$62,卡牌属性!R161))*INDEX($G$5:$G$42,L161)+IF(Q161=1,INDEX(新属性投放!T$20:T$23,卡牌属性!M161-1),INDEX(新属性投放!T$25:T$28,卡牌属性!M161-1)))*SQRT(INDEX($I$5:$I$42,L161)),2)</f>
        <v>15790.1</v>
      </c>
      <c r="Y161" s="29" t="s">
        <v>177</v>
      </c>
      <c r="Z161" s="14">
        <f>ROUND(IF(Q161=1,INDEX(新属性投放!$D$14:$D$34,卡牌属性!R161),INDEX(新属性投放!$D$42:$D$62,卡牌属性!R161))*INDEX($G$5:$G$42,L161)/SQRT(INDEX($I$5:$I$42,L161)),2)</f>
        <v>131.58000000000001</v>
      </c>
      <c r="AA161" s="29" t="s">
        <v>178</v>
      </c>
      <c r="AB161" s="14">
        <f>ROUND(IF(Q161=1,INDEX(新属性投放!$E$14:$E$34,卡牌属性!R161),INDEX(新属性投放!$E$42:$E$62,卡牌属性!R161))*INDEX($G$5:$G$42,L161),2)</f>
        <v>65.790000000000006</v>
      </c>
      <c r="AC161" s="29" t="s">
        <v>179</v>
      </c>
      <c r="AD161" s="14">
        <f>ROUND(IF(Q161=1,INDEX(新属性投放!$F$14:$F$34,卡牌属性!R161),INDEX(新属性投放!$F$42:$F$62,卡牌属性!R161))*INDEX($G$5:$G$42,L161)*SQRT(INDEX($I$5:$I$42,L161)),2)</f>
        <v>394.74</v>
      </c>
      <c r="AF161" s="14">
        <f t="shared" si="67"/>
        <v>1315</v>
      </c>
      <c r="AG161" s="14">
        <f t="shared" si="68"/>
        <v>657</v>
      </c>
      <c r="AH161" s="14">
        <f t="shared" si="69"/>
        <v>3947</v>
      </c>
      <c r="AJ161" s="14">
        <f t="shared" si="73"/>
        <v>6475</v>
      </c>
      <c r="AK161" s="14">
        <f t="shared" si="74"/>
        <v>3237</v>
      </c>
      <c r="AL161" s="14">
        <f t="shared" si="75"/>
        <v>19439</v>
      </c>
    </row>
    <row r="162" spans="11:38" ht="16.5" x14ac:dyDescent="0.2">
      <c r="K162" s="13">
        <v>159</v>
      </c>
      <c r="L162" s="13">
        <f t="shared" si="61"/>
        <v>8</v>
      </c>
      <c r="M162" s="13">
        <f t="shared" si="62"/>
        <v>2</v>
      </c>
      <c r="N162" s="14">
        <f t="shared" si="63"/>
        <v>1101008</v>
      </c>
      <c r="O162" s="14" t="str">
        <f t="shared" si="64"/>
        <v>黑尔·坎普12突</v>
      </c>
      <c r="P162" s="29" t="s">
        <v>470</v>
      </c>
      <c r="Q162" s="14">
        <f t="shared" si="65"/>
        <v>1</v>
      </c>
      <c r="R162" s="14">
        <f t="shared" si="66"/>
        <v>12</v>
      </c>
      <c r="S162" s="14" t="s">
        <v>39</v>
      </c>
      <c r="T162" s="14">
        <f>ROUND(((IF(Q162=1,INDEX(新属性投放!$J$14:$J$34,卡牌属性!R162),INDEX(新属性投放!$J$42:$J$62,卡牌属性!R162)))*INDEX($G$5:$G$42,L162)+IF(Q162=1,INDEX(新属性投放!R$20:R$23,卡牌属性!M162-1),INDEX(新属性投放!R$25:R$28,卡牌属性!M162-1)))/SQRT(INDEX($I$5:$I$42,L162)),2)</f>
        <v>6018.6</v>
      </c>
      <c r="U162" s="29" t="s">
        <v>178</v>
      </c>
      <c r="V162" s="14">
        <f>ROUND((IF(Q162=1,INDEX(新属性投放!$K$14:$K$34,卡牌属性!R162),INDEX(新属性投放!$K$42:$K$62,卡牌属性!R162))+IF(Q162=1,INDEX(新属性投放!S$20:S$23,卡牌属性!M162-1),INDEX(新属性投放!S$25:S$28,卡牌属性!M162-1)))*INDEX($G$5:$G$42,L162),2)</f>
        <v>2971.8</v>
      </c>
      <c r="W162" s="29" t="s">
        <v>179</v>
      </c>
      <c r="X162" s="14">
        <f>ROUND((IF(Q162=1,INDEX(新属性投放!$L$14:$L$34,卡牌属性!R162),INDEX(新属性投放!$L$42:$L$62,卡牌属性!R162))*INDEX($G$5:$G$42,L162)+IF(Q162=1,INDEX(新属性投放!T$20:T$23,卡牌属性!M162-1),INDEX(新属性投放!T$25:T$28,卡牌属性!M162-1)))*SQRT(INDEX($I$5:$I$42,L162)),2)</f>
        <v>18255.8</v>
      </c>
      <c r="Y162" s="29" t="s">
        <v>177</v>
      </c>
      <c r="Z162" s="14">
        <f>ROUND(IF(Q162=1,INDEX(新属性投放!$D$14:$D$34,卡牌属性!R162),INDEX(新属性投放!$D$42:$D$62,卡牌属性!R162))*INDEX($G$5:$G$42,L162)/SQRT(INDEX($I$5:$I$42,L162)),2)</f>
        <v>150.47</v>
      </c>
      <c r="AA162" s="29" t="s">
        <v>178</v>
      </c>
      <c r="AB162" s="14">
        <f>ROUND(IF(Q162=1,INDEX(新属性投放!$E$14:$E$34,卡牌属性!R162),INDEX(新属性投放!$E$42:$E$62,卡牌属性!R162))*INDEX($G$5:$G$42,L162),2)</f>
        <v>75.239999999999995</v>
      </c>
      <c r="AC162" s="29" t="s">
        <v>179</v>
      </c>
      <c r="AD162" s="14">
        <f>ROUND(IF(Q162=1,INDEX(新属性投放!$F$14:$F$34,卡牌属性!R162),INDEX(新属性投放!$F$42:$F$62,卡牌属性!R162))*INDEX($G$5:$G$42,L162)*SQRT(INDEX($I$5:$I$42,L162)),2)</f>
        <v>451.41</v>
      </c>
      <c r="AF162" s="14">
        <f t="shared" si="67"/>
        <v>1504</v>
      </c>
      <c r="AG162" s="14">
        <f t="shared" si="68"/>
        <v>752</v>
      </c>
      <c r="AH162" s="14">
        <f t="shared" si="69"/>
        <v>4514</v>
      </c>
      <c r="AJ162" s="14">
        <f t="shared" si="73"/>
        <v>7979</v>
      </c>
      <c r="AK162" s="14">
        <f t="shared" si="74"/>
        <v>3989</v>
      </c>
      <c r="AL162" s="14">
        <f t="shared" si="75"/>
        <v>23953</v>
      </c>
    </row>
    <row r="163" spans="11:38" ht="16.5" x14ac:dyDescent="0.2">
      <c r="K163" s="13">
        <v>160</v>
      </c>
      <c r="L163" s="13">
        <f t="shared" si="61"/>
        <v>8</v>
      </c>
      <c r="M163" s="13">
        <f t="shared" si="62"/>
        <v>2</v>
      </c>
      <c r="N163" s="14">
        <f t="shared" si="63"/>
        <v>1101008</v>
      </c>
      <c r="O163" s="14" t="str">
        <f t="shared" si="64"/>
        <v>黑尔·坎普13突</v>
      </c>
      <c r="P163" s="29" t="s">
        <v>470</v>
      </c>
      <c r="Q163" s="14">
        <f t="shared" si="65"/>
        <v>1</v>
      </c>
      <c r="R163" s="14">
        <f t="shared" si="66"/>
        <v>13</v>
      </c>
      <c r="S163" s="14" t="s">
        <v>39</v>
      </c>
      <c r="T163" s="14">
        <f>ROUND(((IF(Q163=1,INDEX(新属性投放!$J$14:$J$34,卡牌属性!R163),INDEX(新属性投放!$J$42:$J$62,卡牌属性!R163)))*INDEX($G$5:$G$42,L163)+IF(Q163=1,INDEX(新属性投放!R$20:R$23,卡牌属性!M163-1),INDEX(新属性投放!R$25:R$28,卡牌属性!M163-1)))/SQRT(INDEX($I$5:$I$42,L163)),2)</f>
        <v>6958.95</v>
      </c>
      <c r="U163" s="29" t="s">
        <v>178</v>
      </c>
      <c r="V163" s="14">
        <f>ROUND((IF(Q163=1,INDEX(新属性投放!$K$14:$K$34,卡牌属性!R163),INDEX(新属性投放!$K$42:$K$62,卡牌属性!R163))+IF(Q163=1,INDEX(新属性投放!S$20:S$23,卡牌属性!M163-1),INDEX(新属性投放!S$25:S$28,卡牌属性!M163-1)))*INDEX($G$5:$G$42,L163),2)</f>
        <v>3441.98</v>
      </c>
      <c r="W163" s="29" t="s">
        <v>179</v>
      </c>
      <c r="X163" s="14">
        <f>ROUND((IF(Q163=1,INDEX(新属性投放!$L$14:$L$34,卡牌属性!R163),INDEX(新属性投放!$L$42:$L$62,卡牌属性!R163))*INDEX($G$5:$G$42,L163)+IF(Q163=1,INDEX(新属性投放!T$20:T$23,卡牌属性!M163-1),INDEX(新属性投放!T$25:T$28,卡牌属性!M163-1)))*SQRT(INDEX($I$5:$I$42,L163)),2)</f>
        <v>21076.85</v>
      </c>
      <c r="Y163" s="29" t="s">
        <v>177</v>
      </c>
      <c r="Z163" s="14">
        <f>ROUND(IF(Q163=1,INDEX(新属性投放!$D$14:$D$34,卡牌属性!R163),INDEX(新属性投放!$D$42:$D$62,卡牌属性!R163))*INDEX($G$5:$G$42,L163)/SQRT(INDEX($I$5:$I$42,L163)),2)</f>
        <v>173.97</v>
      </c>
      <c r="AA163" s="29" t="s">
        <v>178</v>
      </c>
      <c r="AB163" s="14">
        <f>ROUND(IF(Q163=1,INDEX(新属性投放!$E$14:$E$34,卡牌属性!R163),INDEX(新属性投放!$E$42:$E$62,卡牌属性!R163))*INDEX($G$5:$G$42,L163),2)</f>
        <v>86.99</v>
      </c>
      <c r="AC163" s="29" t="s">
        <v>179</v>
      </c>
      <c r="AD163" s="14">
        <f>ROUND(IF(Q163=1,INDEX(新属性投放!$F$14:$F$34,卡牌属性!R163),INDEX(新属性投放!$F$42:$F$62,卡牌属性!R163))*INDEX($G$5:$G$42,L163)*SQRT(INDEX($I$5:$I$42,L163)),2)</f>
        <v>521.91</v>
      </c>
      <c r="AF163" s="14">
        <f t="shared" si="67"/>
        <v>1739</v>
      </c>
      <c r="AG163" s="14">
        <f t="shared" si="68"/>
        <v>869</v>
      </c>
      <c r="AH163" s="14">
        <f t="shared" si="69"/>
        <v>5219</v>
      </c>
      <c r="AJ163" s="14">
        <f t="shared" si="73"/>
        <v>9718</v>
      </c>
      <c r="AK163" s="14">
        <f t="shared" si="74"/>
        <v>4858</v>
      </c>
      <c r="AL163" s="14">
        <f t="shared" si="75"/>
        <v>29172</v>
      </c>
    </row>
    <row r="164" spans="11:38" ht="16.5" x14ac:dyDescent="0.2">
      <c r="K164" s="13">
        <v>161</v>
      </c>
      <c r="L164" s="13">
        <f t="shared" si="61"/>
        <v>8</v>
      </c>
      <c r="M164" s="13">
        <f t="shared" si="62"/>
        <v>2</v>
      </c>
      <c r="N164" s="14">
        <f t="shared" si="63"/>
        <v>1101008</v>
      </c>
      <c r="O164" s="14" t="str">
        <f t="shared" si="64"/>
        <v>黑尔·坎普14突</v>
      </c>
      <c r="P164" s="29" t="s">
        <v>470</v>
      </c>
      <c r="Q164" s="14">
        <f t="shared" si="65"/>
        <v>1</v>
      </c>
      <c r="R164" s="14">
        <f t="shared" si="66"/>
        <v>14</v>
      </c>
      <c r="S164" s="14" t="s">
        <v>39</v>
      </c>
      <c r="T164" s="14">
        <f>ROUND(((IF(Q164=1,INDEX(新属性投放!$J$14:$J$34,卡牌属性!R164),INDEX(新属性投放!$J$42:$J$62,卡牌属性!R164)))*INDEX($G$5:$G$42,L164)+IF(Q164=1,INDEX(新属性投放!R$20:R$23,卡牌属性!M164-1),INDEX(新属性投放!R$25:R$28,卡牌属性!M164-1)))/SQRT(INDEX($I$5:$I$42,L164)),2)</f>
        <v>8045.8</v>
      </c>
      <c r="U164" s="29" t="s">
        <v>178</v>
      </c>
      <c r="V164" s="14">
        <f>ROUND((IF(Q164=1,INDEX(新属性投放!$K$14:$K$34,卡牌属性!R164),INDEX(新属性投放!$K$42:$K$62,卡牌属性!R164))+IF(Q164=1,INDEX(新属性投放!S$20:S$23,卡牌属性!M164-1),INDEX(新属性投放!S$25:S$28,卡牌属性!M164-1)))*INDEX($G$5:$G$42,L164),2)</f>
        <v>3985.9</v>
      </c>
      <c r="W164" s="29" t="s">
        <v>179</v>
      </c>
      <c r="X164" s="14">
        <f>ROUND((IF(Q164=1,INDEX(新属性投放!$L$14:$L$34,卡牌属性!R164),INDEX(新属性投放!$L$42:$L$62,卡牌属性!R164))*INDEX($G$5:$G$42,L164)+IF(Q164=1,INDEX(新属性投放!T$20:T$23,卡牌属性!M164-1),INDEX(新属性投放!T$25:T$28,卡牌属性!M164-1)))*SQRT(INDEX($I$5:$I$42,L164)),2)</f>
        <v>24337.4</v>
      </c>
      <c r="Y164" s="29" t="s">
        <v>177</v>
      </c>
      <c r="Z164" s="14">
        <f>ROUND(IF(Q164=1,INDEX(新属性投放!$D$14:$D$34,卡牌属性!R164),INDEX(新属性投放!$D$42:$D$62,卡牌属性!R164))*INDEX($G$5:$G$42,L164)/SQRT(INDEX($I$5:$I$42,L164)),2)</f>
        <v>201.15</v>
      </c>
      <c r="AA164" s="29" t="s">
        <v>178</v>
      </c>
      <c r="AB164" s="14">
        <f>ROUND(IF(Q164=1,INDEX(新属性投放!$E$14:$E$34,卡牌属性!R164),INDEX(新属性投放!$E$42:$E$62,卡牌属性!R164))*INDEX($G$5:$G$42,L164),2)</f>
        <v>100.58</v>
      </c>
      <c r="AC164" s="29" t="s">
        <v>179</v>
      </c>
      <c r="AD164" s="14">
        <f>ROUND(IF(Q164=1,INDEX(新属性投放!$F$14:$F$34,卡牌属性!R164),INDEX(新属性投放!$F$42:$F$62,卡牌属性!R164))*INDEX($G$5:$G$42,L164)*SQRT(INDEX($I$5:$I$42,L164)),2)</f>
        <v>603.45000000000005</v>
      </c>
      <c r="AF164" s="14">
        <f t="shared" si="67"/>
        <v>2011</v>
      </c>
      <c r="AG164" s="14">
        <f t="shared" si="68"/>
        <v>1005</v>
      </c>
      <c r="AH164" s="14">
        <f t="shared" si="69"/>
        <v>6034</v>
      </c>
      <c r="AJ164" s="14">
        <f t="shared" si="73"/>
        <v>11729</v>
      </c>
      <c r="AK164" s="14">
        <f t="shared" si="74"/>
        <v>5863</v>
      </c>
      <c r="AL164" s="14">
        <f t="shared" si="75"/>
        <v>35206</v>
      </c>
    </row>
    <row r="165" spans="11:38" ht="16.5" x14ac:dyDescent="0.2">
      <c r="K165" s="13">
        <v>162</v>
      </c>
      <c r="L165" s="13">
        <f t="shared" si="61"/>
        <v>8</v>
      </c>
      <c r="M165" s="13">
        <f t="shared" si="62"/>
        <v>2</v>
      </c>
      <c r="N165" s="14">
        <f t="shared" si="63"/>
        <v>1101008</v>
      </c>
      <c r="O165" s="14" t="str">
        <f t="shared" si="64"/>
        <v>黑尔·坎普15突</v>
      </c>
      <c r="P165" s="29" t="s">
        <v>470</v>
      </c>
      <c r="Q165" s="14">
        <f t="shared" si="65"/>
        <v>1</v>
      </c>
      <c r="R165" s="14">
        <f t="shared" si="66"/>
        <v>15</v>
      </c>
      <c r="S165" s="14" t="s">
        <v>39</v>
      </c>
      <c r="T165" s="14">
        <f>ROUND(((IF(Q165=1,INDEX(新属性投放!$J$14:$J$34,卡牌属性!R165),INDEX(新属性投放!$J$42:$J$62,卡牌属性!R165)))*INDEX($G$5:$G$42,L165)+IF(Q165=1,INDEX(新属性投放!R$20:R$23,卡牌属性!M165-1),INDEX(新属性投放!R$25:R$28,卡牌属性!M165-1)))/SQRT(INDEX($I$5:$I$42,L165)),2)</f>
        <v>9302.5499999999993</v>
      </c>
      <c r="U165" s="29" t="s">
        <v>178</v>
      </c>
      <c r="V165" s="14">
        <f>ROUND((IF(Q165=1,INDEX(新属性投放!$K$14:$K$34,卡牌属性!R165),INDEX(新属性投放!$K$42:$K$62,卡牌属性!R165))+IF(Q165=1,INDEX(新属性投放!S$20:S$23,卡牌属性!M165-1),INDEX(新属性投放!S$25:S$28,卡牌属性!M165-1)))*INDEX($G$5:$G$42,L165),2)</f>
        <v>4614.78</v>
      </c>
      <c r="W165" s="29" t="s">
        <v>179</v>
      </c>
      <c r="X165" s="14">
        <f>ROUND((IF(Q165=1,INDEX(新属性投放!$L$14:$L$34,卡牌属性!R165),INDEX(新属性投放!$L$42:$L$62,卡牌属性!R165))*INDEX($G$5:$G$42,L165)+IF(Q165=1,INDEX(新属性投放!T$20:T$23,卡牌属性!M165-1),INDEX(新属性投放!T$25:T$28,卡牌属性!M165-1)))*SQRT(INDEX($I$5:$I$42,L165)),2)</f>
        <v>28107.65</v>
      </c>
      <c r="Y165" s="29" t="s">
        <v>177</v>
      </c>
      <c r="Z165" s="14">
        <f>ROUND(IF(Q165=1,INDEX(新属性投放!$D$14:$D$34,卡牌属性!R165),INDEX(新属性投放!$D$42:$D$62,卡牌属性!R165))*INDEX($G$5:$G$42,L165)/SQRT(INDEX($I$5:$I$42,L165)),2)</f>
        <v>232.56</v>
      </c>
      <c r="AA165" s="29" t="s">
        <v>178</v>
      </c>
      <c r="AB165" s="14">
        <f>ROUND(IF(Q165=1,INDEX(新属性投放!$E$14:$E$34,卡牌属性!R165),INDEX(新属性投放!$E$42:$E$62,卡牌属性!R165))*INDEX($G$5:$G$42,L165),2)</f>
        <v>116.28</v>
      </c>
      <c r="AC165" s="29" t="s">
        <v>179</v>
      </c>
      <c r="AD165" s="14">
        <f>ROUND(IF(Q165=1,INDEX(新属性投放!$F$14:$F$34,卡牌属性!R165),INDEX(新属性投放!$F$42:$F$62,卡牌属性!R165))*INDEX($G$5:$G$42,L165)*SQRT(INDEX($I$5:$I$42,L165)),2)</f>
        <v>697.68</v>
      </c>
      <c r="AF165" s="14">
        <f t="shared" si="67"/>
        <v>2325</v>
      </c>
      <c r="AG165" s="14">
        <f t="shared" si="68"/>
        <v>1162</v>
      </c>
      <c r="AH165" s="14">
        <f t="shared" si="69"/>
        <v>6976</v>
      </c>
      <c r="AJ165" s="14">
        <f t="shared" si="73"/>
        <v>14054</v>
      </c>
      <c r="AK165" s="14">
        <f t="shared" si="74"/>
        <v>7025</v>
      </c>
      <c r="AL165" s="14">
        <f t="shared" si="75"/>
        <v>42182</v>
      </c>
    </row>
    <row r="166" spans="11:38" ht="16.5" x14ac:dyDescent="0.2">
      <c r="K166" s="13">
        <v>163</v>
      </c>
      <c r="L166" s="13">
        <f t="shared" si="61"/>
        <v>8</v>
      </c>
      <c r="M166" s="13">
        <f t="shared" si="62"/>
        <v>2</v>
      </c>
      <c r="N166" s="14">
        <f t="shared" si="63"/>
        <v>1101008</v>
      </c>
      <c r="O166" s="14" t="str">
        <f t="shared" si="64"/>
        <v>黑尔·坎普16突</v>
      </c>
      <c r="P166" s="29" t="s">
        <v>470</v>
      </c>
      <c r="Q166" s="14">
        <f t="shared" si="65"/>
        <v>1</v>
      </c>
      <c r="R166" s="14">
        <f t="shared" si="66"/>
        <v>16</v>
      </c>
      <c r="S166" s="14" t="s">
        <v>39</v>
      </c>
      <c r="T166" s="14">
        <f>ROUND(((IF(Q166=1,INDEX(新属性投放!$J$14:$J$34,卡牌属性!R166),INDEX(新属性投放!$J$42:$J$62,卡牌属性!R166)))*INDEX($G$5:$G$42,L166)+IF(Q166=1,INDEX(新属性投放!R$20:R$23,卡牌属性!M166-1),INDEX(新属性投放!R$25:R$28,卡牌属性!M166-1)))/SQRT(INDEX($I$5:$I$42,L166)),2)</f>
        <v>10756.35</v>
      </c>
      <c r="U166" s="29" t="s">
        <v>178</v>
      </c>
      <c r="V166" s="14">
        <f>ROUND((IF(Q166=1,INDEX(新属性投放!$K$14:$K$34,卡牌属性!R166),INDEX(新属性投放!$K$42:$K$62,卡牌属性!R166))+IF(Q166=1,INDEX(新属性投放!S$20:S$23,卡牌属性!M166-1),INDEX(新属性投放!S$25:S$28,卡牌属性!M166-1)))*INDEX($G$5:$G$42,L166),2)</f>
        <v>5341.18</v>
      </c>
      <c r="W166" s="29" t="s">
        <v>179</v>
      </c>
      <c r="X166" s="14">
        <f>ROUND((IF(Q166=1,INDEX(新属性投放!$L$14:$L$34,卡牌属性!R166),INDEX(新属性投放!$L$42:$L$62,卡牌属性!R166))*INDEX($G$5:$G$42,L166)+IF(Q166=1,INDEX(新属性投放!T$20:T$23,卡牌属性!M166-1),INDEX(新属性投放!T$25:T$28,卡牌属性!M166-1)))*SQRT(INDEX($I$5:$I$42,L166)),2)</f>
        <v>32469.05</v>
      </c>
      <c r="Y166" s="29" t="s">
        <v>177</v>
      </c>
      <c r="Z166" s="14">
        <f>ROUND(IF(Q166=1,INDEX(新属性投放!$D$14:$D$34,卡牌属性!R166),INDEX(新属性投放!$D$42:$D$62,卡牌属性!R166))*INDEX($G$5:$G$42,L166)/SQRT(INDEX($I$5:$I$42,L166)),2)</f>
        <v>268.91000000000003</v>
      </c>
      <c r="AA166" s="29" t="s">
        <v>178</v>
      </c>
      <c r="AB166" s="14">
        <f>ROUND(IF(Q166=1,INDEX(新属性投放!$E$14:$E$34,卡牌属性!R166),INDEX(新属性投放!$E$42:$E$62,卡牌属性!R166))*INDEX($G$5:$G$42,L166),2)</f>
        <v>134.46</v>
      </c>
      <c r="AC166" s="29" t="s">
        <v>179</v>
      </c>
      <c r="AD166" s="14">
        <f>ROUND(IF(Q166=1,INDEX(新属性投放!$F$14:$F$34,卡牌属性!R166),INDEX(新属性投放!$F$42:$F$62,卡牌属性!R166))*INDEX($G$5:$G$42,L166)*SQRT(INDEX($I$5:$I$42,L166)),2)</f>
        <v>806.73</v>
      </c>
      <c r="AF166" s="14">
        <f t="shared" si="67"/>
        <v>2689</v>
      </c>
      <c r="AG166" s="14">
        <f t="shared" si="68"/>
        <v>1344</v>
      </c>
      <c r="AH166" s="14">
        <f t="shared" si="69"/>
        <v>8067</v>
      </c>
      <c r="AJ166" s="14">
        <f t="shared" si="73"/>
        <v>16743</v>
      </c>
      <c r="AK166" s="14">
        <f t="shared" si="74"/>
        <v>8369</v>
      </c>
      <c r="AL166" s="14">
        <f t="shared" si="75"/>
        <v>50249</v>
      </c>
    </row>
    <row r="167" spans="11:38" ht="16.5" x14ac:dyDescent="0.2">
      <c r="K167" s="13">
        <v>164</v>
      </c>
      <c r="L167" s="13">
        <f t="shared" si="61"/>
        <v>8</v>
      </c>
      <c r="M167" s="13">
        <f t="shared" si="62"/>
        <v>2</v>
      </c>
      <c r="N167" s="14">
        <f t="shared" si="63"/>
        <v>1101008</v>
      </c>
      <c r="O167" s="14" t="str">
        <f t="shared" si="64"/>
        <v>黑尔·坎普17突</v>
      </c>
      <c r="P167" s="29" t="s">
        <v>470</v>
      </c>
      <c r="Q167" s="14">
        <f t="shared" si="65"/>
        <v>1</v>
      </c>
      <c r="R167" s="14">
        <f t="shared" si="66"/>
        <v>17</v>
      </c>
      <c r="S167" s="14" t="s">
        <v>39</v>
      </c>
      <c r="T167" s="14">
        <f>ROUND(((IF(Q167=1,INDEX(新属性投放!$J$14:$J$34,卡牌属性!R167),INDEX(新属性投放!$J$42:$J$62,卡牌属性!R167)))*INDEX($G$5:$G$42,L167)+IF(Q167=1,INDEX(新属性投放!R$20:R$23,卡牌属性!M167-1),INDEX(新属性投放!R$25:R$28,卡牌属性!M167-1)))/SQRT(INDEX($I$5:$I$42,L167)),2)</f>
        <v>12436.9</v>
      </c>
      <c r="U167" s="29" t="s">
        <v>178</v>
      </c>
      <c r="V167" s="14">
        <f>ROUND((IF(Q167=1,INDEX(新属性投放!$K$14:$K$34,卡牌属性!R167),INDEX(新属性投放!$K$42:$K$62,卡牌属性!R167))+IF(Q167=1,INDEX(新属性投放!S$20:S$23,卡牌属性!M167-1),INDEX(新属性投放!S$25:S$28,卡牌属性!M167-1)))*INDEX($G$5:$G$42,L167),2)</f>
        <v>6181.45</v>
      </c>
      <c r="W167" s="29" t="s">
        <v>179</v>
      </c>
      <c r="X167" s="14">
        <f>ROUND((IF(Q167=1,INDEX(新属性投放!$L$14:$L$34,卡牌属性!R167),INDEX(新属性投放!$L$42:$L$62,卡牌属性!R167))*INDEX($G$5:$G$42,L167)+IF(Q167=1,INDEX(新属性投放!T$20:T$23,卡牌属性!M167-1),INDEX(新属性投放!T$25:T$28,卡牌属性!M167-1)))*SQRT(INDEX($I$5:$I$42,L167)),2)</f>
        <v>37510.699999999997</v>
      </c>
      <c r="Y167" s="29" t="s">
        <v>177</v>
      </c>
      <c r="Z167" s="14">
        <f>ROUND(IF(Q167=1,INDEX(新属性投放!$D$14:$D$34,卡牌属性!R167),INDEX(新属性投放!$D$42:$D$62,卡牌属性!R167))*INDEX($G$5:$G$42,L167)/SQRT(INDEX($I$5:$I$42,L167)),2)</f>
        <v>310.92</v>
      </c>
      <c r="AA167" s="29" t="s">
        <v>178</v>
      </c>
      <c r="AB167" s="14">
        <f>ROUND(IF(Q167=1,INDEX(新属性投放!$E$14:$E$34,卡牌属性!R167),INDEX(新属性投放!$E$42:$E$62,卡牌属性!R167))*INDEX($G$5:$G$42,L167),2)</f>
        <v>155.46</v>
      </c>
      <c r="AC167" s="29" t="s">
        <v>179</v>
      </c>
      <c r="AD167" s="14">
        <f>ROUND(IF(Q167=1,INDEX(新属性投放!$F$14:$F$34,卡牌属性!R167),INDEX(新属性投放!$F$42:$F$62,卡牌属性!R167))*INDEX($G$5:$G$42,L167)*SQRT(INDEX($I$5:$I$42,L167)),2)</f>
        <v>932.76</v>
      </c>
      <c r="AF167" s="14">
        <f t="shared" si="67"/>
        <v>3109</v>
      </c>
      <c r="AG167" s="14">
        <f t="shared" si="68"/>
        <v>1554</v>
      </c>
      <c r="AH167" s="14">
        <f t="shared" si="69"/>
        <v>9327</v>
      </c>
      <c r="AJ167" s="14">
        <f t="shared" si="73"/>
        <v>19852</v>
      </c>
      <c r="AK167" s="14">
        <f t="shared" si="74"/>
        <v>9923</v>
      </c>
      <c r="AL167" s="14">
        <f t="shared" si="75"/>
        <v>59576</v>
      </c>
    </row>
    <row r="168" spans="11:38" ht="16.5" x14ac:dyDescent="0.2">
      <c r="K168" s="13">
        <v>165</v>
      </c>
      <c r="L168" s="13">
        <f t="shared" si="61"/>
        <v>8</v>
      </c>
      <c r="M168" s="13">
        <f t="shared" si="62"/>
        <v>2</v>
      </c>
      <c r="N168" s="14">
        <f t="shared" si="63"/>
        <v>1101008</v>
      </c>
      <c r="O168" s="14" t="str">
        <f t="shared" si="64"/>
        <v>黑尔·坎普18突</v>
      </c>
      <c r="P168" s="29" t="s">
        <v>470</v>
      </c>
      <c r="Q168" s="14">
        <f t="shared" si="65"/>
        <v>1</v>
      </c>
      <c r="R168" s="14">
        <f t="shared" si="66"/>
        <v>18</v>
      </c>
      <c r="S168" s="14" t="s">
        <v>39</v>
      </c>
      <c r="T168" s="14">
        <f>ROUND(((IF(Q168=1,INDEX(新属性投放!$J$14:$J$34,卡牌属性!R168),INDEX(新属性投放!$J$42:$J$62,卡牌属性!R168)))*INDEX($G$5:$G$42,L168)+IF(Q168=1,INDEX(新属性投放!R$20:R$23,卡牌属性!M168-1),INDEX(新属性投放!R$25:R$28,卡牌属性!M168-1)))/SQRT(INDEX($I$5:$I$42,L168)),2)</f>
        <v>14380.5</v>
      </c>
      <c r="U168" s="29" t="s">
        <v>178</v>
      </c>
      <c r="V168" s="14">
        <f>ROUND((IF(Q168=1,INDEX(新属性投放!$K$14:$K$34,卡牌属性!R168),INDEX(新属性投放!$K$42:$K$62,卡牌属性!R168))+IF(Q168=1,INDEX(新属性投放!S$20:S$23,卡牌属性!M168-1),INDEX(新属性投放!S$25:S$28,卡牌属性!M168-1)))*INDEX($G$5:$G$42,L168),2)</f>
        <v>7152.75</v>
      </c>
      <c r="W168" s="29" t="s">
        <v>179</v>
      </c>
      <c r="X168" s="14">
        <f>ROUND((IF(Q168=1,INDEX(新属性投放!$L$14:$L$34,卡牌属性!R168),INDEX(新属性投放!$L$42:$L$62,卡牌属性!R168))*INDEX($G$5:$G$42,L168)+IF(Q168=1,INDEX(新属性投放!T$20:T$23,卡牌属性!M168-1),INDEX(新属性投放!T$25:T$28,卡牌属性!M168-1)))*SQRT(INDEX($I$5:$I$42,L168)),2)</f>
        <v>43341.5</v>
      </c>
      <c r="Y168" s="29" t="s">
        <v>177</v>
      </c>
      <c r="Z168" s="14">
        <f>ROUND(IF(Q168=1,INDEX(新属性投放!$D$14:$D$34,卡牌属性!R168),INDEX(新属性投放!$D$42:$D$62,卡牌属性!R168))*INDEX($G$5:$G$42,L168)/SQRT(INDEX($I$5:$I$42,L168)),2)</f>
        <v>359.51</v>
      </c>
      <c r="AA168" s="29" t="s">
        <v>178</v>
      </c>
      <c r="AB168" s="14">
        <f>ROUND(IF(Q168=1,INDEX(新属性投放!$E$14:$E$34,卡牌属性!R168),INDEX(新属性投放!$E$42:$E$62,卡牌属性!R168))*INDEX($G$5:$G$42,L168),2)</f>
        <v>179.76</v>
      </c>
      <c r="AC168" s="29" t="s">
        <v>179</v>
      </c>
      <c r="AD168" s="14">
        <f>ROUND(IF(Q168=1,INDEX(新属性投放!$F$14:$F$34,卡牌属性!R168),INDEX(新属性投放!$F$42:$F$62,卡牌属性!R168))*INDEX($G$5:$G$42,L168)*SQRT(INDEX($I$5:$I$42,L168)),2)</f>
        <v>1078.53</v>
      </c>
      <c r="AF168" s="14">
        <f t="shared" si="67"/>
        <v>3595</v>
      </c>
      <c r="AG168" s="14">
        <f t="shared" si="68"/>
        <v>1797</v>
      </c>
      <c r="AH168" s="14">
        <f t="shared" si="69"/>
        <v>10785</v>
      </c>
      <c r="AJ168" s="14">
        <f t="shared" si="73"/>
        <v>23447</v>
      </c>
      <c r="AK168" s="14">
        <f t="shared" si="74"/>
        <v>11720</v>
      </c>
      <c r="AL168" s="14">
        <f t="shared" si="75"/>
        <v>70361</v>
      </c>
    </row>
    <row r="169" spans="11:38" ht="16.5" x14ac:dyDescent="0.2">
      <c r="K169" s="13">
        <v>166</v>
      </c>
      <c r="L169" s="13">
        <f t="shared" si="61"/>
        <v>8</v>
      </c>
      <c r="M169" s="13">
        <f t="shared" si="62"/>
        <v>2</v>
      </c>
      <c r="N169" s="14">
        <f t="shared" si="63"/>
        <v>1101008</v>
      </c>
      <c r="O169" s="14" t="str">
        <f t="shared" si="64"/>
        <v>黑尔·坎普19突</v>
      </c>
      <c r="P169" s="29" t="s">
        <v>470</v>
      </c>
      <c r="Q169" s="14">
        <f t="shared" si="65"/>
        <v>1</v>
      </c>
      <c r="R169" s="14">
        <f t="shared" si="66"/>
        <v>19</v>
      </c>
      <c r="S169" s="14" t="s">
        <v>39</v>
      </c>
      <c r="T169" s="14">
        <f>ROUND(((IF(Q169=1,INDEX(新属性投放!$J$14:$J$34,卡牌属性!R169),INDEX(新属性投放!$J$42:$J$62,卡牌属性!R169)))*INDEX($G$5:$G$42,L169)+IF(Q169=1,INDEX(新属性投放!R$20:R$23,卡牌属性!M169-1),INDEX(新属性投放!R$25:R$28,卡牌属性!M169-1)))/SQRT(INDEX($I$5:$I$42,L169)),2)</f>
        <v>16627.05</v>
      </c>
      <c r="U169" s="29" t="s">
        <v>178</v>
      </c>
      <c r="V169" s="14">
        <f>ROUND((IF(Q169=1,INDEX(新属性投放!$K$14:$K$34,卡牌属性!R169),INDEX(新属性投放!$K$42:$K$62,卡牌属性!R169))+IF(Q169=1,INDEX(新属性投放!S$20:S$23,卡牌属性!M169-1),INDEX(新属性投放!S$25:S$28,卡牌属性!M169-1)))*INDEX($G$5:$G$42,L169),2)</f>
        <v>8276.5300000000007</v>
      </c>
      <c r="W169" s="29" t="s">
        <v>179</v>
      </c>
      <c r="X169" s="14">
        <f>ROUND((IF(Q169=1,INDEX(新属性投放!$L$14:$L$34,卡牌属性!R169),INDEX(新属性投放!$L$42:$L$62,卡牌属性!R169))*INDEX($G$5:$G$42,L169)+IF(Q169=1,INDEX(新属性投放!T$20:T$23,卡牌属性!M169-1),INDEX(新属性投放!T$25:T$28,卡牌属性!M169-1)))*SQRT(INDEX($I$5:$I$42,L169)),2)</f>
        <v>50081.15</v>
      </c>
      <c r="Y169" s="29" t="s">
        <v>177</v>
      </c>
      <c r="Z169" s="14">
        <f>ROUND(IF(Q169=1,INDEX(新属性投放!$D$14:$D$34,卡牌属性!R169),INDEX(新属性投放!$D$42:$D$62,卡牌属性!R169))*INDEX($G$5:$G$42,L169)/SQRT(INDEX($I$5:$I$42,L169)),2)</f>
        <v>415.68</v>
      </c>
      <c r="AA169" s="29" t="s">
        <v>178</v>
      </c>
      <c r="AB169" s="14">
        <f>ROUND(IF(Q169=1,INDEX(新属性投放!$E$14:$E$34,卡牌属性!R169),INDEX(新属性投放!$E$42:$E$62,卡牌属性!R169))*INDEX($G$5:$G$42,L169),2)</f>
        <v>207.84</v>
      </c>
      <c r="AC169" s="29" t="s">
        <v>179</v>
      </c>
      <c r="AD169" s="14">
        <f>ROUND(IF(Q169=1,INDEX(新属性投放!$F$14:$F$34,卡牌属性!R169),INDEX(新属性投放!$F$42:$F$62,卡牌属性!R169))*INDEX($G$5:$G$42,L169)*SQRT(INDEX($I$5:$I$42,L169)),2)</f>
        <v>1247.04</v>
      </c>
      <c r="AF169" s="14">
        <f t="shared" si="67"/>
        <v>4156</v>
      </c>
      <c r="AG169" s="14">
        <f t="shared" si="68"/>
        <v>2078</v>
      </c>
      <c r="AH169" s="14">
        <f t="shared" si="69"/>
        <v>12470</v>
      </c>
      <c r="AJ169" s="14">
        <f t="shared" si="73"/>
        <v>27603</v>
      </c>
      <c r="AK169" s="14">
        <f t="shared" si="74"/>
        <v>13798</v>
      </c>
      <c r="AL169" s="14">
        <f t="shared" si="75"/>
        <v>82831</v>
      </c>
    </row>
    <row r="170" spans="11:38" ht="16.5" x14ac:dyDescent="0.2">
      <c r="K170" s="13">
        <v>167</v>
      </c>
      <c r="L170" s="13">
        <f t="shared" si="61"/>
        <v>8</v>
      </c>
      <c r="M170" s="13">
        <f t="shared" si="62"/>
        <v>2</v>
      </c>
      <c r="N170" s="14">
        <f t="shared" si="63"/>
        <v>1101008</v>
      </c>
      <c r="O170" s="14" t="str">
        <f t="shared" si="64"/>
        <v>黑尔·坎普20突</v>
      </c>
      <c r="P170" s="29" t="s">
        <v>470</v>
      </c>
      <c r="Q170" s="14">
        <f t="shared" si="65"/>
        <v>1</v>
      </c>
      <c r="R170" s="14">
        <f t="shared" si="66"/>
        <v>20</v>
      </c>
      <c r="S170" s="14" t="s">
        <v>39</v>
      </c>
      <c r="T170" s="14">
        <f>ROUND(((IF(Q170=1,INDEX(新属性投放!$J$14:$J$34,卡牌属性!R170),INDEX(新属性投放!$J$42:$J$62,卡牌属性!R170)))*INDEX($G$5:$G$42,L170)+IF(Q170=1,INDEX(新属性投放!R$20:R$23,卡牌属性!M170-1),INDEX(新属性投放!R$25:R$28,卡牌属性!M170-1)))/SQRT(INDEX($I$5:$I$42,L170)),2)</f>
        <v>19225.45</v>
      </c>
      <c r="U170" s="29" t="s">
        <v>178</v>
      </c>
      <c r="V170" s="14">
        <f>ROUND((IF(Q170=1,INDEX(新属性投放!$K$14:$K$34,卡牌属性!R170),INDEX(新属性投放!$K$42:$K$62,卡牌属性!R170))+IF(Q170=1,INDEX(新属性投放!S$20:S$23,卡牌属性!M170-1),INDEX(新属性投放!S$25:S$28,卡牌属性!M170-1)))*INDEX($G$5:$G$42,L170),2)</f>
        <v>9575.73</v>
      </c>
      <c r="W170" s="29" t="s">
        <v>179</v>
      </c>
      <c r="X170" s="14">
        <f>ROUND((IF(Q170=1,INDEX(新属性投放!$L$14:$L$34,卡牌属性!R170),INDEX(新属性投放!$L$42:$L$62,卡牌属性!R170))*INDEX($G$5:$G$42,L170)+IF(Q170=1,INDEX(新属性投放!T$20:T$23,卡牌属性!M170-1),INDEX(新属性投放!T$25:T$28,卡牌属性!M170-1)))*SQRT(INDEX($I$5:$I$42,L170)),2)</f>
        <v>57876.35</v>
      </c>
      <c r="Y170" s="29" t="s">
        <v>177</v>
      </c>
      <c r="Z170" s="14">
        <f>ROUND(IF(Q170=1,INDEX(新属性投放!$D$14:$D$34,卡牌属性!R170),INDEX(新属性投放!$D$42:$D$62,卡牌属性!R170))*INDEX($G$5:$G$42,L170)/SQRT(INDEX($I$5:$I$42,L170)),2)</f>
        <v>480.64</v>
      </c>
      <c r="AA170" s="29" t="s">
        <v>178</v>
      </c>
      <c r="AB170" s="14">
        <f>ROUND(IF(Q170=1,INDEX(新属性投放!$E$14:$E$34,卡牌属性!R170),INDEX(新属性投放!$E$42:$E$62,卡牌属性!R170))*INDEX($G$5:$G$42,L170),2)</f>
        <v>240.32</v>
      </c>
      <c r="AC170" s="29" t="s">
        <v>179</v>
      </c>
      <c r="AD170" s="14">
        <f>ROUND(IF(Q170=1,INDEX(新属性投放!$F$14:$F$34,卡牌属性!R170),INDEX(新属性投放!$F$42:$F$62,卡牌属性!R170))*INDEX($G$5:$G$42,L170)*SQRT(INDEX($I$5:$I$42,L170)),2)</f>
        <v>1441.92</v>
      </c>
      <c r="AF170" s="14">
        <f t="shared" si="67"/>
        <v>4806</v>
      </c>
      <c r="AG170" s="14">
        <f t="shared" si="68"/>
        <v>2403</v>
      </c>
      <c r="AH170" s="14">
        <f t="shared" si="69"/>
        <v>14419</v>
      </c>
      <c r="AJ170" s="14">
        <f t="shared" si="73"/>
        <v>32409</v>
      </c>
      <c r="AK170" s="14">
        <f t="shared" si="74"/>
        <v>16201</v>
      </c>
      <c r="AL170" s="14">
        <f t="shared" si="75"/>
        <v>97250</v>
      </c>
    </row>
    <row r="171" spans="11:38" ht="16.5" x14ac:dyDescent="0.2">
      <c r="K171" s="13">
        <v>168</v>
      </c>
      <c r="L171" s="13">
        <f t="shared" si="61"/>
        <v>8</v>
      </c>
      <c r="M171" s="13">
        <f t="shared" si="62"/>
        <v>2</v>
      </c>
      <c r="N171" s="14">
        <f t="shared" si="63"/>
        <v>1101008</v>
      </c>
      <c r="O171" s="14" t="str">
        <f t="shared" si="64"/>
        <v>黑尔·坎普21突</v>
      </c>
      <c r="P171" s="29" t="s">
        <v>470</v>
      </c>
      <c r="Q171" s="14">
        <f t="shared" si="65"/>
        <v>1</v>
      </c>
      <c r="R171" s="14">
        <f t="shared" si="66"/>
        <v>21</v>
      </c>
      <c r="S171" s="14" t="s">
        <v>39</v>
      </c>
      <c r="T171" s="14">
        <f>ROUND(((IF(Q171=1,INDEX(新属性投放!$J$14:$J$34,卡牌属性!R171),INDEX(新属性投放!$J$42:$J$62,卡牌属性!R171)))*INDEX($G$5:$G$42,L171)+IF(Q171=1,INDEX(新属性投放!R$20:R$23,卡牌属性!M171-1),INDEX(新属性投放!R$25:R$28,卡牌属性!M171-1)))/SQRT(INDEX($I$5:$I$42,L171)),2)</f>
        <v>22229.65</v>
      </c>
      <c r="U171" s="29" t="s">
        <v>178</v>
      </c>
      <c r="V171" s="14">
        <f>ROUND((IF(Q171=1,INDEX(新属性投放!$K$14:$K$34,卡牌属性!R171),INDEX(新属性投放!$K$42:$K$62,卡牌属性!R171))+IF(Q171=1,INDEX(新属性投放!S$20:S$23,卡牌属性!M171-1),INDEX(新属性投放!S$25:S$28,卡牌属性!M171-1)))*INDEX($G$5:$G$42,L171),2)</f>
        <v>11077.33</v>
      </c>
      <c r="W171" s="29" t="s">
        <v>179</v>
      </c>
      <c r="X171" s="14">
        <f>ROUND((IF(Q171=1,INDEX(新属性投放!$L$14:$L$34,卡牌属性!R171),INDEX(新属性投放!$L$42:$L$62,卡牌属性!R171))*INDEX($G$5:$G$42,L171)+IF(Q171=1,INDEX(新属性投放!T$20:T$23,卡牌属性!M171-1),INDEX(新属性投放!T$25:T$28,卡牌属性!M171-1)))*SQRT(INDEX($I$5:$I$42,L171)),2)</f>
        <v>66888.95</v>
      </c>
      <c r="Y171" s="29" t="s">
        <v>177</v>
      </c>
      <c r="Z171" s="14">
        <f>ROUND(IF(Q171=1,INDEX(新属性投放!$D$14:$D$34,卡牌属性!R171),INDEX(新属性投放!$D$42:$D$62,卡牌属性!R171))*INDEX($G$5:$G$42,L171)/SQRT(INDEX($I$5:$I$42,L171)),2)</f>
        <v>555.74</v>
      </c>
      <c r="AA171" s="29" t="s">
        <v>178</v>
      </c>
      <c r="AB171" s="14">
        <f>ROUND(IF(Q171=1,INDEX(新属性投放!$E$14:$E$34,卡牌属性!R171),INDEX(新属性投放!$E$42:$E$62,卡牌属性!R171))*INDEX($G$5:$G$42,L171),2)</f>
        <v>277.87</v>
      </c>
      <c r="AC171" s="29" t="s">
        <v>179</v>
      </c>
      <c r="AD171" s="14">
        <f>ROUND(IF(Q171=1,INDEX(新属性投放!$F$14:$F$34,卡牌属性!R171),INDEX(新属性投放!$F$42:$F$62,卡牌属性!R171))*INDEX($G$5:$G$42,L171)*SQRT(INDEX($I$5:$I$42,L171)),2)</f>
        <v>1667.22</v>
      </c>
      <c r="AF171" s="14">
        <f t="shared" si="67"/>
        <v>5557</v>
      </c>
      <c r="AG171" s="14">
        <f t="shared" si="68"/>
        <v>2778</v>
      </c>
      <c r="AH171" s="14">
        <f t="shared" si="69"/>
        <v>16672</v>
      </c>
      <c r="AJ171" s="14">
        <f t="shared" si="73"/>
        <v>37966</v>
      </c>
      <c r="AK171" s="14">
        <f t="shared" si="74"/>
        <v>18979</v>
      </c>
      <c r="AL171" s="14">
        <f t="shared" si="75"/>
        <v>113922</v>
      </c>
    </row>
    <row r="172" spans="11:38" ht="16.5" x14ac:dyDescent="0.2">
      <c r="K172" s="13">
        <v>169</v>
      </c>
      <c r="L172" s="13">
        <f t="shared" si="61"/>
        <v>9</v>
      </c>
      <c r="M172" s="13">
        <f t="shared" si="62"/>
        <v>3</v>
      </c>
      <c r="N172" s="14">
        <f t="shared" si="63"/>
        <v>1101009</v>
      </c>
      <c r="O172" s="14" t="str">
        <f t="shared" si="64"/>
        <v>北落师门1突</v>
      </c>
      <c r="P172" s="29" t="s">
        <v>470</v>
      </c>
      <c r="Q172" s="14">
        <f t="shared" si="65"/>
        <v>1</v>
      </c>
      <c r="R172" s="14">
        <f t="shared" si="66"/>
        <v>1</v>
      </c>
      <c r="S172" s="14" t="s">
        <v>39</v>
      </c>
      <c r="T172" s="14">
        <f>ROUND(((IF(Q172=1,INDEX(新属性投放!$J$14:$J$34,卡牌属性!R172),INDEX(新属性投放!$J$42:$J$62,卡牌属性!R172)))*INDEX($G$5:$G$42,L172)+IF(Q172=1,INDEX(新属性投放!R$20:R$23,卡牌属性!M172-1),INDEX(新属性投放!R$25:R$28,卡牌属性!M172-1)))/SQRT(INDEX($I$5:$I$42,L172)),2)</f>
        <v>165</v>
      </c>
      <c r="U172" s="29" t="s">
        <v>178</v>
      </c>
      <c r="V172" s="14">
        <f>ROUND((IF(Q172=1,INDEX(新属性投放!$K$14:$K$34,卡牌属性!R172),INDEX(新属性投放!$K$42:$K$62,卡牌属性!R172))+IF(Q172=1,INDEX(新属性投放!S$20:S$23,卡牌属性!M172-1),INDEX(新属性投放!S$25:S$28,卡牌属性!M172-1)))*INDEX($G$5:$G$42,L172),2)</f>
        <v>0</v>
      </c>
      <c r="W172" s="29" t="s">
        <v>179</v>
      </c>
      <c r="X172" s="14">
        <f>ROUND((IF(Q172=1,INDEX(新属性投放!$L$14:$L$34,卡牌属性!R172),INDEX(新属性投放!$L$42:$L$62,卡牌属性!R172))*INDEX($G$5:$G$42,L172)+IF(Q172=1,INDEX(新属性投放!T$20:T$23,卡牌属性!M172-1),INDEX(新属性投放!T$25:T$28,卡牌属性!M172-1)))*SQRT(INDEX($I$5:$I$42,L172)),2)</f>
        <v>1075</v>
      </c>
      <c r="Y172" s="29" t="s">
        <v>177</v>
      </c>
      <c r="Z172" s="14">
        <f>ROUND(IF(Q172=1,INDEX(新属性投放!$D$14:$D$34,卡牌属性!R172),INDEX(新属性投放!$D$42:$D$62,卡牌属性!R172))*INDEX($G$5:$G$42,L172)/SQRT(INDEX($I$5:$I$42,L172)),2)</f>
        <v>17.25</v>
      </c>
      <c r="AA172" s="29" t="s">
        <v>178</v>
      </c>
      <c r="AB172" s="14">
        <f>ROUND(IF(Q172=1,INDEX(新属性投放!$E$14:$E$34,卡牌属性!R172),INDEX(新属性投放!$E$42:$E$62,卡牌属性!R172))*INDEX($G$5:$G$42,L172),2)</f>
        <v>8.6300000000000008</v>
      </c>
      <c r="AC172" s="29" t="s">
        <v>179</v>
      </c>
      <c r="AD172" s="14">
        <f>ROUND(IF(Q172=1,INDEX(新属性投放!$F$14:$F$34,卡牌属性!R172),INDEX(新属性投放!$F$42:$F$62,卡牌属性!R172))*INDEX($G$5:$G$42,L172)*SQRT(INDEX($I$5:$I$42,L172)),2)</f>
        <v>51.75</v>
      </c>
      <c r="AF172" s="14">
        <f t="shared" si="67"/>
        <v>172</v>
      </c>
      <c r="AG172" s="14">
        <f t="shared" si="68"/>
        <v>86</v>
      </c>
      <c r="AH172" s="14">
        <f t="shared" si="69"/>
        <v>517</v>
      </c>
      <c r="AJ172" s="14">
        <f t="shared" ref="AJ172" si="76">AF172</f>
        <v>172</v>
      </c>
      <c r="AK172" s="14">
        <f t="shared" ref="AK172" si="77">AG172</f>
        <v>86</v>
      </c>
      <c r="AL172" s="14">
        <f t="shared" ref="AL172" si="78">AH172</f>
        <v>517</v>
      </c>
    </row>
    <row r="173" spans="11:38" ht="16.5" x14ac:dyDescent="0.2">
      <c r="K173" s="13">
        <v>170</v>
      </c>
      <c r="L173" s="13">
        <f t="shared" si="61"/>
        <v>9</v>
      </c>
      <c r="M173" s="13">
        <f t="shared" si="62"/>
        <v>3</v>
      </c>
      <c r="N173" s="14">
        <f t="shared" si="63"/>
        <v>1101009</v>
      </c>
      <c r="O173" s="14" t="str">
        <f t="shared" si="64"/>
        <v>北落师门2突</v>
      </c>
      <c r="P173" s="29" t="s">
        <v>470</v>
      </c>
      <c r="Q173" s="14">
        <f t="shared" si="65"/>
        <v>1</v>
      </c>
      <c r="R173" s="14">
        <f t="shared" si="66"/>
        <v>2</v>
      </c>
      <c r="S173" s="14" t="s">
        <v>39</v>
      </c>
      <c r="T173" s="14">
        <f>ROUND(((IF(Q173=1,INDEX(新属性投放!$J$14:$J$34,卡牌属性!R173),INDEX(新属性投放!$J$42:$J$62,卡牌属性!R173)))*INDEX($G$5:$G$42,L173)+IF(Q173=1,INDEX(新属性投放!R$20:R$23,卡牌属性!M173-1),INDEX(新属性投放!R$25:R$28,卡牌属性!M173-1)))/SQRT(INDEX($I$5:$I$42,L173)),2)</f>
        <v>331.75</v>
      </c>
      <c r="U173" s="29" t="s">
        <v>178</v>
      </c>
      <c r="V173" s="14">
        <f>ROUND((IF(Q173=1,INDEX(新属性投放!$K$14:$K$34,卡牌属性!R173),INDEX(新属性投放!$K$42:$K$62,卡牌属性!R173))+IF(Q173=1,INDEX(新属性投放!S$20:S$23,卡牌属性!M173-1),INDEX(新属性投放!S$25:S$28,卡牌属性!M173-1)))*INDEX($G$5:$G$42,L173),2)</f>
        <v>97.18</v>
      </c>
      <c r="W173" s="29" t="s">
        <v>179</v>
      </c>
      <c r="X173" s="14">
        <f>ROUND((IF(Q173=1,INDEX(新属性投放!$L$14:$L$34,卡牌属性!R173),INDEX(新属性投放!$L$42:$L$62,卡牌属性!R173))*INDEX($G$5:$G$42,L173)+IF(Q173=1,INDEX(新属性投放!T$20:T$23,卡牌属性!M173-1),INDEX(新属性投放!T$25:T$28,卡牌属性!M173-1)))*SQRT(INDEX($I$5:$I$42,L173)),2)</f>
        <v>1575.25</v>
      </c>
      <c r="Y173" s="29" t="s">
        <v>177</v>
      </c>
      <c r="Z173" s="14">
        <f>ROUND(IF(Q173=1,INDEX(新属性投放!$D$14:$D$34,卡牌属性!R173),INDEX(新属性投放!$D$42:$D$62,卡牌属性!R173))*INDEX($G$5:$G$42,L173)/SQRT(INDEX($I$5:$I$42,L173)),2)</f>
        <v>15.84</v>
      </c>
      <c r="AA173" s="29" t="s">
        <v>178</v>
      </c>
      <c r="AB173" s="14">
        <f>ROUND(IF(Q173=1,INDEX(新属性投放!$E$14:$E$34,卡牌属性!R173),INDEX(新属性投放!$E$42:$E$62,卡牌属性!R173))*INDEX($G$5:$G$42,L173),2)</f>
        <v>7.92</v>
      </c>
      <c r="AC173" s="29" t="s">
        <v>179</v>
      </c>
      <c r="AD173" s="14">
        <f>ROUND(IF(Q173=1,INDEX(新属性投放!$F$14:$F$34,卡牌属性!R173),INDEX(新属性投放!$F$42:$F$62,卡牌属性!R173))*INDEX($G$5:$G$42,L173)*SQRT(INDEX($I$5:$I$42,L173)),2)</f>
        <v>47.51</v>
      </c>
      <c r="AF173" s="14">
        <f t="shared" si="67"/>
        <v>158</v>
      </c>
      <c r="AG173" s="14">
        <f t="shared" si="68"/>
        <v>79</v>
      </c>
      <c r="AH173" s="14">
        <f t="shared" si="69"/>
        <v>475</v>
      </c>
      <c r="AJ173" s="14">
        <f t="shared" ref="AJ173:AJ192" si="79">AJ172+AF173</f>
        <v>330</v>
      </c>
      <c r="AK173" s="14">
        <f t="shared" ref="AK173:AK192" si="80">AK172+AG173</f>
        <v>165</v>
      </c>
      <c r="AL173" s="14">
        <f t="shared" ref="AL173:AL192" si="81">AL172+AH173</f>
        <v>992</v>
      </c>
    </row>
    <row r="174" spans="11:38" ht="16.5" x14ac:dyDescent="0.2">
      <c r="K174" s="13">
        <v>171</v>
      </c>
      <c r="L174" s="13">
        <f t="shared" si="61"/>
        <v>9</v>
      </c>
      <c r="M174" s="13">
        <f t="shared" si="62"/>
        <v>3</v>
      </c>
      <c r="N174" s="14">
        <f t="shared" si="63"/>
        <v>1101009</v>
      </c>
      <c r="O174" s="14" t="str">
        <f t="shared" si="64"/>
        <v>北落师门3突</v>
      </c>
      <c r="P174" s="29" t="s">
        <v>470</v>
      </c>
      <c r="Q174" s="14">
        <f t="shared" si="65"/>
        <v>1</v>
      </c>
      <c r="R174" s="14">
        <f t="shared" si="66"/>
        <v>3</v>
      </c>
      <c r="S174" s="14" t="s">
        <v>39</v>
      </c>
      <c r="T174" s="14">
        <f>ROUND(((IF(Q174=1,INDEX(新属性投放!$J$14:$J$34,卡牌属性!R174),INDEX(新属性投放!$J$42:$J$62,卡牌属性!R174)))*INDEX($G$5:$G$42,L174)+IF(Q174=1,INDEX(新属性投放!R$20:R$23,卡牌属性!M174-1),INDEX(新属性投放!R$25:R$28,卡牌属性!M174-1)))/SQRT(INDEX($I$5:$I$42,L174)),2)</f>
        <v>529.21</v>
      </c>
      <c r="U174" s="29" t="s">
        <v>178</v>
      </c>
      <c r="V174" s="14">
        <f>ROUND((IF(Q174=1,INDEX(新属性投放!$K$14:$K$34,卡牌属性!R174),INDEX(新属性投放!$K$42:$K$62,卡牌属性!R174))+IF(Q174=1,INDEX(新属性投放!S$20:S$23,卡牌属性!M174-1),INDEX(新属性投放!S$25:S$28,卡牌属性!M174-1)))*INDEX($G$5:$G$42,L174),2)</f>
        <v>195.9</v>
      </c>
      <c r="W174" s="29" t="s">
        <v>179</v>
      </c>
      <c r="X174" s="14">
        <f>ROUND((IF(Q174=1,INDEX(新属性投放!$L$14:$L$34,卡牌属性!R174),INDEX(新属性投放!$L$42:$L$62,卡牌属性!R174))*INDEX($G$5:$G$42,L174)+IF(Q174=1,INDEX(新属性投放!T$20:T$23,卡牌属性!M174-1),INDEX(新属性投放!T$25:T$28,卡牌属性!M174-1)))*SQRT(INDEX($I$5:$I$42,L174)),2)</f>
        <v>2167.62</v>
      </c>
      <c r="Y174" s="29" t="s">
        <v>177</v>
      </c>
      <c r="Z174" s="14">
        <f>ROUND(IF(Q174=1,INDEX(新属性投放!$D$14:$D$34,卡牌属性!R174),INDEX(新属性投放!$D$42:$D$62,卡牌属性!R174))*INDEX($G$5:$G$42,L174)/SQRT(INDEX($I$5:$I$42,L174)),2)</f>
        <v>28.95</v>
      </c>
      <c r="AA174" s="29" t="s">
        <v>178</v>
      </c>
      <c r="AB174" s="14">
        <f>ROUND(IF(Q174=1,INDEX(新属性投放!$E$14:$E$34,卡牌属性!R174),INDEX(新属性投放!$E$42:$E$62,卡牌属性!R174))*INDEX($G$5:$G$42,L174),2)</f>
        <v>14.47</v>
      </c>
      <c r="AC174" s="29" t="s">
        <v>179</v>
      </c>
      <c r="AD174" s="14">
        <f>ROUND(IF(Q174=1,INDEX(新属性投放!$F$14:$F$34,卡牌属性!R174),INDEX(新属性投放!$F$42:$F$62,卡牌属性!R174))*INDEX($G$5:$G$42,L174)*SQRT(INDEX($I$5:$I$42,L174)),2)</f>
        <v>86.84</v>
      </c>
      <c r="AF174" s="14">
        <f t="shared" si="67"/>
        <v>289</v>
      </c>
      <c r="AG174" s="14">
        <f t="shared" si="68"/>
        <v>144</v>
      </c>
      <c r="AH174" s="14">
        <f t="shared" si="69"/>
        <v>868</v>
      </c>
      <c r="AJ174" s="14">
        <f t="shared" si="79"/>
        <v>619</v>
      </c>
      <c r="AK174" s="14">
        <f t="shared" si="80"/>
        <v>309</v>
      </c>
      <c r="AL174" s="14">
        <f t="shared" si="81"/>
        <v>1860</v>
      </c>
    </row>
    <row r="175" spans="11:38" ht="16.5" x14ac:dyDescent="0.2">
      <c r="K175" s="13">
        <v>172</v>
      </c>
      <c r="L175" s="13">
        <f t="shared" si="61"/>
        <v>9</v>
      </c>
      <c r="M175" s="13">
        <f t="shared" si="62"/>
        <v>3</v>
      </c>
      <c r="N175" s="14">
        <f t="shared" si="63"/>
        <v>1101009</v>
      </c>
      <c r="O175" s="14" t="str">
        <f t="shared" si="64"/>
        <v>北落师门4突</v>
      </c>
      <c r="P175" s="29" t="s">
        <v>470</v>
      </c>
      <c r="Q175" s="14">
        <f t="shared" si="65"/>
        <v>1</v>
      </c>
      <c r="R175" s="14">
        <f t="shared" si="66"/>
        <v>4</v>
      </c>
      <c r="S175" s="14" t="s">
        <v>39</v>
      </c>
      <c r="T175" s="14">
        <f>ROUND(((IF(Q175=1,INDEX(新属性投放!$J$14:$J$34,卡牌属性!R175),INDEX(新属性投放!$J$42:$J$62,卡牌属性!R175)))*INDEX($G$5:$G$42,L175)+IF(Q175=1,INDEX(新属性投放!R$20:R$23,卡牌属性!M175-1),INDEX(新属性投放!R$25:R$28,卡牌属性!M175-1)))/SQRT(INDEX($I$5:$I$42,L175)),2)</f>
        <v>891.11</v>
      </c>
      <c r="U175" s="29" t="s">
        <v>178</v>
      </c>
      <c r="V175" s="14">
        <f>ROUND((IF(Q175=1,INDEX(新属性投放!$K$14:$K$34,卡牌属性!R175),INDEX(新属性投放!$K$42:$K$62,卡牌属性!R175))+IF(Q175=1,INDEX(新属性投放!S$20:S$23,卡牌属性!M175-1),INDEX(新属性投放!S$25:S$28,卡牌属性!M175-1)))*INDEX($G$5:$G$42,L175),2)</f>
        <v>376.28</v>
      </c>
      <c r="W175" s="29" t="s">
        <v>179</v>
      </c>
      <c r="X175" s="14">
        <f>ROUND((IF(Q175=1,INDEX(新属性投放!$L$14:$L$34,卡牌属性!R175),INDEX(新属性投放!$L$42:$L$62,卡牌属性!R175))*INDEX($G$5:$G$42,L175)+IF(Q175=1,INDEX(新属性投放!T$20:T$23,卡牌属性!M175-1),INDEX(新属性投放!T$25:T$28,卡牌属性!M175-1)))*SQRT(INDEX($I$5:$I$42,L175)),2)</f>
        <v>3253.33</v>
      </c>
      <c r="Y175" s="29" t="s">
        <v>177</v>
      </c>
      <c r="Z175" s="14">
        <f>ROUND(IF(Q175=1,INDEX(新属性投放!$D$14:$D$34,卡牌属性!R175),INDEX(新属性投放!$D$42:$D$62,卡牌属性!R175))*INDEX($G$5:$G$42,L175)/SQRT(INDEX($I$5:$I$42,L175)),2)</f>
        <v>34.65</v>
      </c>
      <c r="AA175" s="29" t="s">
        <v>178</v>
      </c>
      <c r="AB175" s="14">
        <f>ROUND(IF(Q175=1,INDEX(新属性投放!$E$14:$E$34,卡牌属性!R175),INDEX(新属性投放!$E$42:$E$62,卡牌属性!R175))*INDEX($G$5:$G$42,L175),2)</f>
        <v>17.32</v>
      </c>
      <c r="AC175" s="29" t="s">
        <v>179</v>
      </c>
      <c r="AD175" s="14">
        <f>ROUND(IF(Q175=1,INDEX(新属性投放!$F$14:$F$34,卡牌属性!R175),INDEX(新属性投放!$F$42:$F$62,卡牌属性!R175))*INDEX($G$5:$G$42,L175)*SQRT(INDEX($I$5:$I$42,L175)),2)</f>
        <v>103.95</v>
      </c>
      <c r="AF175" s="14">
        <f t="shared" si="67"/>
        <v>346</v>
      </c>
      <c r="AG175" s="14">
        <f t="shared" si="68"/>
        <v>173</v>
      </c>
      <c r="AH175" s="14">
        <f t="shared" si="69"/>
        <v>1039</v>
      </c>
      <c r="AJ175" s="14">
        <f t="shared" si="79"/>
        <v>965</v>
      </c>
      <c r="AK175" s="14">
        <f t="shared" si="80"/>
        <v>482</v>
      </c>
      <c r="AL175" s="14">
        <f t="shared" si="81"/>
        <v>2899</v>
      </c>
    </row>
    <row r="176" spans="11:38" ht="16.5" x14ac:dyDescent="0.2">
      <c r="K176" s="13">
        <v>173</v>
      </c>
      <c r="L176" s="13">
        <f t="shared" si="61"/>
        <v>9</v>
      </c>
      <c r="M176" s="13">
        <f t="shared" si="62"/>
        <v>3</v>
      </c>
      <c r="N176" s="14">
        <f t="shared" si="63"/>
        <v>1101009</v>
      </c>
      <c r="O176" s="14" t="str">
        <f t="shared" si="64"/>
        <v>北落师门5突</v>
      </c>
      <c r="P176" s="29" t="s">
        <v>470</v>
      </c>
      <c r="Q176" s="14">
        <f t="shared" si="65"/>
        <v>1</v>
      </c>
      <c r="R176" s="14">
        <f t="shared" si="66"/>
        <v>5</v>
      </c>
      <c r="S176" s="14" t="s">
        <v>39</v>
      </c>
      <c r="T176" s="14">
        <f>ROUND(((IF(Q176=1,INDEX(新属性投放!$J$14:$J$34,卡牌属性!R176),INDEX(新属性投放!$J$42:$J$62,卡牌属性!R176)))*INDEX($G$5:$G$42,L176)+IF(Q176=1,INDEX(新属性投放!R$20:R$23,卡牌属性!M176-1),INDEX(新属性投放!R$25:R$28,卡牌属性!M176-1)))/SQRT(INDEX($I$5:$I$42,L176)),2)</f>
        <v>1323.86</v>
      </c>
      <c r="U176" s="29" t="s">
        <v>178</v>
      </c>
      <c r="V176" s="14">
        <f>ROUND((IF(Q176=1,INDEX(新属性投放!$K$14:$K$34,卡牌属性!R176),INDEX(新属性投放!$K$42:$K$62,卡牌属性!R176))+IF(Q176=1,INDEX(新属性投放!S$20:S$23,卡牌属性!M176-1),INDEX(新属性投放!S$25:S$28,卡牌属性!M176-1)))*INDEX($G$5:$G$42,L176),2)</f>
        <v>593.23</v>
      </c>
      <c r="W176" s="29" t="s">
        <v>179</v>
      </c>
      <c r="X176" s="14">
        <f>ROUND((IF(Q176=1,INDEX(新属性投放!$L$14:$L$34,卡牌属性!R176),INDEX(新属性投放!$L$42:$L$62,卡牌属性!R176))*INDEX($G$5:$G$42,L176)+IF(Q176=1,INDEX(新属性投放!T$20:T$23,卡牌属性!M176-1),INDEX(新属性投放!T$25:T$28,卡牌属性!M176-1)))*SQRT(INDEX($I$5:$I$42,L176)),2)</f>
        <v>4551.57</v>
      </c>
      <c r="Y176" s="29" t="s">
        <v>177</v>
      </c>
      <c r="Z176" s="14">
        <f>ROUND(IF(Q176=1,INDEX(新属性投放!$D$14:$D$34,卡牌属性!R176),INDEX(新属性投放!$D$42:$D$62,卡牌属性!R176))*INDEX($G$5:$G$42,L176)/SQRT(INDEX($I$5:$I$42,L176)),2)</f>
        <v>43.31</v>
      </c>
      <c r="AA176" s="29" t="s">
        <v>178</v>
      </c>
      <c r="AB176" s="14">
        <f>ROUND(IF(Q176=1,INDEX(新属性投放!$E$14:$E$34,卡牌属性!R176),INDEX(新属性投放!$E$42:$E$62,卡牌属性!R176))*INDEX($G$5:$G$42,L176),2)</f>
        <v>21.65</v>
      </c>
      <c r="AC176" s="29" t="s">
        <v>179</v>
      </c>
      <c r="AD176" s="14">
        <f>ROUND(IF(Q176=1,INDEX(新属性投放!$F$14:$F$34,卡牌属性!R176),INDEX(新属性投放!$F$42:$F$62,卡牌属性!R176))*INDEX($G$5:$G$42,L176)*SQRT(INDEX($I$5:$I$42,L176)),2)</f>
        <v>129.93</v>
      </c>
      <c r="AF176" s="14">
        <f t="shared" si="67"/>
        <v>433</v>
      </c>
      <c r="AG176" s="14">
        <f t="shared" si="68"/>
        <v>216</v>
      </c>
      <c r="AH176" s="14">
        <f t="shared" si="69"/>
        <v>1299</v>
      </c>
      <c r="AJ176" s="14">
        <f t="shared" si="79"/>
        <v>1398</v>
      </c>
      <c r="AK176" s="14">
        <f t="shared" si="80"/>
        <v>698</v>
      </c>
      <c r="AL176" s="14">
        <f t="shared" si="81"/>
        <v>4198</v>
      </c>
    </row>
    <row r="177" spans="11:38" ht="16.5" x14ac:dyDescent="0.2">
      <c r="K177" s="13">
        <v>174</v>
      </c>
      <c r="L177" s="13">
        <f t="shared" si="61"/>
        <v>9</v>
      </c>
      <c r="M177" s="13">
        <f t="shared" si="62"/>
        <v>3</v>
      </c>
      <c r="N177" s="14">
        <f t="shared" si="63"/>
        <v>1101009</v>
      </c>
      <c r="O177" s="14" t="str">
        <f t="shared" si="64"/>
        <v>北落师门6突</v>
      </c>
      <c r="P177" s="29" t="s">
        <v>470</v>
      </c>
      <c r="Q177" s="14">
        <f t="shared" si="65"/>
        <v>1</v>
      </c>
      <c r="R177" s="14">
        <f t="shared" si="66"/>
        <v>6</v>
      </c>
      <c r="S177" s="14" t="s">
        <v>39</v>
      </c>
      <c r="T177" s="14">
        <f>ROUND(((IF(Q177=1,INDEX(新属性投放!$J$14:$J$34,卡牌属性!R177),INDEX(新属性投放!$J$42:$J$62,卡牌属性!R177)))*INDEX($G$5:$G$42,L177)+IF(Q177=1,INDEX(新属性投放!R$20:R$23,卡牌属性!M177-1),INDEX(新属性投放!R$25:R$28,卡牌属性!M177-1)))/SQRT(INDEX($I$5:$I$42,L177)),2)</f>
        <v>1865.05</v>
      </c>
      <c r="U177" s="29" t="s">
        <v>178</v>
      </c>
      <c r="V177" s="14">
        <f>ROUND((IF(Q177=1,INDEX(新属性投放!$K$14:$K$34,卡牌属性!R177),INDEX(新属性投放!$K$42:$K$62,卡牌属性!R177))+IF(Q177=1,INDEX(新属性投放!S$20:S$23,卡牌属性!M177-1),INDEX(新属性投放!S$25:S$28,卡牌属性!M177-1)))*INDEX($G$5:$G$42,L177),2)</f>
        <v>863.82</v>
      </c>
      <c r="W177" s="29" t="s">
        <v>179</v>
      </c>
      <c r="X177" s="14">
        <f>ROUND((IF(Q177=1,INDEX(新属性投放!$L$14:$L$34,卡牌属性!R177),INDEX(新属性投放!$L$42:$L$62,卡牌属性!R177))*INDEX($G$5:$G$42,L177)+IF(Q177=1,INDEX(新属性投放!T$20:T$23,卡牌属性!M177-1),INDEX(新属性投放!T$25:T$28,卡牌属性!M177-1)))*SQRT(INDEX($I$5:$I$42,L177)),2)</f>
        <v>6175.14</v>
      </c>
      <c r="Y177" s="29" t="s">
        <v>177</v>
      </c>
      <c r="Z177" s="14">
        <f>ROUND(IF(Q177=1,INDEX(新属性投放!$D$14:$D$34,卡牌属性!R177),INDEX(新属性投放!$D$42:$D$62,卡牌属性!R177))*INDEX($G$5:$G$42,L177)/SQRT(INDEX($I$5:$I$42,L177)),2)</f>
        <v>56.18</v>
      </c>
      <c r="AA177" s="29" t="s">
        <v>178</v>
      </c>
      <c r="AB177" s="14">
        <f>ROUND(IF(Q177=1,INDEX(新属性投放!$E$14:$E$34,卡牌属性!R177),INDEX(新属性投放!$E$42:$E$62,卡牌属性!R177))*INDEX($G$5:$G$42,L177),2)</f>
        <v>28.09</v>
      </c>
      <c r="AC177" s="29" t="s">
        <v>179</v>
      </c>
      <c r="AD177" s="14">
        <f>ROUND(IF(Q177=1,INDEX(新属性投放!$F$14:$F$34,卡牌属性!R177),INDEX(新属性投放!$F$42:$F$62,卡牌属性!R177))*INDEX($G$5:$G$42,L177)*SQRT(INDEX($I$5:$I$42,L177)),2)</f>
        <v>168.53</v>
      </c>
      <c r="AF177" s="14">
        <f t="shared" si="67"/>
        <v>561</v>
      </c>
      <c r="AG177" s="14">
        <f t="shared" si="68"/>
        <v>280</v>
      </c>
      <c r="AH177" s="14">
        <f t="shared" si="69"/>
        <v>1685</v>
      </c>
      <c r="AJ177" s="14">
        <f t="shared" si="79"/>
        <v>1959</v>
      </c>
      <c r="AK177" s="14">
        <f t="shared" si="80"/>
        <v>978</v>
      </c>
      <c r="AL177" s="14">
        <f t="shared" si="81"/>
        <v>5883</v>
      </c>
    </row>
    <row r="178" spans="11:38" ht="16.5" x14ac:dyDescent="0.2">
      <c r="K178" s="13">
        <v>175</v>
      </c>
      <c r="L178" s="13">
        <f t="shared" si="61"/>
        <v>9</v>
      </c>
      <c r="M178" s="13">
        <f t="shared" si="62"/>
        <v>3</v>
      </c>
      <c r="N178" s="14">
        <f t="shared" si="63"/>
        <v>1101009</v>
      </c>
      <c r="O178" s="14" t="str">
        <f t="shared" si="64"/>
        <v>北落师门7突</v>
      </c>
      <c r="P178" s="29" t="s">
        <v>470</v>
      </c>
      <c r="Q178" s="14">
        <f t="shared" si="65"/>
        <v>1</v>
      </c>
      <c r="R178" s="14">
        <f t="shared" si="66"/>
        <v>7</v>
      </c>
      <c r="S178" s="14" t="s">
        <v>39</v>
      </c>
      <c r="T178" s="14">
        <f>ROUND(((IF(Q178=1,INDEX(新属性投放!$J$14:$J$34,卡牌属性!R178),INDEX(新属性投放!$J$42:$J$62,卡牌属性!R178)))*INDEX($G$5:$G$42,L178)+IF(Q178=1,INDEX(新属性投放!R$20:R$23,卡牌属性!M178-1),INDEX(新属性投放!R$25:R$28,卡牌属性!M178-1)))/SQRT(INDEX($I$5:$I$42,L178)),2)</f>
        <v>2567.12</v>
      </c>
      <c r="U178" s="29" t="s">
        <v>178</v>
      </c>
      <c r="V178" s="14">
        <f>ROUND((IF(Q178=1,INDEX(新属性投放!$K$14:$K$34,卡牌属性!R178),INDEX(新属性投放!$K$42:$K$62,卡牌属性!R178))+IF(Q178=1,INDEX(新属性投放!S$20:S$23,卡牌属性!M178-1),INDEX(新属性投放!S$25:S$28,卡牌属性!M178-1)))*INDEX($G$5:$G$42,L178),2)</f>
        <v>1214.8599999999999</v>
      </c>
      <c r="W178" s="29" t="s">
        <v>179</v>
      </c>
      <c r="X178" s="14">
        <f>ROUND((IF(Q178=1,INDEX(新属性投放!$L$14:$L$34,卡牌属性!R178),INDEX(新属性投放!$L$42:$L$62,卡牌属性!R178))*INDEX($G$5:$G$42,L178)+IF(Q178=1,INDEX(新属性投放!T$20:T$23,卡牌属性!M178-1),INDEX(新属性投放!T$25:T$28,卡牌属性!M178-1)))*SQRT(INDEX($I$5:$I$42,L178)),2)</f>
        <v>8281.36</v>
      </c>
      <c r="Y178" s="29" t="s">
        <v>177</v>
      </c>
      <c r="Z178" s="14">
        <f>ROUND(IF(Q178=1,INDEX(新属性投放!$D$14:$D$34,卡牌属性!R178),INDEX(新属性投放!$D$42:$D$62,卡牌属性!R178))*INDEX($G$5:$G$42,L178)/SQRT(INDEX($I$5:$I$42,L178)),2)</f>
        <v>69.22</v>
      </c>
      <c r="AA178" s="29" t="s">
        <v>178</v>
      </c>
      <c r="AB178" s="14">
        <f>ROUND(IF(Q178=1,INDEX(新属性投放!$E$14:$E$34,卡牌属性!R178),INDEX(新属性投放!$E$42:$E$62,卡牌属性!R178))*INDEX($G$5:$G$42,L178),2)</f>
        <v>34.61</v>
      </c>
      <c r="AC178" s="29" t="s">
        <v>179</v>
      </c>
      <c r="AD178" s="14">
        <f>ROUND(IF(Q178=1,INDEX(新属性投放!$F$14:$F$34,卡牌属性!R178),INDEX(新属性投放!$F$42:$F$62,卡牌属性!R178))*INDEX($G$5:$G$42,L178)*SQRT(INDEX($I$5:$I$42,L178)),2)</f>
        <v>207.66</v>
      </c>
      <c r="AF178" s="14">
        <f t="shared" si="67"/>
        <v>692</v>
      </c>
      <c r="AG178" s="14">
        <f t="shared" si="68"/>
        <v>346</v>
      </c>
      <c r="AH178" s="14">
        <f t="shared" si="69"/>
        <v>2076</v>
      </c>
      <c r="AJ178" s="14">
        <f t="shared" si="79"/>
        <v>2651</v>
      </c>
      <c r="AK178" s="14">
        <f t="shared" si="80"/>
        <v>1324</v>
      </c>
      <c r="AL178" s="14">
        <f t="shared" si="81"/>
        <v>7959</v>
      </c>
    </row>
    <row r="179" spans="11:38" ht="16.5" x14ac:dyDescent="0.2">
      <c r="K179" s="13">
        <v>176</v>
      </c>
      <c r="L179" s="13">
        <f t="shared" si="61"/>
        <v>9</v>
      </c>
      <c r="M179" s="13">
        <f t="shared" si="62"/>
        <v>3</v>
      </c>
      <c r="N179" s="14">
        <f t="shared" si="63"/>
        <v>1101009</v>
      </c>
      <c r="O179" s="14" t="str">
        <f t="shared" si="64"/>
        <v>北落师门8突</v>
      </c>
      <c r="P179" s="29" t="s">
        <v>470</v>
      </c>
      <c r="Q179" s="14">
        <f t="shared" si="65"/>
        <v>1</v>
      </c>
      <c r="R179" s="14">
        <f t="shared" si="66"/>
        <v>8</v>
      </c>
      <c r="S179" s="14" t="s">
        <v>39</v>
      </c>
      <c r="T179" s="14">
        <f>ROUND(((IF(Q179=1,INDEX(新属性投放!$J$14:$J$34,卡牌属性!R179),INDEX(新属性投放!$J$42:$J$62,卡牌属性!R179)))*INDEX($G$5:$G$42,L179)+IF(Q179=1,INDEX(新属性投放!R$20:R$23,卡牌属性!M179-1),INDEX(新属性投放!R$25:R$28,卡牌属性!M179-1)))/SQRT(INDEX($I$5:$I$42,L179)),2)</f>
        <v>3431.81</v>
      </c>
      <c r="U179" s="29" t="s">
        <v>178</v>
      </c>
      <c r="V179" s="14">
        <f>ROUND((IF(Q179=1,INDEX(新属性投放!$K$14:$K$34,卡牌属性!R179),INDEX(新属性投放!$K$42:$K$62,卡牌属性!R179))+IF(Q179=1,INDEX(新属性投放!S$20:S$23,卡牌属性!M179-1),INDEX(新属性投放!S$25:S$28,卡牌属性!M179-1)))*INDEX($G$5:$G$42,L179),2)</f>
        <v>1647.2</v>
      </c>
      <c r="W179" s="29" t="s">
        <v>179</v>
      </c>
      <c r="X179" s="14">
        <f>ROUND((IF(Q179=1,INDEX(新属性投放!$L$14:$L$34,卡牌属性!R179),INDEX(新属性投放!$L$42:$L$62,卡牌属性!R179))*INDEX($G$5:$G$42,L179)+IF(Q179=1,INDEX(新属性投放!T$20:T$23,卡牌属性!M179-1),INDEX(新属性投放!T$25:T$28,卡牌属性!M179-1)))*SQRT(INDEX($I$5:$I$42,L179)),2)</f>
        <v>10875.42</v>
      </c>
      <c r="Y179" s="29" t="s">
        <v>177</v>
      </c>
      <c r="Z179" s="14">
        <f>ROUND(IF(Q179=1,INDEX(新属性投放!$D$14:$D$34,卡牌属性!R179),INDEX(新属性投放!$D$42:$D$62,卡牌属性!R179))*INDEX($G$5:$G$42,L179)/SQRT(INDEX($I$5:$I$42,L179)),2)</f>
        <v>86.47</v>
      </c>
      <c r="AA179" s="29" t="s">
        <v>178</v>
      </c>
      <c r="AB179" s="14">
        <f>ROUND(IF(Q179=1,INDEX(新属性投放!$E$14:$E$34,卡牌属性!R179),INDEX(新属性投放!$E$42:$E$62,卡牌属性!R179))*INDEX($G$5:$G$42,L179),2)</f>
        <v>43.23</v>
      </c>
      <c r="AC179" s="29" t="s">
        <v>179</v>
      </c>
      <c r="AD179" s="14">
        <f>ROUND(IF(Q179=1,INDEX(新属性投放!$F$14:$F$34,卡牌属性!R179),INDEX(新属性投放!$F$42:$F$62,卡牌属性!R179))*INDEX($G$5:$G$42,L179)*SQRT(INDEX($I$5:$I$42,L179)),2)</f>
        <v>259.41000000000003</v>
      </c>
      <c r="AF179" s="14">
        <f t="shared" si="67"/>
        <v>864</v>
      </c>
      <c r="AG179" s="14">
        <f t="shared" si="68"/>
        <v>432</v>
      </c>
      <c r="AH179" s="14">
        <f t="shared" si="69"/>
        <v>2594</v>
      </c>
      <c r="AJ179" s="14">
        <f t="shared" si="79"/>
        <v>3515</v>
      </c>
      <c r="AK179" s="14">
        <f t="shared" si="80"/>
        <v>1756</v>
      </c>
      <c r="AL179" s="14">
        <f t="shared" si="81"/>
        <v>10553</v>
      </c>
    </row>
    <row r="180" spans="11:38" ht="16.5" x14ac:dyDescent="0.2">
      <c r="K180" s="13">
        <v>177</v>
      </c>
      <c r="L180" s="13">
        <f t="shared" si="61"/>
        <v>9</v>
      </c>
      <c r="M180" s="13">
        <f t="shared" si="62"/>
        <v>3</v>
      </c>
      <c r="N180" s="14">
        <f t="shared" si="63"/>
        <v>1101009</v>
      </c>
      <c r="O180" s="14" t="str">
        <f t="shared" si="64"/>
        <v>北落师门9突</v>
      </c>
      <c r="P180" s="29" t="s">
        <v>470</v>
      </c>
      <c r="Q180" s="14">
        <f t="shared" si="65"/>
        <v>1</v>
      </c>
      <c r="R180" s="14">
        <f t="shared" si="66"/>
        <v>9</v>
      </c>
      <c r="S180" s="14" t="s">
        <v>39</v>
      </c>
      <c r="T180" s="14">
        <f>ROUND(((IF(Q180=1,INDEX(新属性投放!$J$14:$J$34,卡牌属性!R180),INDEX(新属性投放!$J$42:$J$62,卡牌属性!R180)))*INDEX($G$5:$G$42,L180)+IF(Q180=1,INDEX(新属性投放!R$20:R$23,卡牌属性!M180-1),INDEX(新属性投放!R$25:R$28,卡牌属性!M180-1)))/SQRT(INDEX($I$5:$I$42,L180)),2)</f>
        <v>4512.6899999999996</v>
      </c>
      <c r="U180" s="29" t="s">
        <v>178</v>
      </c>
      <c r="V180" s="14">
        <f>ROUND((IF(Q180=1,INDEX(新属性投放!$K$14:$K$34,卡牌属性!R180),INDEX(新属性投放!$K$42:$K$62,卡牌属性!R180))+IF(Q180=1,INDEX(新属性投放!S$20:S$23,卡牌属性!M180-1),INDEX(新属性投放!S$25:S$28,卡牌属性!M180-1)))*INDEX($G$5:$G$42,L180),2)</f>
        <v>2187.65</v>
      </c>
      <c r="W180" s="29" t="s">
        <v>179</v>
      </c>
      <c r="X180" s="14">
        <f>ROUND((IF(Q180=1,INDEX(新属性投放!$L$14:$L$34,卡牌属性!R180),INDEX(新属性投放!$L$42:$L$62,卡牌属性!R180))*INDEX($G$5:$G$42,L180)+IF(Q180=1,INDEX(新属性投放!T$20:T$23,卡牌属性!M180-1),INDEX(新属性投放!T$25:T$28,卡牌属性!M180-1)))*SQRT(INDEX($I$5:$I$42,L180)),2)</f>
        <v>14118.07</v>
      </c>
      <c r="Y180" s="29" t="s">
        <v>177</v>
      </c>
      <c r="Z180" s="14">
        <f>ROUND(IF(Q180=1,INDEX(新属性投放!$D$14:$D$34,卡牌属性!R180),INDEX(新属性投放!$D$42:$D$62,卡牌属性!R180))*INDEX($G$5:$G$42,L180)/SQRT(INDEX($I$5:$I$42,L180)),2)</f>
        <v>112.46</v>
      </c>
      <c r="AA180" s="29" t="s">
        <v>178</v>
      </c>
      <c r="AB180" s="14">
        <f>ROUND(IF(Q180=1,INDEX(新属性投放!$E$14:$E$34,卡牌属性!R180),INDEX(新属性投放!$E$42:$E$62,卡牌属性!R180))*INDEX($G$5:$G$42,L180),2)</f>
        <v>56.23</v>
      </c>
      <c r="AC180" s="29" t="s">
        <v>179</v>
      </c>
      <c r="AD180" s="14">
        <f>ROUND(IF(Q180=1,INDEX(新属性投放!$F$14:$F$34,卡牌属性!R180),INDEX(新属性投放!$F$42:$F$62,卡牌属性!R180))*INDEX($G$5:$G$42,L180)*SQRT(INDEX($I$5:$I$42,L180)),2)</f>
        <v>337.38</v>
      </c>
      <c r="AF180" s="14">
        <f t="shared" si="67"/>
        <v>1124</v>
      </c>
      <c r="AG180" s="14">
        <f t="shared" si="68"/>
        <v>562</v>
      </c>
      <c r="AH180" s="14">
        <f t="shared" si="69"/>
        <v>3373</v>
      </c>
      <c r="AJ180" s="14">
        <f t="shared" si="79"/>
        <v>4639</v>
      </c>
      <c r="AK180" s="14">
        <f t="shared" si="80"/>
        <v>2318</v>
      </c>
      <c r="AL180" s="14">
        <f t="shared" si="81"/>
        <v>13926</v>
      </c>
    </row>
    <row r="181" spans="11:38" ht="16.5" x14ac:dyDescent="0.2">
      <c r="K181" s="13">
        <v>178</v>
      </c>
      <c r="L181" s="13">
        <f t="shared" si="61"/>
        <v>9</v>
      </c>
      <c r="M181" s="13">
        <f t="shared" si="62"/>
        <v>3</v>
      </c>
      <c r="N181" s="14">
        <f t="shared" si="63"/>
        <v>1101009</v>
      </c>
      <c r="O181" s="14" t="str">
        <f t="shared" si="64"/>
        <v>北落师门10突</v>
      </c>
      <c r="P181" s="29" t="s">
        <v>470</v>
      </c>
      <c r="Q181" s="14">
        <f t="shared" si="65"/>
        <v>1</v>
      </c>
      <c r="R181" s="14">
        <f t="shared" si="66"/>
        <v>10</v>
      </c>
      <c r="S181" s="14" t="s">
        <v>39</v>
      </c>
      <c r="T181" s="14">
        <f>ROUND(((IF(Q181=1,INDEX(新属性投放!$J$14:$J$34,卡牌属性!R181),INDEX(新属性投放!$J$42:$J$62,卡牌属性!R181)))*INDEX($G$5:$G$42,L181)+IF(Q181=1,INDEX(新属性投放!R$20:R$23,卡牌属性!M181-1),INDEX(新属性投放!R$25:R$28,卡牌属性!M181-1)))/SQRT(INDEX($I$5:$I$42,L181)),2)</f>
        <v>5215.28</v>
      </c>
      <c r="U181" s="29" t="s">
        <v>178</v>
      </c>
      <c r="V181" s="14">
        <f>ROUND((IF(Q181=1,INDEX(新属性投放!$K$14:$K$34,卡牌属性!R181),INDEX(新属性投放!$K$42:$K$62,卡牌属性!R181))+IF(Q181=1,INDEX(新属性投放!S$20:S$23,卡牌属性!M181-1),INDEX(新属性投放!S$25:S$28,卡牌属性!M181-1)))*INDEX($G$5:$G$42,L181),2)</f>
        <v>2538.94</v>
      </c>
      <c r="W181" s="29" t="s">
        <v>179</v>
      </c>
      <c r="X181" s="14">
        <f>ROUND((IF(Q181=1,INDEX(新属性投放!$L$14:$L$34,卡牌属性!R181),INDEX(新属性投放!$L$42:$L$62,卡牌属性!R181))*INDEX($G$5:$G$42,L181)+IF(Q181=1,INDEX(新属性投放!T$20:T$23,卡牌属性!M181-1),INDEX(新属性投放!T$25:T$28,卡牌属性!M181-1)))*SQRT(INDEX($I$5:$I$42,L181)),2)</f>
        <v>16225.85</v>
      </c>
      <c r="Y181" s="29" t="s">
        <v>177</v>
      </c>
      <c r="Z181" s="14">
        <f>ROUND(IF(Q181=1,INDEX(新属性投放!$D$14:$D$34,卡牌属性!R181),INDEX(新属性投放!$D$42:$D$62,卡牌属性!R181))*INDEX($G$5:$G$42,L181)/SQRT(INDEX($I$5:$I$42,L181)),2)</f>
        <v>129.75</v>
      </c>
      <c r="AA181" s="29" t="s">
        <v>178</v>
      </c>
      <c r="AB181" s="14">
        <f>ROUND(IF(Q181=1,INDEX(新属性投放!$E$14:$E$34,卡牌属性!R181),INDEX(新属性投放!$E$42:$E$62,卡牌属性!R181))*INDEX($G$5:$G$42,L181),2)</f>
        <v>64.88</v>
      </c>
      <c r="AC181" s="29" t="s">
        <v>179</v>
      </c>
      <c r="AD181" s="14">
        <f>ROUND(IF(Q181=1,INDEX(新属性投放!$F$14:$F$34,卡牌属性!R181),INDEX(新属性投放!$F$42:$F$62,卡牌属性!R181))*INDEX($G$5:$G$42,L181)*SQRT(INDEX($I$5:$I$42,L181)),2)</f>
        <v>389.26</v>
      </c>
      <c r="AF181" s="14">
        <f t="shared" si="67"/>
        <v>1297</v>
      </c>
      <c r="AG181" s="14">
        <f t="shared" si="68"/>
        <v>648</v>
      </c>
      <c r="AH181" s="14">
        <f t="shared" si="69"/>
        <v>3892</v>
      </c>
      <c r="AJ181" s="14">
        <f t="shared" si="79"/>
        <v>5936</v>
      </c>
      <c r="AK181" s="14">
        <f t="shared" si="80"/>
        <v>2966</v>
      </c>
      <c r="AL181" s="14">
        <f t="shared" si="81"/>
        <v>17818</v>
      </c>
    </row>
    <row r="182" spans="11:38" ht="16.5" x14ac:dyDescent="0.2">
      <c r="K182" s="13">
        <v>179</v>
      </c>
      <c r="L182" s="13">
        <f t="shared" si="61"/>
        <v>9</v>
      </c>
      <c r="M182" s="13">
        <f t="shared" si="62"/>
        <v>3</v>
      </c>
      <c r="N182" s="14">
        <f t="shared" si="63"/>
        <v>1101009</v>
      </c>
      <c r="O182" s="14" t="str">
        <f t="shared" si="64"/>
        <v>北落师门11突</v>
      </c>
      <c r="P182" s="29" t="s">
        <v>470</v>
      </c>
      <c r="Q182" s="14">
        <f t="shared" si="65"/>
        <v>1</v>
      </c>
      <c r="R182" s="14">
        <f t="shared" si="66"/>
        <v>11</v>
      </c>
      <c r="S182" s="14" t="s">
        <v>39</v>
      </c>
      <c r="T182" s="14">
        <f>ROUND(((IF(Q182=1,INDEX(新属性投放!$J$14:$J$34,卡牌属性!R182),INDEX(新属性投放!$J$42:$J$62,卡牌属性!R182)))*INDEX($G$5:$G$42,L182)+IF(Q182=1,INDEX(新属性投放!R$20:R$23,卡牌属性!M182-1),INDEX(新属性投放!R$25:R$28,卡牌属性!M182-1)))/SQRT(INDEX($I$5:$I$42,L182)),2)</f>
        <v>6026.21</v>
      </c>
      <c r="U182" s="29" t="s">
        <v>178</v>
      </c>
      <c r="V182" s="14">
        <f>ROUND((IF(Q182=1,INDEX(新属性投放!$K$14:$K$34,卡牌属性!R182),INDEX(新属性投放!$K$42:$K$62,卡牌属性!R182))+IF(Q182=1,INDEX(新属性投放!S$20:S$23,卡牌属性!M182-1),INDEX(新属性投放!S$25:S$28,卡牌属性!M182-1)))*INDEX($G$5:$G$42,L182),2)</f>
        <v>2944.98</v>
      </c>
      <c r="W182" s="29" t="s">
        <v>179</v>
      </c>
      <c r="X182" s="14">
        <f>ROUND((IF(Q182=1,INDEX(新属性投放!$L$14:$L$34,卡牌属性!R182),INDEX(新属性投放!$L$42:$L$62,卡牌属性!R182))*INDEX($G$5:$G$42,L182)+IF(Q182=1,INDEX(新属性投放!T$20:T$23,卡牌属性!M182-1),INDEX(新属性投放!T$25:T$28,卡牌属性!M182-1)))*SQRT(INDEX($I$5:$I$42,L182)),2)</f>
        <v>18658.62</v>
      </c>
      <c r="Y182" s="29" t="s">
        <v>177</v>
      </c>
      <c r="Z182" s="14">
        <f>ROUND(IF(Q182=1,INDEX(新属性投放!$D$14:$D$34,卡牌属性!R182),INDEX(新属性投放!$D$42:$D$62,卡牌属性!R182))*INDEX($G$5:$G$42,L182)/SQRT(INDEX($I$5:$I$42,L182)),2)</f>
        <v>151.32</v>
      </c>
      <c r="AA182" s="29" t="s">
        <v>178</v>
      </c>
      <c r="AB182" s="14">
        <f>ROUND(IF(Q182=1,INDEX(新属性投放!$E$14:$E$34,卡牌属性!R182),INDEX(新属性投放!$E$42:$E$62,卡牌属性!R182))*INDEX($G$5:$G$42,L182),2)</f>
        <v>75.66</v>
      </c>
      <c r="AC182" s="29" t="s">
        <v>179</v>
      </c>
      <c r="AD182" s="14">
        <f>ROUND(IF(Q182=1,INDEX(新属性投放!$F$14:$F$34,卡牌属性!R182),INDEX(新属性投放!$F$42:$F$62,卡牌属性!R182))*INDEX($G$5:$G$42,L182)*SQRT(INDEX($I$5:$I$42,L182)),2)</f>
        <v>453.95</v>
      </c>
      <c r="AF182" s="14">
        <f t="shared" si="67"/>
        <v>1513</v>
      </c>
      <c r="AG182" s="14">
        <f t="shared" si="68"/>
        <v>756</v>
      </c>
      <c r="AH182" s="14">
        <f t="shared" si="69"/>
        <v>4539</v>
      </c>
      <c r="AJ182" s="14">
        <f t="shared" si="79"/>
        <v>7449</v>
      </c>
      <c r="AK182" s="14">
        <f t="shared" si="80"/>
        <v>3722</v>
      </c>
      <c r="AL182" s="14">
        <f t="shared" si="81"/>
        <v>22357</v>
      </c>
    </row>
    <row r="183" spans="11:38" ht="16.5" x14ac:dyDescent="0.2">
      <c r="K183" s="13">
        <v>180</v>
      </c>
      <c r="L183" s="13">
        <f t="shared" si="61"/>
        <v>9</v>
      </c>
      <c r="M183" s="13">
        <f t="shared" si="62"/>
        <v>3</v>
      </c>
      <c r="N183" s="14">
        <f t="shared" si="63"/>
        <v>1101009</v>
      </c>
      <c r="O183" s="14" t="str">
        <f t="shared" si="64"/>
        <v>北落师门12突</v>
      </c>
      <c r="P183" s="29" t="s">
        <v>470</v>
      </c>
      <c r="Q183" s="14">
        <f t="shared" si="65"/>
        <v>1</v>
      </c>
      <c r="R183" s="14">
        <f t="shared" si="66"/>
        <v>12</v>
      </c>
      <c r="S183" s="14" t="s">
        <v>39</v>
      </c>
      <c r="T183" s="14">
        <f>ROUND(((IF(Q183=1,INDEX(新属性投放!$J$14:$J$34,卡牌属性!R183),INDEX(新属性投放!$J$42:$J$62,卡牌属性!R183)))*INDEX($G$5:$G$42,L183)+IF(Q183=1,INDEX(新属性投放!R$20:R$23,卡牌属性!M183-1),INDEX(新属性投放!R$25:R$28,卡牌属性!M183-1)))/SQRT(INDEX($I$5:$I$42,L183)),2)</f>
        <v>6971.39</v>
      </c>
      <c r="U183" s="29" t="s">
        <v>178</v>
      </c>
      <c r="V183" s="14">
        <f>ROUND((IF(Q183=1,INDEX(新属性投放!$K$14:$K$34,卡牌属性!R183),INDEX(新属性投放!$K$42:$K$62,卡牌属性!R183))+IF(Q183=1,INDEX(新属性投放!S$20:S$23,卡牌属性!M183-1),INDEX(新属性投放!S$25:S$28,卡牌属性!M183-1)))*INDEX($G$5:$G$42,L183),2)</f>
        <v>3417.57</v>
      </c>
      <c r="W183" s="29" t="s">
        <v>179</v>
      </c>
      <c r="X183" s="14">
        <f>ROUND((IF(Q183=1,INDEX(新属性投放!$L$14:$L$34,卡牌属性!R183),INDEX(新属性投放!$L$42:$L$62,卡牌属性!R183))*INDEX($G$5:$G$42,L183)+IF(Q183=1,INDEX(新属性投放!T$20:T$23,卡牌属性!M183-1),INDEX(新属性投放!T$25:T$28,卡牌属性!M183-1)))*SQRT(INDEX($I$5:$I$42,L183)),2)</f>
        <v>21494.17</v>
      </c>
      <c r="Y183" s="29" t="s">
        <v>177</v>
      </c>
      <c r="Z183" s="14">
        <f>ROUND(IF(Q183=1,INDEX(新属性投放!$D$14:$D$34,卡牌属性!R183),INDEX(新属性投放!$D$42:$D$62,卡牌属性!R183))*INDEX($G$5:$G$42,L183)/SQRT(INDEX($I$5:$I$42,L183)),2)</f>
        <v>173.04</v>
      </c>
      <c r="AA183" s="29" t="s">
        <v>178</v>
      </c>
      <c r="AB183" s="14">
        <f>ROUND(IF(Q183=1,INDEX(新属性投放!$E$14:$E$34,卡牌属性!R183),INDEX(新属性投放!$E$42:$E$62,卡牌属性!R183))*INDEX($G$5:$G$42,L183),2)</f>
        <v>86.52</v>
      </c>
      <c r="AC183" s="29" t="s">
        <v>179</v>
      </c>
      <c r="AD183" s="14">
        <f>ROUND(IF(Q183=1,INDEX(新属性投放!$F$14:$F$34,卡牌属性!R183),INDEX(新属性投放!$F$42:$F$62,卡牌属性!R183))*INDEX($G$5:$G$42,L183)*SQRT(INDEX($I$5:$I$42,L183)),2)</f>
        <v>519.12</v>
      </c>
      <c r="AF183" s="14">
        <f t="shared" si="67"/>
        <v>1730</v>
      </c>
      <c r="AG183" s="14">
        <f t="shared" si="68"/>
        <v>865</v>
      </c>
      <c r="AH183" s="14">
        <f t="shared" si="69"/>
        <v>5191</v>
      </c>
      <c r="AJ183" s="14">
        <f t="shared" si="79"/>
        <v>9179</v>
      </c>
      <c r="AK183" s="14">
        <f t="shared" si="80"/>
        <v>4587</v>
      </c>
      <c r="AL183" s="14">
        <f t="shared" si="81"/>
        <v>27548</v>
      </c>
    </row>
    <row r="184" spans="11:38" ht="16.5" x14ac:dyDescent="0.2">
      <c r="K184" s="13">
        <v>181</v>
      </c>
      <c r="L184" s="13">
        <f t="shared" si="61"/>
        <v>9</v>
      </c>
      <c r="M184" s="13">
        <f t="shared" si="62"/>
        <v>3</v>
      </c>
      <c r="N184" s="14">
        <f t="shared" si="63"/>
        <v>1101009</v>
      </c>
      <c r="O184" s="14" t="str">
        <f t="shared" si="64"/>
        <v>北落师门13突</v>
      </c>
      <c r="P184" s="29" t="s">
        <v>470</v>
      </c>
      <c r="Q184" s="14">
        <f t="shared" si="65"/>
        <v>1</v>
      </c>
      <c r="R184" s="14">
        <f t="shared" si="66"/>
        <v>13</v>
      </c>
      <c r="S184" s="14" t="s">
        <v>39</v>
      </c>
      <c r="T184" s="14">
        <f>ROUND(((IF(Q184=1,INDEX(新属性投放!$J$14:$J$34,卡牌属性!R184),INDEX(新属性投放!$J$42:$J$62,卡牌属性!R184)))*INDEX($G$5:$G$42,L184)+IF(Q184=1,INDEX(新属性投放!R$20:R$23,卡牌属性!M184-1),INDEX(新属性投放!R$25:R$28,卡牌属性!M184-1)))/SQRT(INDEX($I$5:$I$42,L184)),2)</f>
        <v>8052.79</v>
      </c>
      <c r="U184" s="29" t="s">
        <v>178</v>
      </c>
      <c r="V184" s="14">
        <f>ROUND((IF(Q184=1,INDEX(新属性投放!$K$14:$K$34,卡牌属性!R184),INDEX(新属性投放!$K$42:$K$62,卡牌属性!R184))+IF(Q184=1,INDEX(新属性投放!S$20:S$23,卡牌属性!M184-1),INDEX(新属性投放!S$25:S$28,卡牌属性!M184-1)))*INDEX($G$5:$G$42,L184),2)</f>
        <v>3958.27</v>
      </c>
      <c r="W184" s="29" t="s">
        <v>179</v>
      </c>
      <c r="X184" s="14">
        <f>ROUND((IF(Q184=1,INDEX(新属性投放!$L$14:$L$34,卡牌属性!R184),INDEX(新属性投放!$L$42:$L$62,卡牌属性!R184))*INDEX($G$5:$G$42,L184)+IF(Q184=1,INDEX(新属性投放!T$20:T$23,卡牌属性!M184-1),INDEX(新属性投放!T$25:T$28,卡牌属性!M184-1)))*SQRT(INDEX($I$5:$I$42,L184)),2)</f>
        <v>24738.38</v>
      </c>
      <c r="Y184" s="29" t="s">
        <v>177</v>
      </c>
      <c r="Z184" s="14">
        <f>ROUND(IF(Q184=1,INDEX(新属性投放!$D$14:$D$34,卡牌属性!R184),INDEX(新属性投放!$D$42:$D$62,卡牌属性!R184))*INDEX($G$5:$G$42,L184)/SQRT(INDEX($I$5:$I$42,L184)),2)</f>
        <v>200.07</v>
      </c>
      <c r="AA184" s="29" t="s">
        <v>178</v>
      </c>
      <c r="AB184" s="14">
        <f>ROUND(IF(Q184=1,INDEX(新属性投放!$E$14:$E$34,卡牌属性!R184),INDEX(新属性投放!$E$42:$E$62,卡牌属性!R184))*INDEX($G$5:$G$42,L184),2)</f>
        <v>100.03</v>
      </c>
      <c r="AC184" s="29" t="s">
        <v>179</v>
      </c>
      <c r="AD184" s="14">
        <f>ROUND(IF(Q184=1,INDEX(新属性投放!$F$14:$F$34,卡牌属性!R184),INDEX(新属性投放!$F$42:$F$62,卡牌属性!R184))*INDEX($G$5:$G$42,L184)*SQRT(INDEX($I$5:$I$42,L184)),2)</f>
        <v>600.20000000000005</v>
      </c>
      <c r="AF184" s="14">
        <f t="shared" si="67"/>
        <v>2000</v>
      </c>
      <c r="AG184" s="14">
        <f t="shared" si="68"/>
        <v>1000</v>
      </c>
      <c r="AH184" s="14">
        <f t="shared" si="69"/>
        <v>6002</v>
      </c>
      <c r="AJ184" s="14">
        <f t="shared" si="79"/>
        <v>11179</v>
      </c>
      <c r="AK184" s="14">
        <f t="shared" si="80"/>
        <v>5587</v>
      </c>
      <c r="AL184" s="14">
        <f t="shared" si="81"/>
        <v>33550</v>
      </c>
    </row>
    <row r="185" spans="11:38" ht="16.5" x14ac:dyDescent="0.2">
      <c r="K185" s="13">
        <v>182</v>
      </c>
      <c r="L185" s="13">
        <f t="shared" si="61"/>
        <v>9</v>
      </c>
      <c r="M185" s="13">
        <f t="shared" si="62"/>
        <v>3</v>
      </c>
      <c r="N185" s="14">
        <f t="shared" si="63"/>
        <v>1101009</v>
      </c>
      <c r="O185" s="14" t="str">
        <f t="shared" si="64"/>
        <v>北落师门14突</v>
      </c>
      <c r="P185" s="29" t="s">
        <v>470</v>
      </c>
      <c r="Q185" s="14">
        <f t="shared" si="65"/>
        <v>1</v>
      </c>
      <c r="R185" s="14">
        <f t="shared" si="66"/>
        <v>14</v>
      </c>
      <c r="S185" s="14" t="s">
        <v>39</v>
      </c>
      <c r="T185" s="14">
        <f>ROUND(((IF(Q185=1,INDEX(新属性投放!$J$14:$J$34,卡牌属性!R185),INDEX(新属性投放!$J$42:$J$62,卡牌属性!R185)))*INDEX($G$5:$G$42,L185)+IF(Q185=1,INDEX(新属性投放!R$20:R$23,卡牌属性!M185-1),INDEX(新属性投放!R$25:R$28,卡牌属性!M185-1)))/SQRT(INDEX($I$5:$I$42,L185)),2)</f>
        <v>9302.67</v>
      </c>
      <c r="U185" s="29" t="s">
        <v>178</v>
      </c>
      <c r="V185" s="14">
        <f>ROUND((IF(Q185=1,INDEX(新属性投放!$K$14:$K$34,卡牌属性!R185),INDEX(新属性投放!$K$42:$K$62,卡牌属性!R185))+IF(Q185=1,INDEX(新属性投放!S$20:S$23,卡牌属性!M185-1),INDEX(新属性投放!S$25:S$28,卡牌属性!M185-1)))*INDEX($G$5:$G$42,L185),2)</f>
        <v>4583.79</v>
      </c>
      <c r="W185" s="29" t="s">
        <v>179</v>
      </c>
      <c r="X185" s="14">
        <f>ROUND((IF(Q185=1,INDEX(新属性投放!$L$14:$L$34,卡牌属性!R185),INDEX(新属性投放!$L$42:$L$62,卡牌属性!R185))*INDEX($G$5:$G$42,L185)+IF(Q185=1,INDEX(新属性投放!T$20:T$23,卡牌属性!M185-1),INDEX(新属性投放!T$25:T$28,卡牌属性!M185-1)))*SQRT(INDEX($I$5:$I$42,L185)),2)</f>
        <v>28488.01</v>
      </c>
      <c r="Y185" s="29" t="s">
        <v>177</v>
      </c>
      <c r="Z185" s="14">
        <f>ROUND(IF(Q185=1,INDEX(新属性投放!$D$14:$D$34,卡牌属性!R185),INDEX(新属性投放!$D$42:$D$62,卡牌属性!R185))*INDEX($G$5:$G$42,L185)/SQRT(INDEX($I$5:$I$42,L185)),2)</f>
        <v>231.32</v>
      </c>
      <c r="AA185" s="29" t="s">
        <v>178</v>
      </c>
      <c r="AB185" s="14">
        <f>ROUND(IF(Q185=1,INDEX(新属性投放!$E$14:$E$34,卡牌属性!R185),INDEX(新属性投放!$E$42:$E$62,卡牌属性!R185))*INDEX($G$5:$G$42,L185),2)</f>
        <v>115.66</v>
      </c>
      <c r="AC185" s="29" t="s">
        <v>179</v>
      </c>
      <c r="AD185" s="14">
        <f>ROUND(IF(Q185=1,INDEX(新属性投放!$F$14:$F$34,卡牌属性!R185),INDEX(新属性投放!$F$42:$F$62,卡牌属性!R185))*INDEX($G$5:$G$42,L185)*SQRT(INDEX($I$5:$I$42,L185)),2)</f>
        <v>693.97</v>
      </c>
      <c r="AF185" s="14">
        <f t="shared" si="67"/>
        <v>2313</v>
      </c>
      <c r="AG185" s="14">
        <f t="shared" si="68"/>
        <v>1156</v>
      </c>
      <c r="AH185" s="14">
        <f t="shared" si="69"/>
        <v>6939</v>
      </c>
      <c r="AJ185" s="14">
        <f t="shared" si="79"/>
        <v>13492</v>
      </c>
      <c r="AK185" s="14">
        <f t="shared" si="80"/>
        <v>6743</v>
      </c>
      <c r="AL185" s="14">
        <f t="shared" si="81"/>
        <v>40489</v>
      </c>
    </row>
    <row r="186" spans="11:38" ht="16.5" x14ac:dyDescent="0.2">
      <c r="K186" s="13">
        <v>183</v>
      </c>
      <c r="L186" s="13">
        <f t="shared" si="61"/>
        <v>9</v>
      </c>
      <c r="M186" s="13">
        <f t="shared" si="62"/>
        <v>3</v>
      </c>
      <c r="N186" s="14">
        <f t="shared" si="63"/>
        <v>1101009</v>
      </c>
      <c r="O186" s="14" t="str">
        <f t="shared" si="64"/>
        <v>北落师门15突</v>
      </c>
      <c r="P186" s="29" t="s">
        <v>470</v>
      </c>
      <c r="Q186" s="14">
        <f t="shared" si="65"/>
        <v>1</v>
      </c>
      <c r="R186" s="14">
        <f t="shared" si="66"/>
        <v>15</v>
      </c>
      <c r="S186" s="14" t="s">
        <v>39</v>
      </c>
      <c r="T186" s="14">
        <f>ROUND(((IF(Q186=1,INDEX(新属性投放!$J$14:$J$34,卡牌属性!R186),INDEX(新属性投放!$J$42:$J$62,卡牌属性!R186)))*INDEX($G$5:$G$42,L186)+IF(Q186=1,INDEX(新属性投放!R$20:R$23,卡牌属性!M186-1),INDEX(新属性投放!R$25:R$28,卡牌属性!M186-1)))/SQRT(INDEX($I$5:$I$42,L186)),2)</f>
        <v>10747.93</v>
      </c>
      <c r="U186" s="29" t="s">
        <v>178</v>
      </c>
      <c r="V186" s="14">
        <f>ROUND((IF(Q186=1,INDEX(新属性投放!$K$14:$K$34,卡牌属性!R186),INDEX(新属性投放!$K$42:$K$62,卡牌属性!R186))+IF(Q186=1,INDEX(新属性投放!S$20:S$23,卡牌属性!M186-1),INDEX(新属性投放!S$25:S$28,卡牌属性!M186-1)))*INDEX($G$5:$G$42,L186),2)</f>
        <v>5306.99</v>
      </c>
      <c r="W186" s="29" t="s">
        <v>179</v>
      </c>
      <c r="X186" s="14">
        <f>ROUND((IF(Q186=1,INDEX(新属性投放!$L$14:$L$34,卡牌属性!R186),INDEX(新属性投放!$L$42:$L$62,卡牌属性!R186))*INDEX($G$5:$G$42,L186)+IF(Q186=1,INDEX(新属性投放!T$20:T$23,卡牌属性!M186-1),INDEX(新属性投放!T$25:T$28,卡牌属性!M186-1)))*SQRT(INDEX($I$5:$I$42,L186)),2)</f>
        <v>32823.800000000003</v>
      </c>
      <c r="Y186" s="29" t="s">
        <v>177</v>
      </c>
      <c r="Z186" s="14">
        <f>ROUND(IF(Q186=1,INDEX(新属性投放!$D$14:$D$34,卡牌属性!R186),INDEX(新属性投放!$D$42:$D$62,卡牌属性!R186))*INDEX($G$5:$G$42,L186)/SQRT(INDEX($I$5:$I$42,L186)),2)</f>
        <v>267.44</v>
      </c>
      <c r="AA186" s="29" t="s">
        <v>178</v>
      </c>
      <c r="AB186" s="14">
        <f>ROUND(IF(Q186=1,INDEX(新属性投放!$E$14:$E$34,卡牌属性!R186),INDEX(新属性投放!$E$42:$E$62,卡牌属性!R186))*INDEX($G$5:$G$42,L186),2)</f>
        <v>133.72</v>
      </c>
      <c r="AC186" s="29" t="s">
        <v>179</v>
      </c>
      <c r="AD186" s="14">
        <f>ROUND(IF(Q186=1,INDEX(新属性投放!$F$14:$F$34,卡牌属性!R186),INDEX(新属性投放!$F$42:$F$62,卡牌属性!R186))*INDEX($G$5:$G$42,L186)*SQRT(INDEX($I$5:$I$42,L186)),2)</f>
        <v>802.33</v>
      </c>
      <c r="AF186" s="14">
        <f t="shared" si="67"/>
        <v>2674</v>
      </c>
      <c r="AG186" s="14">
        <f t="shared" si="68"/>
        <v>1337</v>
      </c>
      <c r="AH186" s="14">
        <f t="shared" si="69"/>
        <v>8023</v>
      </c>
      <c r="AJ186" s="14">
        <f t="shared" si="79"/>
        <v>16166</v>
      </c>
      <c r="AK186" s="14">
        <f t="shared" si="80"/>
        <v>8080</v>
      </c>
      <c r="AL186" s="14">
        <f t="shared" si="81"/>
        <v>48512</v>
      </c>
    </row>
    <row r="187" spans="11:38" ht="16.5" x14ac:dyDescent="0.2">
      <c r="K187" s="13">
        <v>184</v>
      </c>
      <c r="L187" s="13">
        <f t="shared" si="61"/>
        <v>9</v>
      </c>
      <c r="M187" s="13">
        <f t="shared" si="62"/>
        <v>3</v>
      </c>
      <c r="N187" s="14">
        <f t="shared" si="63"/>
        <v>1101009</v>
      </c>
      <c r="O187" s="14" t="str">
        <f t="shared" si="64"/>
        <v>北落师门16突</v>
      </c>
      <c r="P187" s="29" t="s">
        <v>470</v>
      </c>
      <c r="Q187" s="14">
        <f t="shared" si="65"/>
        <v>1</v>
      </c>
      <c r="R187" s="14">
        <f t="shared" si="66"/>
        <v>16</v>
      </c>
      <c r="S187" s="14" t="s">
        <v>39</v>
      </c>
      <c r="T187" s="14">
        <f>ROUND(((IF(Q187=1,INDEX(新属性投放!$J$14:$J$34,卡牌属性!R187),INDEX(新属性投放!$J$42:$J$62,卡牌属性!R187)))*INDEX($G$5:$G$42,L187)+IF(Q187=1,INDEX(新属性投放!R$20:R$23,卡牌属性!M187-1),INDEX(新属性投放!R$25:R$28,卡牌属性!M187-1)))/SQRT(INDEX($I$5:$I$42,L187)),2)</f>
        <v>12419.8</v>
      </c>
      <c r="U187" s="29" t="s">
        <v>178</v>
      </c>
      <c r="V187" s="14">
        <f>ROUND((IF(Q187=1,INDEX(新属性投放!$K$14:$K$34,卡牌属性!R187),INDEX(新属性投放!$K$42:$K$62,卡牌属性!R187))+IF(Q187=1,INDEX(新属性投放!S$20:S$23,卡牌属性!M187-1),INDEX(新属性投放!S$25:S$28,卡牌属性!M187-1)))*INDEX($G$5:$G$42,L187),2)</f>
        <v>6142.35</v>
      </c>
      <c r="W187" s="29" t="s">
        <v>179</v>
      </c>
      <c r="X187" s="14">
        <f>ROUND((IF(Q187=1,INDEX(新属性投放!$L$14:$L$34,卡牌属性!R187),INDEX(新属性投放!$L$42:$L$62,卡牌属性!R187))*INDEX($G$5:$G$42,L187)+IF(Q187=1,INDEX(新属性投放!T$20:T$23,卡牌属性!M187-1),INDEX(新属性投放!T$25:T$28,卡牌属性!M187-1)))*SQRT(INDEX($I$5:$I$42,L187)),2)</f>
        <v>37839.410000000003</v>
      </c>
      <c r="Y187" s="29" t="s">
        <v>177</v>
      </c>
      <c r="Z187" s="14">
        <f>ROUND(IF(Q187=1,INDEX(新属性投放!$D$14:$D$34,卡牌属性!R187),INDEX(新属性投放!$D$42:$D$62,卡牌属性!R187))*INDEX($G$5:$G$42,L187)/SQRT(INDEX($I$5:$I$42,L187)),2)</f>
        <v>309.25</v>
      </c>
      <c r="AA187" s="29" t="s">
        <v>178</v>
      </c>
      <c r="AB187" s="14">
        <f>ROUND(IF(Q187=1,INDEX(新属性投放!$E$14:$E$34,卡牌属性!R187),INDEX(新属性投放!$E$42:$E$62,卡牌属性!R187))*INDEX($G$5:$G$42,L187),2)</f>
        <v>154.62</v>
      </c>
      <c r="AC187" s="29" t="s">
        <v>179</v>
      </c>
      <c r="AD187" s="14">
        <f>ROUND(IF(Q187=1,INDEX(新属性投放!$F$14:$F$34,卡牌属性!R187),INDEX(新属性投放!$F$42:$F$62,卡牌属性!R187))*INDEX($G$5:$G$42,L187)*SQRT(INDEX($I$5:$I$42,L187)),2)</f>
        <v>927.74</v>
      </c>
      <c r="AF187" s="14">
        <f t="shared" si="67"/>
        <v>3092</v>
      </c>
      <c r="AG187" s="14">
        <f t="shared" si="68"/>
        <v>1546</v>
      </c>
      <c r="AH187" s="14">
        <f t="shared" si="69"/>
        <v>9277</v>
      </c>
      <c r="AJ187" s="14">
        <f t="shared" si="79"/>
        <v>19258</v>
      </c>
      <c r="AK187" s="14">
        <f t="shared" si="80"/>
        <v>9626</v>
      </c>
      <c r="AL187" s="14">
        <f t="shared" si="81"/>
        <v>57789</v>
      </c>
    </row>
    <row r="188" spans="11:38" ht="16.5" x14ac:dyDescent="0.2">
      <c r="K188" s="13">
        <v>185</v>
      </c>
      <c r="L188" s="13">
        <f t="shared" si="61"/>
        <v>9</v>
      </c>
      <c r="M188" s="13">
        <f t="shared" si="62"/>
        <v>3</v>
      </c>
      <c r="N188" s="14">
        <f t="shared" si="63"/>
        <v>1101009</v>
      </c>
      <c r="O188" s="14" t="str">
        <f t="shared" si="64"/>
        <v>北落师门17突</v>
      </c>
      <c r="P188" s="29" t="s">
        <v>470</v>
      </c>
      <c r="Q188" s="14">
        <f t="shared" si="65"/>
        <v>1</v>
      </c>
      <c r="R188" s="14">
        <f t="shared" si="66"/>
        <v>17</v>
      </c>
      <c r="S188" s="14" t="s">
        <v>39</v>
      </c>
      <c r="T188" s="14">
        <f>ROUND(((IF(Q188=1,INDEX(新属性投放!$J$14:$J$34,卡牌属性!R188),INDEX(新属性投放!$J$42:$J$62,卡牌属性!R188)))*INDEX($G$5:$G$42,L188)+IF(Q188=1,INDEX(新属性投放!R$20:R$23,卡牌属性!M188-1),INDEX(新属性投放!R$25:R$28,卡牌属性!M188-1)))/SQRT(INDEX($I$5:$I$42,L188)),2)</f>
        <v>14352.44</v>
      </c>
      <c r="U188" s="29" t="s">
        <v>178</v>
      </c>
      <c r="V188" s="14">
        <f>ROUND((IF(Q188=1,INDEX(新属性投放!$K$14:$K$34,卡牌属性!R188),INDEX(新属性投放!$K$42:$K$62,卡牌属性!R188))+IF(Q188=1,INDEX(新属性投放!S$20:S$23,卡牌属性!M188-1),INDEX(新属性投放!S$25:S$28,卡牌属性!M188-1)))*INDEX($G$5:$G$42,L188),2)</f>
        <v>7108.67</v>
      </c>
      <c r="W188" s="29" t="s">
        <v>179</v>
      </c>
      <c r="X188" s="14">
        <f>ROUND((IF(Q188=1,INDEX(新属性投放!$L$14:$L$34,卡牌属性!R188),INDEX(新属性投放!$L$42:$L$62,卡牌属性!R188))*INDEX($G$5:$G$42,L188)+IF(Q188=1,INDEX(新属性投放!T$20:T$23,卡牌属性!M188-1),INDEX(新属性投放!T$25:T$28,卡牌属性!M188-1)))*SQRT(INDEX($I$5:$I$42,L188)),2)</f>
        <v>43637.31</v>
      </c>
      <c r="Y188" s="29" t="s">
        <v>177</v>
      </c>
      <c r="Z188" s="14">
        <f>ROUND(IF(Q188=1,INDEX(新属性投放!$D$14:$D$34,卡牌属性!R188),INDEX(新属性投放!$D$42:$D$62,卡牌属性!R188))*INDEX($G$5:$G$42,L188)/SQRT(INDEX($I$5:$I$42,L188)),2)</f>
        <v>357.56</v>
      </c>
      <c r="AA188" s="29" t="s">
        <v>178</v>
      </c>
      <c r="AB188" s="14">
        <f>ROUND(IF(Q188=1,INDEX(新属性投放!$E$14:$E$34,卡牌属性!R188),INDEX(新属性投放!$E$42:$E$62,卡牌属性!R188))*INDEX($G$5:$G$42,L188),2)</f>
        <v>178.78</v>
      </c>
      <c r="AC188" s="29" t="s">
        <v>179</v>
      </c>
      <c r="AD188" s="14">
        <f>ROUND(IF(Q188=1,INDEX(新属性投放!$F$14:$F$34,卡牌属性!R188),INDEX(新属性投放!$F$42:$F$62,卡牌属性!R188))*INDEX($G$5:$G$42,L188)*SQRT(INDEX($I$5:$I$42,L188)),2)</f>
        <v>1072.67</v>
      </c>
      <c r="AF188" s="14">
        <f t="shared" si="67"/>
        <v>3575</v>
      </c>
      <c r="AG188" s="14">
        <f t="shared" si="68"/>
        <v>1787</v>
      </c>
      <c r="AH188" s="14">
        <f t="shared" si="69"/>
        <v>10726</v>
      </c>
      <c r="AJ188" s="14">
        <f t="shared" si="79"/>
        <v>22833</v>
      </c>
      <c r="AK188" s="14">
        <f t="shared" si="80"/>
        <v>11413</v>
      </c>
      <c r="AL188" s="14">
        <f t="shared" si="81"/>
        <v>68515</v>
      </c>
    </row>
    <row r="189" spans="11:38" ht="16.5" x14ac:dyDescent="0.2">
      <c r="K189" s="13">
        <v>186</v>
      </c>
      <c r="L189" s="13">
        <f t="shared" si="61"/>
        <v>9</v>
      </c>
      <c r="M189" s="13">
        <f t="shared" si="62"/>
        <v>3</v>
      </c>
      <c r="N189" s="14">
        <f t="shared" si="63"/>
        <v>1101009</v>
      </c>
      <c r="O189" s="14" t="str">
        <f t="shared" si="64"/>
        <v>北落师门18突</v>
      </c>
      <c r="P189" s="29" t="s">
        <v>470</v>
      </c>
      <c r="Q189" s="14">
        <f t="shared" si="65"/>
        <v>1</v>
      </c>
      <c r="R189" s="14">
        <f t="shared" si="66"/>
        <v>18</v>
      </c>
      <c r="S189" s="14" t="s">
        <v>39</v>
      </c>
      <c r="T189" s="14">
        <f>ROUND(((IF(Q189=1,INDEX(新属性投放!$J$14:$J$34,卡牌属性!R189),INDEX(新属性投放!$J$42:$J$62,卡牌属性!R189)))*INDEX($G$5:$G$42,L189)+IF(Q189=1,INDEX(新属性投放!R$20:R$23,卡牌属性!M189-1),INDEX(新属性投放!R$25:R$28,卡牌属性!M189-1)))/SQRT(INDEX($I$5:$I$42,L189)),2)</f>
        <v>16587.580000000002</v>
      </c>
      <c r="U189" s="29" t="s">
        <v>178</v>
      </c>
      <c r="V189" s="14">
        <f>ROUND((IF(Q189=1,INDEX(新属性投放!$K$14:$K$34,卡牌属性!R189),INDEX(新属性投放!$K$42:$K$62,卡牌属性!R189))+IF(Q189=1,INDEX(新属性投放!S$20:S$23,卡牌属性!M189-1),INDEX(新属性投放!S$25:S$28,卡牌属性!M189-1)))*INDEX($G$5:$G$42,L189),2)</f>
        <v>8225.66</v>
      </c>
      <c r="W189" s="29" t="s">
        <v>179</v>
      </c>
      <c r="X189" s="14">
        <f>ROUND((IF(Q189=1,INDEX(新属性投放!$L$14:$L$34,卡牌属性!R189),INDEX(新属性投放!$L$42:$L$62,卡牌属性!R189))*INDEX($G$5:$G$42,L189)+IF(Q189=1,INDEX(新属性投放!T$20:T$23,卡牌属性!M189-1),INDEX(新属性投放!T$25:T$28,卡牌属性!M189-1)))*SQRT(INDEX($I$5:$I$42,L189)),2)</f>
        <v>50342.73</v>
      </c>
      <c r="Y189" s="29" t="s">
        <v>177</v>
      </c>
      <c r="Z189" s="14">
        <f>ROUND(IF(Q189=1,INDEX(新属性投放!$D$14:$D$34,卡牌属性!R189),INDEX(新属性投放!$D$42:$D$62,卡牌属性!R189))*INDEX($G$5:$G$42,L189)/SQRT(INDEX($I$5:$I$42,L189)),2)</f>
        <v>413.44</v>
      </c>
      <c r="AA189" s="29" t="s">
        <v>178</v>
      </c>
      <c r="AB189" s="14">
        <f>ROUND(IF(Q189=1,INDEX(新属性投放!$E$14:$E$34,卡牌属性!R189),INDEX(新属性投放!$E$42:$E$62,卡牌属性!R189))*INDEX($G$5:$G$42,L189),2)</f>
        <v>206.72</v>
      </c>
      <c r="AC189" s="29" t="s">
        <v>179</v>
      </c>
      <c r="AD189" s="14">
        <f>ROUND(IF(Q189=1,INDEX(新属性投放!$F$14:$F$34,卡牌属性!R189),INDEX(新属性投放!$F$42:$F$62,卡牌属性!R189))*INDEX($G$5:$G$42,L189)*SQRT(INDEX($I$5:$I$42,L189)),2)</f>
        <v>1240.31</v>
      </c>
      <c r="AF189" s="14">
        <f t="shared" si="67"/>
        <v>4134</v>
      </c>
      <c r="AG189" s="14">
        <f t="shared" si="68"/>
        <v>2067</v>
      </c>
      <c r="AH189" s="14">
        <f t="shared" si="69"/>
        <v>12403</v>
      </c>
      <c r="AJ189" s="14">
        <f t="shared" si="79"/>
        <v>26967</v>
      </c>
      <c r="AK189" s="14">
        <f t="shared" si="80"/>
        <v>13480</v>
      </c>
      <c r="AL189" s="14">
        <f t="shared" si="81"/>
        <v>80918</v>
      </c>
    </row>
    <row r="190" spans="11:38" ht="16.5" x14ac:dyDescent="0.2">
      <c r="K190" s="13">
        <v>187</v>
      </c>
      <c r="L190" s="13">
        <f t="shared" si="61"/>
        <v>9</v>
      </c>
      <c r="M190" s="13">
        <f t="shared" si="62"/>
        <v>3</v>
      </c>
      <c r="N190" s="14">
        <f t="shared" si="63"/>
        <v>1101009</v>
      </c>
      <c r="O190" s="14" t="str">
        <f t="shared" si="64"/>
        <v>北落师门19突</v>
      </c>
      <c r="P190" s="29" t="s">
        <v>470</v>
      </c>
      <c r="Q190" s="14">
        <f t="shared" si="65"/>
        <v>1</v>
      </c>
      <c r="R190" s="14">
        <f t="shared" si="66"/>
        <v>19</v>
      </c>
      <c r="S190" s="14" t="s">
        <v>39</v>
      </c>
      <c r="T190" s="14">
        <f>ROUND(((IF(Q190=1,INDEX(新属性投放!$J$14:$J$34,卡牌属性!R190),INDEX(新属性投放!$J$42:$J$62,卡牌属性!R190)))*INDEX($G$5:$G$42,L190)+IF(Q190=1,INDEX(新属性投放!R$20:R$23,卡牌属性!M190-1),INDEX(新属性投放!R$25:R$28,卡牌属性!M190-1)))/SQRT(INDEX($I$5:$I$42,L190)),2)</f>
        <v>19171.11</v>
      </c>
      <c r="U190" s="29" t="s">
        <v>178</v>
      </c>
      <c r="V190" s="14">
        <f>ROUND((IF(Q190=1,INDEX(新属性投放!$K$14:$K$34,卡牌属性!R190),INDEX(新属性投放!$K$42:$K$62,卡牌属性!R190))+IF(Q190=1,INDEX(新属性投放!S$20:S$23,卡牌属性!M190-1),INDEX(新属性投放!S$25:S$28,卡牌属性!M190-1)))*INDEX($G$5:$G$42,L190),2)</f>
        <v>9518</v>
      </c>
      <c r="W190" s="29" t="s">
        <v>179</v>
      </c>
      <c r="X190" s="14">
        <f>ROUND((IF(Q190=1,INDEX(新属性投放!$L$14:$L$34,卡牌属性!R190),INDEX(新属性投放!$L$42:$L$62,卡牌属性!R190))*INDEX($G$5:$G$42,L190)+IF(Q190=1,INDEX(新属性投放!T$20:T$23,卡牌属性!M190-1),INDEX(新属性投放!T$25:T$28,卡牌属性!M190-1)))*SQRT(INDEX($I$5:$I$42,L190)),2)</f>
        <v>58093.32</v>
      </c>
      <c r="Y190" s="29" t="s">
        <v>177</v>
      </c>
      <c r="Z190" s="14">
        <f>ROUND(IF(Q190=1,INDEX(新属性投放!$D$14:$D$34,卡牌属性!R190),INDEX(新属性投放!$D$42:$D$62,卡牌属性!R190))*INDEX($G$5:$G$42,L190)/SQRT(INDEX($I$5:$I$42,L190)),2)</f>
        <v>478.03</v>
      </c>
      <c r="AA190" s="29" t="s">
        <v>178</v>
      </c>
      <c r="AB190" s="14">
        <f>ROUND(IF(Q190=1,INDEX(新属性投放!$E$14:$E$34,卡牌属性!R190),INDEX(新属性投放!$E$42:$E$62,卡牌属性!R190))*INDEX($G$5:$G$42,L190),2)</f>
        <v>239.02</v>
      </c>
      <c r="AC190" s="29" t="s">
        <v>179</v>
      </c>
      <c r="AD190" s="14">
        <f>ROUND(IF(Q190=1,INDEX(新属性投放!$F$14:$F$34,卡牌属性!R190),INDEX(新属性投放!$F$42:$F$62,卡牌属性!R190))*INDEX($G$5:$G$42,L190)*SQRT(INDEX($I$5:$I$42,L190)),2)</f>
        <v>1434.1</v>
      </c>
      <c r="AF190" s="14">
        <f t="shared" si="67"/>
        <v>4780</v>
      </c>
      <c r="AG190" s="14">
        <f t="shared" si="68"/>
        <v>2390</v>
      </c>
      <c r="AH190" s="14">
        <f t="shared" si="69"/>
        <v>14341</v>
      </c>
      <c r="AJ190" s="14">
        <f t="shared" si="79"/>
        <v>31747</v>
      </c>
      <c r="AK190" s="14">
        <f t="shared" si="80"/>
        <v>15870</v>
      </c>
      <c r="AL190" s="14">
        <f t="shared" si="81"/>
        <v>95259</v>
      </c>
    </row>
    <row r="191" spans="11:38" ht="16.5" x14ac:dyDescent="0.2">
      <c r="K191" s="13">
        <v>188</v>
      </c>
      <c r="L191" s="13">
        <f t="shared" si="61"/>
        <v>9</v>
      </c>
      <c r="M191" s="13">
        <f t="shared" si="62"/>
        <v>3</v>
      </c>
      <c r="N191" s="14">
        <f t="shared" si="63"/>
        <v>1101009</v>
      </c>
      <c r="O191" s="14" t="str">
        <f t="shared" si="64"/>
        <v>北落师门20突</v>
      </c>
      <c r="P191" s="29" t="s">
        <v>470</v>
      </c>
      <c r="Q191" s="14">
        <f t="shared" si="65"/>
        <v>1</v>
      </c>
      <c r="R191" s="14">
        <f t="shared" si="66"/>
        <v>20</v>
      </c>
      <c r="S191" s="14" t="s">
        <v>39</v>
      </c>
      <c r="T191" s="14">
        <f>ROUND(((IF(Q191=1,INDEX(新属性投放!$J$14:$J$34,卡牌属性!R191),INDEX(新属性投放!$J$42:$J$62,卡牌属性!R191)))*INDEX($G$5:$G$42,L191)+IF(Q191=1,INDEX(新属性投放!R$20:R$23,卡牌属性!M191-1),INDEX(新属性投放!R$25:R$28,卡牌属性!M191-1)))/SQRT(INDEX($I$5:$I$42,L191)),2)</f>
        <v>22159.27</v>
      </c>
      <c r="U191" s="29" t="s">
        <v>178</v>
      </c>
      <c r="V191" s="14">
        <f>ROUND((IF(Q191=1,INDEX(新属性投放!$K$14:$K$34,卡牌属性!R191),INDEX(新属性投放!$K$42:$K$62,卡牌属性!R191))+IF(Q191=1,INDEX(新属性投放!S$20:S$23,卡牌属性!M191-1),INDEX(新属性投放!S$25:S$28,卡牌属性!M191-1)))*INDEX($G$5:$G$42,L191),2)</f>
        <v>11012.08</v>
      </c>
      <c r="W191" s="29" t="s">
        <v>179</v>
      </c>
      <c r="X191" s="14">
        <f>ROUND((IF(Q191=1,INDEX(新属性投放!$L$14:$L$34,卡牌属性!R191),INDEX(新属性投放!$L$42:$L$62,卡牌属性!R191))*INDEX($G$5:$G$42,L191)+IF(Q191=1,INDEX(新属性投放!T$20:T$23,卡牌属性!M191-1),INDEX(新属性投放!T$25:T$28,卡牌属性!M191-1)))*SQRT(INDEX($I$5:$I$42,L191)),2)</f>
        <v>67057.8</v>
      </c>
      <c r="Y191" s="29" t="s">
        <v>177</v>
      </c>
      <c r="Z191" s="14">
        <f>ROUND(IF(Q191=1,INDEX(新属性投放!$D$14:$D$34,卡牌属性!R191),INDEX(新属性投放!$D$42:$D$62,卡牌属性!R191))*INDEX($G$5:$G$42,L191)/SQRT(INDEX($I$5:$I$42,L191)),2)</f>
        <v>552.74</v>
      </c>
      <c r="AA191" s="29" t="s">
        <v>178</v>
      </c>
      <c r="AB191" s="14">
        <f>ROUND(IF(Q191=1,INDEX(新属性投放!$E$14:$E$34,卡牌属性!R191),INDEX(新属性投放!$E$42:$E$62,卡牌属性!R191))*INDEX($G$5:$G$42,L191),2)</f>
        <v>276.37</v>
      </c>
      <c r="AC191" s="29" t="s">
        <v>179</v>
      </c>
      <c r="AD191" s="14">
        <f>ROUND(IF(Q191=1,INDEX(新属性投放!$F$14:$F$34,卡牌属性!R191),INDEX(新属性投放!$F$42:$F$62,卡牌属性!R191))*INDEX($G$5:$G$42,L191)*SQRT(INDEX($I$5:$I$42,L191)),2)</f>
        <v>1658.21</v>
      </c>
      <c r="AF191" s="14">
        <f t="shared" si="67"/>
        <v>5527</v>
      </c>
      <c r="AG191" s="14">
        <f t="shared" si="68"/>
        <v>2763</v>
      </c>
      <c r="AH191" s="14">
        <f t="shared" si="69"/>
        <v>16582</v>
      </c>
      <c r="AJ191" s="14">
        <f t="shared" si="79"/>
        <v>37274</v>
      </c>
      <c r="AK191" s="14">
        <f t="shared" si="80"/>
        <v>18633</v>
      </c>
      <c r="AL191" s="14">
        <f t="shared" si="81"/>
        <v>111841</v>
      </c>
    </row>
    <row r="192" spans="11:38" ht="16.5" x14ac:dyDescent="0.2">
      <c r="K192" s="13">
        <v>189</v>
      </c>
      <c r="L192" s="13">
        <f t="shared" si="61"/>
        <v>9</v>
      </c>
      <c r="M192" s="13">
        <f t="shared" si="62"/>
        <v>3</v>
      </c>
      <c r="N192" s="14">
        <f t="shared" si="63"/>
        <v>1101009</v>
      </c>
      <c r="O192" s="14" t="str">
        <f t="shared" si="64"/>
        <v>北落师门21突</v>
      </c>
      <c r="P192" s="29" t="s">
        <v>470</v>
      </c>
      <c r="Q192" s="14">
        <f t="shared" si="65"/>
        <v>1</v>
      </c>
      <c r="R192" s="14">
        <f t="shared" si="66"/>
        <v>21</v>
      </c>
      <c r="S192" s="14" t="s">
        <v>39</v>
      </c>
      <c r="T192" s="14">
        <f>ROUND(((IF(Q192=1,INDEX(新属性投放!$J$14:$J$34,卡牌属性!R192),INDEX(新属性投放!$J$42:$J$62,卡牌属性!R192)))*INDEX($G$5:$G$42,L192)+IF(Q192=1,INDEX(新属性投放!R$20:R$23,卡牌属性!M192-1),INDEX(新属性投放!R$25:R$28,卡牌属性!M192-1)))/SQRT(INDEX($I$5:$I$42,L192)),2)</f>
        <v>25614.1</v>
      </c>
      <c r="U192" s="29" t="s">
        <v>178</v>
      </c>
      <c r="V192" s="14">
        <f>ROUND((IF(Q192=1,INDEX(新属性投放!$K$14:$K$34,卡牌属性!R192),INDEX(新属性投放!$K$42:$K$62,卡牌属性!R192))+IF(Q192=1,INDEX(新属性投放!S$20:S$23,卡牌属性!M192-1),INDEX(新属性投放!S$25:S$28,卡牌属性!M192-1)))*INDEX($G$5:$G$42,L192),2)</f>
        <v>12738.92</v>
      </c>
      <c r="W192" s="29" t="s">
        <v>179</v>
      </c>
      <c r="X192" s="14">
        <f>ROUND((IF(Q192=1,INDEX(新属性投放!$L$14:$L$34,卡牌属性!R192),INDEX(新属性投放!$L$42:$L$62,卡牌属性!R192))*INDEX($G$5:$G$42,L192)+IF(Q192=1,INDEX(新属性投放!T$20:T$23,卡牌属性!M192-1),INDEX(新属性投放!T$25:T$28,卡牌属性!M192-1)))*SQRT(INDEX($I$5:$I$42,L192)),2)</f>
        <v>77422.289999999994</v>
      </c>
      <c r="Y192" s="29" t="s">
        <v>177</v>
      </c>
      <c r="Z192" s="14">
        <f>ROUND(IF(Q192=1,INDEX(新属性投放!$D$14:$D$34,卡牌属性!R192),INDEX(新属性投放!$D$42:$D$62,卡牌属性!R192))*INDEX($G$5:$G$42,L192)/SQRT(INDEX($I$5:$I$42,L192)),2)</f>
        <v>639.1</v>
      </c>
      <c r="AA192" s="29" t="s">
        <v>178</v>
      </c>
      <c r="AB192" s="14">
        <f>ROUND(IF(Q192=1,INDEX(新属性投放!$E$14:$E$34,卡牌属性!R192),INDEX(新属性投放!$E$42:$E$62,卡牌属性!R192))*INDEX($G$5:$G$42,L192),2)</f>
        <v>319.55</v>
      </c>
      <c r="AC192" s="29" t="s">
        <v>179</v>
      </c>
      <c r="AD192" s="14">
        <f>ROUND(IF(Q192=1,INDEX(新属性投放!$F$14:$F$34,卡牌属性!R192),INDEX(新属性投放!$F$42:$F$62,卡牌属性!R192))*INDEX($G$5:$G$42,L192)*SQRT(INDEX($I$5:$I$42,L192)),2)</f>
        <v>1917.3</v>
      </c>
      <c r="AF192" s="14">
        <f t="shared" si="67"/>
        <v>6391</v>
      </c>
      <c r="AG192" s="14">
        <f t="shared" si="68"/>
        <v>3195</v>
      </c>
      <c r="AH192" s="14">
        <f t="shared" si="69"/>
        <v>19173</v>
      </c>
      <c r="AJ192" s="14">
        <f t="shared" si="79"/>
        <v>43665</v>
      </c>
      <c r="AK192" s="14">
        <f t="shared" si="80"/>
        <v>21828</v>
      </c>
      <c r="AL192" s="14">
        <f t="shared" si="81"/>
        <v>131014</v>
      </c>
    </row>
    <row r="193" spans="11:38" ht="16.5" x14ac:dyDescent="0.2">
      <c r="K193" s="13">
        <v>190</v>
      </c>
      <c r="L193" s="13">
        <f t="shared" si="61"/>
        <v>10</v>
      </c>
      <c r="M193" s="13">
        <f t="shared" si="62"/>
        <v>4</v>
      </c>
      <c r="N193" s="14">
        <f t="shared" si="63"/>
        <v>1101010</v>
      </c>
      <c r="O193" s="14" t="str">
        <f t="shared" si="64"/>
        <v>盖文1突</v>
      </c>
      <c r="P193" s="29" t="s">
        <v>470</v>
      </c>
      <c r="Q193" s="14">
        <f t="shared" si="65"/>
        <v>1</v>
      </c>
      <c r="R193" s="14">
        <f t="shared" si="66"/>
        <v>1</v>
      </c>
      <c r="S193" s="14" t="s">
        <v>39</v>
      </c>
      <c r="T193" s="14">
        <f>ROUND(((IF(Q193=1,INDEX(新属性投放!$J$14:$J$34,卡牌属性!R193),INDEX(新属性投放!$J$42:$J$62,卡牌属性!R193)))*INDEX($G$5:$G$42,L193)+IF(Q193=1,INDEX(新属性投放!R$20:R$23,卡牌属性!M193-1),INDEX(新属性投放!R$25:R$28,卡牌属性!M193-1)))/SQRT(INDEX($I$5:$I$42,L193)),2)</f>
        <v>230</v>
      </c>
      <c r="U193" s="29" t="s">
        <v>178</v>
      </c>
      <c r="V193" s="14">
        <f>ROUND((IF(Q193=1,INDEX(新属性投放!$K$14:$K$34,卡牌属性!R193),INDEX(新属性投放!$K$42:$K$62,卡牌属性!R193))+IF(Q193=1,INDEX(新属性投放!S$20:S$23,卡牌属性!M193-1),INDEX(新属性投放!S$25:S$28,卡牌属性!M193-1)))*INDEX($G$5:$G$42,L193),2)</f>
        <v>0</v>
      </c>
      <c r="W193" s="29" t="s">
        <v>179</v>
      </c>
      <c r="X193" s="14">
        <f>ROUND((IF(Q193=1,INDEX(新属性投放!$L$14:$L$34,卡牌属性!R193),INDEX(新属性投放!$L$42:$L$62,卡牌属性!R193))*INDEX($G$5:$G$42,L193)+IF(Q193=1,INDEX(新属性投放!T$20:T$23,卡牌属性!M193-1),INDEX(新属性投放!T$25:T$28,卡牌属性!M193-1)))*SQRT(INDEX($I$5:$I$42,L193)),2)</f>
        <v>1150</v>
      </c>
      <c r="Y193" s="29" t="s">
        <v>177</v>
      </c>
      <c r="Z193" s="14">
        <f>ROUND(IF(Q193=1,INDEX(新属性投放!$D$14:$D$34,卡牌属性!R193),INDEX(新属性投放!$D$42:$D$62,卡牌属性!R193))*INDEX($G$5:$G$42,L193)/SQRT(INDEX($I$5:$I$42,L193)),2)</f>
        <v>19.5</v>
      </c>
      <c r="AA193" s="29" t="s">
        <v>178</v>
      </c>
      <c r="AB193" s="14">
        <f>ROUND(IF(Q193=1,INDEX(新属性投放!$E$14:$E$34,卡牌属性!R193),INDEX(新属性投放!$E$42:$E$62,卡牌属性!R193))*INDEX($G$5:$G$42,L193),2)</f>
        <v>9.75</v>
      </c>
      <c r="AC193" s="29" t="s">
        <v>179</v>
      </c>
      <c r="AD193" s="14">
        <f>ROUND(IF(Q193=1,INDEX(新属性投放!$F$14:$F$34,卡牌属性!R193),INDEX(新属性投放!$F$42:$F$62,卡牌属性!R193))*INDEX($G$5:$G$42,L193)*SQRT(INDEX($I$5:$I$42,L193)),2)</f>
        <v>58.5</v>
      </c>
      <c r="AF193" s="14">
        <f t="shared" si="67"/>
        <v>195</v>
      </c>
      <c r="AG193" s="14">
        <f t="shared" si="68"/>
        <v>97</v>
      </c>
      <c r="AH193" s="14">
        <f t="shared" si="69"/>
        <v>585</v>
      </c>
      <c r="AJ193" s="14">
        <f t="shared" ref="AJ193" si="82">AF193</f>
        <v>195</v>
      </c>
      <c r="AK193" s="14">
        <f t="shared" ref="AK193" si="83">AG193</f>
        <v>97</v>
      </c>
      <c r="AL193" s="14">
        <f t="shared" ref="AL193" si="84">AH193</f>
        <v>585</v>
      </c>
    </row>
    <row r="194" spans="11:38" ht="16.5" x14ac:dyDescent="0.2">
      <c r="K194" s="13">
        <v>191</v>
      </c>
      <c r="L194" s="13">
        <f t="shared" si="61"/>
        <v>10</v>
      </c>
      <c r="M194" s="13">
        <f t="shared" si="62"/>
        <v>4</v>
      </c>
      <c r="N194" s="14">
        <f t="shared" si="63"/>
        <v>1101010</v>
      </c>
      <c r="O194" s="14" t="str">
        <f t="shared" si="64"/>
        <v>盖文2突</v>
      </c>
      <c r="P194" s="29" t="s">
        <v>470</v>
      </c>
      <c r="Q194" s="14">
        <f t="shared" si="65"/>
        <v>1</v>
      </c>
      <c r="R194" s="14">
        <f t="shared" si="66"/>
        <v>2</v>
      </c>
      <c r="S194" s="14" t="s">
        <v>39</v>
      </c>
      <c r="T194" s="14">
        <f>ROUND(((IF(Q194=1,INDEX(新属性投放!$J$14:$J$34,卡牌属性!R194),INDEX(新属性投放!$J$42:$J$62,卡牌属性!R194)))*INDEX($G$5:$G$42,L194)+IF(Q194=1,INDEX(新属性投放!R$20:R$23,卡牌属性!M194-1),INDEX(新属性投放!R$25:R$28,卡牌属性!M194-1)))/SQRT(INDEX($I$5:$I$42,L194)),2)</f>
        <v>418.5</v>
      </c>
      <c r="U194" s="29" t="s">
        <v>178</v>
      </c>
      <c r="V194" s="14">
        <f>ROUND((IF(Q194=1,INDEX(新属性投放!$K$14:$K$34,卡牌属性!R194),INDEX(新属性投放!$K$42:$K$62,卡牌属性!R194))+IF(Q194=1,INDEX(新属性投放!S$20:S$23,卡牌属性!M194-1),INDEX(新属性投放!S$25:S$28,卡牌属性!M194-1)))*INDEX($G$5:$G$42,L194),2)</f>
        <v>109.85</v>
      </c>
      <c r="W194" s="29" t="s">
        <v>179</v>
      </c>
      <c r="X194" s="14">
        <f>ROUND((IF(Q194=1,INDEX(新属性投放!$L$14:$L$34,卡牌属性!R194),INDEX(新属性投放!$L$42:$L$62,卡牌属性!R194))*INDEX($G$5:$G$42,L194)+IF(Q194=1,INDEX(新属性投放!T$20:T$23,卡牌属性!M194-1),INDEX(新属性投放!T$25:T$28,卡牌属性!M194-1)))*SQRT(INDEX($I$5:$I$42,L194)),2)</f>
        <v>1715.5</v>
      </c>
      <c r="Y194" s="29" t="s">
        <v>177</v>
      </c>
      <c r="Z194" s="14">
        <f>ROUND(IF(Q194=1,INDEX(新属性投放!$D$14:$D$34,卡牌属性!R194),INDEX(新属性投放!$D$42:$D$62,卡牌属性!R194))*INDEX($G$5:$G$42,L194)/SQRT(INDEX($I$5:$I$42,L194)),2)</f>
        <v>17.899999999999999</v>
      </c>
      <c r="AA194" s="29" t="s">
        <v>178</v>
      </c>
      <c r="AB194" s="14">
        <f>ROUND(IF(Q194=1,INDEX(新属性投放!$E$14:$E$34,卡牌属性!R194),INDEX(新属性投放!$E$42:$E$62,卡牌属性!R194))*INDEX($G$5:$G$42,L194),2)</f>
        <v>8.9499999999999993</v>
      </c>
      <c r="AC194" s="29" t="s">
        <v>179</v>
      </c>
      <c r="AD194" s="14">
        <f>ROUND(IF(Q194=1,INDEX(新属性投放!$F$14:$F$34,卡牌属性!R194),INDEX(新属性投放!$F$42:$F$62,卡牌属性!R194))*INDEX($G$5:$G$42,L194)*SQRT(INDEX($I$5:$I$42,L194)),2)</f>
        <v>53.7</v>
      </c>
      <c r="AF194" s="14">
        <f t="shared" si="67"/>
        <v>179</v>
      </c>
      <c r="AG194" s="14">
        <f t="shared" si="68"/>
        <v>89</v>
      </c>
      <c r="AH194" s="14">
        <f t="shared" si="69"/>
        <v>537</v>
      </c>
      <c r="AJ194" s="14">
        <f t="shared" ref="AJ194:AJ213" si="85">AJ193+AF194</f>
        <v>374</v>
      </c>
      <c r="AK194" s="14">
        <f t="shared" ref="AK194:AK213" si="86">AK193+AG194</f>
        <v>186</v>
      </c>
      <c r="AL194" s="14">
        <f t="shared" ref="AL194:AL213" si="87">AL193+AH194</f>
        <v>1122</v>
      </c>
    </row>
    <row r="195" spans="11:38" ht="16.5" x14ac:dyDescent="0.2">
      <c r="K195" s="13">
        <v>192</v>
      </c>
      <c r="L195" s="13">
        <f t="shared" si="61"/>
        <v>10</v>
      </c>
      <c r="M195" s="13">
        <f t="shared" si="62"/>
        <v>4</v>
      </c>
      <c r="N195" s="14">
        <f t="shared" si="63"/>
        <v>1101010</v>
      </c>
      <c r="O195" s="14" t="str">
        <f t="shared" si="64"/>
        <v>盖文3突</v>
      </c>
      <c r="P195" s="29" t="s">
        <v>470</v>
      </c>
      <c r="Q195" s="14">
        <f t="shared" si="65"/>
        <v>1</v>
      </c>
      <c r="R195" s="14">
        <f t="shared" si="66"/>
        <v>3</v>
      </c>
      <c r="S195" s="14" t="s">
        <v>39</v>
      </c>
      <c r="T195" s="14">
        <f>ROUND(((IF(Q195=1,INDEX(新属性投放!$J$14:$J$34,卡牌属性!R195),INDEX(新属性投放!$J$42:$J$62,卡牌属性!R195)))*INDEX($G$5:$G$42,L195)+IF(Q195=1,INDEX(新属性投放!R$20:R$23,卡牌属性!M195-1),INDEX(新属性投放!R$25:R$28,卡牌属性!M195-1)))/SQRT(INDEX($I$5:$I$42,L195)),2)</f>
        <v>641.71</v>
      </c>
      <c r="U195" s="29" t="s">
        <v>178</v>
      </c>
      <c r="V195" s="14">
        <f>ROUND((IF(Q195=1,INDEX(新属性投放!$K$14:$K$34,卡牌属性!R195),INDEX(新属性投放!$K$42:$K$62,卡牌属性!R195))+IF(Q195=1,INDEX(新属性投放!S$20:S$23,卡牌属性!M195-1),INDEX(新属性投放!S$25:S$28,卡牌属性!M195-1)))*INDEX($G$5:$G$42,L195),2)</f>
        <v>221.46</v>
      </c>
      <c r="W195" s="29" t="s">
        <v>179</v>
      </c>
      <c r="X195" s="14">
        <f>ROUND((IF(Q195=1,INDEX(新属性投放!$L$14:$L$34,卡牌属性!R195),INDEX(新属性投放!$L$42:$L$62,卡牌属性!R195))*INDEX($G$5:$G$42,L195)+IF(Q195=1,INDEX(新属性投放!T$20:T$23,卡牌属性!M195-1),INDEX(新属性投放!T$25:T$28,卡牌属性!M195-1)))*SQRT(INDEX($I$5:$I$42,L195)),2)</f>
        <v>2385.13</v>
      </c>
      <c r="Y195" s="29" t="s">
        <v>177</v>
      </c>
      <c r="Z195" s="14">
        <f>ROUND(IF(Q195=1,INDEX(新属性投放!$D$14:$D$34,卡牌属性!R195),INDEX(新属性投放!$D$42:$D$62,卡牌属性!R195))*INDEX($G$5:$G$42,L195)/SQRT(INDEX($I$5:$I$42,L195)),2)</f>
        <v>32.72</v>
      </c>
      <c r="AA195" s="29" t="s">
        <v>178</v>
      </c>
      <c r="AB195" s="14">
        <f>ROUND(IF(Q195=1,INDEX(新属性投放!$E$14:$E$34,卡牌属性!R195),INDEX(新属性投放!$E$42:$E$62,卡牌属性!R195))*INDEX($G$5:$G$42,L195),2)</f>
        <v>16.36</v>
      </c>
      <c r="AC195" s="29" t="s">
        <v>179</v>
      </c>
      <c r="AD195" s="14">
        <f>ROUND(IF(Q195=1,INDEX(新属性投放!$F$14:$F$34,卡牌属性!R195),INDEX(新属性投放!$F$42:$F$62,卡牌属性!R195))*INDEX($G$5:$G$42,L195)*SQRT(INDEX($I$5:$I$42,L195)),2)</f>
        <v>98.16</v>
      </c>
      <c r="AF195" s="14">
        <f t="shared" si="67"/>
        <v>327</v>
      </c>
      <c r="AG195" s="14">
        <f t="shared" si="68"/>
        <v>163</v>
      </c>
      <c r="AH195" s="14">
        <f t="shared" si="69"/>
        <v>981</v>
      </c>
      <c r="AJ195" s="14">
        <f t="shared" si="85"/>
        <v>701</v>
      </c>
      <c r="AK195" s="14">
        <f t="shared" si="86"/>
        <v>349</v>
      </c>
      <c r="AL195" s="14">
        <f t="shared" si="87"/>
        <v>2103</v>
      </c>
    </row>
    <row r="196" spans="11:38" ht="16.5" x14ac:dyDescent="0.2">
      <c r="K196" s="13">
        <v>193</v>
      </c>
      <c r="L196" s="13">
        <f t="shared" si="61"/>
        <v>10</v>
      </c>
      <c r="M196" s="13">
        <f t="shared" si="62"/>
        <v>4</v>
      </c>
      <c r="N196" s="14">
        <f t="shared" si="63"/>
        <v>1101010</v>
      </c>
      <c r="O196" s="14" t="str">
        <f t="shared" si="64"/>
        <v>盖文4突</v>
      </c>
      <c r="P196" s="29" t="s">
        <v>470</v>
      </c>
      <c r="Q196" s="14">
        <f t="shared" si="65"/>
        <v>1</v>
      </c>
      <c r="R196" s="14">
        <f t="shared" si="66"/>
        <v>4</v>
      </c>
      <c r="S196" s="14" t="s">
        <v>39</v>
      </c>
      <c r="T196" s="14">
        <f>ROUND(((IF(Q196=1,INDEX(新属性投放!$J$14:$J$34,卡牌属性!R196),INDEX(新属性投放!$J$42:$J$62,卡牌属性!R196)))*INDEX($G$5:$G$42,L196)+IF(Q196=1,INDEX(新属性投放!R$20:R$23,卡牌属性!M196-1),INDEX(新属性投放!R$25:R$28,卡牌属性!M196-1)))/SQRT(INDEX($I$5:$I$42,L196)),2)</f>
        <v>1050.82</v>
      </c>
      <c r="U196" s="29" t="s">
        <v>178</v>
      </c>
      <c r="V196" s="14">
        <f>ROUND((IF(Q196=1,INDEX(新属性投放!$K$14:$K$34,卡牌属性!R196),INDEX(新属性投放!$K$42:$K$62,卡牌属性!R196))+IF(Q196=1,INDEX(新属性投放!S$20:S$23,卡牌属性!M196-1),INDEX(新属性投放!S$25:S$28,卡牌属性!M196-1)))*INDEX($G$5:$G$42,L196),2)</f>
        <v>425.36</v>
      </c>
      <c r="W196" s="29" t="s">
        <v>179</v>
      </c>
      <c r="X196" s="14">
        <f>ROUND((IF(Q196=1,INDEX(新属性投放!$L$14:$L$34,卡牌属性!R196),INDEX(新属性投放!$L$42:$L$62,卡牌属性!R196))*INDEX($G$5:$G$42,L196)+IF(Q196=1,INDEX(新属性投放!T$20:T$23,卡牌属性!M196-1),INDEX(新属性投放!T$25:T$28,卡牌属性!M196-1)))*SQRT(INDEX($I$5:$I$42,L196)),2)</f>
        <v>3612.46</v>
      </c>
      <c r="Y196" s="29" t="s">
        <v>177</v>
      </c>
      <c r="Z196" s="14">
        <f>ROUND(IF(Q196=1,INDEX(新属性投放!$D$14:$D$34,卡牌属性!R196),INDEX(新属性投放!$D$42:$D$62,卡牌属性!R196))*INDEX($G$5:$G$42,L196)/SQRT(INDEX($I$5:$I$42,L196)),2)</f>
        <v>39.17</v>
      </c>
      <c r="AA196" s="29" t="s">
        <v>178</v>
      </c>
      <c r="AB196" s="14">
        <f>ROUND(IF(Q196=1,INDEX(新属性投放!$E$14:$E$34,卡牌属性!R196),INDEX(新属性投放!$E$42:$E$62,卡牌属性!R196))*INDEX($G$5:$G$42,L196),2)</f>
        <v>19.579999999999998</v>
      </c>
      <c r="AC196" s="29" t="s">
        <v>179</v>
      </c>
      <c r="AD196" s="14">
        <f>ROUND(IF(Q196=1,INDEX(新属性投放!$F$14:$F$34,卡牌属性!R196),INDEX(新属性投放!$F$42:$F$62,卡牌属性!R196))*INDEX($G$5:$G$42,L196)*SQRT(INDEX($I$5:$I$42,L196)),2)</f>
        <v>117.51</v>
      </c>
      <c r="AF196" s="14">
        <f t="shared" si="67"/>
        <v>391</v>
      </c>
      <c r="AG196" s="14">
        <f t="shared" si="68"/>
        <v>195</v>
      </c>
      <c r="AH196" s="14">
        <f t="shared" si="69"/>
        <v>1175</v>
      </c>
      <c r="AJ196" s="14">
        <f t="shared" si="85"/>
        <v>1092</v>
      </c>
      <c r="AK196" s="14">
        <f t="shared" si="86"/>
        <v>544</v>
      </c>
      <c r="AL196" s="14">
        <f t="shared" si="87"/>
        <v>3278</v>
      </c>
    </row>
    <row r="197" spans="11:38" ht="16.5" x14ac:dyDescent="0.2">
      <c r="K197" s="13">
        <v>194</v>
      </c>
      <c r="L197" s="13">
        <f t="shared" ref="L197:L260" si="88">MATCH(K197-1,$F$4:$F$41,1)</f>
        <v>10</v>
      </c>
      <c r="M197" s="13">
        <f t="shared" ref="M197:M260" si="89">INDEX($D$5:$D$42,L197)</f>
        <v>4</v>
      </c>
      <c r="N197" s="14">
        <f t="shared" ref="N197:N260" si="90">INDEX($A$4:$A$42,L197+1)</f>
        <v>1101010</v>
      </c>
      <c r="O197" s="14" t="str">
        <f t="shared" ref="O197:O260" si="91">INDEX($B$4:$B$42,MATCH(N197,$A$4:$A$42,0))&amp;R197&amp;"突"</f>
        <v>盖文5突</v>
      </c>
      <c r="P197" s="29" t="s">
        <v>470</v>
      </c>
      <c r="Q197" s="14">
        <f t="shared" ref="Q197:Q260" si="92">INDEX($C$4:$C$42,L197+1)</f>
        <v>1</v>
      </c>
      <c r="R197" s="14">
        <f t="shared" ref="R197:R260" si="93">K197-INDEX($F$4:$F$42,L197)</f>
        <v>5</v>
      </c>
      <c r="S197" s="14" t="s">
        <v>39</v>
      </c>
      <c r="T197" s="14">
        <f>ROUND(((IF(Q197=1,INDEX(新属性投放!$J$14:$J$34,卡牌属性!R197),INDEX(新属性投放!$J$42:$J$62,卡牌属性!R197)))*INDEX($G$5:$G$42,L197)+IF(Q197=1,INDEX(新属性投放!R$20:R$23,卡牌属性!M197-1),INDEX(新属性投放!R$25:R$28,卡牌属性!M197-1)))/SQRT(INDEX($I$5:$I$42,L197)),2)</f>
        <v>1540.01</v>
      </c>
      <c r="U197" s="29" t="s">
        <v>178</v>
      </c>
      <c r="V197" s="14">
        <f>ROUND((IF(Q197=1,INDEX(新属性投放!$K$14:$K$34,卡牌属性!R197),INDEX(新属性投放!$K$42:$K$62,卡牌属性!R197))+IF(Q197=1,INDEX(新属性投放!S$20:S$23,卡牌属性!M197-1),INDEX(新属性投放!S$25:S$28,卡牌属性!M197-1)))*INDEX($G$5:$G$42,L197),2)</f>
        <v>670.61</v>
      </c>
      <c r="W197" s="29" t="s">
        <v>179</v>
      </c>
      <c r="X197" s="14">
        <f>ROUND((IF(Q197=1,INDEX(新属性投放!$L$14:$L$34,卡牌属性!R197),INDEX(新属性投放!$L$42:$L$62,卡牌属性!R197))*INDEX($G$5:$G$42,L197)+IF(Q197=1,INDEX(新属性投放!T$20:T$23,卡牌属性!M197-1),INDEX(新属性投放!T$25:T$28,卡牌属性!M197-1)))*SQRT(INDEX($I$5:$I$42,L197)),2)</f>
        <v>5080.03</v>
      </c>
      <c r="Y197" s="29" t="s">
        <v>177</v>
      </c>
      <c r="Z197" s="14">
        <f>ROUND(IF(Q197=1,INDEX(新属性投放!$D$14:$D$34,卡牌属性!R197),INDEX(新属性投放!$D$42:$D$62,卡牌属性!R197))*INDEX($G$5:$G$42,L197)/SQRT(INDEX($I$5:$I$42,L197)),2)</f>
        <v>48.96</v>
      </c>
      <c r="AA197" s="29" t="s">
        <v>178</v>
      </c>
      <c r="AB197" s="14">
        <f>ROUND(IF(Q197=1,INDEX(新属性投放!$E$14:$E$34,卡牌属性!R197),INDEX(新属性投放!$E$42:$E$62,卡牌属性!R197))*INDEX($G$5:$G$42,L197),2)</f>
        <v>24.48</v>
      </c>
      <c r="AC197" s="29" t="s">
        <v>179</v>
      </c>
      <c r="AD197" s="14">
        <f>ROUND(IF(Q197=1,INDEX(新属性投放!$F$14:$F$34,卡牌属性!R197),INDEX(新属性投放!$F$42:$F$62,卡牌属性!R197))*INDEX($G$5:$G$42,L197)*SQRT(INDEX($I$5:$I$42,L197)),2)</f>
        <v>146.87</v>
      </c>
      <c r="AF197" s="14">
        <f t="shared" ref="AF197:AF260" si="94">INT(Z197*AF$2*10)</f>
        <v>489</v>
      </c>
      <c r="AG197" s="14">
        <f t="shared" ref="AG197:AG260" si="95">INT(AB197*AF$2*10)</f>
        <v>244</v>
      </c>
      <c r="AH197" s="14">
        <f t="shared" ref="AH197:AH260" si="96">INT(AD197*AF$2*10)</f>
        <v>1468</v>
      </c>
      <c r="AJ197" s="14">
        <f t="shared" si="85"/>
        <v>1581</v>
      </c>
      <c r="AK197" s="14">
        <f t="shared" si="86"/>
        <v>788</v>
      </c>
      <c r="AL197" s="14">
        <f t="shared" si="87"/>
        <v>4746</v>
      </c>
    </row>
    <row r="198" spans="11:38" ht="16.5" x14ac:dyDescent="0.2">
      <c r="K198" s="13">
        <v>195</v>
      </c>
      <c r="L198" s="13">
        <f t="shared" si="88"/>
        <v>10</v>
      </c>
      <c r="M198" s="13">
        <f t="shared" si="89"/>
        <v>4</v>
      </c>
      <c r="N198" s="14">
        <f t="shared" si="90"/>
        <v>1101010</v>
      </c>
      <c r="O198" s="14" t="str">
        <f t="shared" si="91"/>
        <v>盖文6突</v>
      </c>
      <c r="P198" s="29" t="s">
        <v>470</v>
      </c>
      <c r="Q198" s="14">
        <f t="shared" si="92"/>
        <v>1</v>
      </c>
      <c r="R198" s="14">
        <f t="shared" si="93"/>
        <v>6</v>
      </c>
      <c r="S198" s="14" t="s">
        <v>39</v>
      </c>
      <c r="T198" s="14">
        <f>ROUND(((IF(Q198=1,INDEX(新属性投放!$J$14:$J$34,卡牌属性!R198),INDEX(新属性投放!$J$42:$J$62,卡牌属性!R198)))*INDEX($G$5:$G$42,L198)+IF(Q198=1,INDEX(新属性投放!R$20:R$23,卡牌属性!M198-1),INDEX(新属性投放!R$25:R$28,卡牌属性!M198-1)))/SQRT(INDEX($I$5:$I$42,L198)),2)</f>
        <v>2151.79</v>
      </c>
      <c r="U198" s="29" t="s">
        <v>178</v>
      </c>
      <c r="V198" s="14">
        <f>ROUND((IF(Q198=1,INDEX(新属性投放!$K$14:$K$34,卡牌属性!R198),INDEX(新属性投放!$K$42:$K$62,卡牌属性!R198))+IF(Q198=1,INDEX(新属性投放!S$20:S$23,卡牌属性!M198-1),INDEX(新属性投放!S$25:S$28,卡牌属性!M198-1)))*INDEX($G$5:$G$42,L198),2)</f>
        <v>976.5</v>
      </c>
      <c r="W198" s="29" t="s">
        <v>179</v>
      </c>
      <c r="X198" s="14">
        <f>ROUND((IF(Q198=1,INDEX(新属性投放!$L$14:$L$34,卡牌属性!R198),INDEX(新属性投放!$L$42:$L$62,卡牌属性!R198))*INDEX($G$5:$G$42,L198)+IF(Q198=1,INDEX(新属性投放!T$20:T$23,卡牌属性!M198-1),INDEX(新属性投放!T$25:T$28,卡牌属性!M198-1)))*SQRT(INDEX($I$5:$I$42,L198)),2)</f>
        <v>6915.37</v>
      </c>
      <c r="Y198" s="29" t="s">
        <v>177</v>
      </c>
      <c r="Z198" s="14">
        <f>ROUND(IF(Q198=1,INDEX(新属性投放!$D$14:$D$34,卡牌属性!R198),INDEX(新属性投放!$D$42:$D$62,卡牌属性!R198))*INDEX($G$5:$G$42,L198)/SQRT(INDEX($I$5:$I$42,L198)),2)</f>
        <v>63.51</v>
      </c>
      <c r="AA198" s="29" t="s">
        <v>178</v>
      </c>
      <c r="AB198" s="14">
        <f>ROUND(IF(Q198=1,INDEX(新属性投放!$E$14:$E$34,卡牌属性!R198),INDEX(新属性投放!$E$42:$E$62,卡牌属性!R198))*INDEX($G$5:$G$42,L198),2)</f>
        <v>31.75</v>
      </c>
      <c r="AC198" s="29" t="s">
        <v>179</v>
      </c>
      <c r="AD198" s="14">
        <f>ROUND(IF(Q198=1,INDEX(新属性投放!$F$14:$F$34,卡牌属性!R198),INDEX(新属性投放!$F$42:$F$62,卡牌属性!R198))*INDEX($G$5:$G$42,L198)*SQRT(INDEX($I$5:$I$42,L198)),2)</f>
        <v>190.52</v>
      </c>
      <c r="AF198" s="14">
        <f t="shared" si="94"/>
        <v>635</v>
      </c>
      <c r="AG198" s="14">
        <f t="shared" si="95"/>
        <v>317</v>
      </c>
      <c r="AH198" s="14">
        <f t="shared" si="96"/>
        <v>1905</v>
      </c>
      <c r="AJ198" s="14">
        <f t="shared" si="85"/>
        <v>2216</v>
      </c>
      <c r="AK198" s="14">
        <f t="shared" si="86"/>
        <v>1105</v>
      </c>
      <c r="AL198" s="14">
        <f t="shared" si="87"/>
        <v>6651</v>
      </c>
    </row>
    <row r="199" spans="11:38" ht="16.5" x14ac:dyDescent="0.2">
      <c r="K199" s="13">
        <v>196</v>
      </c>
      <c r="L199" s="13">
        <f t="shared" si="88"/>
        <v>10</v>
      </c>
      <c r="M199" s="13">
        <f t="shared" si="89"/>
        <v>4</v>
      </c>
      <c r="N199" s="14">
        <f t="shared" si="90"/>
        <v>1101010</v>
      </c>
      <c r="O199" s="14" t="str">
        <f t="shared" si="91"/>
        <v>盖文7突</v>
      </c>
      <c r="P199" s="29" t="s">
        <v>470</v>
      </c>
      <c r="Q199" s="14">
        <f t="shared" si="92"/>
        <v>1</v>
      </c>
      <c r="R199" s="14">
        <f t="shared" si="93"/>
        <v>7</v>
      </c>
      <c r="S199" s="14" t="s">
        <v>39</v>
      </c>
      <c r="T199" s="14">
        <f>ROUND(((IF(Q199=1,INDEX(新属性投放!$J$14:$J$34,卡牌属性!R199),INDEX(新属性投放!$J$42:$J$62,卡牌属性!R199)))*INDEX($G$5:$G$42,L199)+IF(Q199=1,INDEX(新属性投放!R$20:R$23,卡牌属性!M199-1),INDEX(新属性投放!R$25:R$28,卡牌属性!M199-1)))/SQRT(INDEX($I$5:$I$42,L199)),2)</f>
        <v>2945.44</v>
      </c>
      <c r="U199" s="29" t="s">
        <v>178</v>
      </c>
      <c r="V199" s="14">
        <f>ROUND((IF(Q199=1,INDEX(新属性投放!$K$14:$K$34,卡牌属性!R199),INDEX(新属性投放!$K$42:$K$62,卡牌属性!R199))+IF(Q199=1,INDEX(新属性投放!S$20:S$23,卡牌属性!M199-1),INDEX(新属性投放!S$25:S$28,卡牌属性!M199-1)))*INDEX($G$5:$G$42,L199),2)</f>
        <v>1373.32</v>
      </c>
      <c r="W199" s="29" t="s">
        <v>179</v>
      </c>
      <c r="X199" s="14">
        <f>ROUND((IF(Q199=1,INDEX(新属性投放!$L$14:$L$34,卡牌属性!R199),INDEX(新属性投放!$L$42:$L$62,卡牌属性!R199))*INDEX($G$5:$G$42,L199)+IF(Q199=1,INDEX(新属性投放!T$20:T$23,卡牌属性!M199-1),INDEX(新属性投放!T$25:T$28,卡牌属性!M199-1)))*SQRT(INDEX($I$5:$I$42,L199)),2)</f>
        <v>9296.32</v>
      </c>
      <c r="Y199" s="29" t="s">
        <v>177</v>
      </c>
      <c r="Z199" s="14">
        <f>ROUND(IF(Q199=1,INDEX(新属性投放!$D$14:$D$34,卡牌属性!R199),INDEX(新属性投放!$D$42:$D$62,卡牌属性!R199))*INDEX($G$5:$G$42,L199)/SQRT(INDEX($I$5:$I$42,L199)),2)</f>
        <v>78.25</v>
      </c>
      <c r="AA199" s="29" t="s">
        <v>178</v>
      </c>
      <c r="AB199" s="14">
        <f>ROUND(IF(Q199=1,INDEX(新属性投放!$E$14:$E$34,卡牌属性!R199),INDEX(新属性投放!$E$42:$E$62,卡牌属性!R199))*INDEX($G$5:$G$42,L199),2)</f>
        <v>39.119999999999997</v>
      </c>
      <c r="AC199" s="29" t="s">
        <v>179</v>
      </c>
      <c r="AD199" s="14">
        <f>ROUND(IF(Q199=1,INDEX(新属性投放!$F$14:$F$34,卡牌属性!R199),INDEX(新属性投放!$F$42:$F$62,卡牌属性!R199))*INDEX($G$5:$G$42,L199)*SQRT(INDEX($I$5:$I$42,L199)),2)</f>
        <v>234.74</v>
      </c>
      <c r="AF199" s="14">
        <f t="shared" si="94"/>
        <v>782</v>
      </c>
      <c r="AG199" s="14">
        <f t="shared" si="95"/>
        <v>391</v>
      </c>
      <c r="AH199" s="14">
        <f t="shared" si="96"/>
        <v>2347</v>
      </c>
      <c r="AJ199" s="14">
        <f t="shared" si="85"/>
        <v>2998</v>
      </c>
      <c r="AK199" s="14">
        <f t="shared" si="86"/>
        <v>1496</v>
      </c>
      <c r="AL199" s="14">
        <f t="shared" si="87"/>
        <v>8998</v>
      </c>
    </row>
    <row r="200" spans="11:38" ht="16.5" x14ac:dyDescent="0.2">
      <c r="K200" s="13">
        <v>197</v>
      </c>
      <c r="L200" s="13">
        <f t="shared" si="88"/>
        <v>10</v>
      </c>
      <c r="M200" s="13">
        <f t="shared" si="89"/>
        <v>4</v>
      </c>
      <c r="N200" s="14">
        <f t="shared" si="90"/>
        <v>1101010</v>
      </c>
      <c r="O200" s="14" t="str">
        <f t="shared" si="91"/>
        <v>盖文8突</v>
      </c>
      <c r="P200" s="29" t="s">
        <v>470</v>
      </c>
      <c r="Q200" s="14">
        <f t="shared" si="92"/>
        <v>1</v>
      </c>
      <c r="R200" s="14">
        <f t="shared" si="93"/>
        <v>8</v>
      </c>
      <c r="S200" s="14" t="s">
        <v>39</v>
      </c>
      <c r="T200" s="14">
        <f>ROUND(((IF(Q200=1,INDEX(新属性投放!$J$14:$J$34,卡牌属性!R200),INDEX(新属性投放!$J$42:$J$62,卡牌属性!R200)))*INDEX($G$5:$G$42,L200)+IF(Q200=1,INDEX(新属性投放!R$20:R$23,卡牌属性!M200-1),INDEX(新属性投放!R$25:R$28,卡牌属性!M200-1)))/SQRT(INDEX($I$5:$I$42,L200)),2)</f>
        <v>3922.91</v>
      </c>
      <c r="U200" s="29" t="s">
        <v>178</v>
      </c>
      <c r="V200" s="14">
        <f>ROUND((IF(Q200=1,INDEX(新属性投放!$K$14:$K$34,卡牌属性!R200),INDEX(新属性投放!$K$42:$K$62,卡牌属性!R200))+IF(Q200=1,INDEX(新属性投放!S$20:S$23,卡牌属性!M200-1),INDEX(新属性投放!S$25:S$28,卡牌属性!M200-1)))*INDEX($G$5:$G$42,L200),2)</f>
        <v>1862.06</v>
      </c>
      <c r="W200" s="29" t="s">
        <v>179</v>
      </c>
      <c r="X200" s="14">
        <f>ROUND((IF(Q200=1,INDEX(新属性投放!$L$14:$L$34,卡牌属性!R200),INDEX(新属性投放!$L$42:$L$62,卡牌属性!R200))*INDEX($G$5:$G$42,L200)+IF(Q200=1,INDEX(新属性投放!T$20:T$23,卡牌属性!M200-1),INDEX(新属性投放!T$25:T$28,卡牌属性!M200-1)))*SQRT(INDEX($I$5:$I$42,L200)),2)</f>
        <v>12228.73</v>
      </c>
      <c r="Y200" s="29" t="s">
        <v>177</v>
      </c>
      <c r="Z200" s="14">
        <f>ROUND(IF(Q200=1,INDEX(新属性投放!$D$14:$D$34,卡牌属性!R200),INDEX(新属性投放!$D$42:$D$62,卡牌属性!R200))*INDEX($G$5:$G$42,L200)/SQRT(INDEX($I$5:$I$42,L200)),2)</f>
        <v>97.75</v>
      </c>
      <c r="AA200" s="29" t="s">
        <v>178</v>
      </c>
      <c r="AB200" s="14">
        <f>ROUND(IF(Q200=1,INDEX(新属性投放!$E$14:$E$34,卡牌属性!R200),INDEX(新属性投放!$E$42:$E$62,卡牌属性!R200))*INDEX($G$5:$G$42,L200),2)</f>
        <v>48.87</v>
      </c>
      <c r="AC200" s="29" t="s">
        <v>179</v>
      </c>
      <c r="AD200" s="14">
        <f>ROUND(IF(Q200=1,INDEX(新属性投放!$F$14:$F$34,卡牌属性!R200),INDEX(新属性投放!$F$42:$F$62,卡牌属性!R200))*INDEX($G$5:$G$42,L200)*SQRT(INDEX($I$5:$I$42,L200)),2)</f>
        <v>293.24</v>
      </c>
      <c r="AF200" s="14">
        <f t="shared" si="94"/>
        <v>977</v>
      </c>
      <c r="AG200" s="14">
        <f t="shared" si="95"/>
        <v>488</v>
      </c>
      <c r="AH200" s="14">
        <f t="shared" si="96"/>
        <v>2932</v>
      </c>
      <c r="AJ200" s="14">
        <f t="shared" si="85"/>
        <v>3975</v>
      </c>
      <c r="AK200" s="14">
        <f t="shared" si="86"/>
        <v>1984</v>
      </c>
      <c r="AL200" s="14">
        <f t="shared" si="87"/>
        <v>11930</v>
      </c>
    </row>
    <row r="201" spans="11:38" ht="16.5" x14ac:dyDescent="0.2">
      <c r="K201" s="13">
        <v>198</v>
      </c>
      <c r="L201" s="13">
        <f t="shared" si="88"/>
        <v>10</v>
      </c>
      <c r="M201" s="13">
        <f t="shared" si="89"/>
        <v>4</v>
      </c>
      <c r="N201" s="14">
        <f t="shared" si="90"/>
        <v>1101010</v>
      </c>
      <c r="O201" s="14" t="str">
        <f t="shared" si="91"/>
        <v>盖文9突</v>
      </c>
      <c r="P201" s="29" t="s">
        <v>470</v>
      </c>
      <c r="Q201" s="14">
        <f t="shared" si="92"/>
        <v>1</v>
      </c>
      <c r="R201" s="14">
        <f t="shared" si="93"/>
        <v>9</v>
      </c>
      <c r="S201" s="14" t="s">
        <v>39</v>
      </c>
      <c r="T201" s="14">
        <f>ROUND(((IF(Q201=1,INDEX(新属性投放!$J$14:$J$34,卡牌属性!R201),INDEX(新属性投放!$J$42:$J$62,卡牌属性!R201)))*INDEX($G$5:$G$42,L201)+IF(Q201=1,INDEX(新属性投放!R$20:R$23,卡牌属性!M201-1),INDEX(新属性投放!R$25:R$28,卡牌属性!M201-1)))/SQRT(INDEX($I$5:$I$42,L201)),2)</f>
        <v>5144.78</v>
      </c>
      <c r="U201" s="29" t="s">
        <v>178</v>
      </c>
      <c r="V201" s="14">
        <f>ROUND((IF(Q201=1,INDEX(新属性投放!$K$14:$K$34,卡牌属性!R201),INDEX(新属性投放!$K$42:$K$62,卡牌属性!R201))+IF(Q201=1,INDEX(新属性投放!S$20:S$23,卡牌属性!M201-1),INDEX(新属性投放!S$25:S$28,卡牌属性!M201-1)))*INDEX($G$5:$G$42,L201),2)</f>
        <v>2472.9899999999998</v>
      </c>
      <c r="W201" s="29" t="s">
        <v>179</v>
      </c>
      <c r="X201" s="14">
        <f>ROUND((IF(Q201=1,INDEX(新属性投放!$L$14:$L$34,卡牌属性!R201),INDEX(新属性投放!$L$42:$L$62,卡牌属性!R201))*INDEX($G$5:$G$42,L201)+IF(Q201=1,INDEX(新属性投放!T$20:T$23,卡牌属性!M201-1),INDEX(新属性投放!T$25:T$28,卡牌属性!M201-1)))*SQRT(INDEX($I$5:$I$42,L201)),2)</f>
        <v>15894.34</v>
      </c>
      <c r="Y201" s="29" t="s">
        <v>177</v>
      </c>
      <c r="Z201" s="14">
        <f>ROUND(IF(Q201=1,INDEX(新属性投放!$D$14:$D$34,卡牌属性!R201),INDEX(新属性投放!$D$42:$D$62,卡牌属性!R201))*INDEX($G$5:$G$42,L201)/SQRT(INDEX($I$5:$I$42,L201)),2)</f>
        <v>127.13</v>
      </c>
      <c r="AA201" s="29" t="s">
        <v>178</v>
      </c>
      <c r="AB201" s="14">
        <f>ROUND(IF(Q201=1,INDEX(新属性投放!$E$14:$E$34,卡牌属性!R201),INDEX(新属性投放!$E$42:$E$62,卡牌属性!R201))*INDEX($G$5:$G$42,L201),2)</f>
        <v>63.56</v>
      </c>
      <c r="AC201" s="29" t="s">
        <v>179</v>
      </c>
      <c r="AD201" s="14">
        <f>ROUND(IF(Q201=1,INDEX(新属性投放!$F$14:$F$34,卡牌属性!R201),INDEX(新属性投放!$F$42:$F$62,卡牌属性!R201))*INDEX($G$5:$G$42,L201)*SQRT(INDEX($I$5:$I$42,L201)),2)</f>
        <v>381.38</v>
      </c>
      <c r="AF201" s="14">
        <f t="shared" si="94"/>
        <v>1271</v>
      </c>
      <c r="AG201" s="14">
        <f t="shared" si="95"/>
        <v>635</v>
      </c>
      <c r="AH201" s="14">
        <f t="shared" si="96"/>
        <v>3813</v>
      </c>
      <c r="AJ201" s="14">
        <f t="shared" si="85"/>
        <v>5246</v>
      </c>
      <c r="AK201" s="14">
        <f t="shared" si="86"/>
        <v>2619</v>
      </c>
      <c r="AL201" s="14">
        <f t="shared" si="87"/>
        <v>15743</v>
      </c>
    </row>
    <row r="202" spans="11:38" ht="16.5" x14ac:dyDescent="0.2">
      <c r="K202" s="13">
        <v>199</v>
      </c>
      <c r="L202" s="13">
        <f t="shared" si="88"/>
        <v>10</v>
      </c>
      <c r="M202" s="13">
        <f t="shared" si="89"/>
        <v>4</v>
      </c>
      <c r="N202" s="14">
        <f t="shared" si="90"/>
        <v>1101010</v>
      </c>
      <c r="O202" s="14" t="str">
        <f t="shared" si="91"/>
        <v>盖文10突</v>
      </c>
      <c r="P202" s="29" t="s">
        <v>470</v>
      </c>
      <c r="Q202" s="14">
        <f t="shared" si="92"/>
        <v>1</v>
      </c>
      <c r="R202" s="14">
        <f t="shared" si="93"/>
        <v>10</v>
      </c>
      <c r="S202" s="14" t="s">
        <v>39</v>
      </c>
      <c r="T202" s="14">
        <f>ROUND(((IF(Q202=1,INDEX(新属性投放!$J$14:$J$34,卡牌属性!R202),INDEX(新属性投放!$J$42:$J$62,卡牌属性!R202)))*INDEX($G$5:$G$42,L202)+IF(Q202=1,INDEX(新属性投放!R$20:R$23,卡牌属性!M202-1),INDEX(新属性投放!R$25:R$28,卡牌属性!M202-1)))/SQRT(INDEX($I$5:$I$42,L202)),2)</f>
        <v>5939.02</v>
      </c>
      <c r="U202" s="29" t="s">
        <v>178</v>
      </c>
      <c r="V202" s="14">
        <f>ROUND((IF(Q202=1,INDEX(新属性投放!$K$14:$K$34,卡牌属性!R202),INDEX(新属性投放!$K$42:$K$62,卡牌属性!R202))+IF(Q202=1,INDEX(新属性投放!S$20:S$23,卡牌属性!M202-1),INDEX(新属性投放!S$25:S$28,卡牌属性!M202-1)))*INDEX($G$5:$G$42,L202),2)</f>
        <v>2870.11</v>
      </c>
      <c r="W202" s="29" t="s">
        <v>179</v>
      </c>
      <c r="X202" s="14">
        <f>ROUND((IF(Q202=1,INDEX(新属性投放!$L$14:$L$34,卡牌属性!R202),INDEX(新属性投放!$L$42:$L$62,卡牌属性!R202))*INDEX($G$5:$G$42,L202)+IF(Q202=1,INDEX(新属性投放!T$20:T$23,卡牌属性!M202-1),INDEX(新属性投放!T$25:T$28,卡牌属性!M202-1)))*SQRT(INDEX($I$5:$I$42,L202)),2)</f>
        <v>18277.05</v>
      </c>
      <c r="Y202" s="29" t="s">
        <v>177</v>
      </c>
      <c r="Z202" s="14">
        <f>ROUND(IF(Q202=1,INDEX(新属性投放!$D$14:$D$34,卡牌属性!R202),INDEX(新属性投放!$D$42:$D$62,卡牌属性!R202))*INDEX($G$5:$G$42,L202)/SQRT(INDEX($I$5:$I$42,L202)),2)</f>
        <v>146.68</v>
      </c>
      <c r="AA202" s="29" t="s">
        <v>178</v>
      </c>
      <c r="AB202" s="14">
        <f>ROUND(IF(Q202=1,INDEX(新属性投放!$E$14:$E$34,卡牌属性!R202),INDEX(新属性投放!$E$42:$E$62,卡牌属性!R202))*INDEX($G$5:$G$42,L202),2)</f>
        <v>73.34</v>
      </c>
      <c r="AC202" s="29" t="s">
        <v>179</v>
      </c>
      <c r="AD202" s="14">
        <f>ROUND(IF(Q202=1,INDEX(新属性投放!$F$14:$F$34,卡牌属性!R202),INDEX(新属性投放!$F$42:$F$62,卡牌属性!R202))*INDEX($G$5:$G$42,L202)*SQRT(INDEX($I$5:$I$42,L202)),2)</f>
        <v>440.04</v>
      </c>
      <c r="AF202" s="14">
        <f t="shared" si="94"/>
        <v>1466</v>
      </c>
      <c r="AG202" s="14">
        <f t="shared" si="95"/>
        <v>733</v>
      </c>
      <c r="AH202" s="14">
        <f t="shared" si="96"/>
        <v>4400</v>
      </c>
      <c r="AJ202" s="14">
        <f t="shared" si="85"/>
        <v>6712</v>
      </c>
      <c r="AK202" s="14">
        <f t="shared" si="86"/>
        <v>3352</v>
      </c>
      <c r="AL202" s="14">
        <f t="shared" si="87"/>
        <v>20143</v>
      </c>
    </row>
    <row r="203" spans="11:38" ht="16.5" x14ac:dyDescent="0.2">
      <c r="K203" s="13">
        <v>200</v>
      </c>
      <c r="L203" s="13">
        <f t="shared" si="88"/>
        <v>10</v>
      </c>
      <c r="M203" s="13">
        <f t="shared" si="89"/>
        <v>4</v>
      </c>
      <c r="N203" s="14">
        <f t="shared" si="90"/>
        <v>1101010</v>
      </c>
      <c r="O203" s="14" t="str">
        <f t="shared" si="91"/>
        <v>盖文11突</v>
      </c>
      <c r="P203" s="29" t="s">
        <v>470</v>
      </c>
      <c r="Q203" s="14">
        <f t="shared" si="92"/>
        <v>1</v>
      </c>
      <c r="R203" s="14">
        <f t="shared" si="93"/>
        <v>11</v>
      </c>
      <c r="S203" s="14" t="s">
        <v>39</v>
      </c>
      <c r="T203" s="14">
        <f>ROUND(((IF(Q203=1,INDEX(新属性投放!$J$14:$J$34,卡牌属性!R203),INDEX(新属性投放!$J$42:$J$62,卡牌属性!R203)))*INDEX($G$5:$G$42,L203)+IF(Q203=1,INDEX(新属性投放!R$20:R$23,卡牌属性!M203-1),INDEX(新属性投放!R$25:R$28,卡牌属性!M203-1)))/SQRT(INDEX($I$5:$I$42,L203)),2)</f>
        <v>6855.71</v>
      </c>
      <c r="U203" s="29" t="s">
        <v>178</v>
      </c>
      <c r="V203" s="14">
        <f>ROUND((IF(Q203=1,INDEX(新属性投放!$K$14:$K$34,卡牌属性!R203),INDEX(新属性投放!$K$42:$K$62,卡牌属性!R203))+IF(Q203=1,INDEX(新属性投放!S$20:S$23,卡牌属性!M203-1),INDEX(新属性投放!S$25:S$28,卡牌属性!M203-1)))*INDEX($G$5:$G$42,L203),2)</f>
        <v>3329.11</v>
      </c>
      <c r="W203" s="29" t="s">
        <v>179</v>
      </c>
      <c r="X203" s="14">
        <f>ROUND((IF(Q203=1,INDEX(新属性投放!$L$14:$L$34,卡牌属性!R203),INDEX(新属性投放!$L$42:$L$62,卡牌属性!R203))*INDEX($G$5:$G$42,L203)+IF(Q203=1,INDEX(新属性投放!T$20:T$23,卡牌属性!M203-1),INDEX(新属性投放!T$25:T$28,卡牌属性!M203-1)))*SQRT(INDEX($I$5:$I$42,L203)),2)</f>
        <v>21027.13</v>
      </c>
      <c r="Y203" s="29" t="s">
        <v>177</v>
      </c>
      <c r="Z203" s="14">
        <f>ROUND(IF(Q203=1,INDEX(新属性投放!$D$14:$D$34,卡牌属性!R203),INDEX(新属性投放!$D$42:$D$62,卡牌属性!R203))*INDEX($G$5:$G$42,L203)/SQRT(INDEX($I$5:$I$42,L203)),2)</f>
        <v>171.05</v>
      </c>
      <c r="AA203" s="29" t="s">
        <v>178</v>
      </c>
      <c r="AB203" s="14">
        <f>ROUND(IF(Q203=1,INDEX(新属性投放!$E$14:$E$34,卡牌属性!R203),INDEX(新属性投放!$E$42:$E$62,卡牌属性!R203))*INDEX($G$5:$G$42,L203),2)</f>
        <v>85.53</v>
      </c>
      <c r="AC203" s="29" t="s">
        <v>179</v>
      </c>
      <c r="AD203" s="14">
        <f>ROUND(IF(Q203=1,INDEX(新属性投放!$F$14:$F$34,卡牌属性!R203),INDEX(新属性投放!$F$42:$F$62,卡牌属性!R203))*INDEX($G$5:$G$42,L203)*SQRT(INDEX($I$5:$I$42,L203)),2)</f>
        <v>513.16</v>
      </c>
      <c r="AF203" s="14">
        <f t="shared" si="94"/>
        <v>1710</v>
      </c>
      <c r="AG203" s="14">
        <f t="shared" si="95"/>
        <v>855</v>
      </c>
      <c r="AH203" s="14">
        <f t="shared" si="96"/>
        <v>5131</v>
      </c>
      <c r="AJ203" s="14">
        <f t="shared" si="85"/>
        <v>8422</v>
      </c>
      <c r="AK203" s="14">
        <f t="shared" si="86"/>
        <v>4207</v>
      </c>
      <c r="AL203" s="14">
        <f t="shared" si="87"/>
        <v>25274</v>
      </c>
    </row>
    <row r="204" spans="11:38" ht="16.5" x14ac:dyDescent="0.2">
      <c r="K204" s="13">
        <v>201</v>
      </c>
      <c r="L204" s="13">
        <f t="shared" si="88"/>
        <v>10</v>
      </c>
      <c r="M204" s="13">
        <f t="shared" si="89"/>
        <v>4</v>
      </c>
      <c r="N204" s="14">
        <f t="shared" si="90"/>
        <v>1101010</v>
      </c>
      <c r="O204" s="14" t="str">
        <f t="shared" si="91"/>
        <v>盖文12突</v>
      </c>
      <c r="P204" s="29" t="s">
        <v>470</v>
      </c>
      <c r="Q204" s="14">
        <f t="shared" si="92"/>
        <v>1</v>
      </c>
      <c r="R204" s="14">
        <f t="shared" si="93"/>
        <v>12</v>
      </c>
      <c r="S204" s="14" t="s">
        <v>39</v>
      </c>
      <c r="T204" s="14">
        <f>ROUND(((IF(Q204=1,INDEX(新属性投放!$J$14:$J$34,卡牌属性!R204),INDEX(新属性投放!$J$42:$J$62,卡牌属性!R204)))*INDEX($G$5:$G$42,L204)+IF(Q204=1,INDEX(新属性投放!R$20:R$23,卡牌属性!M204-1),INDEX(新属性投放!R$25:R$28,卡牌属性!M204-1)))/SQRT(INDEX($I$5:$I$42,L204)),2)</f>
        <v>7924.18</v>
      </c>
      <c r="U204" s="29" t="s">
        <v>178</v>
      </c>
      <c r="V204" s="14">
        <f>ROUND((IF(Q204=1,INDEX(新属性投放!$K$14:$K$34,卡牌属性!R204),INDEX(新属性投放!$K$42:$K$62,卡牌属性!R204))+IF(Q204=1,INDEX(新属性投放!S$20:S$23,卡牌属性!M204-1),INDEX(新属性投放!S$25:S$28,卡牌属性!M204-1)))*INDEX($G$5:$G$42,L204),2)</f>
        <v>3863.34</v>
      </c>
      <c r="W204" s="29" t="s">
        <v>179</v>
      </c>
      <c r="X204" s="14">
        <f>ROUND((IF(Q204=1,INDEX(新属性投放!$L$14:$L$34,卡牌属性!R204),INDEX(新属性投放!$L$42:$L$62,卡牌属性!R204))*INDEX($G$5:$G$42,L204)+IF(Q204=1,INDEX(新属性投放!T$20:T$23,卡牌属性!M204-1),INDEX(新属性投放!T$25:T$28,卡牌属性!M204-1)))*SQRT(INDEX($I$5:$I$42,L204)),2)</f>
        <v>24232.54</v>
      </c>
      <c r="Y204" s="29" t="s">
        <v>177</v>
      </c>
      <c r="Z204" s="14">
        <f>ROUND(IF(Q204=1,INDEX(新属性投放!$D$14:$D$34,卡牌属性!R204),INDEX(新属性投放!$D$42:$D$62,卡牌属性!R204))*INDEX($G$5:$G$42,L204)/SQRT(INDEX($I$5:$I$42,L204)),2)</f>
        <v>195.61</v>
      </c>
      <c r="AA204" s="29" t="s">
        <v>178</v>
      </c>
      <c r="AB204" s="14">
        <f>ROUND(IF(Q204=1,INDEX(新属性投放!$E$14:$E$34,卡牌属性!R204),INDEX(新属性投放!$E$42:$E$62,卡牌属性!R204))*INDEX($G$5:$G$42,L204),2)</f>
        <v>97.81</v>
      </c>
      <c r="AC204" s="29" t="s">
        <v>179</v>
      </c>
      <c r="AD204" s="14">
        <f>ROUND(IF(Q204=1,INDEX(新属性投放!$F$14:$F$34,卡牌属性!R204),INDEX(新属性投放!$F$42:$F$62,卡牌属性!R204))*INDEX($G$5:$G$42,L204)*SQRT(INDEX($I$5:$I$42,L204)),2)</f>
        <v>586.83000000000004</v>
      </c>
      <c r="AF204" s="14">
        <f t="shared" si="94"/>
        <v>1956</v>
      </c>
      <c r="AG204" s="14">
        <f t="shared" si="95"/>
        <v>978</v>
      </c>
      <c r="AH204" s="14">
        <f t="shared" si="96"/>
        <v>5868</v>
      </c>
      <c r="AJ204" s="14">
        <f t="shared" si="85"/>
        <v>10378</v>
      </c>
      <c r="AK204" s="14">
        <f t="shared" si="86"/>
        <v>5185</v>
      </c>
      <c r="AL204" s="14">
        <f t="shared" si="87"/>
        <v>31142</v>
      </c>
    </row>
    <row r="205" spans="11:38" ht="16.5" x14ac:dyDescent="0.2">
      <c r="K205" s="13">
        <v>202</v>
      </c>
      <c r="L205" s="13">
        <f t="shared" si="88"/>
        <v>10</v>
      </c>
      <c r="M205" s="13">
        <f t="shared" si="89"/>
        <v>4</v>
      </c>
      <c r="N205" s="14">
        <f t="shared" si="90"/>
        <v>1101010</v>
      </c>
      <c r="O205" s="14" t="str">
        <f t="shared" si="91"/>
        <v>盖文13突</v>
      </c>
      <c r="P205" s="29" t="s">
        <v>470</v>
      </c>
      <c r="Q205" s="14">
        <f t="shared" si="92"/>
        <v>1</v>
      </c>
      <c r="R205" s="14">
        <f t="shared" si="93"/>
        <v>13</v>
      </c>
      <c r="S205" s="14" t="s">
        <v>39</v>
      </c>
      <c r="T205" s="14">
        <f>ROUND(((IF(Q205=1,INDEX(新属性投放!$J$14:$J$34,卡牌属性!R205),INDEX(新属性投放!$J$42:$J$62,卡牌属性!R205)))*INDEX($G$5:$G$42,L205)+IF(Q205=1,INDEX(新属性投放!R$20:R$23,卡牌属性!M205-1),INDEX(新属性投放!R$25:R$28,卡牌属性!M205-1)))/SQRT(INDEX($I$5:$I$42,L205)),2)</f>
        <v>9146.64</v>
      </c>
      <c r="U205" s="29" t="s">
        <v>178</v>
      </c>
      <c r="V205" s="14">
        <f>ROUND((IF(Q205=1,INDEX(新属性投放!$K$14:$K$34,卡牌属性!R205),INDEX(新属性投放!$K$42:$K$62,卡牌属性!R205))+IF(Q205=1,INDEX(新属性投放!S$20:S$23,卡牌属性!M205-1),INDEX(新属性投放!S$25:S$28,卡牌属性!M205-1)))*INDEX($G$5:$G$42,L205),2)</f>
        <v>4474.57</v>
      </c>
      <c r="W205" s="29" t="s">
        <v>179</v>
      </c>
      <c r="X205" s="14">
        <f>ROUND((IF(Q205=1,INDEX(新属性投放!$L$14:$L$34,卡牌属性!R205),INDEX(新属性投放!$L$42:$L$62,卡牌属性!R205))*INDEX($G$5:$G$42,L205)+IF(Q205=1,INDEX(新属性投放!T$20:T$23,卡牌属性!M205-1),INDEX(新属性投放!T$25:T$28,卡牌属性!M205-1)))*SQRT(INDEX($I$5:$I$42,L205)),2)</f>
        <v>27899.91</v>
      </c>
      <c r="Y205" s="29" t="s">
        <v>177</v>
      </c>
      <c r="Z205" s="14">
        <f>ROUND(IF(Q205=1,INDEX(新属性投放!$D$14:$D$34,卡牌属性!R205),INDEX(新属性投放!$D$42:$D$62,卡牌属性!R205))*INDEX($G$5:$G$42,L205)/SQRT(INDEX($I$5:$I$42,L205)),2)</f>
        <v>226.16</v>
      </c>
      <c r="AA205" s="29" t="s">
        <v>178</v>
      </c>
      <c r="AB205" s="14">
        <f>ROUND(IF(Q205=1,INDEX(新属性投放!$E$14:$E$34,卡牌属性!R205),INDEX(新属性投放!$E$42:$E$62,卡牌属性!R205))*INDEX($G$5:$G$42,L205),2)</f>
        <v>113.08</v>
      </c>
      <c r="AC205" s="29" t="s">
        <v>179</v>
      </c>
      <c r="AD205" s="14">
        <f>ROUND(IF(Q205=1,INDEX(新属性投放!$F$14:$F$34,卡牌属性!R205),INDEX(新属性投放!$F$42:$F$62,卡牌属性!R205))*INDEX($G$5:$G$42,L205)*SQRT(INDEX($I$5:$I$42,L205)),2)</f>
        <v>678.48</v>
      </c>
      <c r="AF205" s="14">
        <f t="shared" si="94"/>
        <v>2261</v>
      </c>
      <c r="AG205" s="14">
        <f t="shared" si="95"/>
        <v>1130</v>
      </c>
      <c r="AH205" s="14">
        <f t="shared" si="96"/>
        <v>6784</v>
      </c>
      <c r="AJ205" s="14">
        <f t="shared" si="85"/>
        <v>12639</v>
      </c>
      <c r="AK205" s="14">
        <f t="shared" si="86"/>
        <v>6315</v>
      </c>
      <c r="AL205" s="14">
        <f t="shared" si="87"/>
        <v>37926</v>
      </c>
    </row>
    <row r="206" spans="11:38" ht="16.5" x14ac:dyDescent="0.2">
      <c r="K206" s="13">
        <v>203</v>
      </c>
      <c r="L206" s="13">
        <f t="shared" si="88"/>
        <v>10</v>
      </c>
      <c r="M206" s="13">
        <f t="shared" si="89"/>
        <v>4</v>
      </c>
      <c r="N206" s="14">
        <f t="shared" si="90"/>
        <v>1101010</v>
      </c>
      <c r="O206" s="14" t="str">
        <f t="shared" si="91"/>
        <v>盖文14突</v>
      </c>
      <c r="P206" s="29" t="s">
        <v>470</v>
      </c>
      <c r="Q206" s="14">
        <f t="shared" si="92"/>
        <v>1</v>
      </c>
      <c r="R206" s="14">
        <f t="shared" si="93"/>
        <v>14</v>
      </c>
      <c r="S206" s="14" t="s">
        <v>39</v>
      </c>
      <c r="T206" s="14">
        <f>ROUND(((IF(Q206=1,INDEX(新属性投放!$J$14:$J$34,卡牌属性!R206),INDEX(新属性投放!$J$42:$J$62,卡牌属性!R206)))*INDEX($G$5:$G$42,L206)+IF(Q206=1,INDEX(新属性投放!R$20:R$23,卡牌属性!M206-1),INDEX(新属性投放!R$25:R$28,卡牌属性!M206-1)))/SQRT(INDEX($I$5:$I$42,L206)),2)</f>
        <v>10559.54</v>
      </c>
      <c r="U206" s="29" t="s">
        <v>178</v>
      </c>
      <c r="V206" s="14">
        <f>ROUND((IF(Q206=1,INDEX(新属性投放!$K$14:$K$34,卡牌属性!R206),INDEX(新属性投放!$K$42:$K$62,卡牌属性!R206))+IF(Q206=1,INDEX(新属性投放!S$20:S$23,卡牌属性!M206-1),INDEX(新属性投放!S$25:S$28,卡牌属性!M206-1)))*INDEX($G$5:$G$42,L206),2)</f>
        <v>5181.67</v>
      </c>
      <c r="W206" s="29" t="s">
        <v>179</v>
      </c>
      <c r="X206" s="14">
        <f>ROUND((IF(Q206=1,INDEX(新属性投放!$L$14:$L$34,卡牌属性!R206),INDEX(新属性投放!$L$42:$L$62,卡牌属性!R206))*INDEX($G$5:$G$42,L206)+IF(Q206=1,INDEX(新属性投放!T$20:T$23,卡牌属性!M206-1),INDEX(新属性投放!T$25:T$28,卡牌属性!M206-1)))*SQRT(INDEX($I$5:$I$42,L206)),2)</f>
        <v>32138.62</v>
      </c>
      <c r="Y206" s="29" t="s">
        <v>177</v>
      </c>
      <c r="Z206" s="14">
        <f>ROUND(IF(Q206=1,INDEX(新属性投放!$D$14:$D$34,卡牌属性!R206),INDEX(新属性投放!$D$42:$D$62,卡牌属性!R206))*INDEX($G$5:$G$42,L206)/SQRT(INDEX($I$5:$I$42,L206)),2)</f>
        <v>261.5</v>
      </c>
      <c r="AA206" s="29" t="s">
        <v>178</v>
      </c>
      <c r="AB206" s="14">
        <f>ROUND(IF(Q206=1,INDEX(新属性投放!$E$14:$E$34,卡牌属性!R206),INDEX(新属性投放!$E$42:$E$62,卡牌属性!R206))*INDEX($G$5:$G$42,L206),2)</f>
        <v>130.75</v>
      </c>
      <c r="AC206" s="29" t="s">
        <v>179</v>
      </c>
      <c r="AD206" s="14">
        <f>ROUND(IF(Q206=1,INDEX(新属性投放!$F$14:$F$34,卡牌属性!R206),INDEX(新属性投放!$F$42:$F$62,卡牌属性!R206))*INDEX($G$5:$G$42,L206)*SQRT(INDEX($I$5:$I$42,L206)),2)</f>
        <v>784.49</v>
      </c>
      <c r="AF206" s="14">
        <f t="shared" si="94"/>
        <v>2615</v>
      </c>
      <c r="AG206" s="14">
        <f t="shared" si="95"/>
        <v>1307</v>
      </c>
      <c r="AH206" s="14">
        <f t="shared" si="96"/>
        <v>7844</v>
      </c>
      <c r="AJ206" s="14">
        <f t="shared" si="85"/>
        <v>15254</v>
      </c>
      <c r="AK206" s="14">
        <f t="shared" si="86"/>
        <v>7622</v>
      </c>
      <c r="AL206" s="14">
        <f t="shared" si="87"/>
        <v>45770</v>
      </c>
    </row>
    <row r="207" spans="11:38" ht="16.5" x14ac:dyDescent="0.2">
      <c r="K207" s="13">
        <v>204</v>
      </c>
      <c r="L207" s="13">
        <f t="shared" si="88"/>
        <v>10</v>
      </c>
      <c r="M207" s="13">
        <f t="shared" si="89"/>
        <v>4</v>
      </c>
      <c r="N207" s="14">
        <f t="shared" si="90"/>
        <v>1101010</v>
      </c>
      <c r="O207" s="14" t="str">
        <f t="shared" si="91"/>
        <v>盖文15突</v>
      </c>
      <c r="P207" s="29" t="s">
        <v>470</v>
      </c>
      <c r="Q207" s="14">
        <f t="shared" si="92"/>
        <v>1</v>
      </c>
      <c r="R207" s="14">
        <f t="shared" si="93"/>
        <v>15</v>
      </c>
      <c r="S207" s="14" t="s">
        <v>39</v>
      </c>
      <c r="T207" s="14">
        <f>ROUND(((IF(Q207=1,INDEX(新属性投放!$J$14:$J$34,卡牌属性!R207),INDEX(新属性投放!$J$42:$J$62,卡牌属性!R207)))*INDEX($G$5:$G$42,L207)+IF(Q207=1,INDEX(新属性投放!R$20:R$23,卡牌属性!M207-1),INDEX(新属性投放!R$25:R$28,卡牌属性!M207-1)))/SQRT(INDEX($I$5:$I$42,L207)),2)</f>
        <v>12193.32</v>
      </c>
      <c r="U207" s="29" t="s">
        <v>178</v>
      </c>
      <c r="V207" s="14">
        <f>ROUND((IF(Q207=1,INDEX(新属性投放!$K$14:$K$34,卡牌属性!R207),INDEX(新属性投放!$K$42:$K$62,卡牌属性!R207))+IF(Q207=1,INDEX(新属性投放!S$20:S$23,卡牌属性!M207-1),INDEX(新属性投放!S$25:S$28,卡牌属性!M207-1)))*INDEX($G$5:$G$42,L207),2)</f>
        <v>5999.21</v>
      </c>
      <c r="W207" s="29" t="s">
        <v>179</v>
      </c>
      <c r="X207" s="14">
        <f>ROUND((IF(Q207=1,INDEX(新属性投放!$L$14:$L$34,卡牌属性!R207),INDEX(新属性投放!$L$42:$L$62,卡牌属性!R207))*INDEX($G$5:$G$42,L207)+IF(Q207=1,INDEX(新属性投放!T$20:T$23,卡牌属性!M207-1),INDEX(新属性投放!T$25:T$28,卡牌属性!M207-1)))*SQRT(INDEX($I$5:$I$42,L207)),2)</f>
        <v>37039.949999999997</v>
      </c>
      <c r="Y207" s="29" t="s">
        <v>177</v>
      </c>
      <c r="Z207" s="14">
        <f>ROUND(IF(Q207=1,INDEX(新属性投放!$D$14:$D$34,卡牌属性!R207),INDEX(新属性投放!$D$42:$D$62,卡牌属性!R207))*INDEX($G$5:$G$42,L207)/SQRT(INDEX($I$5:$I$42,L207)),2)</f>
        <v>302.33</v>
      </c>
      <c r="AA207" s="29" t="s">
        <v>178</v>
      </c>
      <c r="AB207" s="14">
        <f>ROUND(IF(Q207=1,INDEX(新属性投放!$E$14:$E$34,卡牌属性!R207),INDEX(新属性投放!$E$42:$E$62,卡牌属性!R207))*INDEX($G$5:$G$42,L207),2)</f>
        <v>151.16</v>
      </c>
      <c r="AC207" s="29" t="s">
        <v>179</v>
      </c>
      <c r="AD207" s="14">
        <f>ROUND(IF(Q207=1,INDEX(新属性投放!$F$14:$F$34,卡牌属性!R207),INDEX(新属性投放!$F$42:$F$62,卡牌属性!R207))*INDEX($G$5:$G$42,L207)*SQRT(INDEX($I$5:$I$42,L207)),2)</f>
        <v>906.98</v>
      </c>
      <c r="AF207" s="14">
        <f t="shared" si="94"/>
        <v>3023</v>
      </c>
      <c r="AG207" s="14">
        <f t="shared" si="95"/>
        <v>1511</v>
      </c>
      <c r="AH207" s="14">
        <f t="shared" si="96"/>
        <v>9069</v>
      </c>
      <c r="AJ207" s="14">
        <f t="shared" si="85"/>
        <v>18277</v>
      </c>
      <c r="AK207" s="14">
        <f t="shared" si="86"/>
        <v>9133</v>
      </c>
      <c r="AL207" s="14">
        <f t="shared" si="87"/>
        <v>54839</v>
      </c>
    </row>
    <row r="208" spans="11:38" ht="16.5" x14ac:dyDescent="0.2">
      <c r="K208" s="13">
        <v>205</v>
      </c>
      <c r="L208" s="13">
        <f t="shared" si="88"/>
        <v>10</v>
      </c>
      <c r="M208" s="13">
        <f t="shared" si="89"/>
        <v>4</v>
      </c>
      <c r="N208" s="14">
        <f t="shared" si="90"/>
        <v>1101010</v>
      </c>
      <c r="O208" s="14" t="str">
        <f t="shared" si="91"/>
        <v>盖文16突</v>
      </c>
      <c r="P208" s="29" t="s">
        <v>470</v>
      </c>
      <c r="Q208" s="14">
        <f t="shared" si="92"/>
        <v>1</v>
      </c>
      <c r="R208" s="14">
        <f t="shared" si="93"/>
        <v>16</v>
      </c>
      <c r="S208" s="14" t="s">
        <v>39</v>
      </c>
      <c r="T208" s="14">
        <f>ROUND(((IF(Q208=1,INDEX(新属性投放!$J$14:$J$34,卡牌属性!R208),INDEX(新属性投放!$J$42:$J$62,卡牌属性!R208)))*INDEX($G$5:$G$42,L208)+IF(Q208=1,INDEX(新属性投放!R$20:R$23,卡牌属性!M208-1),INDEX(新属性投放!R$25:R$28,卡牌属性!M208-1)))/SQRT(INDEX($I$5:$I$42,L208)),2)</f>
        <v>14083.26</v>
      </c>
      <c r="U208" s="29" t="s">
        <v>178</v>
      </c>
      <c r="V208" s="14">
        <f>ROUND((IF(Q208=1,INDEX(新属性投放!$K$14:$K$34,卡牌属性!R208),INDEX(新属性投放!$K$42:$K$62,卡牌属性!R208))+IF(Q208=1,INDEX(新属性投放!S$20:S$23,卡牌属性!M208-1),INDEX(新属性投放!S$25:S$28,卡牌属性!M208-1)))*INDEX($G$5:$G$42,L208),2)</f>
        <v>6943.53</v>
      </c>
      <c r="W208" s="29" t="s">
        <v>179</v>
      </c>
      <c r="X208" s="14">
        <f>ROUND((IF(Q208=1,INDEX(新属性投放!$L$14:$L$34,卡牌属性!R208),INDEX(新属性投放!$L$42:$L$62,卡牌属性!R208))*INDEX($G$5:$G$42,L208)+IF(Q208=1,INDEX(新属性投放!T$20:T$23,卡牌属性!M208-1),INDEX(新属性投放!T$25:T$28,卡牌属性!M208-1)))*SQRT(INDEX($I$5:$I$42,L208)),2)</f>
        <v>42709.77</v>
      </c>
      <c r="Y208" s="29" t="s">
        <v>177</v>
      </c>
      <c r="Z208" s="14">
        <f>ROUND(IF(Q208=1,INDEX(新属性投放!$D$14:$D$34,卡牌属性!R208),INDEX(新属性投放!$D$42:$D$62,卡牌属性!R208))*INDEX($G$5:$G$42,L208)/SQRT(INDEX($I$5:$I$42,L208)),2)</f>
        <v>349.58</v>
      </c>
      <c r="AA208" s="29" t="s">
        <v>178</v>
      </c>
      <c r="AB208" s="14">
        <f>ROUND(IF(Q208=1,INDEX(新属性投放!$E$14:$E$34,卡牌属性!R208),INDEX(新属性投放!$E$42:$E$62,卡牌属性!R208))*INDEX($G$5:$G$42,L208),2)</f>
        <v>174.79</v>
      </c>
      <c r="AC208" s="29" t="s">
        <v>179</v>
      </c>
      <c r="AD208" s="14">
        <f>ROUND(IF(Q208=1,INDEX(新属性投放!$F$14:$F$34,卡牌属性!R208),INDEX(新属性投放!$F$42:$F$62,卡牌属性!R208))*INDEX($G$5:$G$42,L208)*SQRT(INDEX($I$5:$I$42,L208)),2)</f>
        <v>1048.75</v>
      </c>
      <c r="AF208" s="14">
        <f t="shared" si="94"/>
        <v>3495</v>
      </c>
      <c r="AG208" s="14">
        <f t="shared" si="95"/>
        <v>1747</v>
      </c>
      <c r="AH208" s="14">
        <f t="shared" si="96"/>
        <v>10487</v>
      </c>
      <c r="AJ208" s="14">
        <f t="shared" si="85"/>
        <v>21772</v>
      </c>
      <c r="AK208" s="14">
        <f t="shared" si="86"/>
        <v>10880</v>
      </c>
      <c r="AL208" s="14">
        <f t="shared" si="87"/>
        <v>65326</v>
      </c>
    </row>
    <row r="209" spans="11:38" ht="16.5" x14ac:dyDescent="0.2">
      <c r="K209" s="13">
        <v>206</v>
      </c>
      <c r="L209" s="13">
        <f t="shared" si="88"/>
        <v>10</v>
      </c>
      <c r="M209" s="13">
        <f t="shared" si="89"/>
        <v>4</v>
      </c>
      <c r="N209" s="14">
        <f t="shared" si="90"/>
        <v>1101010</v>
      </c>
      <c r="O209" s="14" t="str">
        <f t="shared" si="91"/>
        <v>盖文17突</v>
      </c>
      <c r="P209" s="29" t="s">
        <v>470</v>
      </c>
      <c r="Q209" s="14">
        <f t="shared" si="92"/>
        <v>1</v>
      </c>
      <c r="R209" s="14">
        <f t="shared" si="93"/>
        <v>17</v>
      </c>
      <c r="S209" s="14" t="s">
        <v>39</v>
      </c>
      <c r="T209" s="14">
        <f>ROUND(((IF(Q209=1,INDEX(新属性投放!$J$14:$J$34,卡牌属性!R209),INDEX(新属性投放!$J$42:$J$62,卡牌属性!R209)))*INDEX($G$5:$G$42,L209)+IF(Q209=1,INDEX(新属性投放!R$20:R$23,卡牌属性!M209-1),INDEX(新属性投放!R$25:R$28,卡牌属性!M209-1)))/SQRT(INDEX($I$5:$I$42,L209)),2)</f>
        <v>16267.97</v>
      </c>
      <c r="U209" s="29" t="s">
        <v>178</v>
      </c>
      <c r="V209" s="14">
        <f>ROUND((IF(Q209=1,INDEX(新属性投放!$K$14:$K$34,卡牌属性!R209),INDEX(新属性投放!$K$42:$K$62,卡牌属性!R209))+IF(Q209=1,INDEX(新属性投放!S$20:S$23,卡牌属性!M209-1),INDEX(新属性投放!S$25:S$28,卡牌属性!M209-1)))*INDEX($G$5:$G$42,L209),2)</f>
        <v>8035.89</v>
      </c>
      <c r="W209" s="29" t="s">
        <v>179</v>
      </c>
      <c r="X209" s="14">
        <f>ROUND((IF(Q209=1,INDEX(新属性投放!$L$14:$L$34,卡牌属性!R209),INDEX(新属性投放!$L$42:$L$62,卡牌属性!R209))*INDEX($G$5:$G$42,L209)+IF(Q209=1,INDEX(新属性投放!T$20:T$23,卡牌属性!M209-1),INDEX(新属性投放!T$25:T$28,卡牌属性!M209-1)))*SQRT(INDEX($I$5:$I$42,L209)),2)</f>
        <v>49263.91</v>
      </c>
      <c r="Y209" s="29" t="s">
        <v>177</v>
      </c>
      <c r="Z209" s="14">
        <f>ROUND(IF(Q209=1,INDEX(新属性投放!$D$14:$D$34,卡牌属性!R209),INDEX(新属性投放!$D$42:$D$62,卡牌属性!R209))*INDEX($G$5:$G$42,L209)/SQRT(INDEX($I$5:$I$42,L209)),2)</f>
        <v>404.2</v>
      </c>
      <c r="AA209" s="29" t="s">
        <v>178</v>
      </c>
      <c r="AB209" s="14">
        <f>ROUND(IF(Q209=1,INDEX(新属性投放!$E$14:$E$34,卡牌属性!R209),INDEX(新属性投放!$E$42:$E$62,卡牌属性!R209))*INDEX($G$5:$G$42,L209),2)</f>
        <v>202.1</v>
      </c>
      <c r="AC209" s="29" t="s">
        <v>179</v>
      </c>
      <c r="AD209" s="14">
        <f>ROUND(IF(Q209=1,INDEX(新属性投放!$F$14:$F$34,卡牌属性!R209),INDEX(新属性投放!$F$42:$F$62,卡牌属性!R209))*INDEX($G$5:$G$42,L209)*SQRT(INDEX($I$5:$I$42,L209)),2)</f>
        <v>1212.5899999999999</v>
      </c>
      <c r="AF209" s="14">
        <f t="shared" si="94"/>
        <v>4042</v>
      </c>
      <c r="AG209" s="14">
        <f t="shared" si="95"/>
        <v>2021</v>
      </c>
      <c r="AH209" s="14">
        <f t="shared" si="96"/>
        <v>12125</v>
      </c>
      <c r="AJ209" s="14">
        <f t="shared" si="85"/>
        <v>25814</v>
      </c>
      <c r="AK209" s="14">
        <f t="shared" si="86"/>
        <v>12901</v>
      </c>
      <c r="AL209" s="14">
        <f t="shared" si="87"/>
        <v>77451</v>
      </c>
    </row>
    <row r="210" spans="11:38" ht="16.5" x14ac:dyDescent="0.2">
      <c r="K210" s="13">
        <v>207</v>
      </c>
      <c r="L210" s="13">
        <f t="shared" si="88"/>
        <v>10</v>
      </c>
      <c r="M210" s="13">
        <f t="shared" si="89"/>
        <v>4</v>
      </c>
      <c r="N210" s="14">
        <f t="shared" si="90"/>
        <v>1101010</v>
      </c>
      <c r="O210" s="14" t="str">
        <f t="shared" si="91"/>
        <v>盖文18突</v>
      </c>
      <c r="P210" s="29" t="s">
        <v>470</v>
      </c>
      <c r="Q210" s="14">
        <f t="shared" si="92"/>
        <v>1</v>
      </c>
      <c r="R210" s="14">
        <f t="shared" si="93"/>
        <v>18</v>
      </c>
      <c r="S210" s="14" t="s">
        <v>39</v>
      </c>
      <c r="T210" s="14">
        <f>ROUND(((IF(Q210=1,INDEX(新属性投放!$J$14:$J$34,卡牌属性!R210),INDEX(新属性投放!$J$42:$J$62,卡牌属性!R210)))*INDEX($G$5:$G$42,L210)+IF(Q210=1,INDEX(新属性投放!R$20:R$23,卡牌属性!M210-1),INDEX(新属性投放!R$25:R$28,卡牌属性!M210-1)))/SQRT(INDEX($I$5:$I$42,L210)),2)</f>
        <v>18794.650000000001</v>
      </c>
      <c r="U210" s="29" t="s">
        <v>178</v>
      </c>
      <c r="V210" s="14">
        <f>ROUND((IF(Q210=1,INDEX(新属性投放!$K$14:$K$34,卡牌属性!R210),INDEX(新属性投放!$K$42:$K$62,卡牌属性!R210))+IF(Q210=1,INDEX(新属性投放!S$20:S$23,卡牌属性!M210-1),INDEX(新属性投放!S$25:S$28,卡牌属性!M210-1)))*INDEX($G$5:$G$42,L210),2)</f>
        <v>9298.58</v>
      </c>
      <c r="W210" s="29" t="s">
        <v>179</v>
      </c>
      <c r="X210" s="14">
        <f>ROUND((IF(Q210=1,INDEX(新属性投放!$L$14:$L$34,卡牌属性!R210),INDEX(新属性投放!$L$42:$L$62,卡牌属性!R210))*INDEX($G$5:$G$42,L210)+IF(Q210=1,INDEX(新属性投放!T$20:T$23,卡牌属性!M210-1),INDEX(新属性投放!T$25:T$28,卡牌属性!M210-1)))*SQRT(INDEX($I$5:$I$42,L210)),2)</f>
        <v>56843.95</v>
      </c>
      <c r="Y210" s="29" t="s">
        <v>177</v>
      </c>
      <c r="Z210" s="14">
        <f>ROUND(IF(Q210=1,INDEX(新属性投放!$D$14:$D$34,卡牌属性!R210),INDEX(新属性投放!$D$42:$D$62,卡牌属性!R210))*INDEX($G$5:$G$42,L210)/SQRT(INDEX($I$5:$I$42,L210)),2)</f>
        <v>467.36</v>
      </c>
      <c r="AA210" s="29" t="s">
        <v>178</v>
      </c>
      <c r="AB210" s="14">
        <f>ROUND(IF(Q210=1,INDEX(新属性投放!$E$14:$E$34,卡牌属性!R210),INDEX(新属性投放!$E$42:$E$62,卡牌属性!R210))*INDEX($G$5:$G$42,L210),2)</f>
        <v>233.68</v>
      </c>
      <c r="AC210" s="29" t="s">
        <v>179</v>
      </c>
      <c r="AD210" s="14">
        <f>ROUND(IF(Q210=1,INDEX(新属性投放!$F$14:$F$34,卡牌属性!R210),INDEX(新属性投放!$F$42:$F$62,卡牌属性!R210))*INDEX($G$5:$G$42,L210)*SQRT(INDEX($I$5:$I$42,L210)),2)</f>
        <v>1402.09</v>
      </c>
      <c r="AF210" s="14">
        <f t="shared" si="94"/>
        <v>4673</v>
      </c>
      <c r="AG210" s="14">
        <f t="shared" si="95"/>
        <v>2336</v>
      </c>
      <c r="AH210" s="14">
        <f t="shared" si="96"/>
        <v>14020</v>
      </c>
      <c r="AJ210" s="14">
        <f t="shared" si="85"/>
        <v>30487</v>
      </c>
      <c r="AK210" s="14">
        <f t="shared" si="86"/>
        <v>15237</v>
      </c>
      <c r="AL210" s="14">
        <f t="shared" si="87"/>
        <v>91471</v>
      </c>
    </row>
    <row r="211" spans="11:38" ht="16.5" x14ac:dyDescent="0.2">
      <c r="K211" s="13">
        <v>208</v>
      </c>
      <c r="L211" s="13">
        <f t="shared" si="88"/>
        <v>10</v>
      </c>
      <c r="M211" s="13">
        <f t="shared" si="89"/>
        <v>4</v>
      </c>
      <c r="N211" s="14">
        <f t="shared" si="90"/>
        <v>1101010</v>
      </c>
      <c r="O211" s="14" t="str">
        <f t="shared" si="91"/>
        <v>盖文19突</v>
      </c>
      <c r="P211" s="29" t="s">
        <v>470</v>
      </c>
      <c r="Q211" s="14">
        <f t="shared" si="92"/>
        <v>1</v>
      </c>
      <c r="R211" s="14">
        <f t="shared" si="93"/>
        <v>19</v>
      </c>
      <c r="S211" s="14" t="s">
        <v>39</v>
      </c>
      <c r="T211" s="14">
        <f>ROUND(((IF(Q211=1,INDEX(新属性投放!$J$14:$J$34,卡牌属性!R211),INDEX(新属性投放!$J$42:$J$62,卡牌属性!R211)))*INDEX($G$5:$G$42,L211)+IF(Q211=1,INDEX(新属性投放!R$20:R$23,卡牌属性!M211-1),INDEX(新属性投放!R$25:R$28,卡牌属性!M211-1)))/SQRT(INDEX($I$5:$I$42,L211)),2)</f>
        <v>21715.17</v>
      </c>
      <c r="U211" s="29" t="s">
        <v>178</v>
      </c>
      <c r="V211" s="14">
        <f>ROUND((IF(Q211=1,INDEX(新属性投放!$K$14:$K$34,卡牌属性!R211),INDEX(新属性投放!$K$42:$K$62,卡牌属性!R211))+IF(Q211=1,INDEX(新属性投放!S$20:S$23,卡牌属性!M211-1),INDEX(新属性投放!S$25:S$28,卡牌属性!M211-1)))*INDEX($G$5:$G$42,L211),2)</f>
        <v>10759.48</v>
      </c>
      <c r="W211" s="29" t="s">
        <v>179</v>
      </c>
      <c r="X211" s="14">
        <f>ROUND((IF(Q211=1,INDEX(新属性投放!$L$14:$L$34,卡牌属性!R211),INDEX(新属性投放!$L$42:$L$62,卡牌属性!R211))*INDEX($G$5:$G$42,L211)+IF(Q211=1,INDEX(新属性投放!T$20:T$23,卡牌属性!M211-1),INDEX(新属性投放!T$25:T$28,卡牌属性!M211-1)))*SQRT(INDEX($I$5:$I$42,L211)),2)</f>
        <v>65605.5</v>
      </c>
      <c r="Y211" s="29" t="s">
        <v>177</v>
      </c>
      <c r="Z211" s="14">
        <f>ROUND(IF(Q211=1,INDEX(新属性投放!$D$14:$D$34,卡牌属性!R211),INDEX(新属性投放!$D$42:$D$62,卡牌属性!R211))*INDEX($G$5:$G$42,L211)/SQRT(INDEX($I$5:$I$42,L211)),2)</f>
        <v>540.38</v>
      </c>
      <c r="AA211" s="29" t="s">
        <v>178</v>
      </c>
      <c r="AB211" s="14">
        <f>ROUND(IF(Q211=1,INDEX(新属性投放!$E$14:$E$34,卡牌属性!R211),INDEX(新属性投放!$E$42:$E$62,卡牌属性!R211))*INDEX($G$5:$G$42,L211),2)</f>
        <v>270.19</v>
      </c>
      <c r="AC211" s="29" t="s">
        <v>179</v>
      </c>
      <c r="AD211" s="14">
        <f>ROUND(IF(Q211=1,INDEX(新属性投放!$F$14:$F$34,卡牌属性!R211),INDEX(新属性投放!$F$42:$F$62,卡牌属性!R211))*INDEX($G$5:$G$42,L211)*SQRT(INDEX($I$5:$I$42,L211)),2)</f>
        <v>1621.15</v>
      </c>
      <c r="AF211" s="14">
        <f t="shared" si="94"/>
        <v>5403</v>
      </c>
      <c r="AG211" s="14">
        <f t="shared" si="95"/>
        <v>2701</v>
      </c>
      <c r="AH211" s="14">
        <f t="shared" si="96"/>
        <v>16211</v>
      </c>
      <c r="AJ211" s="14">
        <f t="shared" si="85"/>
        <v>35890</v>
      </c>
      <c r="AK211" s="14">
        <f t="shared" si="86"/>
        <v>17938</v>
      </c>
      <c r="AL211" s="14">
        <f t="shared" si="87"/>
        <v>107682</v>
      </c>
    </row>
    <row r="212" spans="11:38" ht="16.5" x14ac:dyDescent="0.2">
      <c r="K212" s="13">
        <v>209</v>
      </c>
      <c r="L212" s="13">
        <f t="shared" si="88"/>
        <v>10</v>
      </c>
      <c r="M212" s="13">
        <f t="shared" si="89"/>
        <v>4</v>
      </c>
      <c r="N212" s="14">
        <f t="shared" si="90"/>
        <v>1101010</v>
      </c>
      <c r="O212" s="14" t="str">
        <f t="shared" si="91"/>
        <v>盖文20突</v>
      </c>
      <c r="P212" s="29" t="s">
        <v>470</v>
      </c>
      <c r="Q212" s="14">
        <f t="shared" si="92"/>
        <v>1</v>
      </c>
      <c r="R212" s="14">
        <f t="shared" si="93"/>
        <v>20</v>
      </c>
      <c r="S212" s="14" t="s">
        <v>39</v>
      </c>
      <c r="T212" s="14">
        <f>ROUND(((IF(Q212=1,INDEX(新属性投放!$J$14:$J$34,卡牌属性!R212),INDEX(新属性投放!$J$42:$J$62,卡牌属性!R212)))*INDEX($G$5:$G$42,L212)+IF(Q212=1,INDEX(新属性投放!R$20:R$23,卡牌属性!M212-1),INDEX(新属性投放!R$25:R$28,卡牌属性!M212-1)))/SQRT(INDEX($I$5:$I$42,L212)),2)</f>
        <v>25093.09</v>
      </c>
      <c r="U212" s="29" t="s">
        <v>178</v>
      </c>
      <c r="V212" s="14">
        <f>ROUND((IF(Q212=1,INDEX(新属性投放!$K$14:$K$34,卡牌属性!R212),INDEX(新属性投放!$K$42:$K$62,卡牌属性!R212))+IF(Q212=1,INDEX(新属性投放!S$20:S$23,卡牌属性!M212-1),INDEX(新属性投放!S$25:S$28,卡牌属性!M212-1)))*INDEX($G$5:$G$42,L212),2)</f>
        <v>12448.44</v>
      </c>
      <c r="W212" s="29" t="s">
        <v>179</v>
      </c>
      <c r="X212" s="14">
        <f>ROUND((IF(Q212=1,INDEX(新属性投放!$L$14:$L$34,卡牌属性!R212),INDEX(新属性投放!$L$42:$L$62,卡牌属性!R212))*INDEX($G$5:$G$42,L212)+IF(Q212=1,INDEX(新属性投放!T$20:T$23,卡牌属性!M212-1),INDEX(新属性投放!T$25:T$28,卡牌属性!M212-1)))*SQRT(INDEX($I$5:$I$42,L212)),2)</f>
        <v>75739.259999999995</v>
      </c>
      <c r="Y212" s="29" t="s">
        <v>177</v>
      </c>
      <c r="Z212" s="14">
        <f>ROUND(IF(Q212=1,INDEX(新属性投放!$D$14:$D$34,卡牌属性!R212),INDEX(新属性投放!$D$42:$D$62,卡牌属性!R212))*INDEX($G$5:$G$42,L212)/SQRT(INDEX($I$5:$I$42,L212)),2)</f>
        <v>624.83000000000004</v>
      </c>
      <c r="AA212" s="29" t="s">
        <v>178</v>
      </c>
      <c r="AB212" s="14">
        <f>ROUND(IF(Q212=1,INDEX(新属性投放!$E$14:$E$34,卡牌属性!R212),INDEX(新属性投放!$E$42:$E$62,卡牌属性!R212))*INDEX($G$5:$G$42,L212),2)</f>
        <v>312.42</v>
      </c>
      <c r="AC212" s="29" t="s">
        <v>179</v>
      </c>
      <c r="AD212" s="14">
        <f>ROUND(IF(Q212=1,INDEX(新属性投放!$F$14:$F$34,卡牌属性!R212),INDEX(新属性投放!$F$42:$F$62,卡牌属性!R212))*INDEX($G$5:$G$42,L212)*SQRT(INDEX($I$5:$I$42,L212)),2)</f>
        <v>1874.5</v>
      </c>
      <c r="AF212" s="14">
        <f t="shared" si="94"/>
        <v>6248</v>
      </c>
      <c r="AG212" s="14">
        <f t="shared" si="95"/>
        <v>3124</v>
      </c>
      <c r="AH212" s="14">
        <f t="shared" si="96"/>
        <v>18745</v>
      </c>
      <c r="AJ212" s="14">
        <f t="shared" si="85"/>
        <v>42138</v>
      </c>
      <c r="AK212" s="14">
        <f t="shared" si="86"/>
        <v>21062</v>
      </c>
      <c r="AL212" s="14">
        <f t="shared" si="87"/>
        <v>126427</v>
      </c>
    </row>
    <row r="213" spans="11:38" ht="16.5" x14ac:dyDescent="0.2">
      <c r="K213" s="13">
        <v>210</v>
      </c>
      <c r="L213" s="13">
        <f t="shared" si="88"/>
        <v>10</v>
      </c>
      <c r="M213" s="13">
        <f t="shared" si="89"/>
        <v>4</v>
      </c>
      <c r="N213" s="14">
        <f t="shared" si="90"/>
        <v>1101010</v>
      </c>
      <c r="O213" s="14" t="str">
        <f t="shared" si="91"/>
        <v>盖文21突</v>
      </c>
      <c r="P213" s="29" t="s">
        <v>470</v>
      </c>
      <c r="Q213" s="14">
        <f t="shared" si="92"/>
        <v>1</v>
      </c>
      <c r="R213" s="14">
        <f t="shared" si="93"/>
        <v>21</v>
      </c>
      <c r="S213" s="14" t="s">
        <v>39</v>
      </c>
      <c r="T213" s="14">
        <f>ROUND(((IF(Q213=1,INDEX(新属性投放!$J$14:$J$34,卡牌属性!R213),INDEX(新属性投放!$J$42:$J$62,卡牌属性!R213)))*INDEX($G$5:$G$42,L213)+IF(Q213=1,INDEX(新属性投放!R$20:R$23,卡牌属性!M213-1),INDEX(新属性投放!R$25:R$28,卡牌属性!M213-1)))/SQRT(INDEX($I$5:$I$42,L213)),2)</f>
        <v>28998.55</v>
      </c>
      <c r="U213" s="29" t="s">
        <v>178</v>
      </c>
      <c r="V213" s="14">
        <f>ROUND((IF(Q213=1,INDEX(新属性投放!$K$14:$K$34,卡牌属性!R213),INDEX(新属性投放!$K$42:$K$62,卡牌属性!R213))+IF(Q213=1,INDEX(新属性投放!S$20:S$23,卡牌属性!M213-1),INDEX(新属性投放!S$25:S$28,卡牌属性!M213-1)))*INDEX($G$5:$G$42,L213),2)</f>
        <v>14400.52</v>
      </c>
      <c r="W213" s="29" t="s">
        <v>179</v>
      </c>
      <c r="X213" s="14">
        <f>ROUND((IF(Q213=1,INDEX(新属性投放!$L$14:$L$34,卡牌属性!R213),INDEX(新属性投放!$L$42:$L$62,卡牌属性!R213))*INDEX($G$5:$G$42,L213)+IF(Q213=1,INDEX(新属性投放!T$20:T$23,卡牌属性!M213-1),INDEX(新属性投放!T$25:T$28,卡牌属性!M213-1)))*SQRT(INDEX($I$5:$I$42,L213)),2)</f>
        <v>87455.64</v>
      </c>
      <c r="Y213" s="29" t="s">
        <v>177</v>
      </c>
      <c r="Z213" s="14">
        <f>ROUND(IF(Q213=1,INDEX(新属性投放!$D$14:$D$34,卡牌属性!R213),INDEX(新属性投放!$D$42:$D$62,卡牌属性!R213))*INDEX($G$5:$G$42,L213)/SQRT(INDEX($I$5:$I$42,L213)),2)</f>
        <v>722.46</v>
      </c>
      <c r="AA213" s="29" t="s">
        <v>178</v>
      </c>
      <c r="AB213" s="14">
        <f>ROUND(IF(Q213=1,INDEX(新属性投放!$E$14:$E$34,卡牌属性!R213),INDEX(新属性投放!$E$42:$E$62,卡牌属性!R213))*INDEX($G$5:$G$42,L213),2)</f>
        <v>361.23</v>
      </c>
      <c r="AC213" s="29" t="s">
        <v>179</v>
      </c>
      <c r="AD213" s="14">
        <f>ROUND(IF(Q213=1,INDEX(新属性投放!$F$14:$F$34,卡牌属性!R213),INDEX(新属性投放!$F$42:$F$62,卡牌属性!R213))*INDEX($G$5:$G$42,L213)*SQRT(INDEX($I$5:$I$42,L213)),2)</f>
        <v>2167.39</v>
      </c>
      <c r="AF213" s="14">
        <f t="shared" si="94"/>
        <v>7224</v>
      </c>
      <c r="AG213" s="14">
        <f t="shared" si="95"/>
        <v>3612</v>
      </c>
      <c r="AH213" s="14">
        <f t="shared" si="96"/>
        <v>21673</v>
      </c>
      <c r="AJ213" s="14">
        <f t="shared" si="85"/>
        <v>49362</v>
      </c>
      <c r="AK213" s="14">
        <f t="shared" si="86"/>
        <v>24674</v>
      </c>
      <c r="AL213" s="14">
        <f t="shared" si="87"/>
        <v>148100</v>
      </c>
    </row>
    <row r="214" spans="11:38" ht="16.5" x14ac:dyDescent="0.2">
      <c r="K214" s="13">
        <v>211</v>
      </c>
      <c r="L214" s="13">
        <f t="shared" si="88"/>
        <v>11</v>
      </c>
      <c r="M214" s="13">
        <f t="shared" si="89"/>
        <v>3</v>
      </c>
      <c r="N214" s="14">
        <f t="shared" si="90"/>
        <v>1101011</v>
      </c>
      <c r="O214" s="14" t="str">
        <f t="shared" si="91"/>
        <v>阎风吒1突</v>
      </c>
      <c r="P214" s="29" t="s">
        <v>470</v>
      </c>
      <c r="Q214" s="14">
        <f t="shared" si="92"/>
        <v>1</v>
      </c>
      <c r="R214" s="14">
        <f t="shared" si="93"/>
        <v>1</v>
      </c>
      <c r="S214" s="14" t="s">
        <v>39</v>
      </c>
      <c r="T214" s="14">
        <f>ROUND(((IF(Q214=1,INDEX(新属性投放!$J$14:$J$34,卡牌属性!R214),INDEX(新属性投放!$J$42:$J$62,卡牌属性!R214)))*INDEX($G$5:$G$42,L214)+IF(Q214=1,INDEX(新属性投放!R$20:R$23,卡牌属性!M214-1),INDEX(新属性投放!R$25:R$28,卡牌属性!M214-1)))/SQRT(INDEX($I$5:$I$42,L214)),2)</f>
        <v>165</v>
      </c>
      <c r="U214" s="29" t="s">
        <v>178</v>
      </c>
      <c r="V214" s="14">
        <f>ROUND((IF(Q214=1,INDEX(新属性投放!$K$14:$K$34,卡牌属性!R214),INDEX(新属性投放!$K$42:$K$62,卡牌属性!R214))+IF(Q214=1,INDEX(新属性投放!S$20:S$23,卡牌属性!M214-1),INDEX(新属性投放!S$25:S$28,卡牌属性!M214-1)))*INDEX($G$5:$G$42,L214),2)</f>
        <v>0</v>
      </c>
      <c r="W214" s="29" t="s">
        <v>179</v>
      </c>
      <c r="X214" s="14">
        <f>ROUND((IF(Q214=1,INDEX(新属性投放!$L$14:$L$34,卡牌属性!R214),INDEX(新属性投放!$L$42:$L$62,卡牌属性!R214))*INDEX($G$5:$G$42,L214)+IF(Q214=1,INDEX(新属性投放!T$20:T$23,卡牌属性!M214-1),INDEX(新属性投放!T$25:T$28,卡牌属性!M214-1)))*SQRT(INDEX($I$5:$I$42,L214)),2)</f>
        <v>1075</v>
      </c>
      <c r="Y214" s="29" t="s">
        <v>177</v>
      </c>
      <c r="Z214" s="14">
        <f>ROUND(IF(Q214=1,INDEX(新属性投放!$D$14:$D$34,卡牌属性!R214),INDEX(新属性投放!$D$42:$D$62,卡牌属性!R214))*INDEX($G$5:$G$42,L214)/SQRT(INDEX($I$5:$I$42,L214)),2)</f>
        <v>17.25</v>
      </c>
      <c r="AA214" s="29" t="s">
        <v>178</v>
      </c>
      <c r="AB214" s="14">
        <f>ROUND(IF(Q214=1,INDEX(新属性投放!$E$14:$E$34,卡牌属性!R214),INDEX(新属性投放!$E$42:$E$62,卡牌属性!R214))*INDEX($G$5:$G$42,L214),2)</f>
        <v>8.6300000000000008</v>
      </c>
      <c r="AC214" s="29" t="s">
        <v>179</v>
      </c>
      <c r="AD214" s="14">
        <f>ROUND(IF(Q214=1,INDEX(新属性投放!$F$14:$F$34,卡牌属性!R214),INDEX(新属性投放!$F$42:$F$62,卡牌属性!R214))*INDEX($G$5:$G$42,L214)*SQRT(INDEX($I$5:$I$42,L214)),2)</f>
        <v>51.75</v>
      </c>
      <c r="AF214" s="14">
        <f t="shared" si="94"/>
        <v>172</v>
      </c>
      <c r="AG214" s="14">
        <f t="shared" si="95"/>
        <v>86</v>
      </c>
      <c r="AH214" s="14">
        <f t="shared" si="96"/>
        <v>517</v>
      </c>
      <c r="AJ214" s="14">
        <f t="shared" ref="AJ214" si="97">AF214</f>
        <v>172</v>
      </c>
      <c r="AK214" s="14">
        <f t="shared" ref="AK214" si="98">AG214</f>
        <v>86</v>
      </c>
      <c r="AL214" s="14">
        <f t="shared" ref="AL214" si="99">AH214</f>
        <v>517</v>
      </c>
    </row>
    <row r="215" spans="11:38" ht="16.5" x14ac:dyDescent="0.2">
      <c r="K215" s="13">
        <v>212</v>
      </c>
      <c r="L215" s="13">
        <f t="shared" si="88"/>
        <v>11</v>
      </c>
      <c r="M215" s="13">
        <f t="shared" si="89"/>
        <v>3</v>
      </c>
      <c r="N215" s="14">
        <f t="shared" si="90"/>
        <v>1101011</v>
      </c>
      <c r="O215" s="14" t="str">
        <f t="shared" si="91"/>
        <v>阎风吒2突</v>
      </c>
      <c r="P215" s="29" t="s">
        <v>470</v>
      </c>
      <c r="Q215" s="14">
        <f t="shared" si="92"/>
        <v>1</v>
      </c>
      <c r="R215" s="14">
        <f t="shared" si="93"/>
        <v>2</v>
      </c>
      <c r="S215" s="14" t="s">
        <v>39</v>
      </c>
      <c r="T215" s="14">
        <f>ROUND(((IF(Q215=1,INDEX(新属性投放!$J$14:$J$34,卡牌属性!R215),INDEX(新属性投放!$J$42:$J$62,卡牌属性!R215)))*INDEX($G$5:$G$42,L215)+IF(Q215=1,INDEX(新属性投放!R$20:R$23,卡牌属性!M215-1),INDEX(新属性投放!R$25:R$28,卡牌属性!M215-1)))/SQRT(INDEX($I$5:$I$42,L215)),2)</f>
        <v>331.75</v>
      </c>
      <c r="U215" s="29" t="s">
        <v>178</v>
      </c>
      <c r="V215" s="14">
        <f>ROUND((IF(Q215=1,INDEX(新属性投放!$K$14:$K$34,卡牌属性!R215),INDEX(新属性投放!$K$42:$K$62,卡牌属性!R215))+IF(Q215=1,INDEX(新属性投放!S$20:S$23,卡牌属性!M215-1),INDEX(新属性投放!S$25:S$28,卡牌属性!M215-1)))*INDEX($G$5:$G$42,L215),2)</f>
        <v>97.18</v>
      </c>
      <c r="W215" s="29" t="s">
        <v>179</v>
      </c>
      <c r="X215" s="14">
        <f>ROUND((IF(Q215=1,INDEX(新属性投放!$L$14:$L$34,卡牌属性!R215),INDEX(新属性投放!$L$42:$L$62,卡牌属性!R215))*INDEX($G$5:$G$42,L215)+IF(Q215=1,INDEX(新属性投放!T$20:T$23,卡牌属性!M215-1),INDEX(新属性投放!T$25:T$28,卡牌属性!M215-1)))*SQRT(INDEX($I$5:$I$42,L215)),2)</f>
        <v>1575.25</v>
      </c>
      <c r="Y215" s="29" t="s">
        <v>177</v>
      </c>
      <c r="Z215" s="14">
        <f>ROUND(IF(Q215=1,INDEX(新属性投放!$D$14:$D$34,卡牌属性!R215),INDEX(新属性投放!$D$42:$D$62,卡牌属性!R215))*INDEX($G$5:$G$42,L215)/SQRT(INDEX($I$5:$I$42,L215)),2)</f>
        <v>15.84</v>
      </c>
      <c r="AA215" s="29" t="s">
        <v>178</v>
      </c>
      <c r="AB215" s="14">
        <f>ROUND(IF(Q215=1,INDEX(新属性投放!$E$14:$E$34,卡牌属性!R215),INDEX(新属性投放!$E$42:$E$62,卡牌属性!R215))*INDEX($G$5:$G$42,L215),2)</f>
        <v>7.92</v>
      </c>
      <c r="AC215" s="29" t="s">
        <v>179</v>
      </c>
      <c r="AD215" s="14">
        <f>ROUND(IF(Q215=1,INDEX(新属性投放!$F$14:$F$34,卡牌属性!R215),INDEX(新属性投放!$F$42:$F$62,卡牌属性!R215))*INDEX($G$5:$G$42,L215)*SQRT(INDEX($I$5:$I$42,L215)),2)</f>
        <v>47.51</v>
      </c>
      <c r="AF215" s="14">
        <f t="shared" si="94"/>
        <v>158</v>
      </c>
      <c r="AG215" s="14">
        <f t="shared" si="95"/>
        <v>79</v>
      </c>
      <c r="AH215" s="14">
        <f t="shared" si="96"/>
        <v>475</v>
      </c>
      <c r="AJ215" s="14">
        <f t="shared" ref="AJ215:AJ234" si="100">AJ214+AF215</f>
        <v>330</v>
      </c>
      <c r="AK215" s="14">
        <f t="shared" ref="AK215:AK234" si="101">AK214+AG215</f>
        <v>165</v>
      </c>
      <c r="AL215" s="14">
        <f t="shared" ref="AL215:AL234" si="102">AL214+AH215</f>
        <v>992</v>
      </c>
    </row>
    <row r="216" spans="11:38" ht="16.5" x14ac:dyDescent="0.2">
      <c r="K216" s="13">
        <v>213</v>
      </c>
      <c r="L216" s="13">
        <f t="shared" si="88"/>
        <v>11</v>
      </c>
      <c r="M216" s="13">
        <f t="shared" si="89"/>
        <v>3</v>
      </c>
      <c r="N216" s="14">
        <f t="shared" si="90"/>
        <v>1101011</v>
      </c>
      <c r="O216" s="14" t="str">
        <f t="shared" si="91"/>
        <v>阎风吒3突</v>
      </c>
      <c r="P216" s="29" t="s">
        <v>470</v>
      </c>
      <c r="Q216" s="14">
        <f t="shared" si="92"/>
        <v>1</v>
      </c>
      <c r="R216" s="14">
        <f t="shared" si="93"/>
        <v>3</v>
      </c>
      <c r="S216" s="14" t="s">
        <v>39</v>
      </c>
      <c r="T216" s="14">
        <f>ROUND(((IF(Q216=1,INDEX(新属性投放!$J$14:$J$34,卡牌属性!R216),INDEX(新属性投放!$J$42:$J$62,卡牌属性!R216)))*INDEX($G$5:$G$42,L216)+IF(Q216=1,INDEX(新属性投放!R$20:R$23,卡牌属性!M216-1),INDEX(新属性投放!R$25:R$28,卡牌属性!M216-1)))/SQRT(INDEX($I$5:$I$42,L216)),2)</f>
        <v>529.21</v>
      </c>
      <c r="U216" s="29" t="s">
        <v>178</v>
      </c>
      <c r="V216" s="14">
        <f>ROUND((IF(Q216=1,INDEX(新属性投放!$K$14:$K$34,卡牌属性!R216),INDEX(新属性投放!$K$42:$K$62,卡牌属性!R216))+IF(Q216=1,INDEX(新属性投放!S$20:S$23,卡牌属性!M216-1),INDEX(新属性投放!S$25:S$28,卡牌属性!M216-1)))*INDEX($G$5:$G$42,L216),2)</f>
        <v>195.9</v>
      </c>
      <c r="W216" s="29" t="s">
        <v>179</v>
      </c>
      <c r="X216" s="14">
        <f>ROUND((IF(Q216=1,INDEX(新属性投放!$L$14:$L$34,卡牌属性!R216),INDEX(新属性投放!$L$42:$L$62,卡牌属性!R216))*INDEX($G$5:$G$42,L216)+IF(Q216=1,INDEX(新属性投放!T$20:T$23,卡牌属性!M216-1),INDEX(新属性投放!T$25:T$28,卡牌属性!M216-1)))*SQRT(INDEX($I$5:$I$42,L216)),2)</f>
        <v>2167.62</v>
      </c>
      <c r="Y216" s="29" t="s">
        <v>177</v>
      </c>
      <c r="Z216" s="14">
        <f>ROUND(IF(Q216=1,INDEX(新属性投放!$D$14:$D$34,卡牌属性!R216),INDEX(新属性投放!$D$42:$D$62,卡牌属性!R216))*INDEX($G$5:$G$42,L216)/SQRT(INDEX($I$5:$I$42,L216)),2)</f>
        <v>28.95</v>
      </c>
      <c r="AA216" s="29" t="s">
        <v>178</v>
      </c>
      <c r="AB216" s="14">
        <f>ROUND(IF(Q216=1,INDEX(新属性投放!$E$14:$E$34,卡牌属性!R216),INDEX(新属性投放!$E$42:$E$62,卡牌属性!R216))*INDEX($G$5:$G$42,L216),2)</f>
        <v>14.47</v>
      </c>
      <c r="AC216" s="29" t="s">
        <v>179</v>
      </c>
      <c r="AD216" s="14">
        <f>ROUND(IF(Q216=1,INDEX(新属性投放!$F$14:$F$34,卡牌属性!R216),INDEX(新属性投放!$F$42:$F$62,卡牌属性!R216))*INDEX($G$5:$G$42,L216)*SQRT(INDEX($I$5:$I$42,L216)),2)</f>
        <v>86.84</v>
      </c>
      <c r="AF216" s="14">
        <f t="shared" si="94"/>
        <v>289</v>
      </c>
      <c r="AG216" s="14">
        <f t="shared" si="95"/>
        <v>144</v>
      </c>
      <c r="AH216" s="14">
        <f t="shared" si="96"/>
        <v>868</v>
      </c>
      <c r="AJ216" s="14">
        <f t="shared" si="100"/>
        <v>619</v>
      </c>
      <c r="AK216" s="14">
        <f t="shared" si="101"/>
        <v>309</v>
      </c>
      <c r="AL216" s="14">
        <f t="shared" si="102"/>
        <v>1860</v>
      </c>
    </row>
    <row r="217" spans="11:38" ht="16.5" x14ac:dyDescent="0.2">
      <c r="K217" s="13">
        <v>214</v>
      </c>
      <c r="L217" s="13">
        <f t="shared" si="88"/>
        <v>11</v>
      </c>
      <c r="M217" s="13">
        <f t="shared" si="89"/>
        <v>3</v>
      </c>
      <c r="N217" s="14">
        <f t="shared" si="90"/>
        <v>1101011</v>
      </c>
      <c r="O217" s="14" t="str">
        <f t="shared" si="91"/>
        <v>阎风吒4突</v>
      </c>
      <c r="P217" s="29" t="s">
        <v>470</v>
      </c>
      <c r="Q217" s="14">
        <f t="shared" si="92"/>
        <v>1</v>
      </c>
      <c r="R217" s="14">
        <f t="shared" si="93"/>
        <v>4</v>
      </c>
      <c r="S217" s="14" t="s">
        <v>39</v>
      </c>
      <c r="T217" s="14">
        <f>ROUND(((IF(Q217=1,INDEX(新属性投放!$J$14:$J$34,卡牌属性!R217),INDEX(新属性投放!$J$42:$J$62,卡牌属性!R217)))*INDEX($G$5:$G$42,L217)+IF(Q217=1,INDEX(新属性投放!R$20:R$23,卡牌属性!M217-1),INDEX(新属性投放!R$25:R$28,卡牌属性!M217-1)))/SQRT(INDEX($I$5:$I$42,L217)),2)</f>
        <v>891.11</v>
      </c>
      <c r="U217" s="29" t="s">
        <v>178</v>
      </c>
      <c r="V217" s="14">
        <f>ROUND((IF(Q217=1,INDEX(新属性投放!$K$14:$K$34,卡牌属性!R217),INDEX(新属性投放!$K$42:$K$62,卡牌属性!R217))+IF(Q217=1,INDEX(新属性投放!S$20:S$23,卡牌属性!M217-1),INDEX(新属性投放!S$25:S$28,卡牌属性!M217-1)))*INDEX($G$5:$G$42,L217),2)</f>
        <v>376.28</v>
      </c>
      <c r="W217" s="29" t="s">
        <v>179</v>
      </c>
      <c r="X217" s="14">
        <f>ROUND((IF(Q217=1,INDEX(新属性投放!$L$14:$L$34,卡牌属性!R217),INDEX(新属性投放!$L$42:$L$62,卡牌属性!R217))*INDEX($G$5:$G$42,L217)+IF(Q217=1,INDEX(新属性投放!T$20:T$23,卡牌属性!M217-1),INDEX(新属性投放!T$25:T$28,卡牌属性!M217-1)))*SQRT(INDEX($I$5:$I$42,L217)),2)</f>
        <v>3253.33</v>
      </c>
      <c r="Y217" s="29" t="s">
        <v>177</v>
      </c>
      <c r="Z217" s="14">
        <f>ROUND(IF(Q217=1,INDEX(新属性投放!$D$14:$D$34,卡牌属性!R217),INDEX(新属性投放!$D$42:$D$62,卡牌属性!R217))*INDEX($G$5:$G$42,L217)/SQRT(INDEX($I$5:$I$42,L217)),2)</f>
        <v>34.65</v>
      </c>
      <c r="AA217" s="29" t="s">
        <v>178</v>
      </c>
      <c r="AB217" s="14">
        <f>ROUND(IF(Q217=1,INDEX(新属性投放!$E$14:$E$34,卡牌属性!R217),INDEX(新属性投放!$E$42:$E$62,卡牌属性!R217))*INDEX($G$5:$G$42,L217),2)</f>
        <v>17.32</v>
      </c>
      <c r="AC217" s="29" t="s">
        <v>179</v>
      </c>
      <c r="AD217" s="14">
        <f>ROUND(IF(Q217=1,INDEX(新属性投放!$F$14:$F$34,卡牌属性!R217),INDEX(新属性投放!$F$42:$F$62,卡牌属性!R217))*INDEX($G$5:$G$42,L217)*SQRT(INDEX($I$5:$I$42,L217)),2)</f>
        <v>103.95</v>
      </c>
      <c r="AF217" s="14">
        <f t="shared" si="94"/>
        <v>346</v>
      </c>
      <c r="AG217" s="14">
        <f t="shared" si="95"/>
        <v>173</v>
      </c>
      <c r="AH217" s="14">
        <f t="shared" si="96"/>
        <v>1039</v>
      </c>
      <c r="AJ217" s="14">
        <f t="shared" si="100"/>
        <v>965</v>
      </c>
      <c r="AK217" s="14">
        <f t="shared" si="101"/>
        <v>482</v>
      </c>
      <c r="AL217" s="14">
        <f t="shared" si="102"/>
        <v>2899</v>
      </c>
    </row>
    <row r="218" spans="11:38" ht="16.5" x14ac:dyDescent="0.2">
      <c r="K218" s="13">
        <v>215</v>
      </c>
      <c r="L218" s="13">
        <f t="shared" si="88"/>
        <v>11</v>
      </c>
      <c r="M218" s="13">
        <f t="shared" si="89"/>
        <v>3</v>
      </c>
      <c r="N218" s="14">
        <f t="shared" si="90"/>
        <v>1101011</v>
      </c>
      <c r="O218" s="14" t="str">
        <f t="shared" si="91"/>
        <v>阎风吒5突</v>
      </c>
      <c r="P218" s="29" t="s">
        <v>470</v>
      </c>
      <c r="Q218" s="14">
        <f t="shared" si="92"/>
        <v>1</v>
      </c>
      <c r="R218" s="14">
        <f t="shared" si="93"/>
        <v>5</v>
      </c>
      <c r="S218" s="14" t="s">
        <v>39</v>
      </c>
      <c r="T218" s="14">
        <f>ROUND(((IF(Q218=1,INDEX(新属性投放!$J$14:$J$34,卡牌属性!R218),INDEX(新属性投放!$J$42:$J$62,卡牌属性!R218)))*INDEX($G$5:$G$42,L218)+IF(Q218=1,INDEX(新属性投放!R$20:R$23,卡牌属性!M218-1),INDEX(新属性投放!R$25:R$28,卡牌属性!M218-1)))/SQRT(INDEX($I$5:$I$42,L218)),2)</f>
        <v>1323.86</v>
      </c>
      <c r="U218" s="29" t="s">
        <v>178</v>
      </c>
      <c r="V218" s="14">
        <f>ROUND((IF(Q218=1,INDEX(新属性投放!$K$14:$K$34,卡牌属性!R218),INDEX(新属性投放!$K$42:$K$62,卡牌属性!R218))+IF(Q218=1,INDEX(新属性投放!S$20:S$23,卡牌属性!M218-1),INDEX(新属性投放!S$25:S$28,卡牌属性!M218-1)))*INDEX($G$5:$G$42,L218),2)</f>
        <v>593.23</v>
      </c>
      <c r="W218" s="29" t="s">
        <v>179</v>
      </c>
      <c r="X218" s="14">
        <f>ROUND((IF(Q218=1,INDEX(新属性投放!$L$14:$L$34,卡牌属性!R218),INDEX(新属性投放!$L$42:$L$62,卡牌属性!R218))*INDEX($G$5:$G$42,L218)+IF(Q218=1,INDEX(新属性投放!T$20:T$23,卡牌属性!M218-1),INDEX(新属性投放!T$25:T$28,卡牌属性!M218-1)))*SQRT(INDEX($I$5:$I$42,L218)),2)</f>
        <v>4551.57</v>
      </c>
      <c r="Y218" s="29" t="s">
        <v>177</v>
      </c>
      <c r="Z218" s="14">
        <f>ROUND(IF(Q218=1,INDEX(新属性投放!$D$14:$D$34,卡牌属性!R218),INDEX(新属性投放!$D$42:$D$62,卡牌属性!R218))*INDEX($G$5:$G$42,L218)/SQRT(INDEX($I$5:$I$42,L218)),2)</f>
        <v>43.31</v>
      </c>
      <c r="AA218" s="29" t="s">
        <v>178</v>
      </c>
      <c r="AB218" s="14">
        <f>ROUND(IF(Q218=1,INDEX(新属性投放!$E$14:$E$34,卡牌属性!R218),INDEX(新属性投放!$E$42:$E$62,卡牌属性!R218))*INDEX($G$5:$G$42,L218),2)</f>
        <v>21.65</v>
      </c>
      <c r="AC218" s="29" t="s">
        <v>179</v>
      </c>
      <c r="AD218" s="14">
        <f>ROUND(IF(Q218=1,INDEX(新属性投放!$F$14:$F$34,卡牌属性!R218),INDEX(新属性投放!$F$42:$F$62,卡牌属性!R218))*INDEX($G$5:$G$42,L218)*SQRT(INDEX($I$5:$I$42,L218)),2)</f>
        <v>129.93</v>
      </c>
      <c r="AF218" s="14">
        <f t="shared" si="94"/>
        <v>433</v>
      </c>
      <c r="AG218" s="14">
        <f t="shared" si="95"/>
        <v>216</v>
      </c>
      <c r="AH218" s="14">
        <f t="shared" si="96"/>
        <v>1299</v>
      </c>
      <c r="AJ218" s="14">
        <f t="shared" si="100"/>
        <v>1398</v>
      </c>
      <c r="AK218" s="14">
        <f t="shared" si="101"/>
        <v>698</v>
      </c>
      <c r="AL218" s="14">
        <f t="shared" si="102"/>
        <v>4198</v>
      </c>
    </row>
    <row r="219" spans="11:38" ht="16.5" x14ac:dyDescent="0.2">
      <c r="K219" s="13">
        <v>216</v>
      </c>
      <c r="L219" s="13">
        <f t="shared" si="88"/>
        <v>11</v>
      </c>
      <c r="M219" s="13">
        <f t="shared" si="89"/>
        <v>3</v>
      </c>
      <c r="N219" s="14">
        <f t="shared" si="90"/>
        <v>1101011</v>
      </c>
      <c r="O219" s="14" t="str">
        <f t="shared" si="91"/>
        <v>阎风吒6突</v>
      </c>
      <c r="P219" s="29" t="s">
        <v>470</v>
      </c>
      <c r="Q219" s="14">
        <f t="shared" si="92"/>
        <v>1</v>
      </c>
      <c r="R219" s="14">
        <f t="shared" si="93"/>
        <v>6</v>
      </c>
      <c r="S219" s="14" t="s">
        <v>39</v>
      </c>
      <c r="T219" s="14">
        <f>ROUND(((IF(Q219=1,INDEX(新属性投放!$J$14:$J$34,卡牌属性!R219),INDEX(新属性投放!$J$42:$J$62,卡牌属性!R219)))*INDEX($G$5:$G$42,L219)+IF(Q219=1,INDEX(新属性投放!R$20:R$23,卡牌属性!M219-1),INDEX(新属性投放!R$25:R$28,卡牌属性!M219-1)))/SQRT(INDEX($I$5:$I$42,L219)),2)</f>
        <v>1865.05</v>
      </c>
      <c r="U219" s="29" t="s">
        <v>178</v>
      </c>
      <c r="V219" s="14">
        <f>ROUND((IF(Q219=1,INDEX(新属性投放!$K$14:$K$34,卡牌属性!R219),INDEX(新属性投放!$K$42:$K$62,卡牌属性!R219))+IF(Q219=1,INDEX(新属性投放!S$20:S$23,卡牌属性!M219-1),INDEX(新属性投放!S$25:S$28,卡牌属性!M219-1)))*INDEX($G$5:$G$42,L219),2)</f>
        <v>863.82</v>
      </c>
      <c r="W219" s="29" t="s">
        <v>179</v>
      </c>
      <c r="X219" s="14">
        <f>ROUND((IF(Q219=1,INDEX(新属性投放!$L$14:$L$34,卡牌属性!R219),INDEX(新属性投放!$L$42:$L$62,卡牌属性!R219))*INDEX($G$5:$G$42,L219)+IF(Q219=1,INDEX(新属性投放!T$20:T$23,卡牌属性!M219-1),INDEX(新属性投放!T$25:T$28,卡牌属性!M219-1)))*SQRT(INDEX($I$5:$I$42,L219)),2)</f>
        <v>6175.14</v>
      </c>
      <c r="Y219" s="29" t="s">
        <v>177</v>
      </c>
      <c r="Z219" s="14">
        <f>ROUND(IF(Q219=1,INDEX(新属性投放!$D$14:$D$34,卡牌属性!R219),INDEX(新属性投放!$D$42:$D$62,卡牌属性!R219))*INDEX($G$5:$G$42,L219)/SQRT(INDEX($I$5:$I$42,L219)),2)</f>
        <v>56.18</v>
      </c>
      <c r="AA219" s="29" t="s">
        <v>178</v>
      </c>
      <c r="AB219" s="14">
        <f>ROUND(IF(Q219=1,INDEX(新属性投放!$E$14:$E$34,卡牌属性!R219),INDEX(新属性投放!$E$42:$E$62,卡牌属性!R219))*INDEX($G$5:$G$42,L219),2)</f>
        <v>28.09</v>
      </c>
      <c r="AC219" s="29" t="s">
        <v>179</v>
      </c>
      <c r="AD219" s="14">
        <f>ROUND(IF(Q219=1,INDEX(新属性投放!$F$14:$F$34,卡牌属性!R219),INDEX(新属性投放!$F$42:$F$62,卡牌属性!R219))*INDEX($G$5:$G$42,L219)*SQRT(INDEX($I$5:$I$42,L219)),2)</f>
        <v>168.53</v>
      </c>
      <c r="AF219" s="14">
        <f t="shared" si="94"/>
        <v>561</v>
      </c>
      <c r="AG219" s="14">
        <f t="shared" si="95"/>
        <v>280</v>
      </c>
      <c r="AH219" s="14">
        <f t="shared" si="96"/>
        <v>1685</v>
      </c>
      <c r="AJ219" s="14">
        <f t="shared" si="100"/>
        <v>1959</v>
      </c>
      <c r="AK219" s="14">
        <f t="shared" si="101"/>
        <v>978</v>
      </c>
      <c r="AL219" s="14">
        <f t="shared" si="102"/>
        <v>5883</v>
      </c>
    </row>
    <row r="220" spans="11:38" ht="16.5" x14ac:dyDescent="0.2">
      <c r="K220" s="13">
        <v>217</v>
      </c>
      <c r="L220" s="13">
        <f t="shared" si="88"/>
        <v>11</v>
      </c>
      <c r="M220" s="13">
        <f t="shared" si="89"/>
        <v>3</v>
      </c>
      <c r="N220" s="14">
        <f t="shared" si="90"/>
        <v>1101011</v>
      </c>
      <c r="O220" s="14" t="str">
        <f t="shared" si="91"/>
        <v>阎风吒7突</v>
      </c>
      <c r="P220" s="29" t="s">
        <v>470</v>
      </c>
      <c r="Q220" s="14">
        <f t="shared" si="92"/>
        <v>1</v>
      </c>
      <c r="R220" s="14">
        <f t="shared" si="93"/>
        <v>7</v>
      </c>
      <c r="S220" s="14" t="s">
        <v>39</v>
      </c>
      <c r="T220" s="14">
        <f>ROUND(((IF(Q220=1,INDEX(新属性投放!$J$14:$J$34,卡牌属性!R220),INDEX(新属性投放!$J$42:$J$62,卡牌属性!R220)))*INDEX($G$5:$G$42,L220)+IF(Q220=1,INDEX(新属性投放!R$20:R$23,卡牌属性!M220-1),INDEX(新属性投放!R$25:R$28,卡牌属性!M220-1)))/SQRT(INDEX($I$5:$I$42,L220)),2)</f>
        <v>2567.12</v>
      </c>
      <c r="U220" s="29" t="s">
        <v>178</v>
      </c>
      <c r="V220" s="14">
        <f>ROUND((IF(Q220=1,INDEX(新属性投放!$K$14:$K$34,卡牌属性!R220),INDEX(新属性投放!$K$42:$K$62,卡牌属性!R220))+IF(Q220=1,INDEX(新属性投放!S$20:S$23,卡牌属性!M220-1),INDEX(新属性投放!S$25:S$28,卡牌属性!M220-1)))*INDEX($G$5:$G$42,L220),2)</f>
        <v>1214.8599999999999</v>
      </c>
      <c r="W220" s="29" t="s">
        <v>179</v>
      </c>
      <c r="X220" s="14">
        <f>ROUND((IF(Q220=1,INDEX(新属性投放!$L$14:$L$34,卡牌属性!R220),INDEX(新属性投放!$L$42:$L$62,卡牌属性!R220))*INDEX($G$5:$G$42,L220)+IF(Q220=1,INDEX(新属性投放!T$20:T$23,卡牌属性!M220-1),INDEX(新属性投放!T$25:T$28,卡牌属性!M220-1)))*SQRT(INDEX($I$5:$I$42,L220)),2)</f>
        <v>8281.36</v>
      </c>
      <c r="Y220" s="29" t="s">
        <v>177</v>
      </c>
      <c r="Z220" s="14">
        <f>ROUND(IF(Q220=1,INDEX(新属性投放!$D$14:$D$34,卡牌属性!R220),INDEX(新属性投放!$D$42:$D$62,卡牌属性!R220))*INDEX($G$5:$G$42,L220)/SQRT(INDEX($I$5:$I$42,L220)),2)</f>
        <v>69.22</v>
      </c>
      <c r="AA220" s="29" t="s">
        <v>178</v>
      </c>
      <c r="AB220" s="14">
        <f>ROUND(IF(Q220=1,INDEX(新属性投放!$E$14:$E$34,卡牌属性!R220),INDEX(新属性投放!$E$42:$E$62,卡牌属性!R220))*INDEX($G$5:$G$42,L220),2)</f>
        <v>34.61</v>
      </c>
      <c r="AC220" s="29" t="s">
        <v>179</v>
      </c>
      <c r="AD220" s="14">
        <f>ROUND(IF(Q220=1,INDEX(新属性投放!$F$14:$F$34,卡牌属性!R220),INDEX(新属性投放!$F$42:$F$62,卡牌属性!R220))*INDEX($G$5:$G$42,L220)*SQRT(INDEX($I$5:$I$42,L220)),2)</f>
        <v>207.66</v>
      </c>
      <c r="AF220" s="14">
        <f t="shared" si="94"/>
        <v>692</v>
      </c>
      <c r="AG220" s="14">
        <f t="shared" si="95"/>
        <v>346</v>
      </c>
      <c r="AH220" s="14">
        <f t="shared" si="96"/>
        <v>2076</v>
      </c>
      <c r="AJ220" s="14">
        <f t="shared" si="100"/>
        <v>2651</v>
      </c>
      <c r="AK220" s="14">
        <f t="shared" si="101"/>
        <v>1324</v>
      </c>
      <c r="AL220" s="14">
        <f t="shared" si="102"/>
        <v>7959</v>
      </c>
    </row>
    <row r="221" spans="11:38" ht="16.5" x14ac:dyDescent="0.2">
      <c r="K221" s="13">
        <v>218</v>
      </c>
      <c r="L221" s="13">
        <f t="shared" si="88"/>
        <v>11</v>
      </c>
      <c r="M221" s="13">
        <f t="shared" si="89"/>
        <v>3</v>
      </c>
      <c r="N221" s="14">
        <f t="shared" si="90"/>
        <v>1101011</v>
      </c>
      <c r="O221" s="14" t="str">
        <f t="shared" si="91"/>
        <v>阎风吒8突</v>
      </c>
      <c r="P221" s="29" t="s">
        <v>470</v>
      </c>
      <c r="Q221" s="14">
        <f t="shared" si="92"/>
        <v>1</v>
      </c>
      <c r="R221" s="14">
        <f t="shared" si="93"/>
        <v>8</v>
      </c>
      <c r="S221" s="14" t="s">
        <v>39</v>
      </c>
      <c r="T221" s="14">
        <f>ROUND(((IF(Q221=1,INDEX(新属性投放!$J$14:$J$34,卡牌属性!R221),INDEX(新属性投放!$J$42:$J$62,卡牌属性!R221)))*INDEX($G$5:$G$42,L221)+IF(Q221=1,INDEX(新属性投放!R$20:R$23,卡牌属性!M221-1),INDEX(新属性投放!R$25:R$28,卡牌属性!M221-1)))/SQRT(INDEX($I$5:$I$42,L221)),2)</f>
        <v>3431.81</v>
      </c>
      <c r="U221" s="29" t="s">
        <v>178</v>
      </c>
      <c r="V221" s="14">
        <f>ROUND((IF(Q221=1,INDEX(新属性投放!$K$14:$K$34,卡牌属性!R221),INDEX(新属性投放!$K$42:$K$62,卡牌属性!R221))+IF(Q221=1,INDEX(新属性投放!S$20:S$23,卡牌属性!M221-1),INDEX(新属性投放!S$25:S$28,卡牌属性!M221-1)))*INDEX($G$5:$G$42,L221),2)</f>
        <v>1647.2</v>
      </c>
      <c r="W221" s="29" t="s">
        <v>179</v>
      </c>
      <c r="X221" s="14">
        <f>ROUND((IF(Q221=1,INDEX(新属性投放!$L$14:$L$34,卡牌属性!R221),INDEX(新属性投放!$L$42:$L$62,卡牌属性!R221))*INDEX($G$5:$G$42,L221)+IF(Q221=1,INDEX(新属性投放!T$20:T$23,卡牌属性!M221-1),INDEX(新属性投放!T$25:T$28,卡牌属性!M221-1)))*SQRT(INDEX($I$5:$I$42,L221)),2)</f>
        <v>10875.42</v>
      </c>
      <c r="Y221" s="29" t="s">
        <v>177</v>
      </c>
      <c r="Z221" s="14">
        <f>ROUND(IF(Q221=1,INDEX(新属性投放!$D$14:$D$34,卡牌属性!R221),INDEX(新属性投放!$D$42:$D$62,卡牌属性!R221))*INDEX($G$5:$G$42,L221)/SQRT(INDEX($I$5:$I$42,L221)),2)</f>
        <v>86.47</v>
      </c>
      <c r="AA221" s="29" t="s">
        <v>178</v>
      </c>
      <c r="AB221" s="14">
        <f>ROUND(IF(Q221=1,INDEX(新属性投放!$E$14:$E$34,卡牌属性!R221),INDEX(新属性投放!$E$42:$E$62,卡牌属性!R221))*INDEX($G$5:$G$42,L221),2)</f>
        <v>43.23</v>
      </c>
      <c r="AC221" s="29" t="s">
        <v>179</v>
      </c>
      <c r="AD221" s="14">
        <f>ROUND(IF(Q221=1,INDEX(新属性投放!$F$14:$F$34,卡牌属性!R221),INDEX(新属性投放!$F$42:$F$62,卡牌属性!R221))*INDEX($G$5:$G$42,L221)*SQRT(INDEX($I$5:$I$42,L221)),2)</f>
        <v>259.41000000000003</v>
      </c>
      <c r="AF221" s="14">
        <f t="shared" si="94"/>
        <v>864</v>
      </c>
      <c r="AG221" s="14">
        <f t="shared" si="95"/>
        <v>432</v>
      </c>
      <c r="AH221" s="14">
        <f t="shared" si="96"/>
        <v>2594</v>
      </c>
      <c r="AJ221" s="14">
        <f t="shared" si="100"/>
        <v>3515</v>
      </c>
      <c r="AK221" s="14">
        <f t="shared" si="101"/>
        <v>1756</v>
      </c>
      <c r="AL221" s="14">
        <f t="shared" si="102"/>
        <v>10553</v>
      </c>
    </row>
    <row r="222" spans="11:38" ht="16.5" x14ac:dyDescent="0.2">
      <c r="K222" s="13">
        <v>219</v>
      </c>
      <c r="L222" s="13">
        <f t="shared" si="88"/>
        <v>11</v>
      </c>
      <c r="M222" s="13">
        <f t="shared" si="89"/>
        <v>3</v>
      </c>
      <c r="N222" s="14">
        <f t="shared" si="90"/>
        <v>1101011</v>
      </c>
      <c r="O222" s="14" t="str">
        <f t="shared" si="91"/>
        <v>阎风吒9突</v>
      </c>
      <c r="P222" s="29" t="s">
        <v>470</v>
      </c>
      <c r="Q222" s="14">
        <f t="shared" si="92"/>
        <v>1</v>
      </c>
      <c r="R222" s="14">
        <f t="shared" si="93"/>
        <v>9</v>
      </c>
      <c r="S222" s="14" t="s">
        <v>39</v>
      </c>
      <c r="T222" s="14">
        <f>ROUND(((IF(Q222=1,INDEX(新属性投放!$J$14:$J$34,卡牌属性!R222),INDEX(新属性投放!$J$42:$J$62,卡牌属性!R222)))*INDEX($G$5:$G$42,L222)+IF(Q222=1,INDEX(新属性投放!R$20:R$23,卡牌属性!M222-1),INDEX(新属性投放!R$25:R$28,卡牌属性!M222-1)))/SQRT(INDEX($I$5:$I$42,L222)),2)</f>
        <v>4512.6899999999996</v>
      </c>
      <c r="U222" s="29" t="s">
        <v>178</v>
      </c>
      <c r="V222" s="14">
        <f>ROUND((IF(Q222=1,INDEX(新属性投放!$K$14:$K$34,卡牌属性!R222),INDEX(新属性投放!$K$42:$K$62,卡牌属性!R222))+IF(Q222=1,INDEX(新属性投放!S$20:S$23,卡牌属性!M222-1),INDEX(新属性投放!S$25:S$28,卡牌属性!M222-1)))*INDEX($G$5:$G$42,L222),2)</f>
        <v>2187.65</v>
      </c>
      <c r="W222" s="29" t="s">
        <v>179</v>
      </c>
      <c r="X222" s="14">
        <f>ROUND((IF(Q222=1,INDEX(新属性投放!$L$14:$L$34,卡牌属性!R222),INDEX(新属性投放!$L$42:$L$62,卡牌属性!R222))*INDEX($G$5:$G$42,L222)+IF(Q222=1,INDEX(新属性投放!T$20:T$23,卡牌属性!M222-1),INDEX(新属性投放!T$25:T$28,卡牌属性!M222-1)))*SQRT(INDEX($I$5:$I$42,L222)),2)</f>
        <v>14118.07</v>
      </c>
      <c r="Y222" s="29" t="s">
        <v>177</v>
      </c>
      <c r="Z222" s="14">
        <f>ROUND(IF(Q222=1,INDEX(新属性投放!$D$14:$D$34,卡牌属性!R222),INDEX(新属性投放!$D$42:$D$62,卡牌属性!R222))*INDEX($G$5:$G$42,L222)/SQRT(INDEX($I$5:$I$42,L222)),2)</f>
        <v>112.46</v>
      </c>
      <c r="AA222" s="29" t="s">
        <v>178</v>
      </c>
      <c r="AB222" s="14">
        <f>ROUND(IF(Q222=1,INDEX(新属性投放!$E$14:$E$34,卡牌属性!R222),INDEX(新属性投放!$E$42:$E$62,卡牌属性!R222))*INDEX($G$5:$G$42,L222),2)</f>
        <v>56.23</v>
      </c>
      <c r="AC222" s="29" t="s">
        <v>179</v>
      </c>
      <c r="AD222" s="14">
        <f>ROUND(IF(Q222=1,INDEX(新属性投放!$F$14:$F$34,卡牌属性!R222),INDEX(新属性投放!$F$42:$F$62,卡牌属性!R222))*INDEX($G$5:$G$42,L222)*SQRT(INDEX($I$5:$I$42,L222)),2)</f>
        <v>337.38</v>
      </c>
      <c r="AF222" s="14">
        <f t="shared" si="94"/>
        <v>1124</v>
      </c>
      <c r="AG222" s="14">
        <f t="shared" si="95"/>
        <v>562</v>
      </c>
      <c r="AH222" s="14">
        <f t="shared" si="96"/>
        <v>3373</v>
      </c>
      <c r="AJ222" s="14">
        <f t="shared" si="100"/>
        <v>4639</v>
      </c>
      <c r="AK222" s="14">
        <f t="shared" si="101"/>
        <v>2318</v>
      </c>
      <c r="AL222" s="14">
        <f t="shared" si="102"/>
        <v>13926</v>
      </c>
    </row>
    <row r="223" spans="11:38" ht="16.5" x14ac:dyDescent="0.2">
      <c r="K223" s="13">
        <v>220</v>
      </c>
      <c r="L223" s="13">
        <f t="shared" si="88"/>
        <v>11</v>
      </c>
      <c r="M223" s="13">
        <f t="shared" si="89"/>
        <v>3</v>
      </c>
      <c r="N223" s="14">
        <f t="shared" si="90"/>
        <v>1101011</v>
      </c>
      <c r="O223" s="14" t="str">
        <f t="shared" si="91"/>
        <v>阎风吒10突</v>
      </c>
      <c r="P223" s="29" t="s">
        <v>470</v>
      </c>
      <c r="Q223" s="14">
        <f t="shared" si="92"/>
        <v>1</v>
      </c>
      <c r="R223" s="14">
        <f t="shared" si="93"/>
        <v>10</v>
      </c>
      <c r="S223" s="14" t="s">
        <v>39</v>
      </c>
      <c r="T223" s="14">
        <f>ROUND(((IF(Q223=1,INDEX(新属性投放!$J$14:$J$34,卡牌属性!R223),INDEX(新属性投放!$J$42:$J$62,卡牌属性!R223)))*INDEX($G$5:$G$42,L223)+IF(Q223=1,INDEX(新属性投放!R$20:R$23,卡牌属性!M223-1),INDEX(新属性投放!R$25:R$28,卡牌属性!M223-1)))/SQRT(INDEX($I$5:$I$42,L223)),2)</f>
        <v>5215.28</v>
      </c>
      <c r="U223" s="29" t="s">
        <v>178</v>
      </c>
      <c r="V223" s="14">
        <f>ROUND((IF(Q223=1,INDEX(新属性投放!$K$14:$K$34,卡牌属性!R223),INDEX(新属性投放!$K$42:$K$62,卡牌属性!R223))+IF(Q223=1,INDEX(新属性投放!S$20:S$23,卡牌属性!M223-1),INDEX(新属性投放!S$25:S$28,卡牌属性!M223-1)))*INDEX($G$5:$G$42,L223),2)</f>
        <v>2538.94</v>
      </c>
      <c r="W223" s="29" t="s">
        <v>179</v>
      </c>
      <c r="X223" s="14">
        <f>ROUND((IF(Q223=1,INDEX(新属性投放!$L$14:$L$34,卡牌属性!R223),INDEX(新属性投放!$L$42:$L$62,卡牌属性!R223))*INDEX($G$5:$G$42,L223)+IF(Q223=1,INDEX(新属性投放!T$20:T$23,卡牌属性!M223-1),INDEX(新属性投放!T$25:T$28,卡牌属性!M223-1)))*SQRT(INDEX($I$5:$I$42,L223)),2)</f>
        <v>16225.85</v>
      </c>
      <c r="Y223" s="29" t="s">
        <v>177</v>
      </c>
      <c r="Z223" s="14">
        <f>ROUND(IF(Q223=1,INDEX(新属性投放!$D$14:$D$34,卡牌属性!R223),INDEX(新属性投放!$D$42:$D$62,卡牌属性!R223))*INDEX($G$5:$G$42,L223)/SQRT(INDEX($I$5:$I$42,L223)),2)</f>
        <v>129.75</v>
      </c>
      <c r="AA223" s="29" t="s">
        <v>178</v>
      </c>
      <c r="AB223" s="14">
        <f>ROUND(IF(Q223=1,INDEX(新属性投放!$E$14:$E$34,卡牌属性!R223),INDEX(新属性投放!$E$42:$E$62,卡牌属性!R223))*INDEX($G$5:$G$42,L223),2)</f>
        <v>64.88</v>
      </c>
      <c r="AC223" s="29" t="s">
        <v>179</v>
      </c>
      <c r="AD223" s="14">
        <f>ROUND(IF(Q223=1,INDEX(新属性投放!$F$14:$F$34,卡牌属性!R223),INDEX(新属性投放!$F$42:$F$62,卡牌属性!R223))*INDEX($G$5:$G$42,L223)*SQRT(INDEX($I$5:$I$42,L223)),2)</f>
        <v>389.26</v>
      </c>
      <c r="AF223" s="14">
        <f t="shared" si="94"/>
        <v>1297</v>
      </c>
      <c r="AG223" s="14">
        <f t="shared" si="95"/>
        <v>648</v>
      </c>
      <c r="AH223" s="14">
        <f t="shared" si="96"/>
        <v>3892</v>
      </c>
      <c r="AJ223" s="14">
        <f t="shared" si="100"/>
        <v>5936</v>
      </c>
      <c r="AK223" s="14">
        <f t="shared" si="101"/>
        <v>2966</v>
      </c>
      <c r="AL223" s="14">
        <f t="shared" si="102"/>
        <v>17818</v>
      </c>
    </row>
    <row r="224" spans="11:38" ht="16.5" x14ac:dyDescent="0.2">
      <c r="K224" s="13">
        <v>221</v>
      </c>
      <c r="L224" s="13">
        <f t="shared" si="88"/>
        <v>11</v>
      </c>
      <c r="M224" s="13">
        <f t="shared" si="89"/>
        <v>3</v>
      </c>
      <c r="N224" s="14">
        <f t="shared" si="90"/>
        <v>1101011</v>
      </c>
      <c r="O224" s="14" t="str">
        <f t="shared" si="91"/>
        <v>阎风吒11突</v>
      </c>
      <c r="P224" s="29" t="s">
        <v>470</v>
      </c>
      <c r="Q224" s="14">
        <f t="shared" si="92"/>
        <v>1</v>
      </c>
      <c r="R224" s="14">
        <f t="shared" si="93"/>
        <v>11</v>
      </c>
      <c r="S224" s="14" t="s">
        <v>39</v>
      </c>
      <c r="T224" s="14">
        <f>ROUND(((IF(Q224=1,INDEX(新属性投放!$J$14:$J$34,卡牌属性!R224),INDEX(新属性投放!$J$42:$J$62,卡牌属性!R224)))*INDEX($G$5:$G$42,L224)+IF(Q224=1,INDEX(新属性投放!R$20:R$23,卡牌属性!M224-1),INDEX(新属性投放!R$25:R$28,卡牌属性!M224-1)))/SQRT(INDEX($I$5:$I$42,L224)),2)</f>
        <v>6026.21</v>
      </c>
      <c r="U224" s="29" t="s">
        <v>178</v>
      </c>
      <c r="V224" s="14">
        <f>ROUND((IF(Q224=1,INDEX(新属性投放!$K$14:$K$34,卡牌属性!R224),INDEX(新属性投放!$K$42:$K$62,卡牌属性!R224))+IF(Q224=1,INDEX(新属性投放!S$20:S$23,卡牌属性!M224-1),INDEX(新属性投放!S$25:S$28,卡牌属性!M224-1)))*INDEX($G$5:$G$42,L224),2)</f>
        <v>2944.98</v>
      </c>
      <c r="W224" s="29" t="s">
        <v>179</v>
      </c>
      <c r="X224" s="14">
        <f>ROUND((IF(Q224=1,INDEX(新属性投放!$L$14:$L$34,卡牌属性!R224),INDEX(新属性投放!$L$42:$L$62,卡牌属性!R224))*INDEX($G$5:$G$42,L224)+IF(Q224=1,INDEX(新属性投放!T$20:T$23,卡牌属性!M224-1),INDEX(新属性投放!T$25:T$28,卡牌属性!M224-1)))*SQRT(INDEX($I$5:$I$42,L224)),2)</f>
        <v>18658.62</v>
      </c>
      <c r="Y224" s="29" t="s">
        <v>177</v>
      </c>
      <c r="Z224" s="14">
        <f>ROUND(IF(Q224=1,INDEX(新属性投放!$D$14:$D$34,卡牌属性!R224),INDEX(新属性投放!$D$42:$D$62,卡牌属性!R224))*INDEX($G$5:$G$42,L224)/SQRT(INDEX($I$5:$I$42,L224)),2)</f>
        <v>151.32</v>
      </c>
      <c r="AA224" s="29" t="s">
        <v>178</v>
      </c>
      <c r="AB224" s="14">
        <f>ROUND(IF(Q224=1,INDEX(新属性投放!$E$14:$E$34,卡牌属性!R224),INDEX(新属性投放!$E$42:$E$62,卡牌属性!R224))*INDEX($G$5:$G$42,L224),2)</f>
        <v>75.66</v>
      </c>
      <c r="AC224" s="29" t="s">
        <v>179</v>
      </c>
      <c r="AD224" s="14">
        <f>ROUND(IF(Q224=1,INDEX(新属性投放!$F$14:$F$34,卡牌属性!R224),INDEX(新属性投放!$F$42:$F$62,卡牌属性!R224))*INDEX($G$5:$G$42,L224)*SQRT(INDEX($I$5:$I$42,L224)),2)</f>
        <v>453.95</v>
      </c>
      <c r="AF224" s="14">
        <f t="shared" si="94"/>
        <v>1513</v>
      </c>
      <c r="AG224" s="14">
        <f t="shared" si="95"/>
        <v>756</v>
      </c>
      <c r="AH224" s="14">
        <f t="shared" si="96"/>
        <v>4539</v>
      </c>
      <c r="AJ224" s="14">
        <f t="shared" si="100"/>
        <v>7449</v>
      </c>
      <c r="AK224" s="14">
        <f t="shared" si="101"/>
        <v>3722</v>
      </c>
      <c r="AL224" s="14">
        <f t="shared" si="102"/>
        <v>22357</v>
      </c>
    </row>
    <row r="225" spans="11:38" ht="16.5" x14ac:dyDescent="0.2">
      <c r="K225" s="13">
        <v>222</v>
      </c>
      <c r="L225" s="13">
        <f t="shared" si="88"/>
        <v>11</v>
      </c>
      <c r="M225" s="13">
        <f t="shared" si="89"/>
        <v>3</v>
      </c>
      <c r="N225" s="14">
        <f t="shared" si="90"/>
        <v>1101011</v>
      </c>
      <c r="O225" s="14" t="str">
        <f t="shared" si="91"/>
        <v>阎风吒12突</v>
      </c>
      <c r="P225" s="29" t="s">
        <v>470</v>
      </c>
      <c r="Q225" s="14">
        <f t="shared" si="92"/>
        <v>1</v>
      </c>
      <c r="R225" s="14">
        <f t="shared" si="93"/>
        <v>12</v>
      </c>
      <c r="S225" s="14" t="s">
        <v>39</v>
      </c>
      <c r="T225" s="14">
        <f>ROUND(((IF(Q225=1,INDEX(新属性投放!$J$14:$J$34,卡牌属性!R225),INDEX(新属性投放!$J$42:$J$62,卡牌属性!R225)))*INDEX($G$5:$G$42,L225)+IF(Q225=1,INDEX(新属性投放!R$20:R$23,卡牌属性!M225-1),INDEX(新属性投放!R$25:R$28,卡牌属性!M225-1)))/SQRT(INDEX($I$5:$I$42,L225)),2)</f>
        <v>6971.39</v>
      </c>
      <c r="U225" s="29" t="s">
        <v>178</v>
      </c>
      <c r="V225" s="14">
        <f>ROUND((IF(Q225=1,INDEX(新属性投放!$K$14:$K$34,卡牌属性!R225),INDEX(新属性投放!$K$42:$K$62,卡牌属性!R225))+IF(Q225=1,INDEX(新属性投放!S$20:S$23,卡牌属性!M225-1),INDEX(新属性投放!S$25:S$28,卡牌属性!M225-1)))*INDEX($G$5:$G$42,L225),2)</f>
        <v>3417.57</v>
      </c>
      <c r="W225" s="29" t="s">
        <v>179</v>
      </c>
      <c r="X225" s="14">
        <f>ROUND((IF(Q225=1,INDEX(新属性投放!$L$14:$L$34,卡牌属性!R225),INDEX(新属性投放!$L$42:$L$62,卡牌属性!R225))*INDEX($G$5:$G$42,L225)+IF(Q225=1,INDEX(新属性投放!T$20:T$23,卡牌属性!M225-1),INDEX(新属性投放!T$25:T$28,卡牌属性!M225-1)))*SQRT(INDEX($I$5:$I$42,L225)),2)</f>
        <v>21494.17</v>
      </c>
      <c r="Y225" s="29" t="s">
        <v>177</v>
      </c>
      <c r="Z225" s="14">
        <f>ROUND(IF(Q225=1,INDEX(新属性投放!$D$14:$D$34,卡牌属性!R225),INDEX(新属性投放!$D$42:$D$62,卡牌属性!R225))*INDEX($G$5:$G$42,L225)/SQRT(INDEX($I$5:$I$42,L225)),2)</f>
        <v>173.04</v>
      </c>
      <c r="AA225" s="29" t="s">
        <v>178</v>
      </c>
      <c r="AB225" s="14">
        <f>ROUND(IF(Q225=1,INDEX(新属性投放!$E$14:$E$34,卡牌属性!R225),INDEX(新属性投放!$E$42:$E$62,卡牌属性!R225))*INDEX($G$5:$G$42,L225),2)</f>
        <v>86.52</v>
      </c>
      <c r="AC225" s="29" t="s">
        <v>179</v>
      </c>
      <c r="AD225" s="14">
        <f>ROUND(IF(Q225=1,INDEX(新属性投放!$F$14:$F$34,卡牌属性!R225),INDEX(新属性投放!$F$42:$F$62,卡牌属性!R225))*INDEX($G$5:$G$42,L225)*SQRT(INDEX($I$5:$I$42,L225)),2)</f>
        <v>519.12</v>
      </c>
      <c r="AF225" s="14">
        <f t="shared" si="94"/>
        <v>1730</v>
      </c>
      <c r="AG225" s="14">
        <f t="shared" si="95"/>
        <v>865</v>
      </c>
      <c r="AH225" s="14">
        <f t="shared" si="96"/>
        <v>5191</v>
      </c>
      <c r="AJ225" s="14">
        <f t="shared" si="100"/>
        <v>9179</v>
      </c>
      <c r="AK225" s="14">
        <f t="shared" si="101"/>
        <v>4587</v>
      </c>
      <c r="AL225" s="14">
        <f t="shared" si="102"/>
        <v>27548</v>
      </c>
    </row>
    <row r="226" spans="11:38" ht="16.5" x14ac:dyDescent="0.2">
      <c r="K226" s="13">
        <v>223</v>
      </c>
      <c r="L226" s="13">
        <f t="shared" si="88"/>
        <v>11</v>
      </c>
      <c r="M226" s="13">
        <f t="shared" si="89"/>
        <v>3</v>
      </c>
      <c r="N226" s="14">
        <f t="shared" si="90"/>
        <v>1101011</v>
      </c>
      <c r="O226" s="14" t="str">
        <f t="shared" si="91"/>
        <v>阎风吒13突</v>
      </c>
      <c r="P226" s="29" t="s">
        <v>470</v>
      </c>
      <c r="Q226" s="14">
        <f t="shared" si="92"/>
        <v>1</v>
      </c>
      <c r="R226" s="14">
        <f t="shared" si="93"/>
        <v>13</v>
      </c>
      <c r="S226" s="14" t="s">
        <v>39</v>
      </c>
      <c r="T226" s="14">
        <f>ROUND(((IF(Q226=1,INDEX(新属性投放!$J$14:$J$34,卡牌属性!R226),INDEX(新属性投放!$J$42:$J$62,卡牌属性!R226)))*INDEX($G$5:$G$42,L226)+IF(Q226=1,INDEX(新属性投放!R$20:R$23,卡牌属性!M226-1),INDEX(新属性投放!R$25:R$28,卡牌属性!M226-1)))/SQRT(INDEX($I$5:$I$42,L226)),2)</f>
        <v>8052.79</v>
      </c>
      <c r="U226" s="29" t="s">
        <v>178</v>
      </c>
      <c r="V226" s="14">
        <f>ROUND((IF(Q226=1,INDEX(新属性投放!$K$14:$K$34,卡牌属性!R226),INDEX(新属性投放!$K$42:$K$62,卡牌属性!R226))+IF(Q226=1,INDEX(新属性投放!S$20:S$23,卡牌属性!M226-1),INDEX(新属性投放!S$25:S$28,卡牌属性!M226-1)))*INDEX($G$5:$G$42,L226),2)</f>
        <v>3958.27</v>
      </c>
      <c r="W226" s="29" t="s">
        <v>179</v>
      </c>
      <c r="X226" s="14">
        <f>ROUND((IF(Q226=1,INDEX(新属性投放!$L$14:$L$34,卡牌属性!R226),INDEX(新属性投放!$L$42:$L$62,卡牌属性!R226))*INDEX($G$5:$G$42,L226)+IF(Q226=1,INDEX(新属性投放!T$20:T$23,卡牌属性!M226-1),INDEX(新属性投放!T$25:T$28,卡牌属性!M226-1)))*SQRT(INDEX($I$5:$I$42,L226)),2)</f>
        <v>24738.38</v>
      </c>
      <c r="Y226" s="29" t="s">
        <v>177</v>
      </c>
      <c r="Z226" s="14">
        <f>ROUND(IF(Q226=1,INDEX(新属性投放!$D$14:$D$34,卡牌属性!R226),INDEX(新属性投放!$D$42:$D$62,卡牌属性!R226))*INDEX($G$5:$G$42,L226)/SQRT(INDEX($I$5:$I$42,L226)),2)</f>
        <v>200.07</v>
      </c>
      <c r="AA226" s="29" t="s">
        <v>178</v>
      </c>
      <c r="AB226" s="14">
        <f>ROUND(IF(Q226=1,INDEX(新属性投放!$E$14:$E$34,卡牌属性!R226),INDEX(新属性投放!$E$42:$E$62,卡牌属性!R226))*INDEX($G$5:$G$42,L226),2)</f>
        <v>100.03</v>
      </c>
      <c r="AC226" s="29" t="s">
        <v>179</v>
      </c>
      <c r="AD226" s="14">
        <f>ROUND(IF(Q226=1,INDEX(新属性投放!$F$14:$F$34,卡牌属性!R226),INDEX(新属性投放!$F$42:$F$62,卡牌属性!R226))*INDEX($G$5:$G$42,L226)*SQRT(INDEX($I$5:$I$42,L226)),2)</f>
        <v>600.20000000000005</v>
      </c>
      <c r="AF226" s="14">
        <f t="shared" si="94"/>
        <v>2000</v>
      </c>
      <c r="AG226" s="14">
        <f t="shared" si="95"/>
        <v>1000</v>
      </c>
      <c r="AH226" s="14">
        <f t="shared" si="96"/>
        <v>6002</v>
      </c>
      <c r="AJ226" s="14">
        <f t="shared" si="100"/>
        <v>11179</v>
      </c>
      <c r="AK226" s="14">
        <f t="shared" si="101"/>
        <v>5587</v>
      </c>
      <c r="AL226" s="14">
        <f t="shared" si="102"/>
        <v>33550</v>
      </c>
    </row>
    <row r="227" spans="11:38" ht="16.5" x14ac:dyDescent="0.2">
      <c r="K227" s="13">
        <v>224</v>
      </c>
      <c r="L227" s="13">
        <f t="shared" si="88"/>
        <v>11</v>
      </c>
      <c r="M227" s="13">
        <f t="shared" si="89"/>
        <v>3</v>
      </c>
      <c r="N227" s="14">
        <f t="shared" si="90"/>
        <v>1101011</v>
      </c>
      <c r="O227" s="14" t="str">
        <f t="shared" si="91"/>
        <v>阎风吒14突</v>
      </c>
      <c r="P227" s="29" t="s">
        <v>470</v>
      </c>
      <c r="Q227" s="14">
        <f t="shared" si="92"/>
        <v>1</v>
      </c>
      <c r="R227" s="14">
        <f t="shared" si="93"/>
        <v>14</v>
      </c>
      <c r="S227" s="14" t="s">
        <v>39</v>
      </c>
      <c r="T227" s="14">
        <f>ROUND(((IF(Q227=1,INDEX(新属性投放!$J$14:$J$34,卡牌属性!R227),INDEX(新属性投放!$J$42:$J$62,卡牌属性!R227)))*INDEX($G$5:$G$42,L227)+IF(Q227=1,INDEX(新属性投放!R$20:R$23,卡牌属性!M227-1),INDEX(新属性投放!R$25:R$28,卡牌属性!M227-1)))/SQRT(INDEX($I$5:$I$42,L227)),2)</f>
        <v>9302.67</v>
      </c>
      <c r="U227" s="29" t="s">
        <v>178</v>
      </c>
      <c r="V227" s="14">
        <f>ROUND((IF(Q227=1,INDEX(新属性投放!$K$14:$K$34,卡牌属性!R227),INDEX(新属性投放!$K$42:$K$62,卡牌属性!R227))+IF(Q227=1,INDEX(新属性投放!S$20:S$23,卡牌属性!M227-1),INDEX(新属性投放!S$25:S$28,卡牌属性!M227-1)))*INDEX($G$5:$G$42,L227),2)</f>
        <v>4583.79</v>
      </c>
      <c r="W227" s="29" t="s">
        <v>179</v>
      </c>
      <c r="X227" s="14">
        <f>ROUND((IF(Q227=1,INDEX(新属性投放!$L$14:$L$34,卡牌属性!R227),INDEX(新属性投放!$L$42:$L$62,卡牌属性!R227))*INDEX($G$5:$G$42,L227)+IF(Q227=1,INDEX(新属性投放!T$20:T$23,卡牌属性!M227-1),INDEX(新属性投放!T$25:T$28,卡牌属性!M227-1)))*SQRT(INDEX($I$5:$I$42,L227)),2)</f>
        <v>28488.01</v>
      </c>
      <c r="Y227" s="29" t="s">
        <v>177</v>
      </c>
      <c r="Z227" s="14">
        <f>ROUND(IF(Q227=1,INDEX(新属性投放!$D$14:$D$34,卡牌属性!R227),INDEX(新属性投放!$D$42:$D$62,卡牌属性!R227))*INDEX($G$5:$G$42,L227)/SQRT(INDEX($I$5:$I$42,L227)),2)</f>
        <v>231.32</v>
      </c>
      <c r="AA227" s="29" t="s">
        <v>178</v>
      </c>
      <c r="AB227" s="14">
        <f>ROUND(IF(Q227=1,INDEX(新属性投放!$E$14:$E$34,卡牌属性!R227),INDEX(新属性投放!$E$42:$E$62,卡牌属性!R227))*INDEX($G$5:$G$42,L227),2)</f>
        <v>115.66</v>
      </c>
      <c r="AC227" s="29" t="s">
        <v>179</v>
      </c>
      <c r="AD227" s="14">
        <f>ROUND(IF(Q227=1,INDEX(新属性投放!$F$14:$F$34,卡牌属性!R227),INDEX(新属性投放!$F$42:$F$62,卡牌属性!R227))*INDEX($G$5:$G$42,L227)*SQRT(INDEX($I$5:$I$42,L227)),2)</f>
        <v>693.97</v>
      </c>
      <c r="AF227" s="14">
        <f t="shared" si="94"/>
        <v>2313</v>
      </c>
      <c r="AG227" s="14">
        <f t="shared" si="95"/>
        <v>1156</v>
      </c>
      <c r="AH227" s="14">
        <f t="shared" si="96"/>
        <v>6939</v>
      </c>
      <c r="AJ227" s="14">
        <f t="shared" si="100"/>
        <v>13492</v>
      </c>
      <c r="AK227" s="14">
        <f t="shared" si="101"/>
        <v>6743</v>
      </c>
      <c r="AL227" s="14">
        <f t="shared" si="102"/>
        <v>40489</v>
      </c>
    </row>
    <row r="228" spans="11:38" ht="16.5" x14ac:dyDescent="0.2">
      <c r="K228" s="13">
        <v>225</v>
      </c>
      <c r="L228" s="13">
        <f t="shared" si="88"/>
        <v>11</v>
      </c>
      <c r="M228" s="13">
        <f t="shared" si="89"/>
        <v>3</v>
      </c>
      <c r="N228" s="14">
        <f t="shared" si="90"/>
        <v>1101011</v>
      </c>
      <c r="O228" s="14" t="str">
        <f t="shared" si="91"/>
        <v>阎风吒15突</v>
      </c>
      <c r="P228" s="29" t="s">
        <v>470</v>
      </c>
      <c r="Q228" s="14">
        <f t="shared" si="92"/>
        <v>1</v>
      </c>
      <c r="R228" s="14">
        <f t="shared" si="93"/>
        <v>15</v>
      </c>
      <c r="S228" s="14" t="s">
        <v>39</v>
      </c>
      <c r="T228" s="14">
        <f>ROUND(((IF(Q228=1,INDEX(新属性投放!$J$14:$J$34,卡牌属性!R228),INDEX(新属性投放!$J$42:$J$62,卡牌属性!R228)))*INDEX($G$5:$G$42,L228)+IF(Q228=1,INDEX(新属性投放!R$20:R$23,卡牌属性!M228-1),INDEX(新属性投放!R$25:R$28,卡牌属性!M228-1)))/SQRT(INDEX($I$5:$I$42,L228)),2)</f>
        <v>10747.93</v>
      </c>
      <c r="U228" s="29" t="s">
        <v>178</v>
      </c>
      <c r="V228" s="14">
        <f>ROUND((IF(Q228=1,INDEX(新属性投放!$K$14:$K$34,卡牌属性!R228),INDEX(新属性投放!$K$42:$K$62,卡牌属性!R228))+IF(Q228=1,INDEX(新属性投放!S$20:S$23,卡牌属性!M228-1),INDEX(新属性投放!S$25:S$28,卡牌属性!M228-1)))*INDEX($G$5:$G$42,L228),2)</f>
        <v>5306.99</v>
      </c>
      <c r="W228" s="29" t="s">
        <v>179</v>
      </c>
      <c r="X228" s="14">
        <f>ROUND((IF(Q228=1,INDEX(新属性投放!$L$14:$L$34,卡牌属性!R228),INDEX(新属性投放!$L$42:$L$62,卡牌属性!R228))*INDEX($G$5:$G$42,L228)+IF(Q228=1,INDEX(新属性投放!T$20:T$23,卡牌属性!M228-1),INDEX(新属性投放!T$25:T$28,卡牌属性!M228-1)))*SQRT(INDEX($I$5:$I$42,L228)),2)</f>
        <v>32823.800000000003</v>
      </c>
      <c r="Y228" s="29" t="s">
        <v>177</v>
      </c>
      <c r="Z228" s="14">
        <f>ROUND(IF(Q228=1,INDEX(新属性投放!$D$14:$D$34,卡牌属性!R228),INDEX(新属性投放!$D$42:$D$62,卡牌属性!R228))*INDEX($G$5:$G$42,L228)/SQRT(INDEX($I$5:$I$42,L228)),2)</f>
        <v>267.44</v>
      </c>
      <c r="AA228" s="29" t="s">
        <v>178</v>
      </c>
      <c r="AB228" s="14">
        <f>ROUND(IF(Q228=1,INDEX(新属性投放!$E$14:$E$34,卡牌属性!R228),INDEX(新属性投放!$E$42:$E$62,卡牌属性!R228))*INDEX($G$5:$G$42,L228),2)</f>
        <v>133.72</v>
      </c>
      <c r="AC228" s="29" t="s">
        <v>179</v>
      </c>
      <c r="AD228" s="14">
        <f>ROUND(IF(Q228=1,INDEX(新属性投放!$F$14:$F$34,卡牌属性!R228),INDEX(新属性投放!$F$42:$F$62,卡牌属性!R228))*INDEX($G$5:$G$42,L228)*SQRT(INDEX($I$5:$I$42,L228)),2)</f>
        <v>802.33</v>
      </c>
      <c r="AF228" s="14">
        <f t="shared" si="94"/>
        <v>2674</v>
      </c>
      <c r="AG228" s="14">
        <f t="shared" si="95"/>
        <v>1337</v>
      </c>
      <c r="AH228" s="14">
        <f t="shared" si="96"/>
        <v>8023</v>
      </c>
      <c r="AJ228" s="14">
        <f t="shared" si="100"/>
        <v>16166</v>
      </c>
      <c r="AK228" s="14">
        <f t="shared" si="101"/>
        <v>8080</v>
      </c>
      <c r="AL228" s="14">
        <f t="shared" si="102"/>
        <v>48512</v>
      </c>
    </row>
    <row r="229" spans="11:38" ht="16.5" x14ac:dyDescent="0.2">
      <c r="K229" s="13">
        <v>226</v>
      </c>
      <c r="L229" s="13">
        <f t="shared" si="88"/>
        <v>11</v>
      </c>
      <c r="M229" s="13">
        <f t="shared" si="89"/>
        <v>3</v>
      </c>
      <c r="N229" s="14">
        <f t="shared" si="90"/>
        <v>1101011</v>
      </c>
      <c r="O229" s="14" t="str">
        <f t="shared" si="91"/>
        <v>阎风吒16突</v>
      </c>
      <c r="P229" s="29" t="s">
        <v>470</v>
      </c>
      <c r="Q229" s="14">
        <f t="shared" si="92"/>
        <v>1</v>
      </c>
      <c r="R229" s="14">
        <f t="shared" si="93"/>
        <v>16</v>
      </c>
      <c r="S229" s="14" t="s">
        <v>39</v>
      </c>
      <c r="T229" s="14">
        <f>ROUND(((IF(Q229=1,INDEX(新属性投放!$J$14:$J$34,卡牌属性!R229),INDEX(新属性投放!$J$42:$J$62,卡牌属性!R229)))*INDEX($G$5:$G$42,L229)+IF(Q229=1,INDEX(新属性投放!R$20:R$23,卡牌属性!M229-1),INDEX(新属性投放!R$25:R$28,卡牌属性!M229-1)))/SQRT(INDEX($I$5:$I$42,L229)),2)</f>
        <v>12419.8</v>
      </c>
      <c r="U229" s="29" t="s">
        <v>178</v>
      </c>
      <c r="V229" s="14">
        <f>ROUND((IF(Q229=1,INDEX(新属性投放!$K$14:$K$34,卡牌属性!R229),INDEX(新属性投放!$K$42:$K$62,卡牌属性!R229))+IF(Q229=1,INDEX(新属性投放!S$20:S$23,卡牌属性!M229-1),INDEX(新属性投放!S$25:S$28,卡牌属性!M229-1)))*INDEX($G$5:$G$42,L229),2)</f>
        <v>6142.35</v>
      </c>
      <c r="W229" s="29" t="s">
        <v>179</v>
      </c>
      <c r="X229" s="14">
        <f>ROUND((IF(Q229=1,INDEX(新属性投放!$L$14:$L$34,卡牌属性!R229),INDEX(新属性投放!$L$42:$L$62,卡牌属性!R229))*INDEX($G$5:$G$42,L229)+IF(Q229=1,INDEX(新属性投放!T$20:T$23,卡牌属性!M229-1),INDEX(新属性投放!T$25:T$28,卡牌属性!M229-1)))*SQRT(INDEX($I$5:$I$42,L229)),2)</f>
        <v>37839.410000000003</v>
      </c>
      <c r="Y229" s="29" t="s">
        <v>177</v>
      </c>
      <c r="Z229" s="14">
        <f>ROUND(IF(Q229=1,INDEX(新属性投放!$D$14:$D$34,卡牌属性!R229),INDEX(新属性投放!$D$42:$D$62,卡牌属性!R229))*INDEX($G$5:$G$42,L229)/SQRT(INDEX($I$5:$I$42,L229)),2)</f>
        <v>309.25</v>
      </c>
      <c r="AA229" s="29" t="s">
        <v>178</v>
      </c>
      <c r="AB229" s="14">
        <f>ROUND(IF(Q229=1,INDEX(新属性投放!$E$14:$E$34,卡牌属性!R229),INDEX(新属性投放!$E$42:$E$62,卡牌属性!R229))*INDEX($G$5:$G$42,L229),2)</f>
        <v>154.62</v>
      </c>
      <c r="AC229" s="29" t="s">
        <v>179</v>
      </c>
      <c r="AD229" s="14">
        <f>ROUND(IF(Q229=1,INDEX(新属性投放!$F$14:$F$34,卡牌属性!R229),INDEX(新属性投放!$F$42:$F$62,卡牌属性!R229))*INDEX($G$5:$G$42,L229)*SQRT(INDEX($I$5:$I$42,L229)),2)</f>
        <v>927.74</v>
      </c>
      <c r="AF229" s="14">
        <f t="shared" si="94"/>
        <v>3092</v>
      </c>
      <c r="AG229" s="14">
        <f t="shared" si="95"/>
        <v>1546</v>
      </c>
      <c r="AH229" s="14">
        <f t="shared" si="96"/>
        <v>9277</v>
      </c>
      <c r="AJ229" s="14">
        <f t="shared" si="100"/>
        <v>19258</v>
      </c>
      <c r="AK229" s="14">
        <f t="shared" si="101"/>
        <v>9626</v>
      </c>
      <c r="AL229" s="14">
        <f t="shared" si="102"/>
        <v>57789</v>
      </c>
    </row>
    <row r="230" spans="11:38" ht="16.5" x14ac:dyDescent="0.2">
      <c r="K230" s="13">
        <v>227</v>
      </c>
      <c r="L230" s="13">
        <f t="shared" si="88"/>
        <v>11</v>
      </c>
      <c r="M230" s="13">
        <f t="shared" si="89"/>
        <v>3</v>
      </c>
      <c r="N230" s="14">
        <f t="shared" si="90"/>
        <v>1101011</v>
      </c>
      <c r="O230" s="14" t="str">
        <f t="shared" si="91"/>
        <v>阎风吒17突</v>
      </c>
      <c r="P230" s="29" t="s">
        <v>470</v>
      </c>
      <c r="Q230" s="14">
        <f t="shared" si="92"/>
        <v>1</v>
      </c>
      <c r="R230" s="14">
        <f t="shared" si="93"/>
        <v>17</v>
      </c>
      <c r="S230" s="14" t="s">
        <v>39</v>
      </c>
      <c r="T230" s="14">
        <f>ROUND(((IF(Q230=1,INDEX(新属性投放!$J$14:$J$34,卡牌属性!R230),INDEX(新属性投放!$J$42:$J$62,卡牌属性!R230)))*INDEX($G$5:$G$42,L230)+IF(Q230=1,INDEX(新属性投放!R$20:R$23,卡牌属性!M230-1),INDEX(新属性投放!R$25:R$28,卡牌属性!M230-1)))/SQRT(INDEX($I$5:$I$42,L230)),2)</f>
        <v>14352.44</v>
      </c>
      <c r="U230" s="29" t="s">
        <v>178</v>
      </c>
      <c r="V230" s="14">
        <f>ROUND((IF(Q230=1,INDEX(新属性投放!$K$14:$K$34,卡牌属性!R230),INDEX(新属性投放!$K$42:$K$62,卡牌属性!R230))+IF(Q230=1,INDEX(新属性投放!S$20:S$23,卡牌属性!M230-1),INDEX(新属性投放!S$25:S$28,卡牌属性!M230-1)))*INDEX($G$5:$G$42,L230),2)</f>
        <v>7108.67</v>
      </c>
      <c r="W230" s="29" t="s">
        <v>179</v>
      </c>
      <c r="X230" s="14">
        <f>ROUND((IF(Q230=1,INDEX(新属性投放!$L$14:$L$34,卡牌属性!R230),INDEX(新属性投放!$L$42:$L$62,卡牌属性!R230))*INDEX($G$5:$G$42,L230)+IF(Q230=1,INDEX(新属性投放!T$20:T$23,卡牌属性!M230-1),INDEX(新属性投放!T$25:T$28,卡牌属性!M230-1)))*SQRT(INDEX($I$5:$I$42,L230)),2)</f>
        <v>43637.31</v>
      </c>
      <c r="Y230" s="29" t="s">
        <v>177</v>
      </c>
      <c r="Z230" s="14">
        <f>ROUND(IF(Q230=1,INDEX(新属性投放!$D$14:$D$34,卡牌属性!R230),INDEX(新属性投放!$D$42:$D$62,卡牌属性!R230))*INDEX($G$5:$G$42,L230)/SQRT(INDEX($I$5:$I$42,L230)),2)</f>
        <v>357.56</v>
      </c>
      <c r="AA230" s="29" t="s">
        <v>178</v>
      </c>
      <c r="AB230" s="14">
        <f>ROUND(IF(Q230=1,INDEX(新属性投放!$E$14:$E$34,卡牌属性!R230),INDEX(新属性投放!$E$42:$E$62,卡牌属性!R230))*INDEX($G$5:$G$42,L230),2)</f>
        <v>178.78</v>
      </c>
      <c r="AC230" s="29" t="s">
        <v>179</v>
      </c>
      <c r="AD230" s="14">
        <f>ROUND(IF(Q230=1,INDEX(新属性投放!$F$14:$F$34,卡牌属性!R230),INDEX(新属性投放!$F$42:$F$62,卡牌属性!R230))*INDEX($G$5:$G$42,L230)*SQRT(INDEX($I$5:$I$42,L230)),2)</f>
        <v>1072.67</v>
      </c>
      <c r="AF230" s="14">
        <f t="shared" si="94"/>
        <v>3575</v>
      </c>
      <c r="AG230" s="14">
        <f t="shared" si="95"/>
        <v>1787</v>
      </c>
      <c r="AH230" s="14">
        <f t="shared" si="96"/>
        <v>10726</v>
      </c>
      <c r="AJ230" s="14">
        <f t="shared" si="100"/>
        <v>22833</v>
      </c>
      <c r="AK230" s="14">
        <f t="shared" si="101"/>
        <v>11413</v>
      </c>
      <c r="AL230" s="14">
        <f t="shared" si="102"/>
        <v>68515</v>
      </c>
    </row>
    <row r="231" spans="11:38" ht="16.5" x14ac:dyDescent="0.2">
      <c r="K231" s="13">
        <v>228</v>
      </c>
      <c r="L231" s="13">
        <f t="shared" si="88"/>
        <v>11</v>
      </c>
      <c r="M231" s="13">
        <f t="shared" si="89"/>
        <v>3</v>
      </c>
      <c r="N231" s="14">
        <f t="shared" si="90"/>
        <v>1101011</v>
      </c>
      <c r="O231" s="14" t="str">
        <f t="shared" si="91"/>
        <v>阎风吒18突</v>
      </c>
      <c r="P231" s="29" t="s">
        <v>470</v>
      </c>
      <c r="Q231" s="14">
        <f t="shared" si="92"/>
        <v>1</v>
      </c>
      <c r="R231" s="14">
        <f t="shared" si="93"/>
        <v>18</v>
      </c>
      <c r="S231" s="14" t="s">
        <v>39</v>
      </c>
      <c r="T231" s="14">
        <f>ROUND(((IF(Q231=1,INDEX(新属性投放!$J$14:$J$34,卡牌属性!R231),INDEX(新属性投放!$J$42:$J$62,卡牌属性!R231)))*INDEX($G$5:$G$42,L231)+IF(Q231=1,INDEX(新属性投放!R$20:R$23,卡牌属性!M231-1),INDEX(新属性投放!R$25:R$28,卡牌属性!M231-1)))/SQRT(INDEX($I$5:$I$42,L231)),2)</f>
        <v>16587.580000000002</v>
      </c>
      <c r="U231" s="29" t="s">
        <v>178</v>
      </c>
      <c r="V231" s="14">
        <f>ROUND((IF(Q231=1,INDEX(新属性投放!$K$14:$K$34,卡牌属性!R231),INDEX(新属性投放!$K$42:$K$62,卡牌属性!R231))+IF(Q231=1,INDEX(新属性投放!S$20:S$23,卡牌属性!M231-1),INDEX(新属性投放!S$25:S$28,卡牌属性!M231-1)))*INDEX($G$5:$G$42,L231),2)</f>
        <v>8225.66</v>
      </c>
      <c r="W231" s="29" t="s">
        <v>179</v>
      </c>
      <c r="X231" s="14">
        <f>ROUND((IF(Q231=1,INDEX(新属性投放!$L$14:$L$34,卡牌属性!R231),INDEX(新属性投放!$L$42:$L$62,卡牌属性!R231))*INDEX($G$5:$G$42,L231)+IF(Q231=1,INDEX(新属性投放!T$20:T$23,卡牌属性!M231-1),INDEX(新属性投放!T$25:T$28,卡牌属性!M231-1)))*SQRT(INDEX($I$5:$I$42,L231)),2)</f>
        <v>50342.73</v>
      </c>
      <c r="Y231" s="29" t="s">
        <v>177</v>
      </c>
      <c r="Z231" s="14">
        <f>ROUND(IF(Q231=1,INDEX(新属性投放!$D$14:$D$34,卡牌属性!R231),INDEX(新属性投放!$D$42:$D$62,卡牌属性!R231))*INDEX($G$5:$G$42,L231)/SQRT(INDEX($I$5:$I$42,L231)),2)</f>
        <v>413.44</v>
      </c>
      <c r="AA231" s="29" t="s">
        <v>178</v>
      </c>
      <c r="AB231" s="14">
        <f>ROUND(IF(Q231=1,INDEX(新属性投放!$E$14:$E$34,卡牌属性!R231),INDEX(新属性投放!$E$42:$E$62,卡牌属性!R231))*INDEX($G$5:$G$42,L231),2)</f>
        <v>206.72</v>
      </c>
      <c r="AC231" s="29" t="s">
        <v>179</v>
      </c>
      <c r="AD231" s="14">
        <f>ROUND(IF(Q231=1,INDEX(新属性投放!$F$14:$F$34,卡牌属性!R231),INDEX(新属性投放!$F$42:$F$62,卡牌属性!R231))*INDEX($G$5:$G$42,L231)*SQRT(INDEX($I$5:$I$42,L231)),2)</f>
        <v>1240.31</v>
      </c>
      <c r="AF231" s="14">
        <f t="shared" si="94"/>
        <v>4134</v>
      </c>
      <c r="AG231" s="14">
        <f t="shared" si="95"/>
        <v>2067</v>
      </c>
      <c r="AH231" s="14">
        <f t="shared" si="96"/>
        <v>12403</v>
      </c>
      <c r="AJ231" s="14">
        <f t="shared" si="100"/>
        <v>26967</v>
      </c>
      <c r="AK231" s="14">
        <f t="shared" si="101"/>
        <v>13480</v>
      </c>
      <c r="AL231" s="14">
        <f t="shared" si="102"/>
        <v>80918</v>
      </c>
    </row>
    <row r="232" spans="11:38" ht="16.5" x14ac:dyDescent="0.2">
      <c r="K232" s="13">
        <v>229</v>
      </c>
      <c r="L232" s="13">
        <f t="shared" si="88"/>
        <v>11</v>
      </c>
      <c r="M232" s="13">
        <f t="shared" si="89"/>
        <v>3</v>
      </c>
      <c r="N232" s="14">
        <f t="shared" si="90"/>
        <v>1101011</v>
      </c>
      <c r="O232" s="14" t="str">
        <f t="shared" si="91"/>
        <v>阎风吒19突</v>
      </c>
      <c r="P232" s="29" t="s">
        <v>470</v>
      </c>
      <c r="Q232" s="14">
        <f t="shared" si="92"/>
        <v>1</v>
      </c>
      <c r="R232" s="14">
        <f t="shared" si="93"/>
        <v>19</v>
      </c>
      <c r="S232" s="14" t="s">
        <v>39</v>
      </c>
      <c r="T232" s="14">
        <f>ROUND(((IF(Q232=1,INDEX(新属性投放!$J$14:$J$34,卡牌属性!R232),INDEX(新属性投放!$J$42:$J$62,卡牌属性!R232)))*INDEX($G$5:$G$42,L232)+IF(Q232=1,INDEX(新属性投放!R$20:R$23,卡牌属性!M232-1),INDEX(新属性投放!R$25:R$28,卡牌属性!M232-1)))/SQRT(INDEX($I$5:$I$42,L232)),2)</f>
        <v>19171.11</v>
      </c>
      <c r="U232" s="29" t="s">
        <v>178</v>
      </c>
      <c r="V232" s="14">
        <f>ROUND((IF(Q232=1,INDEX(新属性投放!$K$14:$K$34,卡牌属性!R232),INDEX(新属性投放!$K$42:$K$62,卡牌属性!R232))+IF(Q232=1,INDEX(新属性投放!S$20:S$23,卡牌属性!M232-1),INDEX(新属性投放!S$25:S$28,卡牌属性!M232-1)))*INDEX($G$5:$G$42,L232),2)</f>
        <v>9518</v>
      </c>
      <c r="W232" s="29" t="s">
        <v>179</v>
      </c>
      <c r="X232" s="14">
        <f>ROUND((IF(Q232=1,INDEX(新属性投放!$L$14:$L$34,卡牌属性!R232),INDEX(新属性投放!$L$42:$L$62,卡牌属性!R232))*INDEX($G$5:$G$42,L232)+IF(Q232=1,INDEX(新属性投放!T$20:T$23,卡牌属性!M232-1),INDEX(新属性投放!T$25:T$28,卡牌属性!M232-1)))*SQRT(INDEX($I$5:$I$42,L232)),2)</f>
        <v>58093.32</v>
      </c>
      <c r="Y232" s="29" t="s">
        <v>177</v>
      </c>
      <c r="Z232" s="14">
        <f>ROUND(IF(Q232=1,INDEX(新属性投放!$D$14:$D$34,卡牌属性!R232),INDEX(新属性投放!$D$42:$D$62,卡牌属性!R232))*INDEX($G$5:$G$42,L232)/SQRT(INDEX($I$5:$I$42,L232)),2)</f>
        <v>478.03</v>
      </c>
      <c r="AA232" s="29" t="s">
        <v>178</v>
      </c>
      <c r="AB232" s="14">
        <f>ROUND(IF(Q232=1,INDEX(新属性投放!$E$14:$E$34,卡牌属性!R232),INDEX(新属性投放!$E$42:$E$62,卡牌属性!R232))*INDEX($G$5:$G$42,L232),2)</f>
        <v>239.02</v>
      </c>
      <c r="AC232" s="29" t="s">
        <v>179</v>
      </c>
      <c r="AD232" s="14">
        <f>ROUND(IF(Q232=1,INDEX(新属性投放!$F$14:$F$34,卡牌属性!R232),INDEX(新属性投放!$F$42:$F$62,卡牌属性!R232))*INDEX($G$5:$G$42,L232)*SQRT(INDEX($I$5:$I$42,L232)),2)</f>
        <v>1434.1</v>
      </c>
      <c r="AF232" s="14">
        <f t="shared" si="94"/>
        <v>4780</v>
      </c>
      <c r="AG232" s="14">
        <f t="shared" si="95"/>
        <v>2390</v>
      </c>
      <c r="AH232" s="14">
        <f t="shared" si="96"/>
        <v>14341</v>
      </c>
      <c r="AJ232" s="14">
        <f t="shared" si="100"/>
        <v>31747</v>
      </c>
      <c r="AK232" s="14">
        <f t="shared" si="101"/>
        <v>15870</v>
      </c>
      <c r="AL232" s="14">
        <f t="shared" si="102"/>
        <v>95259</v>
      </c>
    </row>
    <row r="233" spans="11:38" ht="16.5" x14ac:dyDescent="0.2">
      <c r="K233" s="13">
        <v>230</v>
      </c>
      <c r="L233" s="13">
        <f t="shared" si="88"/>
        <v>11</v>
      </c>
      <c r="M233" s="13">
        <f t="shared" si="89"/>
        <v>3</v>
      </c>
      <c r="N233" s="14">
        <f t="shared" si="90"/>
        <v>1101011</v>
      </c>
      <c r="O233" s="14" t="str">
        <f t="shared" si="91"/>
        <v>阎风吒20突</v>
      </c>
      <c r="P233" s="29" t="s">
        <v>470</v>
      </c>
      <c r="Q233" s="14">
        <f t="shared" si="92"/>
        <v>1</v>
      </c>
      <c r="R233" s="14">
        <f t="shared" si="93"/>
        <v>20</v>
      </c>
      <c r="S233" s="14" t="s">
        <v>39</v>
      </c>
      <c r="T233" s="14">
        <f>ROUND(((IF(Q233=1,INDEX(新属性投放!$J$14:$J$34,卡牌属性!R233),INDEX(新属性投放!$J$42:$J$62,卡牌属性!R233)))*INDEX($G$5:$G$42,L233)+IF(Q233=1,INDEX(新属性投放!R$20:R$23,卡牌属性!M233-1),INDEX(新属性投放!R$25:R$28,卡牌属性!M233-1)))/SQRT(INDEX($I$5:$I$42,L233)),2)</f>
        <v>22159.27</v>
      </c>
      <c r="U233" s="29" t="s">
        <v>178</v>
      </c>
      <c r="V233" s="14">
        <f>ROUND((IF(Q233=1,INDEX(新属性投放!$K$14:$K$34,卡牌属性!R233),INDEX(新属性投放!$K$42:$K$62,卡牌属性!R233))+IF(Q233=1,INDEX(新属性投放!S$20:S$23,卡牌属性!M233-1),INDEX(新属性投放!S$25:S$28,卡牌属性!M233-1)))*INDEX($G$5:$G$42,L233),2)</f>
        <v>11012.08</v>
      </c>
      <c r="W233" s="29" t="s">
        <v>179</v>
      </c>
      <c r="X233" s="14">
        <f>ROUND((IF(Q233=1,INDEX(新属性投放!$L$14:$L$34,卡牌属性!R233),INDEX(新属性投放!$L$42:$L$62,卡牌属性!R233))*INDEX($G$5:$G$42,L233)+IF(Q233=1,INDEX(新属性投放!T$20:T$23,卡牌属性!M233-1),INDEX(新属性投放!T$25:T$28,卡牌属性!M233-1)))*SQRT(INDEX($I$5:$I$42,L233)),2)</f>
        <v>67057.8</v>
      </c>
      <c r="Y233" s="29" t="s">
        <v>177</v>
      </c>
      <c r="Z233" s="14">
        <f>ROUND(IF(Q233=1,INDEX(新属性投放!$D$14:$D$34,卡牌属性!R233),INDEX(新属性投放!$D$42:$D$62,卡牌属性!R233))*INDEX($G$5:$G$42,L233)/SQRT(INDEX($I$5:$I$42,L233)),2)</f>
        <v>552.74</v>
      </c>
      <c r="AA233" s="29" t="s">
        <v>178</v>
      </c>
      <c r="AB233" s="14">
        <f>ROUND(IF(Q233=1,INDEX(新属性投放!$E$14:$E$34,卡牌属性!R233),INDEX(新属性投放!$E$42:$E$62,卡牌属性!R233))*INDEX($G$5:$G$42,L233),2)</f>
        <v>276.37</v>
      </c>
      <c r="AC233" s="29" t="s">
        <v>179</v>
      </c>
      <c r="AD233" s="14">
        <f>ROUND(IF(Q233=1,INDEX(新属性投放!$F$14:$F$34,卡牌属性!R233),INDEX(新属性投放!$F$42:$F$62,卡牌属性!R233))*INDEX($G$5:$G$42,L233)*SQRT(INDEX($I$5:$I$42,L233)),2)</f>
        <v>1658.21</v>
      </c>
      <c r="AF233" s="14">
        <f t="shared" si="94"/>
        <v>5527</v>
      </c>
      <c r="AG233" s="14">
        <f t="shared" si="95"/>
        <v>2763</v>
      </c>
      <c r="AH233" s="14">
        <f t="shared" si="96"/>
        <v>16582</v>
      </c>
      <c r="AJ233" s="14">
        <f t="shared" si="100"/>
        <v>37274</v>
      </c>
      <c r="AK233" s="14">
        <f t="shared" si="101"/>
        <v>18633</v>
      </c>
      <c r="AL233" s="14">
        <f t="shared" si="102"/>
        <v>111841</v>
      </c>
    </row>
    <row r="234" spans="11:38" ht="16.5" x14ac:dyDescent="0.2">
      <c r="K234" s="13">
        <v>231</v>
      </c>
      <c r="L234" s="13">
        <f t="shared" si="88"/>
        <v>11</v>
      </c>
      <c r="M234" s="13">
        <f t="shared" si="89"/>
        <v>3</v>
      </c>
      <c r="N234" s="14">
        <f t="shared" si="90"/>
        <v>1101011</v>
      </c>
      <c r="O234" s="14" t="str">
        <f t="shared" si="91"/>
        <v>阎风吒21突</v>
      </c>
      <c r="P234" s="29" t="s">
        <v>470</v>
      </c>
      <c r="Q234" s="14">
        <f t="shared" si="92"/>
        <v>1</v>
      </c>
      <c r="R234" s="14">
        <f t="shared" si="93"/>
        <v>21</v>
      </c>
      <c r="S234" s="14" t="s">
        <v>39</v>
      </c>
      <c r="T234" s="14">
        <f>ROUND(((IF(Q234=1,INDEX(新属性投放!$J$14:$J$34,卡牌属性!R234),INDEX(新属性投放!$J$42:$J$62,卡牌属性!R234)))*INDEX($G$5:$G$42,L234)+IF(Q234=1,INDEX(新属性投放!R$20:R$23,卡牌属性!M234-1),INDEX(新属性投放!R$25:R$28,卡牌属性!M234-1)))/SQRT(INDEX($I$5:$I$42,L234)),2)</f>
        <v>25614.1</v>
      </c>
      <c r="U234" s="29" t="s">
        <v>178</v>
      </c>
      <c r="V234" s="14">
        <f>ROUND((IF(Q234=1,INDEX(新属性投放!$K$14:$K$34,卡牌属性!R234),INDEX(新属性投放!$K$42:$K$62,卡牌属性!R234))+IF(Q234=1,INDEX(新属性投放!S$20:S$23,卡牌属性!M234-1),INDEX(新属性投放!S$25:S$28,卡牌属性!M234-1)))*INDEX($G$5:$G$42,L234),2)</f>
        <v>12738.92</v>
      </c>
      <c r="W234" s="29" t="s">
        <v>179</v>
      </c>
      <c r="X234" s="14">
        <f>ROUND((IF(Q234=1,INDEX(新属性投放!$L$14:$L$34,卡牌属性!R234),INDEX(新属性投放!$L$42:$L$62,卡牌属性!R234))*INDEX($G$5:$G$42,L234)+IF(Q234=1,INDEX(新属性投放!T$20:T$23,卡牌属性!M234-1),INDEX(新属性投放!T$25:T$28,卡牌属性!M234-1)))*SQRT(INDEX($I$5:$I$42,L234)),2)</f>
        <v>77422.289999999994</v>
      </c>
      <c r="Y234" s="29" t="s">
        <v>177</v>
      </c>
      <c r="Z234" s="14">
        <f>ROUND(IF(Q234=1,INDEX(新属性投放!$D$14:$D$34,卡牌属性!R234),INDEX(新属性投放!$D$42:$D$62,卡牌属性!R234))*INDEX($G$5:$G$42,L234)/SQRT(INDEX($I$5:$I$42,L234)),2)</f>
        <v>639.1</v>
      </c>
      <c r="AA234" s="29" t="s">
        <v>178</v>
      </c>
      <c r="AB234" s="14">
        <f>ROUND(IF(Q234=1,INDEX(新属性投放!$E$14:$E$34,卡牌属性!R234),INDEX(新属性投放!$E$42:$E$62,卡牌属性!R234))*INDEX($G$5:$G$42,L234),2)</f>
        <v>319.55</v>
      </c>
      <c r="AC234" s="29" t="s">
        <v>179</v>
      </c>
      <c r="AD234" s="14">
        <f>ROUND(IF(Q234=1,INDEX(新属性投放!$F$14:$F$34,卡牌属性!R234),INDEX(新属性投放!$F$42:$F$62,卡牌属性!R234))*INDEX($G$5:$G$42,L234)*SQRT(INDEX($I$5:$I$42,L234)),2)</f>
        <v>1917.3</v>
      </c>
      <c r="AF234" s="14">
        <f t="shared" si="94"/>
        <v>6391</v>
      </c>
      <c r="AG234" s="14">
        <f t="shared" si="95"/>
        <v>3195</v>
      </c>
      <c r="AH234" s="14">
        <f t="shared" si="96"/>
        <v>19173</v>
      </c>
      <c r="AJ234" s="14">
        <f t="shared" si="100"/>
        <v>43665</v>
      </c>
      <c r="AK234" s="14">
        <f t="shared" si="101"/>
        <v>21828</v>
      </c>
      <c r="AL234" s="14">
        <f t="shared" si="102"/>
        <v>131014</v>
      </c>
    </row>
    <row r="235" spans="11:38" ht="16.5" x14ac:dyDescent="0.2">
      <c r="K235" s="13">
        <v>232</v>
      </c>
      <c r="L235" s="13">
        <f t="shared" si="88"/>
        <v>12</v>
      </c>
      <c r="M235" s="13">
        <f t="shared" si="89"/>
        <v>2</v>
      </c>
      <c r="N235" s="14">
        <f t="shared" si="90"/>
        <v>1101012</v>
      </c>
      <c r="O235" s="14" t="str">
        <f t="shared" si="91"/>
        <v>南御夫1突</v>
      </c>
      <c r="P235" s="29" t="s">
        <v>470</v>
      </c>
      <c r="Q235" s="14">
        <f t="shared" si="92"/>
        <v>1</v>
      </c>
      <c r="R235" s="14">
        <f t="shared" si="93"/>
        <v>1</v>
      </c>
      <c r="S235" s="14" t="s">
        <v>39</v>
      </c>
      <c r="T235" s="14">
        <f>ROUND(((IF(Q235=1,INDEX(新属性投放!$J$14:$J$34,卡牌属性!R235),INDEX(新属性投放!$J$42:$J$62,卡牌属性!R235)))*INDEX($G$5:$G$42,L235)+IF(Q235=1,INDEX(新属性投放!R$20:R$23,卡牌属性!M235-1),INDEX(新属性投放!R$25:R$28,卡牌属性!M235-1)))/SQRT(INDEX($I$5:$I$42,L235)),2)</f>
        <v>100</v>
      </c>
      <c r="U235" s="29" t="s">
        <v>178</v>
      </c>
      <c r="V235" s="14">
        <f>ROUND((IF(Q235=1,INDEX(新属性投放!$K$14:$K$34,卡牌属性!R235),INDEX(新属性投放!$K$42:$K$62,卡牌属性!R235))+IF(Q235=1,INDEX(新属性投放!S$20:S$23,卡牌属性!M235-1),INDEX(新属性投放!S$25:S$28,卡牌属性!M235-1)))*INDEX($G$5:$G$42,L235),2)</f>
        <v>0</v>
      </c>
      <c r="W235" s="29" t="s">
        <v>179</v>
      </c>
      <c r="X235" s="14">
        <f>ROUND((IF(Q235=1,INDEX(新属性投放!$L$14:$L$34,卡牌属性!R235),INDEX(新属性投放!$L$42:$L$62,卡牌属性!R235))*INDEX($G$5:$G$42,L235)+IF(Q235=1,INDEX(新属性投放!T$20:T$23,卡牌属性!M235-1),INDEX(新属性投放!T$25:T$28,卡牌属性!M235-1)))*SQRT(INDEX($I$5:$I$42,L235)),2)</f>
        <v>500</v>
      </c>
      <c r="Y235" s="29" t="s">
        <v>177</v>
      </c>
      <c r="Z235" s="14">
        <f>ROUND(IF(Q235=1,INDEX(新属性投放!$D$14:$D$34,卡牌属性!R235),INDEX(新属性投放!$D$42:$D$62,卡牌属性!R235))*INDEX($G$5:$G$42,L235)/SQRT(INDEX($I$5:$I$42,L235)),2)</f>
        <v>15</v>
      </c>
      <c r="AA235" s="29" t="s">
        <v>178</v>
      </c>
      <c r="AB235" s="14">
        <f>ROUND(IF(Q235=1,INDEX(新属性投放!$E$14:$E$34,卡牌属性!R235),INDEX(新属性投放!$E$42:$E$62,卡牌属性!R235))*INDEX($G$5:$G$42,L235),2)</f>
        <v>7.5</v>
      </c>
      <c r="AC235" s="29" t="s">
        <v>179</v>
      </c>
      <c r="AD235" s="14">
        <f>ROUND(IF(Q235=1,INDEX(新属性投放!$F$14:$F$34,卡牌属性!R235),INDEX(新属性投放!$F$42:$F$62,卡牌属性!R235))*INDEX($G$5:$G$42,L235)*SQRT(INDEX($I$5:$I$42,L235)),2)</f>
        <v>45</v>
      </c>
      <c r="AF235" s="14">
        <f t="shared" si="94"/>
        <v>150</v>
      </c>
      <c r="AG235" s="14">
        <f t="shared" si="95"/>
        <v>75</v>
      </c>
      <c r="AH235" s="14">
        <f t="shared" si="96"/>
        <v>450</v>
      </c>
      <c r="AJ235" s="14">
        <f t="shared" ref="AJ235" si="103">AF235</f>
        <v>150</v>
      </c>
      <c r="AK235" s="14">
        <f t="shared" ref="AK235" si="104">AG235</f>
        <v>75</v>
      </c>
      <c r="AL235" s="14">
        <f t="shared" ref="AL235" si="105">AH235</f>
        <v>450</v>
      </c>
    </row>
    <row r="236" spans="11:38" ht="16.5" x14ac:dyDescent="0.2">
      <c r="K236" s="13">
        <v>233</v>
      </c>
      <c r="L236" s="13">
        <f t="shared" si="88"/>
        <v>12</v>
      </c>
      <c r="M236" s="13">
        <f t="shared" si="89"/>
        <v>2</v>
      </c>
      <c r="N236" s="14">
        <f t="shared" si="90"/>
        <v>1101012</v>
      </c>
      <c r="O236" s="14" t="str">
        <f t="shared" si="91"/>
        <v>南御夫2突</v>
      </c>
      <c r="P236" s="29" t="s">
        <v>470</v>
      </c>
      <c r="Q236" s="14">
        <f t="shared" si="92"/>
        <v>1</v>
      </c>
      <c r="R236" s="14">
        <f t="shared" si="93"/>
        <v>2</v>
      </c>
      <c r="S236" s="14" t="s">
        <v>39</v>
      </c>
      <c r="T236" s="14">
        <f>ROUND(((IF(Q236=1,INDEX(新属性投放!$J$14:$J$34,卡牌属性!R236),INDEX(新属性投放!$J$42:$J$62,卡牌属性!R236)))*INDEX($G$5:$G$42,L236)+IF(Q236=1,INDEX(新属性投放!R$20:R$23,卡牌属性!M236-1),INDEX(新属性投放!R$25:R$28,卡牌属性!M236-1)))/SQRT(INDEX($I$5:$I$42,L236)),2)</f>
        <v>245</v>
      </c>
      <c r="U236" s="29" t="s">
        <v>178</v>
      </c>
      <c r="V236" s="14">
        <f>ROUND((IF(Q236=1,INDEX(新属性投放!$K$14:$K$34,卡牌属性!R236),INDEX(新属性投放!$K$42:$K$62,卡牌属性!R236))+IF(Q236=1,INDEX(新属性投放!S$20:S$23,卡牌属性!M236-1),INDEX(新属性投放!S$25:S$28,卡牌属性!M236-1)))*INDEX($G$5:$G$42,L236),2)</f>
        <v>84.5</v>
      </c>
      <c r="W236" s="29" t="s">
        <v>179</v>
      </c>
      <c r="X236" s="14">
        <f>ROUND((IF(Q236=1,INDEX(新属性投放!$L$14:$L$34,卡牌属性!R236),INDEX(新属性投放!$L$42:$L$62,卡牌属性!R236))*INDEX($G$5:$G$42,L236)+IF(Q236=1,INDEX(新属性投放!T$20:T$23,卡牌属性!M236-1),INDEX(新属性投放!T$25:T$28,卡牌属性!M236-1)))*SQRT(INDEX($I$5:$I$42,L236)),2)</f>
        <v>935</v>
      </c>
      <c r="Y236" s="29" t="s">
        <v>177</v>
      </c>
      <c r="Z236" s="14">
        <f>ROUND(IF(Q236=1,INDEX(新属性投放!$D$14:$D$34,卡牌属性!R236),INDEX(新属性投放!$D$42:$D$62,卡牌属性!R236))*INDEX($G$5:$G$42,L236)/SQRT(INDEX($I$5:$I$42,L236)),2)</f>
        <v>13.77</v>
      </c>
      <c r="AA236" s="29" t="s">
        <v>178</v>
      </c>
      <c r="AB236" s="14">
        <f>ROUND(IF(Q236=1,INDEX(新属性投放!$E$14:$E$34,卡牌属性!R236),INDEX(新属性投放!$E$42:$E$62,卡牌属性!R236))*INDEX($G$5:$G$42,L236),2)</f>
        <v>6.89</v>
      </c>
      <c r="AC236" s="29" t="s">
        <v>179</v>
      </c>
      <c r="AD236" s="14">
        <f>ROUND(IF(Q236=1,INDEX(新属性投放!$F$14:$F$34,卡牌属性!R236),INDEX(新属性投放!$F$42:$F$62,卡牌属性!R236))*INDEX($G$5:$G$42,L236)*SQRT(INDEX($I$5:$I$42,L236)),2)</f>
        <v>41.31</v>
      </c>
      <c r="AF236" s="14">
        <f t="shared" si="94"/>
        <v>137</v>
      </c>
      <c r="AG236" s="14">
        <f t="shared" si="95"/>
        <v>68</v>
      </c>
      <c r="AH236" s="14">
        <f t="shared" si="96"/>
        <v>413</v>
      </c>
      <c r="AJ236" s="14">
        <f t="shared" ref="AJ236:AJ255" si="106">AJ235+AF236</f>
        <v>287</v>
      </c>
      <c r="AK236" s="14">
        <f t="shared" ref="AK236:AK255" si="107">AK235+AG236</f>
        <v>143</v>
      </c>
      <c r="AL236" s="14">
        <f t="shared" ref="AL236:AL255" si="108">AL235+AH236</f>
        <v>863</v>
      </c>
    </row>
    <row r="237" spans="11:38" ht="16.5" x14ac:dyDescent="0.2">
      <c r="K237" s="13">
        <v>234</v>
      </c>
      <c r="L237" s="13">
        <f t="shared" si="88"/>
        <v>12</v>
      </c>
      <c r="M237" s="13">
        <f t="shared" si="89"/>
        <v>2</v>
      </c>
      <c r="N237" s="14">
        <f t="shared" si="90"/>
        <v>1101012</v>
      </c>
      <c r="O237" s="14" t="str">
        <f t="shared" si="91"/>
        <v>南御夫3突</v>
      </c>
      <c r="P237" s="29" t="s">
        <v>470</v>
      </c>
      <c r="Q237" s="14">
        <f t="shared" si="92"/>
        <v>1</v>
      </c>
      <c r="R237" s="14">
        <f t="shared" si="93"/>
        <v>3</v>
      </c>
      <c r="S237" s="14" t="s">
        <v>39</v>
      </c>
      <c r="T237" s="14">
        <f>ROUND(((IF(Q237=1,INDEX(新属性投放!$J$14:$J$34,卡牌属性!R237),INDEX(新属性投放!$J$42:$J$62,卡牌属性!R237)))*INDEX($G$5:$G$42,L237)+IF(Q237=1,INDEX(新属性投放!R$20:R$23,卡牌属性!M237-1),INDEX(新属性投放!R$25:R$28,卡牌属性!M237-1)))/SQRT(INDEX($I$5:$I$42,L237)),2)</f>
        <v>416.7</v>
      </c>
      <c r="U237" s="29" t="s">
        <v>178</v>
      </c>
      <c r="V237" s="14">
        <f>ROUND((IF(Q237=1,INDEX(新属性投放!$K$14:$K$34,卡牌属性!R237),INDEX(新属性投放!$K$42:$K$62,卡牌属性!R237))+IF(Q237=1,INDEX(新属性投放!S$20:S$23,卡牌属性!M237-1),INDEX(新属性投放!S$25:S$28,卡牌属性!M237-1)))*INDEX($G$5:$G$42,L237),2)</f>
        <v>170.35</v>
      </c>
      <c r="W237" s="29" t="s">
        <v>179</v>
      </c>
      <c r="X237" s="14">
        <f>ROUND((IF(Q237=1,INDEX(新属性投放!$L$14:$L$34,卡牌属性!R237),INDEX(新属性投放!$L$42:$L$62,卡牌属性!R237))*INDEX($G$5:$G$42,L237)+IF(Q237=1,INDEX(新属性投放!T$20:T$23,卡牌属性!M237-1),INDEX(新属性投放!T$25:T$28,卡牌属性!M237-1)))*SQRT(INDEX($I$5:$I$42,L237)),2)</f>
        <v>1450.1</v>
      </c>
      <c r="Y237" s="29" t="s">
        <v>177</v>
      </c>
      <c r="Z237" s="14">
        <f>ROUND(IF(Q237=1,INDEX(新属性投放!$D$14:$D$34,卡牌属性!R237),INDEX(新属性投放!$D$42:$D$62,卡牌属性!R237))*INDEX($G$5:$G$42,L237)/SQRT(INDEX($I$5:$I$42,L237)),2)</f>
        <v>25.17</v>
      </c>
      <c r="AA237" s="29" t="s">
        <v>178</v>
      </c>
      <c r="AB237" s="14">
        <f>ROUND(IF(Q237=1,INDEX(新属性投放!$E$14:$E$34,卡牌属性!R237),INDEX(新属性投放!$E$42:$E$62,卡牌属性!R237))*INDEX($G$5:$G$42,L237),2)</f>
        <v>12.59</v>
      </c>
      <c r="AC237" s="29" t="s">
        <v>179</v>
      </c>
      <c r="AD237" s="14">
        <f>ROUND(IF(Q237=1,INDEX(新属性投放!$F$14:$F$34,卡牌属性!R237),INDEX(新属性投放!$F$42:$F$62,卡牌属性!R237))*INDEX($G$5:$G$42,L237)*SQRT(INDEX($I$5:$I$42,L237)),2)</f>
        <v>75.510000000000005</v>
      </c>
      <c r="AF237" s="14">
        <f t="shared" si="94"/>
        <v>251</v>
      </c>
      <c r="AG237" s="14">
        <f t="shared" si="95"/>
        <v>125</v>
      </c>
      <c r="AH237" s="14">
        <f t="shared" si="96"/>
        <v>755</v>
      </c>
      <c r="AJ237" s="14">
        <f t="shared" si="106"/>
        <v>538</v>
      </c>
      <c r="AK237" s="14">
        <f t="shared" si="107"/>
        <v>268</v>
      </c>
      <c r="AL237" s="14">
        <f t="shared" si="108"/>
        <v>1618</v>
      </c>
    </row>
    <row r="238" spans="11:38" ht="16.5" x14ac:dyDescent="0.2">
      <c r="K238" s="13">
        <v>235</v>
      </c>
      <c r="L238" s="13">
        <f t="shared" si="88"/>
        <v>12</v>
      </c>
      <c r="M238" s="13">
        <f t="shared" si="89"/>
        <v>2</v>
      </c>
      <c r="N238" s="14">
        <f t="shared" si="90"/>
        <v>1101012</v>
      </c>
      <c r="O238" s="14" t="str">
        <f t="shared" si="91"/>
        <v>南御夫4突</v>
      </c>
      <c r="P238" s="29" t="s">
        <v>470</v>
      </c>
      <c r="Q238" s="14">
        <f t="shared" si="92"/>
        <v>1</v>
      </c>
      <c r="R238" s="14">
        <f t="shared" si="93"/>
        <v>4</v>
      </c>
      <c r="S238" s="14" t="s">
        <v>39</v>
      </c>
      <c r="T238" s="14">
        <f>ROUND(((IF(Q238=1,INDEX(新属性投放!$J$14:$J$34,卡牌属性!R238),INDEX(新属性投放!$J$42:$J$62,卡牌属性!R238)))*INDEX($G$5:$G$42,L238)+IF(Q238=1,INDEX(新属性投放!R$20:R$23,卡牌属性!M238-1),INDEX(新属性投放!R$25:R$28,卡牌属性!M238-1)))/SQRT(INDEX($I$5:$I$42,L238)),2)</f>
        <v>731.4</v>
      </c>
      <c r="U238" s="29" t="s">
        <v>178</v>
      </c>
      <c r="V238" s="14">
        <f>ROUND((IF(Q238=1,INDEX(新属性投放!$K$14:$K$34,卡牌属性!R238),INDEX(新属性投放!$K$42:$K$62,卡牌属性!R238))+IF(Q238=1,INDEX(新属性投放!S$20:S$23,卡牌属性!M238-1),INDEX(新属性投放!S$25:S$28,卡牌属性!M238-1)))*INDEX($G$5:$G$42,L238),2)</f>
        <v>327.2</v>
      </c>
      <c r="W238" s="29" t="s">
        <v>179</v>
      </c>
      <c r="X238" s="14">
        <f>ROUND((IF(Q238=1,INDEX(新属性投放!$L$14:$L$34,卡牌属性!R238),INDEX(新属性投放!$L$42:$L$62,卡牌属性!R238))*INDEX($G$5:$G$42,L238)+IF(Q238=1,INDEX(新属性投放!T$20:T$23,卡牌属性!M238-1),INDEX(新属性投放!T$25:T$28,卡牌属性!M238-1)))*SQRT(INDEX($I$5:$I$42,L238)),2)</f>
        <v>2394.1999999999998</v>
      </c>
      <c r="Y238" s="29" t="s">
        <v>177</v>
      </c>
      <c r="Z238" s="14">
        <f>ROUND(IF(Q238=1,INDEX(新属性投放!$D$14:$D$34,卡牌属性!R238),INDEX(新属性投放!$D$42:$D$62,卡牌属性!R238))*INDEX($G$5:$G$42,L238)/SQRT(INDEX($I$5:$I$42,L238)),2)</f>
        <v>30.13</v>
      </c>
      <c r="AA238" s="29" t="s">
        <v>178</v>
      </c>
      <c r="AB238" s="14">
        <f>ROUND(IF(Q238=1,INDEX(新属性投放!$E$14:$E$34,卡牌属性!R238),INDEX(新属性投放!$E$42:$E$62,卡牌属性!R238))*INDEX($G$5:$G$42,L238),2)</f>
        <v>15.07</v>
      </c>
      <c r="AC238" s="29" t="s">
        <v>179</v>
      </c>
      <c r="AD238" s="14">
        <f>ROUND(IF(Q238=1,INDEX(新属性投放!$F$14:$F$34,卡牌属性!R238),INDEX(新属性投放!$F$42:$F$62,卡牌属性!R238))*INDEX($G$5:$G$42,L238)*SQRT(INDEX($I$5:$I$42,L238)),2)</f>
        <v>90.39</v>
      </c>
      <c r="AF238" s="14">
        <f t="shared" si="94"/>
        <v>301</v>
      </c>
      <c r="AG238" s="14">
        <f t="shared" si="95"/>
        <v>150</v>
      </c>
      <c r="AH238" s="14">
        <f t="shared" si="96"/>
        <v>903</v>
      </c>
      <c r="AJ238" s="14">
        <f t="shared" si="106"/>
        <v>839</v>
      </c>
      <c r="AK238" s="14">
        <f t="shared" si="107"/>
        <v>418</v>
      </c>
      <c r="AL238" s="14">
        <f t="shared" si="108"/>
        <v>2521</v>
      </c>
    </row>
    <row r="239" spans="11:38" ht="16.5" x14ac:dyDescent="0.2">
      <c r="K239" s="13">
        <v>236</v>
      </c>
      <c r="L239" s="13">
        <f t="shared" si="88"/>
        <v>12</v>
      </c>
      <c r="M239" s="13">
        <f t="shared" si="89"/>
        <v>2</v>
      </c>
      <c r="N239" s="14">
        <f t="shared" si="90"/>
        <v>1101012</v>
      </c>
      <c r="O239" s="14" t="str">
        <f t="shared" si="91"/>
        <v>南御夫5突</v>
      </c>
      <c r="P239" s="29" t="s">
        <v>470</v>
      </c>
      <c r="Q239" s="14">
        <f t="shared" si="92"/>
        <v>1</v>
      </c>
      <c r="R239" s="14">
        <f t="shared" si="93"/>
        <v>5</v>
      </c>
      <c r="S239" s="14" t="s">
        <v>39</v>
      </c>
      <c r="T239" s="14">
        <f>ROUND(((IF(Q239=1,INDEX(新属性投放!$J$14:$J$34,卡牌属性!R239),INDEX(新属性投放!$J$42:$J$62,卡牌属性!R239)))*INDEX($G$5:$G$42,L239)+IF(Q239=1,INDEX(新属性投放!R$20:R$23,卡牌属性!M239-1),INDEX(新属性投放!R$25:R$28,卡牌属性!M239-1)))/SQRT(INDEX($I$5:$I$42,L239)),2)</f>
        <v>1107.7</v>
      </c>
      <c r="U239" s="29" t="s">
        <v>178</v>
      </c>
      <c r="V239" s="14">
        <f>ROUND((IF(Q239=1,INDEX(新属性投放!$K$14:$K$34,卡牌属性!R239),INDEX(新属性投放!$K$42:$K$62,卡牌属性!R239))+IF(Q239=1,INDEX(新属性投放!S$20:S$23,卡牌属性!M239-1),INDEX(新属性投放!S$25:S$28,卡牌属性!M239-1)))*INDEX($G$5:$G$42,L239),2)</f>
        <v>515.85</v>
      </c>
      <c r="W239" s="29" t="s">
        <v>179</v>
      </c>
      <c r="X239" s="14">
        <f>ROUND((IF(Q239=1,INDEX(新属性投放!$L$14:$L$34,卡牌属性!R239),INDEX(新属性投放!$L$42:$L$62,卡牌属性!R239))*INDEX($G$5:$G$42,L239)+IF(Q239=1,INDEX(新属性投放!T$20:T$23,卡牌属性!M239-1),INDEX(新属性投放!T$25:T$28,卡牌属性!M239-1)))*SQRT(INDEX($I$5:$I$42,L239)),2)</f>
        <v>3523.1</v>
      </c>
      <c r="Y239" s="29" t="s">
        <v>177</v>
      </c>
      <c r="Z239" s="14">
        <f>ROUND(IF(Q239=1,INDEX(新属性投放!$D$14:$D$34,卡牌属性!R239),INDEX(新属性投放!$D$42:$D$62,卡牌属性!R239))*INDEX($G$5:$G$42,L239)/SQRT(INDEX($I$5:$I$42,L239)),2)</f>
        <v>37.659999999999997</v>
      </c>
      <c r="AA239" s="29" t="s">
        <v>178</v>
      </c>
      <c r="AB239" s="14">
        <f>ROUND(IF(Q239=1,INDEX(新属性投放!$E$14:$E$34,卡牌属性!R239),INDEX(新属性投放!$E$42:$E$62,卡牌属性!R239))*INDEX($G$5:$G$42,L239),2)</f>
        <v>18.829999999999998</v>
      </c>
      <c r="AC239" s="29" t="s">
        <v>179</v>
      </c>
      <c r="AD239" s="14">
        <f>ROUND(IF(Q239=1,INDEX(新属性投放!$F$14:$F$34,卡牌属性!R239),INDEX(新属性投放!$F$42:$F$62,卡牌属性!R239))*INDEX($G$5:$G$42,L239)*SQRT(INDEX($I$5:$I$42,L239)),2)</f>
        <v>112.98</v>
      </c>
      <c r="AF239" s="14">
        <f t="shared" si="94"/>
        <v>376</v>
      </c>
      <c r="AG239" s="14">
        <f t="shared" si="95"/>
        <v>188</v>
      </c>
      <c r="AH239" s="14">
        <f t="shared" si="96"/>
        <v>1129</v>
      </c>
      <c r="AJ239" s="14">
        <f t="shared" si="106"/>
        <v>1215</v>
      </c>
      <c r="AK239" s="14">
        <f t="shared" si="107"/>
        <v>606</v>
      </c>
      <c r="AL239" s="14">
        <f t="shared" si="108"/>
        <v>3650</v>
      </c>
    </row>
    <row r="240" spans="11:38" ht="16.5" x14ac:dyDescent="0.2">
      <c r="K240" s="13">
        <v>237</v>
      </c>
      <c r="L240" s="13">
        <f t="shared" si="88"/>
        <v>12</v>
      </c>
      <c r="M240" s="13">
        <f t="shared" si="89"/>
        <v>2</v>
      </c>
      <c r="N240" s="14">
        <f t="shared" si="90"/>
        <v>1101012</v>
      </c>
      <c r="O240" s="14" t="str">
        <f t="shared" si="91"/>
        <v>南御夫6突</v>
      </c>
      <c r="P240" s="29" t="s">
        <v>470</v>
      </c>
      <c r="Q240" s="14">
        <f t="shared" si="92"/>
        <v>1</v>
      </c>
      <c r="R240" s="14">
        <f t="shared" si="93"/>
        <v>6</v>
      </c>
      <c r="S240" s="14" t="s">
        <v>39</v>
      </c>
      <c r="T240" s="14">
        <f>ROUND(((IF(Q240=1,INDEX(新属性投放!$J$14:$J$34,卡牌属性!R240),INDEX(新属性投放!$J$42:$J$62,卡牌属性!R240)))*INDEX($G$5:$G$42,L240)+IF(Q240=1,INDEX(新属性投放!R$20:R$23,卡牌属性!M240-1),INDEX(新属性投放!R$25:R$28,卡牌属性!M240-1)))/SQRT(INDEX($I$5:$I$42,L240)),2)</f>
        <v>1578.3</v>
      </c>
      <c r="U240" s="29" t="s">
        <v>178</v>
      </c>
      <c r="V240" s="14">
        <f>ROUND((IF(Q240=1,INDEX(新属性投放!$K$14:$K$34,卡牌属性!R240),INDEX(新属性投放!$K$42:$K$62,卡牌属性!R240))+IF(Q240=1,INDEX(新属性投放!S$20:S$23,卡牌属性!M240-1),INDEX(新属性投放!S$25:S$28,卡牌属性!M240-1)))*INDEX($G$5:$G$42,L240),2)</f>
        <v>751.15</v>
      </c>
      <c r="W240" s="29" t="s">
        <v>179</v>
      </c>
      <c r="X240" s="14">
        <f>ROUND((IF(Q240=1,INDEX(新属性投放!$L$14:$L$34,卡牌属性!R240),INDEX(新属性投放!$L$42:$L$62,卡牌属性!R240))*INDEX($G$5:$G$42,L240)+IF(Q240=1,INDEX(新属性投放!T$20:T$23,卡牌属性!M240-1),INDEX(新属性投放!T$25:T$28,卡牌属性!M240-1)))*SQRT(INDEX($I$5:$I$42,L240)),2)</f>
        <v>4934.8999999999996</v>
      </c>
      <c r="Y240" s="29" t="s">
        <v>177</v>
      </c>
      <c r="Z240" s="14">
        <f>ROUND(IF(Q240=1,INDEX(新属性投放!$D$14:$D$34,卡牌属性!R240),INDEX(新属性投放!$D$42:$D$62,卡牌属性!R240))*INDEX($G$5:$G$42,L240)/SQRT(INDEX($I$5:$I$42,L240)),2)</f>
        <v>48.85</v>
      </c>
      <c r="AA240" s="29" t="s">
        <v>178</v>
      </c>
      <c r="AB240" s="14">
        <f>ROUND(IF(Q240=1,INDEX(新属性投放!$E$14:$E$34,卡牌属性!R240),INDEX(新属性投放!$E$42:$E$62,卡牌属性!R240))*INDEX($G$5:$G$42,L240),2)</f>
        <v>24.43</v>
      </c>
      <c r="AC240" s="29" t="s">
        <v>179</v>
      </c>
      <c r="AD240" s="14">
        <f>ROUND(IF(Q240=1,INDEX(新属性投放!$F$14:$F$34,卡牌属性!R240),INDEX(新属性投放!$F$42:$F$62,卡牌属性!R240))*INDEX($G$5:$G$42,L240)*SQRT(INDEX($I$5:$I$42,L240)),2)</f>
        <v>146.55000000000001</v>
      </c>
      <c r="AF240" s="14">
        <f t="shared" si="94"/>
        <v>488</v>
      </c>
      <c r="AG240" s="14">
        <f t="shared" si="95"/>
        <v>244</v>
      </c>
      <c r="AH240" s="14">
        <f t="shared" si="96"/>
        <v>1465</v>
      </c>
      <c r="AJ240" s="14">
        <f t="shared" si="106"/>
        <v>1703</v>
      </c>
      <c r="AK240" s="14">
        <f t="shared" si="107"/>
        <v>850</v>
      </c>
      <c r="AL240" s="14">
        <f t="shared" si="108"/>
        <v>5115</v>
      </c>
    </row>
    <row r="241" spans="11:38" ht="16.5" x14ac:dyDescent="0.2">
      <c r="K241" s="13">
        <v>238</v>
      </c>
      <c r="L241" s="13">
        <f t="shared" si="88"/>
        <v>12</v>
      </c>
      <c r="M241" s="13">
        <f t="shared" si="89"/>
        <v>2</v>
      </c>
      <c r="N241" s="14">
        <f t="shared" si="90"/>
        <v>1101012</v>
      </c>
      <c r="O241" s="14" t="str">
        <f t="shared" si="91"/>
        <v>南御夫7突</v>
      </c>
      <c r="P241" s="29" t="s">
        <v>470</v>
      </c>
      <c r="Q241" s="14">
        <f t="shared" si="92"/>
        <v>1</v>
      </c>
      <c r="R241" s="14">
        <f t="shared" si="93"/>
        <v>7</v>
      </c>
      <c r="S241" s="14" t="s">
        <v>39</v>
      </c>
      <c r="T241" s="14">
        <f>ROUND(((IF(Q241=1,INDEX(新属性投放!$J$14:$J$34,卡牌属性!R241),INDEX(新属性投放!$J$42:$J$62,卡牌属性!R241)))*INDEX($G$5:$G$42,L241)+IF(Q241=1,INDEX(新属性投放!R$20:R$23,卡牌属性!M241-1),INDEX(新属性投放!R$25:R$28,卡牌属性!M241-1)))/SQRT(INDEX($I$5:$I$42,L241)),2)</f>
        <v>2188.8000000000002</v>
      </c>
      <c r="U241" s="29" t="s">
        <v>178</v>
      </c>
      <c r="V241" s="14">
        <f>ROUND((IF(Q241=1,INDEX(新属性投放!$K$14:$K$34,卡牌属性!R241),INDEX(新属性投放!$K$42:$K$62,卡牌属性!R241))+IF(Q241=1,INDEX(新属性投放!S$20:S$23,卡牌属性!M241-1),INDEX(新属性投放!S$25:S$28,卡牌属性!M241-1)))*INDEX($G$5:$G$42,L241),2)</f>
        <v>1056.4000000000001</v>
      </c>
      <c r="W241" s="29" t="s">
        <v>179</v>
      </c>
      <c r="X241" s="14">
        <f>ROUND((IF(Q241=1,INDEX(新属性投放!$L$14:$L$34,卡牌属性!R241),INDEX(新属性投放!$L$42:$L$62,卡牌属性!R241))*INDEX($G$5:$G$42,L241)+IF(Q241=1,INDEX(新属性投放!T$20:T$23,卡牌属性!M241-1),INDEX(新属性投放!T$25:T$28,卡牌属性!M241-1)))*SQRT(INDEX($I$5:$I$42,L241)),2)</f>
        <v>6766.4</v>
      </c>
      <c r="Y241" s="29" t="s">
        <v>177</v>
      </c>
      <c r="Z241" s="14">
        <f>ROUND(IF(Q241=1,INDEX(新属性投放!$D$14:$D$34,卡牌属性!R241),INDEX(新属性投放!$D$42:$D$62,卡牌属性!R241))*INDEX($G$5:$G$42,L241)/SQRT(INDEX($I$5:$I$42,L241)),2)</f>
        <v>60.19</v>
      </c>
      <c r="AA241" s="29" t="s">
        <v>178</v>
      </c>
      <c r="AB241" s="14">
        <f>ROUND(IF(Q241=1,INDEX(新属性投放!$E$14:$E$34,卡牌属性!R241),INDEX(新属性投放!$E$42:$E$62,卡牌属性!R241))*INDEX($G$5:$G$42,L241),2)</f>
        <v>30.1</v>
      </c>
      <c r="AC241" s="29" t="s">
        <v>179</v>
      </c>
      <c r="AD241" s="14">
        <f>ROUND(IF(Q241=1,INDEX(新属性投放!$F$14:$F$34,卡牌属性!R241),INDEX(新属性投放!$F$42:$F$62,卡牌属性!R241))*INDEX($G$5:$G$42,L241)*SQRT(INDEX($I$5:$I$42,L241)),2)</f>
        <v>180.57</v>
      </c>
      <c r="AF241" s="14">
        <f t="shared" si="94"/>
        <v>601</v>
      </c>
      <c r="AG241" s="14">
        <f t="shared" si="95"/>
        <v>301</v>
      </c>
      <c r="AH241" s="14">
        <f t="shared" si="96"/>
        <v>1805</v>
      </c>
      <c r="AJ241" s="14">
        <f t="shared" si="106"/>
        <v>2304</v>
      </c>
      <c r="AK241" s="14">
        <f t="shared" si="107"/>
        <v>1151</v>
      </c>
      <c r="AL241" s="14">
        <f t="shared" si="108"/>
        <v>6920</v>
      </c>
    </row>
    <row r="242" spans="11:38" ht="16.5" x14ac:dyDescent="0.2">
      <c r="K242" s="13">
        <v>239</v>
      </c>
      <c r="L242" s="13">
        <f t="shared" si="88"/>
        <v>12</v>
      </c>
      <c r="M242" s="13">
        <f t="shared" si="89"/>
        <v>2</v>
      </c>
      <c r="N242" s="14">
        <f t="shared" si="90"/>
        <v>1101012</v>
      </c>
      <c r="O242" s="14" t="str">
        <f t="shared" si="91"/>
        <v>南御夫8突</v>
      </c>
      <c r="P242" s="29" t="s">
        <v>470</v>
      </c>
      <c r="Q242" s="14">
        <f t="shared" si="92"/>
        <v>1</v>
      </c>
      <c r="R242" s="14">
        <f t="shared" si="93"/>
        <v>8</v>
      </c>
      <c r="S242" s="14" t="s">
        <v>39</v>
      </c>
      <c r="T242" s="14">
        <f>ROUND(((IF(Q242=1,INDEX(新属性投放!$J$14:$J$34,卡牌属性!R242),INDEX(新属性投放!$J$42:$J$62,卡牌属性!R242)))*INDEX($G$5:$G$42,L242)+IF(Q242=1,INDEX(新属性投放!R$20:R$23,卡牌属性!M242-1),INDEX(新属性投放!R$25:R$28,卡牌属性!M242-1)))/SQRT(INDEX($I$5:$I$42,L242)),2)</f>
        <v>2940.7</v>
      </c>
      <c r="U242" s="29" t="s">
        <v>178</v>
      </c>
      <c r="V242" s="14">
        <f>ROUND((IF(Q242=1,INDEX(新属性投放!$K$14:$K$34,卡牌属性!R242),INDEX(新属性投放!$K$42:$K$62,卡牌属性!R242))+IF(Q242=1,INDEX(新属性投放!S$20:S$23,卡牌属性!M242-1),INDEX(新属性投放!S$25:S$28,卡牌属性!M242-1)))*INDEX($G$5:$G$42,L242),2)</f>
        <v>1432.35</v>
      </c>
      <c r="W242" s="29" t="s">
        <v>179</v>
      </c>
      <c r="X242" s="14">
        <f>ROUND((IF(Q242=1,INDEX(新属性投放!$L$14:$L$34,卡牌属性!R242),INDEX(新属性投放!$L$42:$L$62,卡牌属性!R242))*INDEX($G$5:$G$42,L242)+IF(Q242=1,INDEX(新属性投放!T$20:T$23,卡牌属性!M242-1),INDEX(新属性投放!T$25:T$28,卡牌属性!M242-1)))*SQRT(INDEX($I$5:$I$42,L242)),2)</f>
        <v>9022.1</v>
      </c>
      <c r="Y242" s="29" t="s">
        <v>177</v>
      </c>
      <c r="Z242" s="14">
        <f>ROUND(IF(Q242=1,INDEX(新属性投放!$D$14:$D$34,卡牌属性!R242),INDEX(新属性投放!$D$42:$D$62,卡牌属性!R242))*INDEX($G$5:$G$42,L242)/SQRT(INDEX($I$5:$I$42,L242)),2)</f>
        <v>75.19</v>
      </c>
      <c r="AA242" s="29" t="s">
        <v>178</v>
      </c>
      <c r="AB242" s="14">
        <f>ROUND(IF(Q242=1,INDEX(新属性投放!$E$14:$E$34,卡牌属性!R242),INDEX(新属性投放!$E$42:$E$62,卡牌属性!R242))*INDEX($G$5:$G$42,L242),2)</f>
        <v>37.6</v>
      </c>
      <c r="AC242" s="29" t="s">
        <v>179</v>
      </c>
      <c r="AD242" s="14">
        <f>ROUND(IF(Q242=1,INDEX(新属性投放!$F$14:$F$34,卡牌属性!R242),INDEX(新属性投放!$F$42:$F$62,卡牌属性!R242))*INDEX($G$5:$G$42,L242)*SQRT(INDEX($I$5:$I$42,L242)),2)</f>
        <v>225.57</v>
      </c>
      <c r="AF242" s="14">
        <f t="shared" si="94"/>
        <v>751</v>
      </c>
      <c r="AG242" s="14">
        <f t="shared" si="95"/>
        <v>376</v>
      </c>
      <c r="AH242" s="14">
        <f t="shared" si="96"/>
        <v>2255</v>
      </c>
      <c r="AJ242" s="14">
        <f t="shared" si="106"/>
        <v>3055</v>
      </c>
      <c r="AK242" s="14">
        <f t="shared" si="107"/>
        <v>1527</v>
      </c>
      <c r="AL242" s="14">
        <f t="shared" si="108"/>
        <v>9175</v>
      </c>
    </row>
    <row r="243" spans="11:38" ht="16.5" x14ac:dyDescent="0.2">
      <c r="K243" s="13">
        <v>240</v>
      </c>
      <c r="L243" s="13">
        <f t="shared" si="88"/>
        <v>12</v>
      </c>
      <c r="M243" s="13">
        <f t="shared" si="89"/>
        <v>2</v>
      </c>
      <c r="N243" s="14">
        <f t="shared" si="90"/>
        <v>1101012</v>
      </c>
      <c r="O243" s="14" t="str">
        <f t="shared" si="91"/>
        <v>南御夫9突</v>
      </c>
      <c r="P243" s="29" t="s">
        <v>470</v>
      </c>
      <c r="Q243" s="14">
        <f t="shared" si="92"/>
        <v>1</v>
      </c>
      <c r="R243" s="14">
        <f t="shared" si="93"/>
        <v>9</v>
      </c>
      <c r="S243" s="14" t="s">
        <v>39</v>
      </c>
      <c r="T243" s="14">
        <f>ROUND(((IF(Q243=1,INDEX(新属性投放!$J$14:$J$34,卡牌属性!R243),INDEX(新属性投放!$J$42:$J$62,卡牌属性!R243)))*INDEX($G$5:$G$42,L243)+IF(Q243=1,INDEX(新属性投放!R$20:R$23,卡牌属性!M243-1),INDEX(新属性投放!R$25:R$28,卡牌属性!M243-1)))/SQRT(INDEX($I$5:$I$42,L243)),2)</f>
        <v>3880.6</v>
      </c>
      <c r="U243" s="29" t="s">
        <v>178</v>
      </c>
      <c r="V243" s="14">
        <f>ROUND((IF(Q243=1,INDEX(新属性投放!$K$14:$K$34,卡牌属性!R243),INDEX(新属性投放!$K$42:$K$62,卡牌属性!R243))+IF(Q243=1,INDEX(新属性投放!S$20:S$23,卡牌属性!M243-1),INDEX(新属性投放!S$25:S$28,卡牌属性!M243-1)))*INDEX($G$5:$G$42,L243),2)</f>
        <v>1902.3</v>
      </c>
      <c r="W243" s="29" t="s">
        <v>179</v>
      </c>
      <c r="X243" s="14">
        <f>ROUND((IF(Q243=1,INDEX(新属性投放!$L$14:$L$34,卡牌属性!R243),INDEX(新属性投放!$L$42:$L$62,卡牌属性!R243))*INDEX($G$5:$G$42,L243)+IF(Q243=1,INDEX(新属性投放!T$20:T$23,卡牌属性!M243-1),INDEX(新属性投放!T$25:T$28,卡牌属性!M243-1)))*SQRT(INDEX($I$5:$I$42,L243)),2)</f>
        <v>11841.8</v>
      </c>
      <c r="Y243" s="29" t="s">
        <v>177</v>
      </c>
      <c r="Z243" s="14">
        <f>ROUND(IF(Q243=1,INDEX(新属性投放!$D$14:$D$34,卡牌属性!R243),INDEX(新属性投放!$D$42:$D$62,卡牌属性!R243))*INDEX($G$5:$G$42,L243)/SQRT(INDEX($I$5:$I$42,L243)),2)</f>
        <v>97.79</v>
      </c>
      <c r="AA243" s="29" t="s">
        <v>178</v>
      </c>
      <c r="AB243" s="14">
        <f>ROUND(IF(Q243=1,INDEX(新属性投放!$E$14:$E$34,卡牌属性!R243),INDEX(新属性投放!$E$42:$E$62,卡牌属性!R243))*INDEX($G$5:$G$42,L243),2)</f>
        <v>48.9</v>
      </c>
      <c r="AC243" s="29" t="s">
        <v>179</v>
      </c>
      <c r="AD243" s="14">
        <f>ROUND(IF(Q243=1,INDEX(新属性投放!$F$14:$F$34,卡牌属性!R243),INDEX(新属性投放!$F$42:$F$62,卡牌属性!R243))*INDEX($G$5:$G$42,L243)*SQRT(INDEX($I$5:$I$42,L243)),2)</f>
        <v>293.37</v>
      </c>
      <c r="AF243" s="14">
        <f t="shared" si="94"/>
        <v>977</v>
      </c>
      <c r="AG243" s="14">
        <f t="shared" si="95"/>
        <v>489</v>
      </c>
      <c r="AH243" s="14">
        <f t="shared" si="96"/>
        <v>2933</v>
      </c>
      <c r="AJ243" s="14">
        <f t="shared" si="106"/>
        <v>4032</v>
      </c>
      <c r="AK243" s="14">
        <f t="shared" si="107"/>
        <v>2016</v>
      </c>
      <c r="AL243" s="14">
        <f t="shared" si="108"/>
        <v>12108</v>
      </c>
    </row>
    <row r="244" spans="11:38" ht="16.5" x14ac:dyDescent="0.2">
      <c r="K244" s="13">
        <v>241</v>
      </c>
      <c r="L244" s="13">
        <f t="shared" si="88"/>
        <v>12</v>
      </c>
      <c r="M244" s="13">
        <f t="shared" si="89"/>
        <v>2</v>
      </c>
      <c r="N244" s="14">
        <f t="shared" si="90"/>
        <v>1101012</v>
      </c>
      <c r="O244" s="14" t="str">
        <f t="shared" si="91"/>
        <v>南御夫10突</v>
      </c>
      <c r="P244" s="29" t="s">
        <v>470</v>
      </c>
      <c r="Q244" s="14">
        <f t="shared" si="92"/>
        <v>1</v>
      </c>
      <c r="R244" s="14">
        <f t="shared" si="93"/>
        <v>10</v>
      </c>
      <c r="S244" s="14" t="s">
        <v>39</v>
      </c>
      <c r="T244" s="14">
        <f>ROUND(((IF(Q244=1,INDEX(新属性投放!$J$14:$J$34,卡牌属性!R244),INDEX(新属性投放!$J$42:$J$62,卡牌属性!R244)))*INDEX($G$5:$G$42,L244)+IF(Q244=1,INDEX(新属性投放!R$20:R$23,卡牌属性!M244-1),INDEX(新属性投放!R$25:R$28,卡牌属性!M244-1)))/SQRT(INDEX($I$5:$I$42,L244)),2)</f>
        <v>4491.55</v>
      </c>
      <c r="U244" s="29" t="s">
        <v>178</v>
      </c>
      <c r="V244" s="14">
        <f>ROUND((IF(Q244=1,INDEX(新属性投放!$K$14:$K$34,卡牌属性!R244),INDEX(新属性投放!$K$42:$K$62,卡牌属性!R244))+IF(Q244=1,INDEX(新属性投放!S$20:S$23,卡牌属性!M244-1),INDEX(新属性投放!S$25:S$28,卡牌属性!M244-1)))*INDEX($G$5:$G$42,L244),2)</f>
        <v>2207.7800000000002</v>
      </c>
      <c r="W244" s="29" t="s">
        <v>179</v>
      </c>
      <c r="X244" s="14">
        <f>ROUND((IF(Q244=1,INDEX(新属性投放!$L$14:$L$34,卡牌属性!R244),INDEX(新属性投放!$L$42:$L$62,卡牌属性!R244))*INDEX($G$5:$G$42,L244)+IF(Q244=1,INDEX(新属性投放!T$20:T$23,卡牌属性!M244-1),INDEX(新属性投放!T$25:T$28,卡牌属性!M244-1)))*SQRT(INDEX($I$5:$I$42,L244)),2)</f>
        <v>13674.65</v>
      </c>
      <c r="Y244" s="29" t="s">
        <v>177</v>
      </c>
      <c r="Z244" s="14">
        <f>ROUND(IF(Q244=1,INDEX(新属性投放!$D$14:$D$34,卡牌属性!R244),INDEX(新属性投放!$D$42:$D$62,卡牌属性!R244))*INDEX($G$5:$G$42,L244)/SQRT(INDEX($I$5:$I$42,L244)),2)</f>
        <v>112.83</v>
      </c>
      <c r="AA244" s="29" t="s">
        <v>178</v>
      </c>
      <c r="AB244" s="14">
        <f>ROUND(IF(Q244=1,INDEX(新属性投放!$E$14:$E$34,卡牌属性!R244),INDEX(新属性投放!$E$42:$E$62,卡牌属性!R244))*INDEX($G$5:$G$42,L244),2)</f>
        <v>56.42</v>
      </c>
      <c r="AC244" s="29" t="s">
        <v>179</v>
      </c>
      <c r="AD244" s="14">
        <f>ROUND(IF(Q244=1,INDEX(新属性投放!$F$14:$F$34,卡牌属性!R244),INDEX(新属性投放!$F$42:$F$62,卡牌属性!R244))*INDEX($G$5:$G$42,L244)*SQRT(INDEX($I$5:$I$42,L244)),2)</f>
        <v>338.49</v>
      </c>
      <c r="AF244" s="14">
        <f t="shared" si="94"/>
        <v>1128</v>
      </c>
      <c r="AG244" s="14">
        <f t="shared" si="95"/>
        <v>564</v>
      </c>
      <c r="AH244" s="14">
        <f t="shared" si="96"/>
        <v>3384</v>
      </c>
      <c r="AJ244" s="14">
        <f t="shared" si="106"/>
        <v>5160</v>
      </c>
      <c r="AK244" s="14">
        <f t="shared" si="107"/>
        <v>2580</v>
      </c>
      <c r="AL244" s="14">
        <f t="shared" si="108"/>
        <v>15492</v>
      </c>
    </row>
    <row r="245" spans="11:38" ht="16.5" x14ac:dyDescent="0.2">
      <c r="K245" s="13">
        <v>242</v>
      </c>
      <c r="L245" s="13">
        <f t="shared" si="88"/>
        <v>12</v>
      </c>
      <c r="M245" s="13">
        <f t="shared" si="89"/>
        <v>2</v>
      </c>
      <c r="N245" s="14">
        <f t="shared" si="90"/>
        <v>1101012</v>
      </c>
      <c r="O245" s="14" t="str">
        <f t="shared" si="91"/>
        <v>南御夫11突</v>
      </c>
      <c r="P245" s="29" t="s">
        <v>470</v>
      </c>
      <c r="Q245" s="14">
        <f t="shared" si="92"/>
        <v>1</v>
      </c>
      <c r="R245" s="14">
        <f t="shared" si="93"/>
        <v>11</v>
      </c>
      <c r="S245" s="14" t="s">
        <v>39</v>
      </c>
      <c r="T245" s="14">
        <f>ROUND(((IF(Q245=1,INDEX(新属性投放!$J$14:$J$34,卡牌属性!R245),INDEX(新属性投放!$J$42:$J$62,卡牌属性!R245)))*INDEX($G$5:$G$42,L245)+IF(Q245=1,INDEX(新属性投放!R$20:R$23,卡牌属性!M245-1),INDEX(新属性投放!R$25:R$28,卡牌属性!M245-1)))/SQRT(INDEX($I$5:$I$42,L245)),2)</f>
        <v>5196.7</v>
      </c>
      <c r="U245" s="29" t="s">
        <v>178</v>
      </c>
      <c r="V245" s="14">
        <f>ROUND((IF(Q245=1,INDEX(新属性投放!$K$14:$K$34,卡牌属性!R245),INDEX(新属性投放!$K$42:$K$62,卡牌属性!R245))+IF(Q245=1,INDEX(新属性投放!S$20:S$23,卡牌属性!M245-1),INDEX(新属性投放!S$25:S$28,卡牌属性!M245-1)))*INDEX($G$5:$G$42,L245),2)</f>
        <v>2560.85</v>
      </c>
      <c r="W245" s="29" t="s">
        <v>179</v>
      </c>
      <c r="X245" s="14">
        <f>ROUND((IF(Q245=1,INDEX(新属性投放!$L$14:$L$34,卡牌属性!R245),INDEX(新属性投放!$L$42:$L$62,卡牌属性!R245))*INDEX($G$5:$G$42,L245)+IF(Q245=1,INDEX(新属性投放!T$20:T$23,卡牌属性!M245-1),INDEX(新属性投放!T$25:T$28,卡牌属性!M245-1)))*SQRT(INDEX($I$5:$I$42,L245)),2)</f>
        <v>15790.1</v>
      </c>
      <c r="Y245" s="29" t="s">
        <v>177</v>
      </c>
      <c r="Z245" s="14">
        <f>ROUND(IF(Q245=1,INDEX(新属性投放!$D$14:$D$34,卡牌属性!R245),INDEX(新属性投放!$D$42:$D$62,卡牌属性!R245))*INDEX($G$5:$G$42,L245)/SQRT(INDEX($I$5:$I$42,L245)),2)</f>
        <v>131.58000000000001</v>
      </c>
      <c r="AA245" s="29" t="s">
        <v>178</v>
      </c>
      <c r="AB245" s="14">
        <f>ROUND(IF(Q245=1,INDEX(新属性投放!$E$14:$E$34,卡牌属性!R245),INDEX(新属性投放!$E$42:$E$62,卡牌属性!R245))*INDEX($G$5:$G$42,L245),2)</f>
        <v>65.790000000000006</v>
      </c>
      <c r="AC245" s="29" t="s">
        <v>179</v>
      </c>
      <c r="AD245" s="14">
        <f>ROUND(IF(Q245=1,INDEX(新属性投放!$F$14:$F$34,卡牌属性!R245),INDEX(新属性投放!$F$42:$F$62,卡牌属性!R245))*INDEX($G$5:$G$42,L245)*SQRT(INDEX($I$5:$I$42,L245)),2)</f>
        <v>394.74</v>
      </c>
      <c r="AF245" s="14">
        <f t="shared" si="94"/>
        <v>1315</v>
      </c>
      <c r="AG245" s="14">
        <f t="shared" si="95"/>
        <v>657</v>
      </c>
      <c r="AH245" s="14">
        <f t="shared" si="96"/>
        <v>3947</v>
      </c>
      <c r="AJ245" s="14">
        <f t="shared" si="106"/>
        <v>6475</v>
      </c>
      <c r="AK245" s="14">
        <f t="shared" si="107"/>
        <v>3237</v>
      </c>
      <c r="AL245" s="14">
        <f t="shared" si="108"/>
        <v>19439</v>
      </c>
    </row>
    <row r="246" spans="11:38" ht="16.5" x14ac:dyDescent="0.2">
      <c r="K246" s="13">
        <v>243</v>
      </c>
      <c r="L246" s="13">
        <f t="shared" si="88"/>
        <v>12</v>
      </c>
      <c r="M246" s="13">
        <f t="shared" si="89"/>
        <v>2</v>
      </c>
      <c r="N246" s="14">
        <f t="shared" si="90"/>
        <v>1101012</v>
      </c>
      <c r="O246" s="14" t="str">
        <f t="shared" si="91"/>
        <v>南御夫12突</v>
      </c>
      <c r="P246" s="29" t="s">
        <v>470</v>
      </c>
      <c r="Q246" s="14">
        <f t="shared" si="92"/>
        <v>1</v>
      </c>
      <c r="R246" s="14">
        <f t="shared" si="93"/>
        <v>12</v>
      </c>
      <c r="S246" s="14" t="s">
        <v>39</v>
      </c>
      <c r="T246" s="14">
        <f>ROUND(((IF(Q246=1,INDEX(新属性投放!$J$14:$J$34,卡牌属性!R246),INDEX(新属性投放!$J$42:$J$62,卡牌属性!R246)))*INDEX($G$5:$G$42,L246)+IF(Q246=1,INDEX(新属性投放!R$20:R$23,卡牌属性!M246-1),INDEX(新属性投放!R$25:R$28,卡牌属性!M246-1)))/SQRT(INDEX($I$5:$I$42,L246)),2)</f>
        <v>6018.6</v>
      </c>
      <c r="U246" s="29" t="s">
        <v>178</v>
      </c>
      <c r="V246" s="14">
        <f>ROUND((IF(Q246=1,INDEX(新属性投放!$K$14:$K$34,卡牌属性!R246),INDEX(新属性投放!$K$42:$K$62,卡牌属性!R246))+IF(Q246=1,INDEX(新属性投放!S$20:S$23,卡牌属性!M246-1),INDEX(新属性投放!S$25:S$28,卡牌属性!M246-1)))*INDEX($G$5:$G$42,L246),2)</f>
        <v>2971.8</v>
      </c>
      <c r="W246" s="29" t="s">
        <v>179</v>
      </c>
      <c r="X246" s="14">
        <f>ROUND((IF(Q246=1,INDEX(新属性投放!$L$14:$L$34,卡牌属性!R246),INDEX(新属性投放!$L$42:$L$62,卡牌属性!R246))*INDEX($G$5:$G$42,L246)+IF(Q246=1,INDEX(新属性投放!T$20:T$23,卡牌属性!M246-1),INDEX(新属性投放!T$25:T$28,卡牌属性!M246-1)))*SQRT(INDEX($I$5:$I$42,L246)),2)</f>
        <v>18255.8</v>
      </c>
      <c r="Y246" s="29" t="s">
        <v>177</v>
      </c>
      <c r="Z246" s="14">
        <f>ROUND(IF(Q246=1,INDEX(新属性投放!$D$14:$D$34,卡牌属性!R246),INDEX(新属性投放!$D$42:$D$62,卡牌属性!R246))*INDEX($G$5:$G$42,L246)/SQRT(INDEX($I$5:$I$42,L246)),2)</f>
        <v>150.47</v>
      </c>
      <c r="AA246" s="29" t="s">
        <v>178</v>
      </c>
      <c r="AB246" s="14">
        <f>ROUND(IF(Q246=1,INDEX(新属性投放!$E$14:$E$34,卡牌属性!R246),INDEX(新属性投放!$E$42:$E$62,卡牌属性!R246))*INDEX($G$5:$G$42,L246),2)</f>
        <v>75.239999999999995</v>
      </c>
      <c r="AC246" s="29" t="s">
        <v>179</v>
      </c>
      <c r="AD246" s="14">
        <f>ROUND(IF(Q246=1,INDEX(新属性投放!$F$14:$F$34,卡牌属性!R246),INDEX(新属性投放!$F$42:$F$62,卡牌属性!R246))*INDEX($G$5:$G$42,L246)*SQRT(INDEX($I$5:$I$42,L246)),2)</f>
        <v>451.41</v>
      </c>
      <c r="AF246" s="14">
        <f t="shared" si="94"/>
        <v>1504</v>
      </c>
      <c r="AG246" s="14">
        <f t="shared" si="95"/>
        <v>752</v>
      </c>
      <c r="AH246" s="14">
        <f t="shared" si="96"/>
        <v>4514</v>
      </c>
      <c r="AJ246" s="14">
        <f t="shared" si="106"/>
        <v>7979</v>
      </c>
      <c r="AK246" s="14">
        <f t="shared" si="107"/>
        <v>3989</v>
      </c>
      <c r="AL246" s="14">
        <f t="shared" si="108"/>
        <v>23953</v>
      </c>
    </row>
    <row r="247" spans="11:38" ht="16.5" x14ac:dyDescent="0.2">
      <c r="K247" s="13">
        <v>244</v>
      </c>
      <c r="L247" s="13">
        <f t="shared" si="88"/>
        <v>12</v>
      </c>
      <c r="M247" s="13">
        <f t="shared" si="89"/>
        <v>2</v>
      </c>
      <c r="N247" s="14">
        <f t="shared" si="90"/>
        <v>1101012</v>
      </c>
      <c r="O247" s="14" t="str">
        <f t="shared" si="91"/>
        <v>南御夫13突</v>
      </c>
      <c r="P247" s="29" t="s">
        <v>470</v>
      </c>
      <c r="Q247" s="14">
        <f t="shared" si="92"/>
        <v>1</v>
      </c>
      <c r="R247" s="14">
        <f t="shared" si="93"/>
        <v>13</v>
      </c>
      <c r="S247" s="14" t="s">
        <v>39</v>
      </c>
      <c r="T247" s="14">
        <f>ROUND(((IF(Q247=1,INDEX(新属性投放!$J$14:$J$34,卡牌属性!R247),INDEX(新属性投放!$J$42:$J$62,卡牌属性!R247)))*INDEX($G$5:$G$42,L247)+IF(Q247=1,INDEX(新属性投放!R$20:R$23,卡牌属性!M247-1),INDEX(新属性投放!R$25:R$28,卡牌属性!M247-1)))/SQRT(INDEX($I$5:$I$42,L247)),2)</f>
        <v>6958.95</v>
      </c>
      <c r="U247" s="29" t="s">
        <v>178</v>
      </c>
      <c r="V247" s="14">
        <f>ROUND((IF(Q247=1,INDEX(新属性投放!$K$14:$K$34,卡牌属性!R247),INDEX(新属性投放!$K$42:$K$62,卡牌属性!R247))+IF(Q247=1,INDEX(新属性投放!S$20:S$23,卡牌属性!M247-1),INDEX(新属性投放!S$25:S$28,卡牌属性!M247-1)))*INDEX($G$5:$G$42,L247),2)</f>
        <v>3441.98</v>
      </c>
      <c r="W247" s="29" t="s">
        <v>179</v>
      </c>
      <c r="X247" s="14">
        <f>ROUND((IF(Q247=1,INDEX(新属性投放!$L$14:$L$34,卡牌属性!R247),INDEX(新属性投放!$L$42:$L$62,卡牌属性!R247))*INDEX($G$5:$G$42,L247)+IF(Q247=1,INDEX(新属性投放!T$20:T$23,卡牌属性!M247-1),INDEX(新属性投放!T$25:T$28,卡牌属性!M247-1)))*SQRT(INDEX($I$5:$I$42,L247)),2)</f>
        <v>21076.85</v>
      </c>
      <c r="Y247" s="29" t="s">
        <v>177</v>
      </c>
      <c r="Z247" s="14">
        <f>ROUND(IF(Q247=1,INDEX(新属性投放!$D$14:$D$34,卡牌属性!R247),INDEX(新属性投放!$D$42:$D$62,卡牌属性!R247))*INDEX($G$5:$G$42,L247)/SQRT(INDEX($I$5:$I$42,L247)),2)</f>
        <v>173.97</v>
      </c>
      <c r="AA247" s="29" t="s">
        <v>178</v>
      </c>
      <c r="AB247" s="14">
        <f>ROUND(IF(Q247=1,INDEX(新属性投放!$E$14:$E$34,卡牌属性!R247),INDEX(新属性投放!$E$42:$E$62,卡牌属性!R247))*INDEX($G$5:$G$42,L247),2)</f>
        <v>86.99</v>
      </c>
      <c r="AC247" s="29" t="s">
        <v>179</v>
      </c>
      <c r="AD247" s="14">
        <f>ROUND(IF(Q247=1,INDEX(新属性投放!$F$14:$F$34,卡牌属性!R247),INDEX(新属性投放!$F$42:$F$62,卡牌属性!R247))*INDEX($G$5:$G$42,L247)*SQRT(INDEX($I$5:$I$42,L247)),2)</f>
        <v>521.91</v>
      </c>
      <c r="AF247" s="14">
        <f t="shared" si="94"/>
        <v>1739</v>
      </c>
      <c r="AG247" s="14">
        <f t="shared" si="95"/>
        <v>869</v>
      </c>
      <c r="AH247" s="14">
        <f t="shared" si="96"/>
        <v>5219</v>
      </c>
      <c r="AJ247" s="14">
        <f t="shared" si="106"/>
        <v>9718</v>
      </c>
      <c r="AK247" s="14">
        <f t="shared" si="107"/>
        <v>4858</v>
      </c>
      <c r="AL247" s="14">
        <f t="shared" si="108"/>
        <v>29172</v>
      </c>
    </row>
    <row r="248" spans="11:38" ht="16.5" x14ac:dyDescent="0.2">
      <c r="K248" s="13">
        <v>245</v>
      </c>
      <c r="L248" s="13">
        <f t="shared" si="88"/>
        <v>12</v>
      </c>
      <c r="M248" s="13">
        <f t="shared" si="89"/>
        <v>2</v>
      </c>
      <c r="N248" s="14">
        <f t="shared" si="90"/>
        <v>1101012</v>
      </c>
      <c r="O248" s="14" t="str">
        <f t="shared" si="91"/>
        <v>南御夫14突</v>
      </c>
      <c r="P248" s="29" t="s">
        <v>470</v>
      </c>
      <c r="Q248" s="14">
        <f t="shared" si="92"/>
        <v>1</v>
      </c>
      <c r="R248" s="14">
        <f t="shared" si="93"/>
        <v>14</v>
      </c>
      <c r="S248" s="14" t="s">
        <v>39</v>
      </c>
      <c r="T248" s="14">
        <f>ROUND(((IF(Q248=1,INDEX(新属性投放!$J$14:$J$34,卡牌属性!R248),INDEX(新属性投放!$J$42:$J$62,卡牌属性!R248)))*INDEX($G$5:$G$42,L248)+IF(Q248=1,INDEX(新属性投放!R$20:R$23,卡牌属性!M248-1),INDEX(新属性投放!R$25:R$28,卡牌属性!M248-1)))/SQRT(INDEX($I$5:$I$42,L248)),2)</f>
        <v>8045.8</v>
      </c>
      <c r="U248" s="29" t="s">
        <v>178</v>
      </c>
      <c r="V248" s="14">
        <f>ROUND((IF(Q248=1,INDEX(新属性投放!$K$14:$K$34,卡牌属性!R248),INDEX(新属性投放!$K$42:$K$62,卡牌属性!R248))+IF(Q248=1,INDEX(新属性投放!S$20:S$23,卡牌属性!M248-1),INDEX(新属性投放!S$25:S$28,卡牌属性!M248-1)))*INDEX($G$5:$G$42,L248),2)</f>
        <v>3985.9</v>
      </c>
      <c r="W248" s="29" t="s">
        <v>179</v>
      </c>
      <c r="X248" s="14">
        <f>ROUND((IF(Q248=1,INDEX(新属性投放!$L$14:$L$34,卡牌属性!R248),INDEX(新属性投放!$L$42:$L$62,卡牌属性!R248))*INDEX($G$5:$G$42,L248)+IF(Q248=1,INDEX(新属性投放!T$20:T$23,卡牌属性!M248-1),INDEX(新属性投放!T$25:T$28,卡牌属性!M248-1)))*SQRT(INDEX($I$5:$I$42,L248)),2)</f>
        <v>24337.4</v>
      </c>
      <c r="Y248" s="29" t="s">
        <v>177</v>
      </c>
      <c r="Z248" s="14">
        <f>ROUND(IF(Q248=1,INDEX(新属性投放!$D$14:$D$34,卡牌属性!R248),INDEX(新属性投放!$D$42:$D$62,卡牌属性!R248))*INDEX($G$5:$G$42,L248)/SQRT(INDEX($I$5:$I$42,L248)),2)</f>
        <v>201.15</v>
      </c>
      <c r="AA248" s="29" t="s">
        <v>178</v>
      </c>
      <c r="AB248" s="14">
        <f>ROUND(IF(Q248=1,INDEX(新属性投放!$E$14:$E$34,卡牌属性!R248),INDEX(新属性投放!$E$42:$E$62,卡牌属性!R248))*INDEX($G$5:$G$42,L248),2)</f>
        <v>100.58</v>
      </c>
      <c r="AC248" s="29" t="s">
        <v>179</v>
      </c>
      <c r="AD248" s="14">
        <f>ROUND(IF(Q248=1,INDEX(新属性投放!$F$14:$F$34,卡牌属性!R248),INDEX(新属性投放!$F$42:$F$62,卡牌属性!R248))*INDEX($G$5:$G$42,L248)*SQRT(INDEX($I$5:$I$42,L248)),2)</f>
        <v>603.45000000000005</v>
      </c>
      <c r="AF248" s="14">
        <f t="shared" si="94"/>
        <v>2011</v>
      </c>
      <c r="AG248" s="14">
        <f t="shared" si="95"/>
        <v>1005</v>
      </c>
      <c r="AH248" s="14">
        <f t="shared" si="96"/>
        <v>6034</v>
      </c>
      <c r="AJ248" s="14">
        <f t="shared" si="106"/>
        <v>11729</v>
      </c>
      <c r="AK248" s="14">
        <f t="shared" si="107"/>
        <v>5863</v>
      </c>
      <c r="AL248" s="14">
        <f t="shared" si="108"/>
        <v>35206</v>
      </c>
    </row>
    <row r="249" spans="11:38" ht="16.5" x14ac:dyDescent="0.2">
      <c r="K249" s="13">
        <v>246</v>
      </c>
      <c r="L249" s="13">
        <f t="shared" si="88"/>
        <v>12</v>
      </c>
      <c r="M249" s="13">
        <f t="shared" si="89"/>
        <v>2</v>
      </c>
      <c r="N249" s="14">
        <f t="shared" si="90"/>
        <v>1101012</v>
      </c>
      <c r="O249" s="14" t="str">
        <f t="shared" si="91"/>
        <v>南御夫15突</v>
      </c>
      <c r="P249" s="29" t="s">
        <v>470</v>
      </c>
      <c r="Q249" s="14">
        <f t="shared" si="92"/>
        <v>1</v>
      </c>
      <c r="R249" s="14">
        <f t="shared" si="93"/>
        <v>15</v>
      </c>
      <c r="S249" s="14" t="s">
        <v>39</v>
      </c>
      <c r="T249" s="14">
        <f>ROUND(((IF(Q249=1,INDEX(新属性投放!$J$14:$J$34,卡牌属性!R249),INDEX(新属性投放!$J$42:$J$62,卡牌属性!R249)))*INDEX($G$5:$G$42,L249)+IF(Q249=1,INDEX(新属性投放!R$20:R$23,卡牌属性!M249-1),INDEX(新属性投放!R$25:R$28,卡牌属性!M249-1)))/SQRT(INDEX($I$5:$I$42,L249)),2)</f>
        <v>9302.5499999999993</v>
      </c>
      <c r="U249" s="29" t="s">
        <v>178</v>
      </c>
      <c r="V249" s="14">
        <f>ROUND((IF(Q249=1,INDEX(新属性投放!$K$14:$K$34,卡牌属性!R249),INDEX(新属性投放!$K$42:$K$62,卡牌属性!R249))+IF(Q249=1,INDEX(新属性投放!S$20:S$23,卡牌属性!M249-1),INDEX(新属性投放!S$25:S$28,卡牌属性!M249-1)))*INDEX($G$5:$G$42,L249),2)</f>
        <v>4614.78</v>
      </c>
      <c r="W249" s="29" t="s">
        <v>179</v>
      </c>
      <c r="X249" s="14">
        <f>ROUND((IF(Q249=1,INDEX(新属性投放!$L$14:$L$34,卡牌属性!R249),INDEX(新属性投放!$L$42:$L$62,卡牌属性!R249))*INDEX($G$5:$G$42,L249)+IF(Q249=1,INDEX(新属性投放!T$20:T$23,卡牌属性!M249-1),INDEX(新属性投放!T$25:T$28,卡牌属性!M249-1)))*SQRT(INDEX($I$5:$I$42,L249)),2)</f>
        <v>28107.65</v>
      </c>
      <c r="Y249" s="29" t="s">
        <v>177</v>
      </c>
      <c r="Z249" s="14">
        <f>ROUND(IF(Q249=1,INDEX(新属性投放!$D$14:$D$34,卡牌属性!R249),INDEX(新属性投放!$D$42:$D$62,卡牌属性!R249))*INDEX($G$5:$G$42,L249)/SQRT(INDEX($I$5:$I$42,L249)),2)</f>
        <v>232.56</v>
      </c>
      <c r="AA249" s="29" t="s">
        <v>178</v>
      </c>
      <c r="AB249" s="14">
        <f>ROUND(IF(Q249=1,INDEX(新属性投放!$E$14:$E$34,卡牌属性!R249),INDEX(新属性投放!$E$42:$E$62,卡牌属性!R249))*INDEX($G$5:$G$42,L249),2)</f>
        <v>116.28</v>
      </c>
      <c r="AC249" s="29" t="s">
        <v>179</v>
      </c>
      <c r="AD249" s="14">
        <f>ROUND(IF(Q249=1,INDEX(新属性投放!$F$14:$F$34,卡牌属性!R249),INDEX(新属性投放!$F$42:$F$62,卡牌属性!R249))*INDEX($G$5:$G$42,L249)*SQRT(INDEX($I$5:$I$42,L249)),2)</f>
        <v>697.68</v>
      </c>
      <c r="AF249" s="14">
        <f t="shared" si="94"/>
        <v>2325</v>
      </c>
      <c r="AG249" s="14">
        <f t="shared" si="95"/>
        <v>1162</v>
      </c>
      <c r="AH249" s="14">
        <f t="shared" si="96"/>
        <v>6976</v>
      </c>
      <c r="AJ249" s="14">
        <f t="shared" si="106"/>
        <v>14054</v>
      </c>
      <c r="AK249" s="14">
        <f t="shared" si="107"/>
        <v>7025</v>
      </c>
      <c r="AL249" s="14">
        <f t="shared" si="108"/>
        <v>42182</v>
      </c>
    </row>
    <row r="250" spans="11:38" ht="16.5" x14ac:dyDescent="0.2">
      <c r="K250" s="13">
        <v>247</v>
      </c>
      <c r="L250" s="13">
        <f t="shared" si="88"/>
        <v>12</v>
      </c>
      <c r="M250" s="13">
        <f t="shared" si="89"/>
        <v>2</v>
      </c>
      <c r="N250" s="14">
        <f t="shared" si="90"/>
        <v>1101012</v>
      </c>
      <c r="O250" s="14" t="str">
        <f t="shared" si="91"/>
        <v>南御夫16突</v>
      </c>
      <c r="P250" s="29" t="s">
        <v>470</v>
      </c>
      <c r="Q250" s="14">
        <f t="shared" si="92"/>
        <v>1</v>
      </c>
      <c r="R250" s="14">
        <f t="shared" si="93"/>
        <v>16</v>
      </c>
      <c r="S250" s="14" t="s">
        <v>39</v>
      </c>
      <c r="T250" s="14">
        <f>ROUND(((IF(Q250=1,INDEX(新属性投放!$J$14:$J$34,卡牌属性!R250),INDEX(新属性投放!$J$42:$J$62,卡牌属性!R250)))*INDEX($G$5:$G$42,L250)+IF(Q250=1,INDEX(新属性投放!R$20:R$23,卡牌属性!M250-1),INDEX(新属性投放!R$25:R$28,卡牌属性!M250-1)))/SQRT(INDEX($I$5:$I$42,L250)),2)</f>
        <v>10756.35</v>
      </c>
      <c r="U250" s="29" t="s">
        <v>178</v>
      </c>
      <c r="V250" s="14">
        <f>ROUND((IF(Q250=1,INDEX(新属性投放!$K$14:$K$34,卡牌属性!R250),INDEX(新属性投放!$K$42:$K$62,卡牌属性!R250))+IF(Q250=1,INDEX(新属性投放!S$20:S$23,卡牌属性!M250-1),INDEX(新属性投放!S$25:S$28,卡牌属性!M250-1)))*INDEX($G$5:$G$42,L250),2)</f>
        <v>5341.18</v>
      </c>
      <c r="W250" s="29" t="s">
        <v>179</v>
      </c>
      <c r="X250" s="14">
        <f>ROUND((IF(Q250=1,INDEX(新属性投放!$L$14:$L$34,卡牌属性!R250),INDEX(新属性投放!$L$42:$L$62,卡牌属性!R250))*INDEX($G$5:$G$42,L250)+IF(Q250=1,INDEX(新属性投放!T$20:T$23,卡牌属性!M250-1),INDEX(新属性投放!T$25:T$28,卡牌属性!M250-1)))*SQRT(INDEX($I$5:$I$42,L250)),2)</f>
        <v>32469.05</v>
      </c>
      <c r="Y250" s="29" t="s">
        <v>177</v>
      </c>
      <c r="Z250" s="14">
        <f>ROUND(IF(Q250=1,INDEX(新属性投放!$D$14:$D$34,卡牌属性!R250),INDEX(新属性投放!$D$42:$D$62,卡牌属性!R250))*INDEX($G$5:$G$42,L250)/SQRT(INDEX($I$5:$I$42,L250)),2)</f>
        <v>268.91000000000003</v>
      </c>
      <c r="AA250" s="29" t="s">
        <v>178</v>
      </c>
      <c r="AB250" s="14">
        <f>ROUND(IF(Q250=1,INDEX(新属性投放!$E$14:$E$34,卡牌属性!R250),INDEX(新属性投放!$E$42:$E$62,卡牌属性!R250))*INDEX($G$5:$G$42,L250),2)</f>
        <v>134.46</v>
      </c>
      <c r="AC250" s="29" t="s">
        <v>179</v>
      </c>
      <c r="AD250" s="14">
        <f>ROUND(IF(Q250=1,INDEX(新属性投放!$F$14:$F$34,卡牌属性!R250),INDEX(新属性投放!$F$42:$F$62,卡牌属性!R250))*INDEX($G$5:$G$42,L250)*SQRT(INDEX($I$5:$I$42,L250)),2)</f>
        <v>806.73</v>
      </c>
      <c r="AF250" s="14">
        <f t="shared" si="94"/>
        <v>2689</v>
      </c>
      <c r="AG250" s="14">
        <f t="shared" si="95"/>
        <v>1344</v>
      </c>
      <c r="AH250" s="14">
        <f t="shared" si="96"/>
        <v>8067</v>
      </c>
      <c r="AJ250" s="14">
        <f t="shared" si="106"/>
        <v>16743</v>
      </c>
      <c r="AK250" s="14">
        <f t="shared" si="107"/>
        <v>8369</v>
      </c>
      <c r="AL250" s="14">
        <f t="shared" si="108"/>
        <v>50249</v>
      </c>
    </row>
    <row r="251" spans="11:38" ht="16.5" x14ac:dyDescent="0.2">
      <c r="K251" s="13">
        <v>248</v>
      </c>
      <c r="L251" s="13">
        <f t="shared" si="88"/>
        <v>12</v>
      </c>
      <c r="M251" s="13">
        <f t="shared" si="89"/>
        <v>2</v>
      </c>
      <c r="N251" s="14">
        <f t="shared" si="90"/>
        <v>1101012</v>
      </c>
      <c r="O251" s="14" t="str">
        <f t="shared" si="91"/>
        <v>南御夫17突</v>
      </c>
      <c r="P251" s="29" t="s">
        <v>470</v>
      </c>
      <c r="Q251" s="14">
        <f t="shared" si="92"/>
        <v>1</v>
      </c>
      <c r="R251" s="14">
        <f t="shared" si="93"/>
        <v>17</v>
      </c>
      <c r="S251" s="14" t="s">
        <v>39</v>
      </c>
      <c r="T251" s="14">
        <f>ROUND(((IF(Q251=1,INDEX(新属性投放!$J$14:$J$34,卡牌属性!R251),INDEX(新属性投放!$J$42:$J$62,卡牌属性!R251)))*INDEX($G$5:$G$42,L251)+IF(Q251=1,INDEX(新属性投放!R$20:R$23,卡牌属性!M251-1),INDEX(新属性投放!R$25:R$28,卡牌属性!M251-1)))/SQRT(INDEX($I$5:$I$42,L251)),2)</f>
        <v>12436.9</v>
      </c>
      <c r="U251" s="29" t="s">
        <v>178</v>
      </c>
      <c r="V251" s="14">
        <f>ROUND((IF(Q251=1,INDEX(新属性投放!$K$14:$K$34,卡牌属性!R251),INDEX(新属性投放!$K$42:$K$62,卡牌属性!R251))+IF(Q251=1,INDEX(新属性投放!S$20:S$23,卡牌属性!M251-1),INDEX(新属性投放!S$25:S$28,卡牌属性!M251-1)))*INDEX($G$5:$G$42,L251),2)</f>
        <v>6181.45</v>
      </c>
      <c r="W251" s="29" t="s">
        <v>179</v>
      </c>
      <c r="X251" s="14">
        <f>ROUND((IF(Q251=1,INDEX(新属性投放!$L$14:$L$34,卡牌属性!R251),INDEX(新属性投放!$L$42:$L$62,卡牌属性!R251))*INDEX($G$5:$G$42,L251)+IF(Q251=1,INDEX(新属性投放!T$20:T$23,卡牌属性!M251-1),INDEX(新属性投放!T$25:T$28,卡牌属性!M251-1)))*SQRT(INDEX($I$5:$I$42,L251)),2)</f>
        <v>37510.699999999997</v>
      </c>
      <c r="Y251" s="29" t="s">
        <v>177</v>
      </c>
      <c r="Z251" s="14">
        <f>ROUND(IF(Q251=1,INDEX(新属性投放!$D$14:$D$34,卡牌属性!R251),INDEX(新属性投放!$D$42:$D$62,卡牌属性!R251))*INDEX($G$5:$G$42,L251)/SQRT(INDEX($I$5:$I$42,L251)),2)</f>
        <v>310.92</v>
      </c>
      <c r="AA251" s="29" t="s">
        <v>178</v>
      </c>
      <c r="AB251" s="14">
        <f>ROUND(IF(Q251=1,INDEX(新属性投放!$E$14:$E$34,卡牌属性!R251),INDEX(新属性投放!$E$42:$E$62,卡牌属性!R251))*INDEX($G$5:$G$42,L251),2)</f>
        <v>155.46</v>
      </c>
      <c r="AC251" s="29" t="s">
        <v>179</v>
      </c>
      <c r="AD251" s="14">
        <f>ROUND(IF(Q251=1,INDEX(新属性投放!$F$14:$F$34,卡牌属性!R251),INDEX(新属性投放!$F$42:$F$62,卡牌属性!R251))*INDEX($G$5:$G$42,L251)*SQRT(INDEX($I$5:$I$42,L251)),2)</f>
        <v>932.76</v>
      </c>
      <c r="AF251" s="14">
        <f t="shared" si="94"/>
        <v>3109</v>
      </c>
      <c r="AG251" s="14">
        <f t="shared" si="95"/>
        <v>1554</v>
      </c>
      <c r="AH251" s="14">
        <f t="shared" si="96"/>
        <v>9327</v>
      </c>
      <c r="AJ251" s="14">
        <f t="shared" si="106"/>
        <v>19852</v>
      </c>
      <c r="AK251" s="14">
        <f t="shared" si="107"/>
        <v>9923</v>
      </c>
      <c r="AL251" s="14">
        <f t="shared" si="108"/>
        <v>59576</v>
      </c>
    </row>
    <row r="252" spans="11:38" ht="16.5" x14ac:dyDescent="0.2">
      <c r="K252" s="13">
        <v>249</v>
      </c>
      <c r="L252" s="13">
        <f t="shared" si="88"/>
        <v>12</v>
      </c>
      <c r="M252" s="13">
        <f t="shared" si="89"/>
        <v>2</v>
      </c>
      <c r="N252" s="14">
        <f t="shared" si="90"/>
        <v>1101012</v>
      </c>
      <c r="O252" s="14" t="str">
        <f t="shared" si="91"/>
        <v>南御夫18突</v>
      </c>
      <c r="P252" s="29" t="s">
        <v>470</v>
      </c>
      <c r="Q252" s="14">
        <f t="shared" si="92"/>
        <v>1</v>
      </c>
      <c r="R252" s="14">
        <f t="shared" si="93"/>
        <v>18</v>
      </c>
      <c r="S252" s="14" t="s">
        <v>39</v>
      </c>
      <c r="T252" s="14">
        <f>ROUND(((IF(Q252=1,INDEX(新属性投放!$J$14:$J$34,卡牌属性!R252),INDEX(新属性投放!$J$42:$J$62,卡牌属性!R252)))*INDEX($G$5:$G$42,L252)+IF(Q252=1,INDEX(新属性投放!R$20:R$23,卡牌属性!M252-1),INDEX(新属性投放!R$25:R$28,卡牌属性!M252-1)))/SQRT(INDEX($I$5:$I$42,L252)),2)</f>
        <v>14380.5</v>
      </c>
      <c r="U252" s="29" t="s">
        <v>178</v>
      </c>
      <c r="V252" s="14">
        <f>ROUND((IF(Q252=1,INDEX(新属性投放!$K$14:$K$34,卡牌属性!R252),INDEX(新属性投放!$K$42:$K$62,卡牌属性!R252))+IF(Q252=1,INDEX(新属性投放!S$20:S$23,卡牌属性!M252-1),INDEX(新属性投放!S$25:S$28,卡牌属性!M252-1)))*INDEX($G$5:$G$42,L252),2)</f>
        <v>7152.75</v>
      </c>
      <c r="W252" s="29" t="s">
        <v>179</v>
      </c>
      <c r="X252" s="14">
        <f>ROUND((IF(Q252=1,INDEX(新属性投放!$L$14:$L$34,卡牌属性!R252),INDEX(新属性投放!$L$42:$L$62,卡牌属性!R252))*INDEX($G$5:$G$42,L252)+IF(Q252=1,INDEX(新属性投放!T$20:T$23,卡牌属性!M252-1),INDEX(新属性投放!T$25:T$28,卡牌属性!M252-1)))*SQRT(INDEX($I$5:$I$42,L252)),2)</f>
        <v>43341.5</v>
      </c>
      <c r="Y252" s="29" t="s">
        <v>177</v>
      </c>
      <c r="Z252" s="14">
        <f>ROUND(IF(Q252=1,INDEX(新属性投放!$D$14:$D$34,卡牌属性!R252),INDEX(新属性投放!$D$42:$D$62,卡牌属性!R252))*INDEX($G$5:$G$42,L252)/SQRT(INDEX($I$5:$I$42,L252)),2)</f>
        <v>359.51</v>
      </c>
      <c r="AA252" s="29" t="s">
        <v>178</v>
      </c>
      <c r="AB252" s="14">
        <f>ROUND(IF(Q252=1,INDEX(新属性投放!$E$14:$E$34,卡牌属性!R252),INDEX(新属性投放!$E$42:$E$62,卡牌属性!R252))*INDEX($G$5:$G$42,L252),2)</f>
        <v>179.76</v>
      </c>
      <c r="AC252" s="29" t="s">
        <v>179</v>
      </c>
      <c r="AD252" s="14">
        <f>ROUND(IF(Q252=1,INDEX(新属性投放!$F$14:$F$34,卡牌属性!R252),INDEX(新属性投放!$F$42:$F$62,卡牌属性!R252))*INDEX($G$5:$G$42,L252)*SQRT(INDEX($I$5:$I$42,L252)),2)</f>
        <v>1078.53</v>
      </c>
      <c r="AF252" s="14">
        <f t="shared" si="94"/>
        <v>3595</v>
      </c>
      <c r="AG252" s="14">
        <f t="shared" si="95"/>
        <v>1797</v>
      </c>
      <c r="AH252" s="14">
        <f t="shared" si="96"/>
        <v>10785</v>
      </c>
      <c r="AJ252" s="14">
        <f t="shared" si="106"/>
        <v>23447</v>
      </c>
      <c r="AK252" s="14">
        <f t="shared" si="107"/>
        <v>11720</v>
      </c>
      <c r="AL252" s="14">
        <f t="shared" si="108"/>
        <v>70361</v>
      </c>
    </row>
    <row r="253" spans="11:38" ht="16.5" x14ac:dyDescent="0.2">
      <c r="K253" s="13">
        <v>250</v>
      </c>
      <c r="L253" s="13">
        <f t="shared" si="88"/>
        <v>12</v>
      </c>
      <c r="M253" s="13">
        <f t="shared" si="89"/>
        <v>2</v>
      </c>
      <c r="N253" s="14">
        <f t="shared" si="90"/>
        <v>1101012</v>
      </c>
      <c r="O253" s="14" t="str">
        <f t="shared" si="91"/>
        <v>南御夫19突</v>
      </c>
      <c r="P253" s="29" t="s">
        <v>470</v>
      </c>
      <c r="Q253" s="14">
        <f t="shared" si="92"/>
        <v>1</v>
      </c>
      <c r="R253" s="14">
        <f t="shared" si="93"/>
        <v>19</v>
      </c>
      <c r="S253" s="14" t="s">
        <v>39</v>
      </c>
      <c r="T253" s="14">
        <f>ROUND(((IF(Q253=1,INDEX(新属性投放!$J$14:$J$34,卡牌属性!R253),INDEX(新属性投放!$J$42:$J$62,卡牌属性!R253)))*INDEX($G$5:$G$42,L253)+IF(Q253=1,INDEX(新属性投放!R$20:R$23,卡牌属性!M253-1),INDEX(新属性投放!R$25:R$28,卡牌属性!M253-1)))/SQRT(INDEX($I$5:$I$42,L253)),2)</f>
        <v>16627.05</v>
      </c>
      <c r="U253" s="29" t="s">
        <v>178</v>
      </c>
      <c r="V253" s="14">
        <f>ROUND((IF(Q253=1,INDEX(新属性投放!$K$14:$K$34,卡牌属性!R253),INDEX(新属性投放!$K$42:$K$62,卡牌属性!R253))+IF(Q253=1,INDEX(新属性投放!S$20:S$23,卡牌属性!M253-1),INDEX(新属性投放!S$25:S$28,卡牌属性!M253-1)))*INDEX($G$5:$G$42,L253),2)</f>
        <v>8276.5300000000007</v>
      </c>
      <c r="W253" s="29" t="s">
        <v>179</v>
      </c>
      <c r="X253" s="14">
        <f>ROUND((IF(Q253=1,INDEX(新属性投放!$L$14:$L$34,卡牌属性!R253),INDEX(新属性投放!$L$42:$L$62,卡牌属性!R253))*INDEX($G$5:$G$42,L253)+IF(Q253=1,INDEX(新属性投放!T$20:T$23,卡牌属性!M253-1),INDEX(新属性投放!T$25:T$28,卡牌属性!M253-1)))*SQRT(INDEX($I$5:$I$42,L253)),2)</f>
        <v>50081.15</v>
      </c>
      <c r="Y253" s="29" t="s">
        <v>177</v>
      </c>
      <c r="Z253" s="14">
        <f>ROUND(IF(Q253=1,INDEX(新属性投放!$D$14:$D$34,卡牌属性!R253),INDEX(新属性投放!$D$42:$D$62,卡牌属性!R253))*INDEX($G$5:$G$42,L253)/SQRT(INDEX($I$5:$I$42,L253)),2)</f>
        <v>415.68</v>
      </c>
      <c r="AA253" s="29" t="s">
        <v>178</v>
      </c>
      <c r="AB253" s="14">
        <f>ROUND(IF(Q253=1,INDEX(新属性投放!$E$14:$E$34,卡牌属性!R253),INDEX(新属性投放!$E$42:$E$62,卡牌属性!R253))*INDEX($G$5:$G$42,L253),2)</f>
        <v>207.84</v>
      </c>
      <c r="AC253" s="29" t="s">
        <v>179</v>
      </c>
      <c r="AD253" s="14">
        <f>ROUND(IF(Q253=1,INDEX(新属性投放!$F$14:$F$34,卡牌属性!R253),INDEX(新属性投放!$F$42:$F$62,卡牌属性!R253))*INDEX($G$5:$G$42,L253)*SQRT(INDEX($I$5:$I$42,L253)),2)</f>
        <v>1247.04</v>
      </c>
      <c r="AF253" s="14">
        <f t="shared" si="94"/>
        <v>4156</v>
      </c>
      <c r="AG253" s="14">
        <f t="shared" si="95"/>
        <v>2078</v>
      </c>
      <c r="AH253" s="14">
        <f t="shared" si="96"/>
        <v>12470</v>
      </c>
      <c r="AJ253" s="14">
        <f t="shared" si="106"/>
        <v>27603</v>
      </c>
      <c r="AK253" s="14">
        <f t="shared" si="107"/>
        <v>13798</v>
      </c>
      <c r="AL253" s="14">
        <f t="shared" si="108"/>
        <v>82831</v>
      </c>
    </row>
    <row r="254" spans="11:38" ht="16.5" x14ac:dyDescent="0.2">
      <c r="K254" s="13">
        <v>251</v>
      </c>
      <c r="L254" s="13">
        <f t="shared" si="88"/>
        <v>12</v>
      </c>
      <c r="M254" s="13">
        <f t="shared" si="89"/>
        <v>2</v>
      </c>
      <c r="N254" s="14">
        <f t="shared" si="90"/>
        <v>1101012</v>
      </c>
      <c r="O254" s="14" t="str">
        <f t="shared" si="91"/>
        <v>南御夫20突</v>
      </c>
      <c r="P254" s="29" t="s">
        <v>470</v>
      </c>
      <c r="Q254" s="14">
        <f t="shared" si="92"/>
        <v>1</v>
      </c>
      <c r="R254" s="14">
        <f t="shared" si="93"/>
        <v>20</v>
      </c>
      <c r="S254" s="14" t="s">
        <v>39</v>
      </c>
      <c r="T254" s="14">
        <f>ROUND(((IF(Q254=1,INDEX(新属性投放!$J$14:$J$34,卡牌属性!R254),INDEX(新属性投放!$J$42:$J$62,卡牌属性!R254)))*INDEX($G$5:$G$42,L254)+IF(Q254=1,INDEX(新属性投放!R$20:R$23,卡牌属性!M254-1),INDEX(新属性投放!R$25:R$28,卡牌属性!M254-1)))/SQRT(INDEX($I$5:$I$42,L254)),2)</f>
        <v>19225.45</v>
      </c>
      <c r="U254" s="29" t="s">
        <v>178</v>
      </c>
      <c r="V254" s="14">
        <f>ROUND((IF(Q254=1,INDEX(新属性投放!$K$14:$K$34,卡牌属性!R254),INDEX(新属性投放!$K$42:$K$62,卡牌属性!R254))+IF(Q254=1,INDEX(新属性投放!S$20:S$23,卡牌属性!M254-1),INDEX(新属性投放!S$25:S$28,卡牌属性!M254-1)))*INDEX($G$5:$G$42,L254),2)</f>
        <v>9575.73</v>
      </c>
      <c r="W254" s="29" t="s">
        <v>179</v>
      </c>
      <c r="X254" s="14">
        <f>ROUND((IF(Q254=1,INDEX(新属性投放!$L$14:$L$34,卡牌属性!R254),INDEX(新属性投放!$L$42:$L$62,卡牌属性!R254))*INDEX($G$5:$G$42,L254)+IF(Q254=1,INDEX(新属性投放!T$20:T$23,卡牌属性!M254-1),INDEX(新属性投放!T$25:T$28,卡牌属性!M254-1)))*SQRT(INDEX($I$5:$I$42,L254)),2)</f>
        <v>57876.35</v>
      </c>
      <c r="Y254" s="29" t="s">
        <v>177</v>
      </c>
      <c r="Z254" s="14">
        <f>ROUND(IF(Q254=1,INDEX(新属性投放!$D$14:$D$34,卡牌属性!R254),INDEX(新属性投放!$D$42:$D$62,卡牌属性!R254))*INDEX($G$5:$G$42,L254)/SQRT(INDEX($I$5:$I$42,L254)),2)</f>
        <v>480.64</v>
      </c>
      <c r="AA254" s="29" t="s">
        <v>178</v>
      </c>
      <c r="AB254" s="14">
        <f>ROUND(IF(Q254=1,INDEX(新属性投放!$E$14:$E$34,卡牌属性!R254),INDEX(新属性投放!$E$42:$E$62,卡牌属性!R254))*INDEX($G$5:$G$42,L254),2)</f>
        <v>240.32</v>
      </c>
      <c r="AC254" s="29" t="s">
        <v>179</v>
      </c>
      <c r="AD254" s="14">
        <f>ROUND(IF(Q254=1,INDEX(新属性投放!$F$14:$F$34,卡牌属性!R254),INDEX(新属性投放!$F$42:$F$62,卡牌属性!R254))*INDEX($G$5:$G$42,L254)*SQRT(INDEX($I$5:$I$42,L254)),2)</f>
        <v>1441.92</v>
      </c>
      <c r="AF254" s="14">
        <f t="shared" si="94"/>
        <v>4806</v>
      </c>
      <c r="AG254" s="14">
        <f t="shared" si="95"/>
        <v>2403</v>
      </c>
      <c r="AH254" s="14">
        <f t="shared" si="96"/>
        <v>14419</v>
      </c>
      <c r="AJ254" s="14">
        <f t="shared" si="106"/>
        <v>32409</v>
      </c>
      <c r="AK254" s="14">
        <f t="shared" si="107"/>
        <v>16201</v>
      </c>
      <c r="AL254" s="14">
        <f t="shared" si="108"/>
        <v>97250</v>
      </c>
    </row>
    <row r="255" spans="11:38" ht="16.5" x14ac:dyDescent="0.2">
      <c r="K255" s="13">
        <v>252</v>
      </c>
      <c r="L255" s="13">
        <f t="shared" si="88"/>
        <v>12</v>
      </c>
      <c r="M255" s="13">
        <f t="shared" si="89"/>
        <v>2</v>
      </c>
      <c r="N255" s="14">
        <f t="shared" si="90"/>
        <v>1101012</v>
      </c>
      <c r="O255" s="14" t="str">
        <f t="shared" si="91"/>
        <v>南御夫21突</v>
      </c>
      <c r="P255" s="29" t="s">
        <v>470</v>
      </c>
      <c r="Q255" s="14">
        <f t="shared" si="92"/>
        <v>1</v>
      </c>
      <c r="R255" s="14">
        <f t="shared" si="93"/>
        <v>21</v>
      </c>
      <c r="S255" s="14" t="s">
        <v>39</v>
      </c>
      <c r="T255" s="14">
        <f>ROUND(((IF(Q255=1,INDEX(新属性投放!$J$14:$J$34,卡牌属性!R255),INDEX(新属性投放!$J$42:$J$62,卡牌属性!R255)))*INDEX($G$5:$G$42,L255)+IF(Q255=1,INDEX(新属性投放!R$20:R$23,卡牌属性!M255-1),INDEX(新属性投放!R$25:R$28,卡牌属性!M255-1)))/SQRT(INDEX($I$5:$I$42,L255)),2)</f>
        <v>22229.65</v>
      </c>
      <c r="U255" s="29" t="s">
        <v>178</v>
      </c>
      <c r="V255" s="14">
        <f>ROUND((IF(Q255=1,INDEX(新属性投放!$K$14:$K$34,卡牌属性!R255),INDEX(新属性投放!$K$42:$K$62,卡牌属性!R255))+IF(Q255=1,INDEX(新属性投放!S$20:S$23,卡牌属性!M255-1),INDEX(新属性投放!S$25:S$28,卡牌属性!M255-1)))*INDEX($G$5:$G$42,L255),2)</f>
        <v>11077.33</v>
      </c>
      <c r="W255" s="29" t="s">
        <v>179</v>
      </c>
      <c r="X255" s="14">
        <f>ROUND((IF(Q255=1,INDEX(新属性投放!$L$14:$L$34,卡牌属性!R255),INDEX(新属性投放!$L$42:$L$62,卡牌属性!R255))*INDEX($G$5:$G$42,L255)+IF(Q255=1,INDEX(新属性投放!T$20:T$23,卡牌属性!M255-1),INDEX(新属性投放!T$25:T$28,卡牌属性!M255-1)))*SQRT(INDEX($I$5:$I$42,L255)),2)</f>
        <v>66888.95</v>
      </c>
      <c r="Y255" s="29" t="s">
        <v>177</v>
      </c>
      <c r="Z255" s="14">
        <f>ROUND(IF(Q255=1,INDEX(新属性投放!$D$14:$D$34,卡牌属性!R255),INDEX(新属性投放!$D$42:$D$62,卡牌属性!R255))*INDEX($G$5:$G$42,L255)/SQRT(INDEX($I$5:$I$42,L255)),2)</f>
        <v>555.74</v>
      </c>
      <c r="AA255" s="29" t="s">
        <v>178</v>
      </c>
      <c r="AB255" s="14">
        <f>ROUND(IF(Q255=1,INDEX(新属性投放!$E$14:$E$34,卡牌属性!R255),INDEX(新属性投放!$E$42:$E$62,卡牌属性!R255))*INDEX($G$5:$G$42,L255),2)</f>
        <v>277.87</v>
      </c>
      <c r="AC255" s="29" t="s">
        <v>179</v>
      </c>
      <c r="AD255" s="14">
        <f>ROUND(IF(Q255=1,INDEX(新属性投放!$F$14:$F$34,卡牌属性!R255),INDEX(新属性投放!$F$42:$F$62,卡牌属性!R255))*INDEX($G$5:$G$42,L255)*SQRT(INDEX($I$5:$I$42,L255)),2)</f>
        <v>1667.22</v>
      </c>
      <c r="AF255" s="14">
        <f t="shared" si="94"/>
        <v>5557</v>
      </c>
      <c r="AG255" s="14">
        <f t="shared" si="95"/>
        <v>2778</v>
      </c>
      <c r="AH255" s="14">
        <f t="shared" si="96"/>
        <v>16672</v>
      </c>
      <c r="AJ255" s="14">
        <f t="shared" si="106"/>
        <v>37966</v>
      </c>
      <c r="AK255" s="14">
        <f t="shared" si="107"/>
        <v>18979</v>
      </c>
      <c r="AL255" s="14">
        <f t="shared" si="108"/>
        <v>113922</v>
      </c>
    </row>
    <row r="256" spans="11:38" ht="16.5" x14ac:dyDescent="0.2">
      <c r="K256" s="13">
        <v>253</v>
      </c>
      <c r="L256" s="13">
        <f t="shared" si="88"/>
        <v>13</v>
      </c>
      <c r="M256" s="13">
        <f t="shared" si="89"/>
        <v>2</v>
      </c>
      <c r="N256" s="14">
        <f t="shared" si="90"/>
        <v>1101013</v>
      </c>
      <c r="O256" s="14" t="str">
        <f t="shared" si="91"/>
        <v>吉拉1突</v>
      </c>
      <c r="P256" s="29" t="s">
        <v>470</v>
      </c>
      <c r="Q256" s="14">
        <f t="shared" si="92"/>
        <v>1</v>
      </c>
      <c r="R256" s="14">
        <f t="shared" si="93"/>
        <v>1</v>
      </c>
      <c r="S256" s="14" t="s">
        <v>39</v>
      </c>
      <c r="T256" s="14">
        <f>ROUND(((IF(Q256=1,INDEX(新属性投放!$J$14:$J$34,卡牌属性!R256),INDEX(新属性投放!$J$42:$J$62,卡牌属性!R256)))*INDEX($G$5:$G$42,L256)+IF(Q256=1,INDEX(新属性投放!R$20:R$23,卡牌属性!M256-1),INDEX(新属性投放!R$25:R$28,卡牌属性!M256-1)))/SQRT(INDEX($I$5:$I$42,L256)),2)</f>
        <v>100</v>
      </c>
      <c r="U256" s="29" t="s">
        <v>178</v>
      </c>
      <c r="V256" s="14">
        <f>ROUND((IF(Q256=1,INDEX(新属性投放!$K$14:$K$34,卡牌属性!R256),INDEX(新属性投放!$K$42:$K$62,卡牌属性!R256))+IF(Q256=1,INDEX(新属性投放!S$20:S$23,卡牌属性!M256-1),INDEX(新属性投放!S$25:S$28,卡牌属性!M256-1)))*INDEX($G$5:$G$42,L256),2)</f>
        <v>0</v>
      </c>
      <c r="W256" s="29" t="s">
        <v>179</v>
      </c>
      <c r="X256" s="14">
        <f>ROUND((IF(Q256=1,INDEX(新属性投放!$L$14:$L$34,卡牌属性!R256),INDEX(新属性投放!$L$42:$L$62,卡牌属性!R256))*INDEX($G$5:$G$42,L256)+IF(Q256=1,INDEX(新属性投放!T$20:T$23,卡牌属性!M256-1),INDEX(新属性投放!T$25:T$28,卡牌属性!M256-1)))*SQRT(INDEX($I$5:$I$42,L256)),2)</f>
        <v>500</v>
      </c>
      <c r="Y256" s="29" t="s">
        <v>177</v>
      </c>
      <c r="Z256" s="14">
        <f>ROUND(IF(Q256=1,INDEX(新属性投放!$D$14:$D$34,卡牌属性!R256),INDEX(新属性投放!$D$42:$D$62,卡牌属性!R256))*INDEX($G$5:$G$42,L256)/SQRT(INDEX($I$5:$I$42,L256)),2)</f>
        <v>15</v>
      </c>
      <c r="AA256" s="29" t="s">
        <v>178</v>
      </c>
      <c r="AB256" s="14">
        <f>ROUND(IF(Q256=1,INDEX(新属性投放!$E$14:$E$34,卡牌属性!R256),INDEX(新属性投放!$E$42:$E$62,卡牌属性!R256))*INDEX($G$5:$G$42,L256),2)</f>
        <v>7.5</v>
      </c>
      <c r="AC256" s="29" t="s">
        <v>179</v>
      </c>
      <c r="AD256" s="14">
        <f>ROUND(IF(Q256=1,INDEX(新属性投放!$F$14:$F$34,卡牌属性!R256),INDEX(新属性投放!$F$42:$F$62,卡牌属性!R256))*INDEX($G$5:$G$42,L256)*SQRT(INDEX($I$5:$I$42,L256)),2)</f>
        <v>45</v>
      </c>
      <c r="AF256" s="14">
        <f t="shared" si="94"/>
        <v>150</v>
      </c>
      <c r="AG256" s="14">
        <f t="shared" si="95"/>
        <v>75</v>
      </c>
      <c r="AH256" s="14">
        <f t="shared" si="96"/>
        <v>450</v>
      </c>
      <c r="AJ256" s="14">
        <f t="shared" ref="AJ256" si="109">AF256</f>
        <v>150</v>
      </c>
      <c r="AK256" s="14">
        <f t="shared" ref="AK256" si="110">AG256</f>
        <v>75</v>
      </c>
      <c r="AL256" s="14">
        <f t="shared" ref="AL256" si="111">AH256</f>
        <v>450</v>
      </c>
    </row>
    <row r="257" spans="11:38" ht="16.5" x14ac:dyDescent="0.2">
      <c r="K257" s="13">
        <v>254</v>
      </c>
      <c r="L257" s="13">
        <f t="shared" si="88"/>
        <v>13</v>
      </c>
      <c r="M257" s="13">
        <f t="shared" si="89"/>
        <v>2</v>
      </c>
      <c r="N257" s="14">
        <f t="shared" si="90"/>
        <v>1101013</v>
      </c>
      <c r="O257" s="14" t="str">
        <f t="shared" si="91"/>
        <v>吉拉2突</v>
      </c>
      <c r="P257" s="29" t="s">
        <v>470</v>
      </c>
      <c r="Q257" s="14">
        <f t="shared" si="92"/>
        <v>1</v>
      </c>
      <c r="R257" s="14">
        <f t="shared" si="93"/>
        <v>2</v>
      </c>
      <c r="S257" s="14" t="s">
        <v>39</v>
      </c>
      <c r="T257" s="14">
        <f>ROUND(((IF(Q257=1,INDEX(新属性投放!$J$14:$J$34,卡牌属性!R257),INDEX(新属性投放!$J$42:$J$62,卡牌属性!R257)))*INDEX($G$5:$G$42,L257)+IF(Q257=1,INDEX(新属性投放!R$20:R$23,卡牌属性!M257-1),INDEX(新属性投放!R$25:R$28,卡牌属性!M257-1)))/SQRT(INDEX($I$5:$I$42,L257)),2)</f>
        <v>245</v>
      </c>
      <c r="U257" s="29" t="s">
        <v>178</v>
      </c>
      <c r="V257" s="14">
        <f>ROUND((IF(Q257=1,INDEX(新属性投放!$K$14:$K$34,卡牌属性!R257),INDEX(新属性投放!$K$42:$K$62,卡牌属性!R257))+IF(Q257=1,INDEX(新属性投放!S$20:S$23,卡牌属性!M257-1),INDEX(新属性投放!S$25:S$28,卡牌属性!M257-1)))*INDEX($G$5:$G$42,L257),2)</f>
        <v>84.5</v>
      </c>
      <c r="W257" s="29" t="s">
        <v>179</v>
      </c>
      <c r="X257" s="14">
        <f>ROUND((IF(Q257=1,INDEX(新属性投放!$L$14:$L$34,卡牌属性!R257),INDEX(新属性投放!$L$42:$L$62,卡牌属性!R257))*INDEX($G$5:$G$42,L257)+IF(Q257=1,INDEX(新属性投放!T$20:T$23,卡牌属性!M257-1),INDEX(新属性投放!T$25:T$28,卡牌属性!M257-1)))*SQRT(INDEX($I$5:$I$42,L257)),2)</f>
        <v>935</v>
      </c>
      <c r="Y257" s="29" t="s">
        <v>177</v>
      </c>
      <c r="Z257" s="14">
        <f>ROUND(IF(Q257=1,INDEX(新属性投放!$D$14:$D$34,卡牌属性!R257),INDEX(新属性投放!$D$42:$D$62,卡牌属性!R257))*INDEX($G$5:$G$42,L257)/SQRT(INDEX($I$5:$I$42,L257)),2)</f>
        <v>13.77</v>
      </c>
      <c r="AA257" s="29" t="s">
        <v>178</v>
      </c>
      <c r="AB257" s="14">
        <f>ROUND(IF(Q257=1,INDEX(新属性投放!$E$14:$E$34,卡牌属性!R257),INDEX(新属性投放!$E$42:$E$62,卡牌属性!R257))*INDEX($G$5:$G$42,L257),2)</f>
        <v>6.89</v>
      </c>
      <c r="AC257" s="29" t="s">
        <v>179</v>
      </c>
      <c r="AD257" s="14">
        <f>ROUND(IF(Q257=1,INDEX(新属性投放!$F$14:$F$34,卡牌属性!R257),INDEX(新属性投放!$F$42:$F$62,卡牌属性!R257))*INDEX($G$5:$G$42,L257)*SQRT(INDEX($I$5:$I$42,L257)),2)</f>
        <v>41.31</v>
      </c>
      <c r="AF257" s="14">
        <f t="shared" si="94"/>
        <v>137</v>
      </c>
      <c r="AG257" s="14">
        <f t="shared" si="95"/>
        <v>68</v>
      </c>
      <c r="AH257" s="14">
        <f t="shared" si="96"/>
        <v>413</v>
      </c>
      <c r="AJ257" s="14">
        <f t="shared" ref="AJ257:AJ276" si="112">AJ256+AF257</f>
        <v>287</v>
      </c>
      <c r="AK257" s="14">
        <f t="shared" ref="AK257:AK276" si="113">AK256+AG257</f>
        <v>143</v>
      </c>
      <c r="AL257" s="14">
        <f t="shared" ref="AL257:AL276" si="114">AL256+AH257</f>
        <v>863</v>
      </c>
    </row>
    <row r="258" spans="11:38" ht="16.5" x14ac:dyDescent="0.2">
      <c r="K258" s="13">
        <v>255</v>
      </c>
      <c r="L258" s="13">
        <f t="shared" si="88"/>
        <v>13</v>
      </c>
      <c r="M258" s="13">
        <f t="shared" si="89"/>
        <v>2</v>
      </c>
      <c r="N258" s="14">
        <f t="shared" si="90"/>
        <v>1101013</v>
      </c>
      <c r="O258" s="14" t="str">
        <f t="shared" si="91"/>
        <v>吉拉3突</v>
      </c>
      <c r="P258" s="29" t="s">
        <v>470</v>
      </c>
      <c r="Q258" s="14">
        <f t="shared" si="92"/>
        <v>1</v>
      </c>
      <c r="R258" s="14">
        <f t="shared" si="93"/>
        <v>3</v>
      </c>
      <c r="S258" s="14" t="s">
        <v>39</v>
      </c>
      <c r="T258" s="14">
        <f>ROUND(((IF(Q258=1,INDEX(新属性投放!$J$14:$J$34,卡牌属性!R258),INDEX(新属性投放!$J$42:$J$62,卡牌属性!R258)))*INDEX($G$5:$G$42,L258)+IF(Q258=1,INDEX(新属性投放!R$20:R$23,卡牌属性!M258-1),INDEX(新属性投放!R$25:R$28,卡牌属性!M258-1)))/SQRT(INDEX($I$5:$I$42,L258)),2)</f>
        <v>416.7</v>
      </c>
      <c r="U258" s="29" t="s">
        <v>178</v>
      </c>
      <c r="V258" s="14">
        <f>ROUND((IF(Q258=1,INDEX(新属性投放!$K$14:$K$34,卡牌属性!R258),INDEX(新属性投放!$K$42:$K$62,卡牌属性!R258))+IF(Q258=1,INDEX(新属性投放!S$20:S$23,卡牌属性!M258-1),INDEX(新属性投放!S$25:S$28,卡牌属性!M258-1)))*INDEX($G$5:$G$42,L258),2)</f>
        <v>170.35</v>
      </c>
      <c r="W258" s="29" t="s">
        <v>179</v>
      </c>
      <c r="X258" s="14">
        <f>ROUND((IF(Q258=1,INDEX(新属性投放!$L$14:$L$34,卡牌属性!R258),INDEX(新属性投放!$L$42:$L$62,卡牌属性!R258))*INDEX($G$5:$G$42,L258)+IF(Q258=1,INDEX(新属性投放!T$20:T$23,卡牌属性!M258-1),INDEX(新属性投放!T$25:T$28,卡牌属性!M258-1)))*SQRT(INDEX($I$5:$I$42,L258)),2)</f>
        <v>1450.1</v>
      </c>
      <c r="Y258" s="29" t="s">
        <v>177</v>
      </c>
      <c r="Z258" s="14">
        <f>ROUND(IF(Q258=1,INDEX(新属性投放!$D$14:$D$34,卡牌属性!R258),INDEX(新属性投放!$D$42:$D$62,卡牌属性!R258))*INDEX($G$5:$G$42,L258)/SQRT(INDEX($I$5:$I$42,L258)),2)</f>
        <v>25.17</v>
      </c>
      <c r="AA258" s="29" t="s">
        <v>178</v>
      </c>
      <c r="AB258" s="14">
        <f>ROUND(IF(Q258=1,INDEX(新属性投放!$E$14:$E$34,卡牌属性!R258),INDEX(新属性投放!$E$42:$E$62,卡牌属性!R258))*INDEX($G$5:$G$42,L258),2)</f>
        <v>12.59</v>
      </c>
      <c r="AC258" s="29" t="s">
        <v>179</v>
      </c>
      <c r="AD258" s="14">
        <f>ROUND(IF(Q258=1,INDEX(新属性投放!$F$14:$F$34,卡牌属性!R258),INDEX(新属性投放!$F$42:$F$62,卡牌属性!R258))*INDEX($G$5:$G$42,L258)*SQRT(INDEX($I$5:$I$42,L258)),2)</f>
        <v>75.510000000000005</v>
      </c>
      <c r="AF258" s="14">
        <f t="shared" si="94"/>
        <v>251</v>
      </c>
      <c r="AG258" s="14">
        <f t="shared" si="95"/>
        <v>125</v>
      </c>
      <c r="AH258" s="14">
        <f t="shared" si="96"/>
        <v>755</v>
      </c>
      <c r="AJ258" s="14">
        <f t="shared" si="112"/>
        <v>538</v>
      </c>
      <c r="AK258" s="14">
        <f t="shared" si="113"/>
        <v>268</v>
      </c>
      <c r="AL258" s="14">
        <f t="shared" si="114"/>
        <v>1618</v>
      </c>
    </row>
    <row r="259" spans="11:38" ht="16.5" x14ac:dyDescent="0.2">
      <c r="K259" s="13">
        <v>256</v>
      </c>
      <c r="L259" s="13">
        <f t="shared" si="88"/>
        <v>13</v>
      </c>
      <c r="M259" s="13">
        <f t="shared" si="89"/>
        <v>2</v>
      </c>
      <c r="N259" s="14">
        <f t="shared" si="90"/>
        <v>1101013</v>
      </c>
      <c r="O259" s="14" t="str">
        <f t="shared" si="91"/>
        <v>吉拉4突</v>
      </c>
      <c r="P259" s="29" t="s">
        <v>470</v>
      </c>
      <c r="Q259" s="14">
        <f t="shared" si="92"/>
        <v>1</v>
      </c>
      <c r="R259" s="14">
        <f t="shared" si="93"/>
        <v>4</v>
      </c>
      <c r="S259" s="14" t="s">
        <v>39</v>
      </c>
      <c r="T259" s="14">
        <f>ROUND(((IF(Q259=1,INDEX(新属性投放!$J$14:$J$34,卡牌属性!R259),INDEX(新属性投放!$J$42:$J$62,卡牌属性!R259)))*INDEX($G$5:$G$42,L259)+IF(Q259=1,INDEX(新属性投放!R$20:R$23,卡牌属性!M259-1),INDEX(新属性投放!R$25:R$28,卡牌属性!M259-1)))/SQRT(INDEX($I$5:$I$42,L259)),2)</f>
        <v>731.4</v>
      </c>
      <c r="U259" s="29" t="s">
        <v>178</v>
      </c>
      <c r="V259" s="14">
        <f>ROUND((IF(Q259=1,INDEX(新属性投放!$K$14:$K$34,卡牌属性!R259),INDEX(新属性投放!$K$42:$K$62,卡牌属性!R259))+IF(Q259=1,INDEX(新属性投放!S$20:S$23,卡牌属性!M259-1),INDEX(新属性投放!S$25:S$28,卡牌属性!M259-1)))*INDEX($G$5:$G$42,L259),2)</f>
        <v>327.2</v>
      </c>
      <c r="W259" s="29" t="s">
        <v>179</v>
      </c>
      <c r="X259" s="14">
        <f>ROUND((IF(Q259=1,INDEX(新属性投放!$L$14:$L$34,卡牌属性!R259),INDEX(新属性投放!$L$42:$L$62,卡牌属性!R259))*INDEX($G$5:$G$42,L259)+IF(Q259=1,INDEX(新属性投放!T$20:T$23,卡牌属性!M259-1),INDEX(新属性投放!T$25:T$28,卡牌属性!M259-1)))*SQRT(INDEX($I$5:$I$42,L259)),2)</f>
        <v>2394.1999999999998</v>
      </c>
      <c r="Y259" s="29" t="s">
        <v>177</v>
      </c>
      <c r="Z259" s="14">
        <f>ROUND(IF(Q259=1,INDEX(新属性投放!$D$14:$D$34,卡牌属性!R259),INDEX(新属性投放!$D$42:$D$62,卡牌属性!R259))*INDEX($G$5:$G$42,L259)/SQRT(INDEX($I$5:$I$42,L259)),2)</f>
        <v>30.13</v>
      </c>
      <c r="AA259" s="29" t="s">
        <v>178</v>
      </c>
      <c r="AB259" s="14">
        <f>ROUND(IF(Q259=1,INDEX(新属性投放!$E$14:$E$34,卡牌属性!R259),INDEX(新属性投放!$E$42:$E$62,卡牌属性!R259))*INDEX($G$5:$G$42,L259),2)</f>
        <v>15.07</v>
      </c>
      <c r="AC259" s="29" t="s">
        <v>179</v>
      </c>
      <c r="AD259" s="14">
        <f>ROUND(IF(Q259=1,INDEX(新属性投放!$F$14:$F$34,卡牌属性!R259),INDEX(新属性投放!$F$42:$F$62,卡牌属性!R259))*INDEX($G$5:$G$42,L259)*SQRT(INDEX($I$5:$I$42,L259)),2)</f>
        <v>90.39</v>
      </c>
      <c r="AF259" s="14">
        <f t="shared" si="94"/>
        <v>301</v>
      </c>
      <c r="AG259" s="14">
        <f t="shared" si="95"/>
        <v>150</v>
      </c>
      <c r="AH259" s="14">
        <f t="shared" si="96"/>
        <v>903</v>
      </c>
      <c r="AJ259" s="14">
        <f t="shared" si="112"/>
        <v>839</v>
      </c>
      <c r="AK259" s="14">
        <f t="shared" si="113"/>
        <v>418</v>
      </c>
      <c r="AL259" s="14">
        <f t="shared" si="114"/>
        <v>2521</v>
      </c>
    </row>
    <row r="260" spans="11:38" ht="16.5" x14ac:dyDescent="0.2">
      <c r="K260" s="13">
        <v>257</v>
      </c>
      <c r="L260" s="13">
        <f t="shared" si="88"/>
        <v>13</v>
      </c>
      <c r="M260" s="13">
        <f t="shared" si="89"/>
        <v>2</v>
      </c>
      <c r="N260" s="14">
        <f t="shared" si="90"/>
        <v>1101013</v>
      </c>
      <c r="O260" s="14" t="str">
        <f t="shared" si="91"/>
        <v>吉拉5突</v>
      </c>
      <c r="P260" s="29" t="s">
        <v>470</v>
      </c>
      <c r="Q260" s="14">
        <f t="shared" si="92"/>
        <v>1</v>
      </c>
      <c r="R260" s="14">
        <f t="shared" si="93"/>
        <v>5</v>
      </c>
      <c r="S260" s="14" t="s">
        <v>39</v>
      </c>
      <c r="T260" s="14">
        <f>ROUND(((IF(Q260=1,INDEX(新属性投放!$J$14:$J$34,卡牌属性!R260),INDEX(新属性投放!$J$42:$J$62,卡牌属性!R260)))*INDEX($G$5:$G$42,L260)+IF(Q260=1,INDEX(新属性投放!R$20:R$23,卡牌属性!M260-1),INDEX(新属性投放!R$25:R$28,卡牌属性!M260-1)))/SQRT(INDEX($I$5:$I$42,L260)),2)</f>
        <v>1107.7</v>
      </c>
      <c r="U260" s="29" t="s">
        <v>178</v>
      </c>
      <c r="V260" s="14">
        <f>ROUND((IF(Q260=1,INDEX(新属性投放!$K$14:$K$34,卡牌属性!R260),INDEX(新属性投放!$K$42:$K$62,卡牌属性!R260))+IF(Q260=1,INDEX(新属性投放!S$20:S$23,卡牌属性!M260-1),INDEX(新属性投放!S$25:S$28,卡牌属性!M260-1)))*INDEX($G$5:$G$42,L260),2)</f>
        <v>515.85</v>
      </c>
      <c r="W260" s="29" t="s">
        <v>179</v>
      </c>
      <c r="X260" s="14">
        <f>ROUND((IF(Q260=1,INDEX(新属性投放!$L$14:$L$34,卡牌属性!R260),INDEX(新属性投放!$L$42:$L$62,卡牌属性!R260))*INDEX($G$5:$G$42,L260)+IF(Q260=1,INDEX(新属性投放!T$20:T$23,卡牌属性!M260-1),INDEX(新属性投放!T$25:T$28,卡牌属性!M260-1)))*SQRT(INDEX($I$5:$I$42,L260)),2)</f>
        <v>3523.1</v>
      </c>
      <c r="Y260" s="29" t="s">
        <v>177</v>
      </c>
      <c r="Z260" s="14">
        <f>ROUND(IF(Q260=1,INDEX(新属性投放!$D$14:$D$34,卡牌属性!R260),INDEX(新属性投放!$D$42:$D$62,卡牌属性!R260))*INDEX($G$5:$G$42,L260)/SQRT(INDEX($I$5:$I$42,L260)),2)</f>
        <v>37.659999999999997</v>
      </c>
      <c r="AA260" s="29" t="s">
        <v>178</v>
      </c>
      <c r="AB260" s="14">
        <f>ROUND(IF(Q260=1,INDEX(新属性投放!$E$14:$E$34,卡牌属性!R260),INDEX(新属性投放!$E$42:$E$62,卡牌属性!R260))*INDEX($G$5:$G$42,L260),2)</f>
        <v>18.829999999999998</v>
      </c>
      <c r="AC260" s="29" t="s">
        <v>179</v>
      </c>
      <c r="AD260" s="14">
        <f>ROUND(IF(Q260=1,INDEX(新属性投放!$F$14:$F$34,卡牌属性!R260),INDEX(新属性投放!$F$42:$F$62,卡牌属性!R260))*INDEX($G$5:$G$42,L260)*SQRT(INDEX($I$5:$I$42,L260)),2)</f>
        <v>112.98</v>
      </c>
      <c r="AF260" s="14">
        <f t="shared" si="94"/>
        <v>376</v>
      </c>
      <c r="AG260" s="14">
        <f t="shared" si="95"/>
        <v>188</v>
      </c>
      <c r="AH260" s="14">
        <f t="shared" si="96"/>
        <v>1129</v>
      </c>
      <c r="AJ260" s="14">
        <f t="shared" si="112"/>
        <v>1215</v>
      </c>
      <c r="AK260" s="14">
        <f t="shared" si="113"/>
        <v>606</v>
      </c>
      <c r="AL260" s="14">
        <f t="shared" si="114"/>
        <v>3650</v>
      </c>
    </row>
    <row r="261" spans="11:38" ht="16.5" x14ac:dyDescent="0.2">
      <c r="K261" s="13">
        <v>258</v>
      </c>
      <c r="L261" s="13">
        <f t="shared" ref="L261:L324" si="115">MATCH(K261-1,$F$4:$F$41,1)</f>
        <v>13</v>
      </c>
      <c r="M261" s="13">
        <f t="shared" ref="M261:M324" si="116">INDEX($D$5:$D$42,L261)</f>
        <v>2</v>
      </c>
      <c r="N261" s="14">
        <f t="shared" ref="N261:N324" si="117">INDEX($A$4:$A$42,L261+1)</f>
        <v>1101013</v>
      </c>
      <c r="O261" s="14" t="str">
        <f t="shared" ref="O261:O324" si="118">INDEX($B$4:$B$42,MATCH(N261,$A$4:$A$42,0))&amp;R261&amp;"突"</f>
        <v>吉拉6突</v>
      </c>
      <c r="P261" s="29" t="s">
        <v>470</v>
      </c>
      <c r="Q261" s="14">
        <f t="shared" ref="Q261:Q324" si="119">INDEX($C$4:$C$42,L261+1)</f>
        <v>1</v>
      </c>
      <c r="R261" s="14">
        <f t="shared" ref="R261:R324" si="120">K261-INDEX($F$4:$F$42,L261)</f>
        <v>6</v>
      </c>
      <c r="S261" s="14" t="s">
        <v>39</v>
      </c>
      <c r="T261" s="14">
        <f>ROUND(((IF(Q261=1,INDEX(新属性投放!$J$14:$J$34,卡牌属性!R261),INDEX(新属性投放!$J$42:$J$62,卡牌属性!R261)))*INDEX($G$5:$G$42,L261)+IF(Q261=1,INDEX(新属性投放!R$20:R$23,卡牌属性!M261-1),INDEX(新属性投放!R$25:R$28,卡牌属性!M261-1)))/SQRT(INDEX($I$5:$I$42,L261)),2)</f>
        <v>1578.3</v>
      </c>
      <c r="U261" s="29" t="s">
        <v>178</v>
      </c>
      <c r="V261" s="14">
        <f>ROUND((IF(Q261=1,INDEX(新属性投放!$K$14:$K$34,卡牌属性!R261),INDEX(新属性投放!$K$42:$K$62,卡牌属性!R261))+IF(Q261=1,INDEX(新属性投放!S$20:S$23,卡牌属性!M261-1),INDEX(新属性投放!S$25:S$28,卡牌属性!M261-1)))*INDEX($G$5:$G$42,L261),2)</f>
        <v>751.15</v>
      </c>
      <c r="W261" s="29" t="s">
        <v>179</v>
      </c>
      <c r="X261" s="14">
        <f>ROUND((IF(Q261=1,INDEX(新属性投放!$L$14:$L$34,卡牌属性!R261),INDEX(新属性投放!$L$42:$L$62,卡牌属性!R261))*INDEX($G$5:$G$42,L261)+IF(Q261=1,INDEX(新属性投放!T$20:T$23,卡牌属性!M261-1),INDEX(新属性投放!T$25:T$28,卡牌属性!M261-1)))*SQRT(INDEX($I$5:$I$42,L261)),2)</f>
        <v>4934.8999999999996</v>
      </c>
      <c r="Y261" s="29" t="s">
        <v>177</v>
      </c>
      <c r="Z261" s="14">
        <f>ROUND(IF(Q261=1,INDEX(新属性投放!$D$14:$D$34,卡牌属性!R261),INDEX(新属性投放!$D$42:$D$62,卡牌属性!R261))*INDEX($G$5:$G$42,L261)/SQRT(INDEX($I$5:$I$42,L261)),2)</f>
        <v>48.85</v>
      </c>
      <c r="AA261" s="29" t="s">
        <v>178</v>
      </c>
      <c r="AB261" s="14">
        <f>ROUND(IF(Q261=1,INDEX(新属性投放!$E$14:$E$34,卡牌属性!R261),INDEX(新属性投放!$E$42:$E$62,卡牌属性!R261))*INDEX($G$5:$G$42,L261),2)</f>
        <v>24.43</v>
      </c>
      <c r="AC261" s="29" t="s">
        <v>179</v>
      </c>
      <c r="AD261" s="14">
        <f>ROUND(IF(Q261=1,INDEX(新属性投放!$F$14:$F$34,卡牌属性!R261),INDEX(新属性投放!$F$42:$F$62,卡牌属性!R261))*INDEX($G$5:$G$42,L261)*SQRT(INDEX($I$5:$I$42,L261)),2)</f>
        <v>146.55000000000001</v>
      </c>
      <c r="AF261" s="14">
        <f t="shared" ref="AF261:AF324" si="121">INT(Z261*AF$2*10)</f>
        <v>488</v>
      </c>
      <c r="AG261" s="14">
        <f t="shared" ref="AG261:AG324" si="122">INT(AB261*AF$2*10)</f>
        <v>244</v>
      </c>
      <c r="AH261" s="14">
        <f t="shared" ref="AH261:AH324" si="123">INT(AD261*AF$2*10)</f>
        <v>1465</v>
      </c>
      <c r="AJ261" s="14">
        <f t="shared" si="112"/>
        <v>1703</v>
      </c>
      <c r="AK261" s="14">
        <f t="shared" si="113"/>
        <v>850</v>
      </c>
      <c r="AL261" s="14">
        <f t="shared" si="114"/>
        <v>5115</v>
      </c>
    </row>
    <row r="262" spans="11:38" ht="16.5" x14ac:dyDescent="0.2">
      <c r="K262" s="13">
        <v>259</v>
      </c>
      <c r="L262" s="13">
        <f t="shared" si="115"/>
        <v>13</v>
      </c>
      <c r="M262" s="13">
        <f t="shared" si="116"/>
        <v>2</v>
      </c>
      <c r="N262" s="14">
        <f t="shared" si="117"/>
        <v>1101013</v>
      </c>
      <c r="O262" s="14" t="str">
        <f t="shared" si="118"/>
        <v>吉拉7突</v>
      </c>
      <c r="P262" s="29" t="s">
        <v>470</v>
      </c>
      <c r="Q262" s="14">
        <f t="shared" si="119"/>
        <v>1</v>
      </c>
      <c r="R262" s="14">
        <f t="shared" si="120"/>
        <v>7</v>
      </c>
      <c r="S262" s="14" t="s">
        <v>39</v>
      </c>
      <c r="T262" s="14">
        <f>ROUND(((IF(Q262=1,INDEX(新属性投放!$J$14:$J$34,卡牌属性!R262),INDEX(新属性投放!$J$42:$J$62,卡牌属性!R262)))*INDEX($G$5:$G$42,L262)+IF(Q262=1,INDEX(新属性投放!R$20:R$23,卡牌属性!M262-1),INDEX(新属性投放!R$25:R$28,卡牌属性!M262-1)))/SQRT(INDEX($I$5:$I$42,L262)),2)</f>
        <v>2188.8000000000002</v>
      </c>
      <c r="U262" s="29" t="s">
        <v>178</v>
      </c>
      <c r="V262" s="14">
        <f>ROUND((IF(Q262=1,INDEX(新属性投放!$K$14:$K$34,卡牌属性!R262),INDEX(新属性投放!$K$42:$K$62,卡牌属性!R262))+IF(Q262=1,INDEX(新属性投放!S$20:S$23,卡牌属性!M262-1),INDEX(新属性投放!S$25:S$28,卡牌属性!M262-1)))*INDEX($G$5:$G$42,L262),2)</f>
        <v>1056.4000000000001</v>
      </c>
      <c r="W262" s="29" t="s">
        <v>179</v>
      </c>
      <c r="X262" s="14">
        <f>ROUND((IF(Q262=1,INDEX(新属性投放!$L$14:$L$34,卡牌属性!R262),INDEX(新属性投放!$L$42:$L$62,卡牌属性!R262))*INDEX($G$5:$G$42,L262)+IF(Q262=1,INDEX(新属性投放!T$20:T$23,卡牌属性!M262-1),INDEX(新属性投放!T$25:T$28,卡牌属性!M262-1)))*SQRT(INDEX($I$5:$I$42,L262)),2)</f>
        <v>6766.4</v>
      </c>
      <c r="Y262" s="29" t="s">
        <v>177</v>
      </c>
      <c r="Z262" s="14">
        <f>ROUND(IF(Q262=1,INDEX(新属性投放!$D$14:$D$34,卡牌属性!R262),INDEX(新属性投放!$D$42:$D$62,卡牌属性!R262))*INDEX($G$5:$G$42,L262)/SQRT(INDEX($I$5:$I$42,L262)),2)</f>
        <v>60.19</v>
      </c>
      <c r="AA262" s="29" t="s">
        <v>178</v>
      </c>
      <c r="AB262" s="14">
        <f>ROUND(IF(Q262=1,INDEX(新属性投放!$E$14:$E$34,卡牌属性!R262),INDEX(新属性投放!$E$42:$E$62,卡牌属性!R262))*INDEX($G$5:$G$42,L262),2)</f>
        <v>30.1</v>
      </c>
      <c r="AC262" s="29" t="s">
        <v>179</v>
      </c>
      <c r="AD262" s="14">
        <f>ROUND(IF(Q262=1,INDEX(新属性投放!$F$14:$F$34,卡牌属性!R262),INDEX(新属性投放!$F$42:$F$62,卡牌属性!R262))*INDEX($G$5:$G$42,L262)*SQRT(INDEX($I$5:$I$42,L262)),2)</f>
        <v>180.57</v>
      </c>
      <c r="AF262" s="14">
        <f t="shared" si="121"/>
        <v>601</v>
      </c>
      <c r="AG262" s="14">
        <f t="shared" si="122"/>
        <v>301</v>
      </c>
      <c r="AH262" s="14">
        <f t="shared" si="123"/>
        <v>1805</v>
      </c>
      <c r="AJ262" s="14">
        <f t="shared" si="112"/>
        <v>2304</v>
      </c>
      <c r="AK262" s="14">
        <f t="shared" si="113"/>
        <v>1151</v>
      </c>
      <c r="AL262" s="14">
        <f t="shared" si="114"/>
        <v>6920</v>
      </c>
    </row>
    <row r="263" spans="11:38" ht="16.5" x14ac:dyDescent="0.2">
      <c r="K263" s="13">
        <v>260</v>
      </c>
      <c r="L263" s="13">
        <f t="shared" si="115"/>
        <v>13</v>
      </c>
      <c r="M263" s="13">
        <f t="shared" si="116"/>
        <v>2</v>
      </c>
      <c r="N263" s="14">
        <f t="shared" si="117"/>
        <v>1101013</v>
      </c>
      <c r="O263" s="14" t="str">
        <f t="shared" si="118"/>
        <v>吉拉8突</v>
      </c>
      <c r="P263" s="29" t="s">
        <v>470</v>
      </c>
      <c r="Q263" s="14">
        <f t="shared" si="119"/>
        <v>1</v>
      </c>
      <c r="R263" s="14">
        <f t="shared" si="120"/>
        <v>8</v>
      </c>
      <c r="S263" s="14" t="s">
        <v>39</v>
      </c>
      <c r="T263" s="14">
        <f>ROUND(((IF(Q263=1,INDEX(新属性投放!$J$14:$J$34,卡牌属性!R263),INDEX(新属性投放!$J$42:$J$62,卡牌属性!R263)))*INDEX($G$5:$G$42,L263)+IF(Q263=1,INDEX(新属性投放!R$20:R$23,卡牌属性!M263-1),INDEX(新属性投放!R$25:R$28,卡牌属性!M263-1)))/SQRT(INDEX($I$5:$I$42,L263)),2)</f>
        <v>2940.7</v>
      </c>
      <c r="U263" s="29" t="s">
        <v>178</v>
      </c>
      <c r="V263" s="14">
        <f>ROUND((IF(Q263=1,INDEX(新属性投放!$K$14:$K$34,卡牌属性!R263),INDEX(新属性投放!$K$42:$K$62,卡牌属性!R263))+IF(Q263=1,INDEX(新属性投放!S$20:S$23,卡牌属性!M263-1),INDEX(新属性投放!S$25:S$28,卡牌属性!M263-1)))*INDEX($G$5:$G$42,L263),2)</f>
        <v>1432.35</v>
      </c>
      <c r="W263" s="29" t="s">
        <v>179</v>
      </c>
      <c r="X263" s="14">
        <f>ROUND((IF(Q263=1,INDEX(新属性投放!$L$14:$L$34,卡牌属性!R263),INDEX(新属性投放!$L$42:$L$62,卡牌属性!R263))*INDEX($G$5:$G$42,L263)+IF(Q263=1,INDEX(新属性投放!T$20:T$23,卡牌属性!M263-1),INDEX(新属性投放!T$25:T$28,卡牌属性!M263-1)))*SQRT(INDEX($I$5:$I$42,L263)),2)</f>
        <v>9022.1</v>
      </c>
      <c r="Y263" s="29" t="s">
        <v>177</v>
      </c>
      <c r="Z263" s="14">
        <f>ROUND(IF(Q263=1,INDEX(新属性投放!$D$14:$D$34,卡牌属性!R263),INDEX(新属性投放!$D$42:$D$62,卡牌属性!R263))*INDEX($G$5:$G$42,L263)/SQRT(INDEX($I$5:$I$42,L263)),2)</f>
        <v>75.19</v>
      </c>
      <c r="AA263" s="29" t="s">
        <v>178</v>
      </c>
      <c r="AB263" s="14">
        <f>ROUND(IF(Q263=1,INDEX(新属性投放!$E$14:$E$34,卡牌属性!R263),INDEX(新属性投放!$E$42:$E$62,卡牌属性!R263))*INDEX($G$5:$G$42,L263),2)</f>
        <v>37.6</v>
      </c>
      <c r="AC263" s="29" t="s">
        <v>179</v>
      </c>
      <c r="AD263" s="14">
        <f>ROUND(IF(Q263=1,INDEX(新属性投放!$F$14:$F$34,卡牌属性!R263),INDEX(新属性投放!$F$42:$F$62,卡牌属性!R263))*INDEX($G$5:$G$42,L263)*SQRT(INDEX($I$5:$I$42,L263)),2)</f>
        <v>225.57</v>
      </c>
      <c r="AF263" s="14">
        <f t="shared" si="121"/>
        <v>751</v>
      </c>
      <c r="AG263" s="14">
        <f t="shared" si="122"/>
        <v>376</v>
      </c>
      <c r="AH263" s="14">
        <f t="shared" si="123"/>
        <v>2255</v>
      </c>
      <c r="AJ263" s="14">
        <f t="shared" si="112"/>
        <v>3055</v>
      </c>
      <c r="AK263" s="14">
        <f t="shared" si="113"/>
        <v>1527</v>
      </c>
      <c r="AL263" s="14">
        <f t="shared" si="114"/>
        <v>9175</v>
      </c>
    </row>
    <row r="264" spans="11:38" ht="16.5" x14ac:dyDescent="0.2">
      <c r="K264" s="13">
        <v>261</v>
      </c>
      <c r="L264" s="13">
        <f t="shared" si="115"/>
        <v>13</v>
      </c>
      <c r="M264" s="13">
        <f t="shared" si="116"/>
        <v>2</v>
      </c>
      <c r="N264" s="14">
        <f t="shared" si="117"/>
        <v>1101013</v>
      </c>
      <c r="O264" s="14" t="str">
        <f t="shared" si="118"/>
        <v>吉拉9突</v>
      </c>
      <c r="P264" s="29" t="s">
        <v>470</v>
      </c>
      <c r="Q264" s="14">
        <f t="shared" si="119"/>
        <v>1</v>
      </c>
      <c r="R264" s="14">
        <f t="shared" si="120"/>
        <v>9</v>
      </c>
      <c r="S264" s="14" t="s">
        <v>39</v>
      </c>
      <c r="T264" s="14">
        <f>ROUND(((IF(Q264=1,INDEX(新属性投放!$J$14:$J$34,卡牌属性!R264),INDEX(新属性投放!$J$42:$J$62,卡牌属性!R264)))*INDEX($G$5:$G$42,L264)+IF(Q264=1,INDEX(新属性投放!R$20:R$23,卡牌属性!M264-1),INDEX(新属性投放!R$25:R$28,卡牌属性!M264-1)))/SQRT(INDEX($I$5:$I$42,L264)),2)</f>
        <v>3880.6</v>
      </c>
      <c r="U264" s="29" t="s">
        <v>178</v>
      </c>
      <c r="V264" s="14">
        <f>ROUND((IF(Q264=1,INDEX(新属性投放!$K$14:$K$34,卡牌属性!R264),INDEX(新属性投放!$K$42:$K$62,卡牌属性!R264))+IF(Q264=1,INDEX(新属性投放!S$20:S$23,卡牌属性!M264-1),INDEX(新属性投放!S$25:S$28,卡牌属性!M264-1)))*INDEX($G$5:$G$42,L264),2)</f>
        <v>1902.3</v>
      </c>
      <c r="W264" s="29" t="s">
        <v>179</v>
      </c>
      <c r="X264" s="14">
        <f>ROUND((IF(Q264=1,INDEX(新属性投放!$L$14:$L$34,卡牌属性!R264),INDEX(新属性投放!$L$42:$L$62,卡牌属性!R264))*INDEX($G$5:$G$42,L264)+IF(Q264=1,INDEX(新属性投放!T$20:T$23,卡牌属性!M264-1),INDEX(新属性投放!T$25:T$28,卡牌属性!M264-1)))*SQRT(INDEX($I$5:$I$42,L264)),2)</f>
        <v>11841.8</v>
      </c>
      <c r="Y264" s="29" t="s">
        <v>177</v>
      </c>
      <c r="Z264" s="14">
        <f>ROUND(IF(Q264=1,INDEX(新属性投放!$D$14:$D$34,卡牌属性!R264),INDEX(新属性投放!$D$42:$D$62,卡牌属性!R264))*INDEX($G$5:$G$42,L264)/SQRT(INDEX($I$5:$I$42,L264)),2)</f>
        <v>97.79</v>
      </c>
      <c r="AA264" s="29" t="s">
        <v>178</v>
      </c>
      <c r="AB264" s="14">
        <f>ROUND(IF(Q264=1,INDEX(新属性投放!$E$14:$E$34,卡牌属性!R264),INDEX(新属性投放!$E$42:$E$62,卡牌属性!R264))*INDEX($G$5:$G$42,L264),2)</f>
        <v>48.9</v>
      </c>
      <c r="AC264" s="29" t="s">
        <v>179</v>
      </c>
      <c r="AD264" s="14">
        <f>ROUND(IF(Q264=1,INDEX(新属性投放!$F$14:$F$34,卡牌属性!R264),INDEX(新属性投放!$F$42:$F$62,卡牌属性!R264))*INDEX($G$5:$G$42,L264)*SQRT(INDEX($I$5:$I$42,L264)),2)</f>
        <v>293.37</v>
      </c>
      <c r="AF264" s="14">
        <f t="shared" si="121"/>
        <v>977</v>
      </c>
      <c r="AG264" s="14">
        <f t="shared" si="122"/>
        <v>489</v>
      </c>
      <c r="AH264" s="14">
        <f t="shared" si="123"/>
        <v>2933</v>
      </c>
      <c r="AJ264" s="14">
        <f t="shared" si="112"/>
        <v>4032</v>
      </c>
      <c r="AK264" s="14">
        <f t="shared" si="113"/>
        <v>2016</v>
      </c>
      <c r="AL264" s="14">
        <f t="shared" si="114"/>
        <v>12108</v>
      </c>
    </row>
    <row r="265" spans="11:38" ht="16.5" x14ac:dyDescent="0.2">
      <c r="K265" s="13">
        <v>262</v>
      </c>
      <c r="L265" s="13">
        <f t="shared" si="115"/>
        <v>13</v>
      </c>
      <c r="M265" s="13">
        <f t="shared" si="116"/>
        <v>2</v>
      </c>
      <c r="N265" s="14">
        <f t="shared" si="117"/>
        <v>1101013</v>
      </c>
      <c r="O265" s="14" t="str">
        <f t="shared" si="118"/>
        <v>吉拉10突</v>
      </c>
      <c r="P265" s="29" t="s">
        <v>470</v>
      </c>
      <c r="Q265" s="14">
        <f t="shared" si="119"/>
        <v>1</v>
      </c>
      <c r="R265" s="14">
        <f t="shared" si="120"/>
        <v>10</v>
      </c>
      <c r="S265" s="14" t="s">
        <v>39</v>
      </c>
      <c r="T265" s="14">
        <f>ROUND(((IF(Q265=1,INDEX(新属性投放!$J$14:$J$34,卡牌属性!R265),INDEX(新属性投放!$J$42:$J$62,卡牌属性!R265)))*INDEX($G$5:$G$42,L265)+IF(Q265=1,INDEX(新属性投放!R$20:R$23,卡牌属性!M265-1),INDEX(新属性投放!R$25:R$28,卡牌属性!M265-1)))/SQRT(INDEX($I$5:$I$42,L265)),2)</f>
        <v>4491.55</v>
      </c>
      <c r="U265" s="29" t="s">
        <v>178</v>
      </c>
      <c r="V265" s="14">
        <f>ROUND((IF(Q265=1,INDEX(新属性投放!$K$14:$K$34,卡牌属性!R265),INDEX(新属性投放!$K$42:$K$62,卡牌属性!R265))+IF(Q265=1,INDEX(新属性投放!S$20:S$23,卡牌属性!M265-1),INDEX(新属性投放!S$25:S$28,卡牌属性!M265-1)))*INDEX($G$5:$G$42,L265),2)</f>
        <v>2207.7800000000002</v>
      </c>
      <c r="W265" s="29" t="s">
        <v>179</v>
      </c>
      <c r="X265" s="14">
        <f>ROUND((IF(Q265=1,INDEX(新属性投放!$L$14:$L$34,卡牌属性!R265),INDEX(新属性投放!$L$42:$L$62,卡牌属性!R265))*INDEX($G$5:$G$42,L265)+IF(Q265=1,INDEX(新属性投放!T$20:T$23,卡牌属性!M265-1),INDEX(新属性投放!T$25:T$28,卡牌属性!M265-1)))*SQRT(INDEX($I$5:$I$42,L265)),2)</f>
        <v>13674.65</v>
      </c>
      <c r="Y265" s="29" t="s">
        <v>177</v>
      </c>
      <c r="Z265" s="14">
        <f>ROUND(IF(Q265=1,INDEX(新属性投放!$D$14:$D$34,卡牌属性!R265),INDEX(新属性投放!$D$42:$D$62,卡牌属性!R265))*INDEX($G$5:$G$42,L265)/SQRT(INDEX($I$5:$I$42,L265)),2)</f>
        <v>112.83</v>
      </c>
      <c r="AA265" s="29" t="s">
        <v>178</v>
      </c>
      <c r="AB265" s="14">
        <f>ROUND(IF(Q265=1,INDEX(新属性投放!$E$14:$E$34,卡牌属性!R265),INDEX(新属性投放!$E$42:$E$62,卡牌属性!R265))*INDEX($G$5:$G$42,L265),2)</f>
        <v>56.42</v>
      </c>
      <c r="AC265" s="29" t="s">
        <v>179</v>
      </c>
      <c r="AD265" s="14">
        <f>ROUND(IF(Q265=1,INDEX(新属性投放!$F$14:$F$34,卡牌属性!R265),INDEX(新属性投放!$F$42:$F$62,卡牌属性!R265))*INDEX($G$5:$G$42,L265)*SQRT(INDEX($I$5:$I$42,L265)),2)</f>
        <v>338.49</v>
      </c>
      <c r="AF265" s="14">
        <f t="shared" si="121"/>
        <v>1128</v>
      </c>
      <c r="AG265" s="14">
        <f t="shared" si="122"/>
        <v>564</v>
      </c>
      <c r="AH265" s="14">
        <f t="shared" si="123"/>
        <v>3384</v>
      </c>
      <c r="AJ265" s="14">
        <f t="shared" si="112"/>
        <v>5160</v>
      </c>
      <c r="AK265" s="14">
        <f t="shared" si="113"/>
        <v>2580</v>
      </c>
      <c r="AL265" s="14">
        <f t="shared" si="114"/>
        <v>15492</v>
      </c>
    </row>
    <row r="266" spans="11:38" ht="16.5" x14ac:dyDescent="0.2">
      <c r="K266" s="13">
        <v>263</v>
      </c>
      <c r="L266" s="13">
        <f t="shared" si="115"/>
        <v>13</v>
      </c>
      <c r="M266" s="13">
        <f t="shared" si="116"/>
        <v>2</v>
      </c>
      <c r="N266" s="14">
        <f t="shared" si="117"/>
        <v>1101013</v>
      </c>
      <c r="O266" s="14" t="str">
        <f t="shared" si="118"/>
        <v>吉拉11突</v>
      </c>
      <c r="P266" s="29" t="s">
        <v>470</v>
      </c>
      <c r="Q266" s="14">
        <f t="shared" si="119"/>
        <v>1</v>
      </c>
      <c r="R266" s="14">
        <f t="shared" si="120"/>
        <v>11</v>
      </c>
      <c r="S266" s="14" t="s">
        <v>39</v>
      </c>
      <c r="T266" s="14">
        <f>ROUND(((IF(Q266=1,INDEX(新属性投放!$J$14:$J$34,卡牌属性!R266),INDEX(新属性投放!$J$42:$J$62,卡牌属性!R266)))*INDEX($G$5:$G$42,L266)+IF(Q266=1,INDEX(新属性投放!R$20:R$23,卡牌属性!M266-1),INDEX(新属性投放!R$25:R$28,卡牌属性!M266-1)))/SQRT(INDEX($I$5:$I$42,L266)),2)</f>
        <v>5196.7</v>
      </c>
      <c r="U266" s="29" t="s">
        <v>178</v>
      </c>
      <c r="V266" s="14">
        <f>ROUND((IF(Q266=1,INDEX(新属性投放!$K$14:$K$34,卡牌属性!R266),INDEX(新属性投放!$K$42:$K$62,卡牌属性!R266))+IF(Q266=1,INDEX(新属性投放!S$20:S$23,卡牌属性!M266-1),INDEX(新属性投放!S$25:S$28,卡牌属性!M266-1)))*INDEX($G$5:$G$42,L266),2)</f>
        <v>2560.85</v>
      </c>
      <c r="W266" s="29" t="s">
        <v>179</v>
      </c>
      <c r="X266" s="14">
        <f>ROUND((IF(Q266=1,INDEX(新属性投放!$L$14:$L$34,卡牌属性!R266),INDEX(新属性投放!$L$42:$L$62,卡牌属性!R266))*INDEX($G$5:$G$42,L266)+IF(Q266=1,INDEX(新属性投放!T$20:T$23,卡牌属性!M266-1),INDEX(新属性投放!T$25:T$28,卡牌属性!M266-1)))*SQRT(INDEX($I$5:$I$42,L266)),2)</f>
        <v>15790.1</v>
      </c>
      <c r="Y266" s="29" t="s">
        <v>177</v>
      </c>
      <c r="Z266" s="14">
        <f>ROUND(IF(Q266=1,INDEX(新属性投放!$D$14:$D$34,卡牌属性!R266),INDEX(新属性投放!$D$42:$D$62,卡牌属性!R266))*INDEX($G$5:$G$42,L266)/SQRT(INDEX($I$5:$I$42,L266)),2)</f>
        <v>131.58000000000001</v>
      </c>
      <c r="AA266" s="29" t="s">
        <v>178</v>
      </c>
      <c r="AB266" s="14">
        <f>ROUND(IF(Q266=1,INDEX(新属性投放!$E$14:$E$34,卡牌属性!R266),INDEX(新属性投放!$E$42:$E$62,卡牌属性!R266))*INDEX($G$5:$G$42,L266),2)</f>
        <v>65.790000000000006</v>
      </c>
      <c r="AC266" s="29" t="s">
        <v>179</v>
      </c>
      <c r="AD266" s="14">
        <f>ROUND(IF(Q266=1,INDEX(新属性投放!$F$14:$F$34,卡牌属性!R266),INDEX(新属性投放!$F$42:$F$62,卡牌属性!R266))*INDEX($G$5:$G$42,L266)*SQRT(INDEX($I$5:$I$42,L266)),2)</f>
        <v>394.74</v>
      </c>
      <c r="AF266" s="14">
        <f t="shared" si="121"/>
        <v>1315</v>
      </c>
      <c r="AG266" s="14">
        <f t="shared" si="122"/>
        <v>657</v>
      </c>
      <c r="AH266" s="14">
        <f t="shared" si="123"/>
        <v>3947</v>
      </c>
      <c r="AJ266" s="14">
        <f t="shared" si="112"/>
        <v>6475</v>
      </c>
      <c r="AK266" s="14">
        <f t="shared" si="113"/>
        <v>3237</v>
      </c>
      <c r="AL266" s="14">
        <f t="shared" si="114"/>
        <v>19439</v>
      </c>
    </row>
    <row r="267" spans="11:38" ht="16.5" x14ac:dyDescent="0.2">
      <c r="K267" s="13">
        <v>264</v>
      </c>
      <c r="L267" s="13">
        <f t="shared" si="115"/>
        <v>13</v>
      </c>
      <c r="M267" s="13">
        <f t="shared" si="116"/>
        <v>2</v>
      </c>
      <c r="N267" s="14">
        <f t="shared" si="117"/>
        <v>1101013</v>
      </c>
      <c r="O267" s="14" t="str">
        <f t="shared" si="118"/>
        <v>吉拉12突</v>
      </c>
      <c r="P267" s="29" t="s">
        <v>470</v>
      </c>
      <c r="Q267" s="14">
        <f t="shared" si="119"/>
        <v>1</v>
      </c>
      <c r="R267" s="14">
        <f t="shared" si="120"/>
        <v>12</v>
      </c>
      <c r="S267" s="14" t="s">
        <v>39</v>
      </c>
      <c r="T267" s="14">
        <f>ROUND(((IF(Q267=1,INDEX(新属性投放!$J$14:$J$34,卡牌属性!R267),INDEX(新属性投放!$J$42:$J$62,卡牌属性!R267)))*INDEX($G$5:$G$42,L267)+IF(Q267=1,INDEX(新属性投放!R$20:R$23,卡牌属性!M267-1),INDEX(新属性投放!R$25:R$28,卡牌属性!M267-1)))/SQRT(INDEX($I$5:$I$42,L267)),2)</f>
        <v>6018.6</v>
      </c>
      <c r="U267" s="29" t="s">
        <v>178</v>
      </c>
      <c r="V267" s="14">
        <f>ROUND((IF(Q267=1,INDEX(新属性投放!$K$14:$K$34,卡牌属性!R267),INDEX(新属性投放!$K$42:$K$62,卡牌属性!R267))+IF(Q267=1,INDEX(新属性投放!S$20:S$23,卡牌属性!M267-1),INDEX(新属性投放!S$25:S$28,卡牌属性!M267-1)))*INDEX($G$5:$G$42,L267),2)</f>
        <v>2971.8</v>
      </c>
      <c r="W267" s="29" t="s">
        <v>179</v>
      </c>
      <c r="X267" s="14">
        <f>ROUND((IF(Q267=1,INDEX(新属性投放!$L$14:$L$34,卡牌属性!R267),INDEX(新属性投放!$L$42:$L$62,卡牌属性!R267))*INDEX($G$5:$G$42,L267)+IF(Q267=1,INDEX(新属性投放!T$20:T$23,卡牌属性!M267-1),INDEX(新属性投放!T$25:T$28,卡牌属性!M267-1)))*SQRT(INDEX($I$5:$I$42,L267)),2)</f>
        <v>18255.8</v>
      </c>
      <c r="Y267" s="29" t="s">
        <v>177</v>
      </c>
      <c r="Z267" s="14">
        <f>ROUND(IF(Q267=1,INDEX(新属性投放!$D$14:$D$34,卡牌属性!R267),INDEX(新属性投放!$D$42:$D$62,卡牌属性!R267))*INDEX($G$5:$G$42,L267)/SQRT(INDEX($I$5:$I$42,L267)),2)</f>
        <v>150.47</v>
      </c>
      <c r="AA267" s="29" t="s">
        <v>178</v>
      </c>
      <c r="AB267" s="14">
        <f>ROUND(IF(Q267=1,INDEX(新属性投放!$E$14:$E$34,卡牌属性!R267),INDEX(新属性投放!$E$42:$E$62,卡牌属性!R267))*INDEX($G$5:$G$42,L267),2)</f>
        <v>75.239999999999995</v>
      </c>
      <c r="AC267" s="29" t="s">
        <v>179</v>
      </c>
      <c r="AD267" s="14">
        <f>ROUND(IF(Q267=1,INDEX(新属性投放!$F$14:$F$34,卡牌属性!R267),INDEX(新属性投放!$F$42:$F$62,卡牌属性!R267))*INDEX($G$5:$G$42,L267)*SQRT(INDEX($I$5:$I$42,L267)),2)</f>
        <v>451.41</v>
      </c>
      <c r="AF267" s="14">
        <f t="shared" si="121"/>
        <v>1504</v>
      </c>
      <c r="AG267" s="14">
        <f t="shared" si="122"/>
        <v>752</v>
      </c>
      <c r="AH267" s="14">
        <f t="shared" si="123"/>
        <v>4514</v>
      </c>
      <c r="AJ267" s="14">
        <f t="shared" si="112"/>
        <v>7979</v>
      </c>
      <c r="AK267" s="14">
        <f t="shared" si="113"/>
        <v>3989</v>
      </c>
      <c r="AL267" s="14">
        <f t="shared" si="114"/>
        <v>23953</v>
      </c>
    </row>
    <row r="268" spans="11:38" ht="16.5" x14ac:dyDescent="0.2">
      <c r="K268" s="13">
        <v>265</v>
      </c>
      <c r="L268" s="13">
        <f t="shared" si="115"/>
        <v>13</v>
      </c>
      <c r="M268" s="13">
        <f t="shared" si="116"/>
        <v>2</v>
      </c>
      <c r="N268" s="14">
        <f t="shared" si="117"/>
        <v>1101013</v>
      </c>
      <c r="O268" s="14" t="str">
        <f t="shared" si="118"/>
        <v>吉拉13突</v>
      </c>
      <c r="P268" s="29" t="s">
        <v>470</v>
      </c>
      <c r="Q268" s="14">
        <f t="shared" si="119"/>
        <v>1</v>
      </c>
      <c r="R268" s="14">
        <f t="shared" si="120"/>
        <v>13</v>
      </c>
      <c r="S268" s="14" t="s">
        <v>39</v>
      </c>
      <c r="T268" s="14">
        <f>ROUND(((IF(Q268=1,INDEX(新属性投放!$J$14:$J$34,卡牌属性!R268),INDEX(新属性投放!$J$42:$J$62,卡牌属性!R268)))*INDEX($G$5:$G$42,L268)+IF(Q268=1,INDEX(新属性投放!R$20:R$23,卡牌属性!M268-1),INDEX(新属性投放!R$25:R$28,卡牌属性!M268-1)))/SQRT(INDEX($I$5:$I$42,L268)),2)</f>
        <v>6958.95</v>
      </c>
      <c r="U268" s="29" t="s">
        <v>178</v>
      </c>
      <c r="V268" s="14">
        <f>ROUND((IF(Q268=1,INDEX(新属性投放!$K$14:$K$34,卡牌属性!R268),INDEX(新属性投放!$K$42:$K$62,卡牌属性!R268))+IF(Q268=1,INDEX(新属性投放!S$20:S$23,卡牌属性!M268-1),INDEX(新属性投放!S$25:S$28,卡牌属性!M268-1)))*INDEX($G$5:$G$42,L268),2)</f>
        <v>3441.98</v>
      </c>
      <c r="W268" s="29" t="s">
        <v>179</v>
      </c>
      <c r="X268" s="14">
        <f>ROUND((IF(Q268=1,INDEX(新属性投放!$L$14:$L$34,卡牌属性!R268),INDEX(新属性投放!$L$42:$L$62,卡牌属性!R268))*INDEX($G$5:$G$42,L268)+IF(Q268=1,INDEX(新属性投放!T$20:T$23,卡牌属性!M268-1),INDEX(新属性投放!T$25:T$28,卡牌属性!M268-1)))*SQRT(INDEX($I$5:$I$42,L268)),2)</f>
        <v>21076.85</v>
      </c>
      <c r="Y268" s="29" t="s">
        <v>177</v>
      </c>
      <c r="Z268" s="14">
        <f>ROUND(IF(Q268=1,INDEX(新属性投放!$D$14:$D$34,卡牌属性!R268),INDEX(新属性投放!$D$42:$D$62,卡牌属性!R268))*INDEX($G$5:$G$42,L268)/SQRT(INDEX($I$5:$I$42,L268)),2)</f>
        <v>173.97</v>
      </c>
      <c r="AA268" s="29" t="s">
        <v>178</v>
      </c>
      <c r="AB268" s="14">
        <f>ROUND(IF(Q268=1,INDEX(新属性投放!$E$14:$E$34,卡牌属性!R268),INDEX(新属性投放!$E$42:$E$62,卡牌属性!R268))*INDEX($G$5:$G$42,L268),2)</f>
        <v>86.99</v>
      </c>
      <c r="AC268" s="29" t="s">
        <v>179</v>
      </c>
      <c r="AD268" s="14">
        <f>ROUND(IF(Q268=1,INDEX(新属性投放!$F$14:$F$34,卡牌属性!R268),INDEX(新属性投放!$F$42:$F$62,卡牌属性!R268))*INDEX($G$5:$G$42,L268)*SQRT(INDEX($I$5:$I$42,L268)),2)</f>
        <v>521.91</v>
      </c>
      <c r="AF268" s="14">
        <f t="shared" si="121"/>
        <v>1739</v>
      </c>
      <c r="AG268" s="14">
        <f t="shared" si="122"/>
        <v>869</v>
      </c>
      <c r="AH268" s="14">
        <f t="shared" si="123"/>
        <v>5219</v>
      </c>
      <c r="AJ268" s="14">
        <f t="shared" si="112"/>
        <v>9718</v>
      </c>
      <c r="AK268" s="14">
        <f t="shared" si="113"/>
        <v>4858</v>
      </c>
      <c r="AL268" s="14">
        <f t="shared" si="114"/>
        <v>29172</v>
      </c>
    </row>
    <row r="269" spans="11:38" ht="16.5" x14ac:dyDescent="0.2">
      <c r="K269" s="13">
        <v>266</v>
      </c>
      <c r="L269" s="13">
        <f t="shared" si="115"/>
        <v>13</v>
      </c>
      <c r="M269" s="13">
        <f t="shared" si="116"/>
        <v>2</v>
      </c>
      <c r="N269" s="14">
        <f t="shared" si="117"/>
        <v>1101013</v>
      </c>
      <c r="O269" s="14" t="str">
        <f t="shared" si="118"/>
        <v>吉拉14突</v>
      </c>
      <c r="P269" s="29" t="s">
        <v>470</v>
      </c>
      <c r="Q269" s="14">
        <f t="shared" si="119"/>
        <v>1</v>
      </c>
      <c r="R269" s="14">
        <f t="shared" si="120"/>
        <v>14</v>
      </c>
      <c r="S269" s="14" t="s">
        <v>39</v>
      </c>
      <c r="T269" s="14">
        <f>ROUND(((IF(Q269=1,INDEX(新属性投放!$J$14:$J$34,卡牌属性!R269),INDEX(新属性投放!$J$42:$J$62,卡牌属性!R269)))*INDEX($G$5:$G$42,L269)+IF(Q269=1,INDEX(新属性投放!R$20:R$23,卡牌属性!M269-1),INDEX(新属性投放!R$25:R$28,卡牌属性!M269-1)))/SQRT(INDEX($I$5:$I$42,L269)),2)</f>
        <v>8045.8</v>
      </c>
      <c r="U269" s="29" t="s">
        <v>178</v>
      </c>
      <c r="V269" s="14">
        <f>ROUND((IF(Q269=1,INDEX(新属性投放!$K$14:$K$34,卡牌属性!R269),INDEX(新属性投放!$K$42:$K$62,卡牌属性!R269))+IF(Q269=1,INDEX(新属性投放!S$20:S$23,卡牌属性!M269-1),INDEX(新属性投放!S$25:S$28,卡牌属性!M269-1)))*INDEX($G$5:$G$42,L269),2)</f>
        <v>3985.9</v>
      </c>
      <c r="W269" s="29" t="s">
        <v>179</v>
      </c>
      <c r="X269" s="14">
        <f>ROUND((IF(Q269=1,INDEX(新属性投放!$L$14:$L$34,卡牌属性!R269),INDEX(新属性投放!$L$42:$L$62,卡牌属性!R269))*INDEX($G$5:$G$42,L269)+IF(Q269=1,INDEX(新属性投放!T$20:T$23,卡牌属性!M269-1),INDEX(新属性投放!T$25:T$28,卡牌属性!M269-1)))*SQRT(INDEX($I$5:$I$42,L269)),2)</f>
        <v>24337.4</v>
      </c>
      <c r="Y269" s="29" t="s">
        <v>177</v>
      </c>
      <c r="Z269" s="14">
        <f>ROUND(IF(Q269=1,INDEX(新属性投放!$D$14:$D$34,卡牌属性!R269),INDEX(新属性投放!$D$42:$D$62,卡牌属性!R269))*INDEX($G$5:$G$42,L269)/SQRT(INDEX($I$5:$I$42,L269)),2)</f>
        <v>201.15</v>
      </c>
      <c r="AA269" s="29" t="s">
        <v>178</v>
      </c>
      <c r="AB269" s="14">
        <f>ROUND(IF(Q269=1,INDEX(新属性投放!$E$14:$E$34,卡牌属性!R269),INDEX(新属性投放!$E$42:$E$62,卡牌属性!R269))*INDEX($G$5:$G$42,L269),2)</f>
        <v>100.58</v>
      </c>
      <c r="AC269" s="29" t="s">
        <v>179</v>
      </c>
      <c r="AD269" s="14">
        <f>ROUND(IF(Q269=1,INDEX(新属性投放!$F$14:$F$34,卡牌属性!R269),INDEX(新属性投放!$F$42:$F$62,卡牌属性!R269))*INDEX($G$5:$G$42,L269)*SQRT(INDEX($I$5:$I$42,L269)),2)</f>
        <v>603.45000000000005</v>
      </c>
      <c r="AF269" s="14">
        <f t="shared" si="121"/>
        <v>2011</v>
      </c>
      <c r="AG269" s="14">
        <f t="shared" si="122"/>
        <v>1005</v>
      </c>
      <c r="AH269" s="14">
        <f t="shared" si="123"/>
        <v>6034</v>
      </c>
      <c r="AJ269" s="14">
        <f t="shared" si="112"/>
        <v>11729</v>
      </c>
      <c r="AK269" s="14">
        <f t="shared" si="113"/>
        <v>5863</v>
      </c>
      <c r="AL269" s="14">
        <f t="shared" si="114"/>
        <v>35206</v>
      </c>
    </row>
    <row r="270" spans="11:38" ht="16.5" x14ac:dyDescent="0.2">
      <c r="K270" s="13">
        <v>267</v>
      </c>
      <c r="L270" s="13">
        <f t="shared" si="115"/>
        <v>13</v>
      </c>
      <c r="M270" s="13">
        <f t="shared" si="116"/>
        <v>2</v>
      </c>
      <c r="N270" s="14">
        <f t="shared" si="117"/>
        <v>1101013</v>
      </c>
      <c r="O270" s="14" t="str">
        <f t="shared" si="118"/>
        <v>吉拉15突</v>
      </c>
      <c r="P270" s="29" t="s">
        <v>470</v>
      </c>
      <c r="Q270" s="14">
        <f t="shared" si="119"/>
        <v>1</v>
      </c>
      <c r="R270" s="14">
        <f t="shared" si="120"/>
        <v>15</v>
      </c>
      <c r="S270" s="14" t="s">
        <v>39</v>
      </c>
      <c r="T270" s="14">
        <f>ROUND(((IF(Q270=1,INDEX(新属性投放!$J$14:$J$34,卡牌属性!R270),INDEX(新属性投放!$J$42:$J$62,卡牌属性!R270)))*INDEX($G$5:$G$42,L270)+IF(Q270=1,INDEX(新属性投放!R$20:R$23,卡牌属性!M270-1),INDEX(新属性投放!R$25:R$28,卡牌属性!M270-1)))/SQRT(INDEX($I$5:$I$42,L270)),2)</f>
        <v>9302.5499999999993</v>
      </c>
      <c r="U270" s="29" t="s">
        <v>178</v>
      </c>
      <c r="V270" s="14">
        <f>ROUND((IF(Q270=1,INDEX(新属性投放!$K$14:$K$34,卡牌属性!R270),INDEX(新属性投放!$K$42:$K$62,卡牌属性!R270))+IF(Q270=1,INDEX(新属性投放!S$20:S$23,卡牌属性!M270-1),INDEX(新属性投放!S$25:S$28,卡牌属性!M270-1)))*INDEX($G$5:$G$42,L270),2)</f>
        <v>4614.78</v>
      </c>
      <c r="W270" s="29" t="s">
        <v>179</v>
      </c>
      <c r="X270" s="14">
        <f>ROUND((IF(Q270=1,INDEX(新属性投放!$L$14:$L$34,卡牌属性!R270),INDEX(新属性投放!$L$42:$L$62,卡牌属性!R270))*INDEX($G$5:$G$42,L270)+IF(Q270=1,INDEX(新属性投放!T$20:T$23,卡牌属性!M270-1),INDEX(新属性投放!T$25:T$28,卡牌属性!M270-1)))*SQRT(INDEX($I$5:$I$42,L270)),2)</f>
        <v>28107.65</v>
      </c>
      <c r="Y270" s="29" t="s">
        <v>177</v>
      </c>
      <c r="Z270" s="14">
        <f>ROUND(IF(Q270=1,INDEX(新属性投放!$D$14:$D$34,卡牌属性!R270),INDEX(新属性投放!$D$42:$D$62,卡牌属性!R270))*INDEX($G$5:$G$42,L270)/SQRT(INDEX($I$5:$I$42,L270)),2)</f>
        <v>232.56</v>
      </c>
      <c r="AA270" s="29" t="s">
        <v>178</v>
      </c>
      <c r="AB270" s="14">
        <f>ROUND(IF(Q270=1,INDEX(新属性投放!$E$14:$E$34,卡牌属性!R270),INDEX(新属性投放!$E$42:$E$62,卡牌属性!R270))*INDEX($G$5:$G$42,L270),2)</f>
        <v>116.28</v>
      </c>
      <c r="AC270" s="29" t="s">
        <v>179</v>
      </c>
      <c r="AD270" s="14">
        <f>ROUND(IF(Q270=1,INDEX(新属性投放!$F$14:$F$34,卡牌属性!R270),INDEX(新属性投放!$F$42:$F$62,卡牌属性!R270))*INDEX($G$5:$G$42,L270)*SQRT(INDEX($I$5:$I$42,L270)),2)</f>
        <v>697.68</v>
      </c>
      <c r="AF270" s="14">
        <f t="shared" si="121"/>
        <v>2325</v>
      </c>
      <c r="AG270" s="14">
        <f t="shared" si="122"/>
        <v>1162</v>
      </c>
      <c r="AH270" s="14">
        <f t="shared" si="123"/>
        <v>6976</v>
      </c>
      <c r="AJ270" s="14">
        <f t="shared" si="112"/>
        <v>14054</v>
      </c>
      <c r="AK270" s="14">
        <f t="shared" si="113"/>
        <v>7025</v>
      </c>
      <c r="AL270" s="14">
        <f t="shared" si="114"/>
        <v>42182</v>
      </c>
    </row>
    <row r="271" spans="11:38" ht="16.5" x14ac:dyDescent="0.2">
      <c r="K271" s="13">
        <v>268</v>
      </c>
      <c r="L271" s="13">
        <f t="shared" si="115"/>
        <v>13</v>
      </c>
      <c r="M271" s="13">
        <f t="shared" si="116"/>
        <v>2</v>
      </c>
      <c r="N271" s="14">
        <f t="shared" si="117"/>
        <v>1101013</v>
      </c>
      <c r="O271" s="14" t="str">
        <f t="shared" si="118"/>
        <v>吉拉16突</v>
      </c>
      <c r="P271" s="29" t="s">
        <v>470</v>
      </c>
      <c r="Q271" s="14">
        <f t="shared" si="119"/>
        <v>1</v>
      </c>
      <c r="R271" s="14">
        <f t="shared" si="120"/>
        <v>16</v>
      </c>
      <c r="S271" s="14" t="s">
        <v>39</v>
      </c>
      <c r="T271" s="14">
        <f>ROUND(((IF(Q271=1,INDEX(新属性投放!$J$14:$J$34,卡牌属性!R271),INDEX(新属性投放!$J$42:$J$62,卡牌属性!R271)))*INDEX($G$5:$G$42,L271)+IF(Q271=1,INDEX(新属性投放!R$20:R$23,卡牌属性!M271-1),INDEX(新属性投放!R$25:R$28,卡牌属性!M271-1)))/SQRT(INDEX($I$5:$I$42,L271)),2)</f>
        <v>10756.35</v>
      </c>
      <c r="U271" s="29" t="s">
        <v>178</v>
      </c>
      <c r="V271" s="14">
        <f>ROUND((IF(Q271=1,INDEX(新属性投放!$K$14:$K$34,卡牌属性!R271),INDEX(新属性投放!$K$42:$K$62,卡牌属性!R271))+IF(Q271=1,INDEX(新属性投放!S$20:S$23,卡牌属性!M271-1),INDEX(新属性投放!S$25:S$28,卡牌属性!M271-1)))*INDEX($G$5:$G$42,L271),2)</f>
        <v>5341.18</v>
      </c>
      <c r="W271" s="29" t="s">
        <v>179</v>
      </c>
      <c r="X271" s="14">
        <f>ROUND((IF(Q271=1,INDEX(新属性投放!$L$14:$L$34,卡牌属性!R271),INDEX(新属性投放!$L$42:$L$62,卡牌属性!R271))*INDEX($G$5:$G$42,L271)+IF(Q271=1,INDEX(新属性投放!T$20:T$23,卡牌属性!M271-1),INDEX(新属性投放!T$25:T$28,卡牌属性!M271-1)))*SQRT(INDEX($I$5:$I$42,L271)),2)</f>
        <v>32469.05</v>
      </c>
      <c r="Y271" s="29" t="s">
        <v>177</v>
      </c>
      <c r="Z271" s="14">
        <f>ROUND(IF(Q271=1,INDEX(新属性投放!$D$14:$D$34,卡牌属性!R271),INDEX(新属性投放!$D$42:$D$62,卡牌属性!R271))*INDEX($G$5:$G$42,L271)/SQRT(INDEX($I$5:$I$42,L271)),2)</f>
        <v>268.91000000000003</v>
      </c>
      <c r="AA271" s="29" t="s">
        <v>178</v>
      </c>
      <c r="AB271" s="14">
        <f>ROUND(IF(Q271=1,INDEX(新属性投放!$E$14:$E$34,卡牌属性!R271),INDEX(新属性投放!$E$42:$E$62,卡牌属性!R271))*INDEX($G$5:$G$42,L271),2)</f>
        <v>134.46</v>
      </c>
      <c r="AC271" s="29" t="s">
        <v>179</v>
      </c>
      <c r="AD271" s="14">
        <f>ROUND(IF(Q271=1,INDEX(新属性投放!$F$14:$F$34,卡牌属性!R271),INDEX(新属性投放!$F$42:$F$62,卡牌属性!R271))*INDEX($G$5:$G$42,L271)*SQRT(INDEX($I$5:$I$42,L271)),2)</f>
        <v>806.73</v>
      </c>
      <c r="AF271" s="14">
        <f t="shared" si="121"/>
        <v>2689</v>
      </c>
      <c r="AG271" s="14">
        <f t="shared" si="122"/>
        <v>1344</v>
      </c>
      <c r="AH271" s="14">
        <f t="shared" si="123"/>
        <v>8067</v>
      </c>
      <c r="AJ271" s="14">
        <f t="shared" si="112"/>
        <v>16743</v>
      </c>
      <c r="AK271" s="14">
        <f t="shared" si="113"/>
        <v>8369</v>
      </c>
      <c r="AL271" s="14">
        <f t="shared" si="114"/>
        <v>50249</v>
      </c>
    </row>
    <row r="272" spans="11:38" ht="16.5" x14ac:dyDescent="0.2">
      <c r="K272" s="13">
        <v>269</v>
      </c>
      <c r="L272" s="13">
        <f t="shared" si="115"/>
        <v>13</v>
      </c>
      <c r="M272" s="13">
        <f t="shared" si="116"/>
        <v>2</v>
      </c>
      <c r="N272" s="14">
        <f t="shared" si="117"/>
        <v>1101013</v>
      </c>
      <c r="O272" s="14" t="str">
        <f t="shared" si="118"/>
        <v>吉拉17突</v>
      </c>
      <c r="P272" s="29" t="s">
        <v>470</v>
      </c>
      <c r="Q272" s="14">
        <f t="shared" si="119"/>
        <v>1</v>
      </c>
      <c r="R272" s="14">
        <f t="shared" si="120"/>
        <v>17</v>
      </c>
      <c r="S272" s="14" t="s">
        <v>39</v>
      </c>
      <c r="T272" s="14">
        <f>ROUND(((IF(Q272=1,INDEX(新属性投放!$J$14:$J$34,卡牌属性!R272),INDEX(新属性投放!$J$42:$J$62,卡牌属性!R272)))*INDEX($G$5:$G$42,L272)+IF(Q272=1,INDEX(新属性投放!R$20:R$23,卡牌属性!M272-1),INDEX(新属性投放!R$25:R$28,卡牌属性!M272-1)))/SQRT(INDEX($I$5:$I$42,L272)),2)</f>
        <v>12436.9</v>
      </c>
      <c r="U272" s="29" t="s">
        <v>178</v>
      </c>
      <c r="V272" s="14">
        <f>ROUND((IF(Q272=1,INDEX(新属性投放!$K$14:$K$34,卡牌属性!R272),INDEX(新属性投放!$K$42:$K$62,卡牌属性!R272))+IF(Q272=1,INDEX(新属性投放!S$20:S$23,卡牌属性!M272-1),INDEX(新属性投放!S$25:S$28,卡牌属性!M272-1)))*INDEX($G$5:$G$42,L272),2)</f>
        <v>6181.45</v>
      </c>
      <c r="W272" s="29" t="s">
        <v>179</v>
      </c>
      <c r="X272" s="14">
        <f>ROUND((IF(Q272=1,INDEX(新属性投放!$L$14:$L$34,卡牌属性!R272),INDEX(新属性投放!$L$42:$L$62,卡牌属性!R272))*INDEX($G$5:$G$42,L272)+IF(Q272=1,INDEX(新属性投放!T$20:T$23,卡牌属性!M272-1),INDEX(新属性投放!T$25:T$28,卡牌属性!M272-1)))*SQRT(INDEX($I$5:$I$42,L272)),2)</f>
        <v>37510.699999999997</v>
      </c>
      <c r="Y272" s="29" t="s">
        <v>177</v>
      </c>
      <c r="Z272" s="14">
        <f>ROUND(IF(Q272=1,INDEX(新属性投放!$D$14:$D$34,卡牌属性!R272),INDEX(新属性投放!$D$42:$D$62,卡牌属性!R272))*INDEX($G$5:$G$42,L272)/SQRT(INDEX($I$5:$I$42,L272)),2)</f>
        <v>310.92</v>
      </c>
      <c r="AA272" s="29" t="s">
        <v>178</v>
      </c>
      <c r="AB272" s="14">
        <f>ROUND(IF(Q272=1,INDEX(新属性投放!$E$14:$E$34,卡牌属性!R272),INDEX(新属性投放!$E$42:$E$62,卡牌属性!R272))*INDEX($G$5:$G$42,L272),2)</f>
        <v>155.46</v>
      </c>
      <c r="AC272" s="29" t="s">
        <v>179</v>
      </c>
      <c r="AD272" s="14">
        <f>ROUND(IF(Q272=1,INDEX(新属性投放!$F$14:$F$34,卡牌属性!R272),INDEX(新属性投放!$F$42:$F$62,卡牌属性!R272))*INDEX($G$5:$G$42,L272)*SQRT(INDEX($I$5:$I$42,L272)),2)</f>
        <v>932.76</v>
      </c>
      <c r="AF272" s="14">
        <f t="shared" si="121"/>
        <v>3109</v>
      </c>
      <c r="AG272" s="14">
        <f t="shared" si="122"/>
        <v>1554</v>
      </c>
      <c r="AH272" s="14">
        <f t="shared" si="123"/>
        <v>9327</v>
      </c>
      <c r="AJ272" s="14">
        <f t="shared" si="112"/>
        <v>19852</v>
      </c>
      <c r="AK272" s="14">
        <f t="shared" si="113"/>
        <v>9923</v>
      </c>
      <c r="AL272" s="14">
        <f t="shared" si="114"/>
        <v>59576</v>
      </c>
    </row>
    <row r="273" spans="11:38" ht="16.5" x14ac:dyDescent="0.2">
      <c r="K273" s="13">
        <v>270</v>
      </c>
      <c r="L273" s="13">
        <f t="shared" si="115"/>
        <v>13</v>
      </c>
      <c r="M273" s="13">
        <f t="shared" si="116"/>
        <v>2</v>
      </c>
      <c r="N273" s="14">
        <f t="shared" si="117"/>
        <v>1101013</v>
      </c>
      <c r="O273" s="14" t="str">
        <f t="shared" si="118"/>
        <v>吉拉18突</v>
      </c>
      <c r="P273" s="29" t="s">
        <v>470</v>
      </c>
      <c r="Q273" s="14">
        <f t="shared" si="119"/>
        <v>1</v>
      </c>
      <c r="R273" s="14">
        <f t="shared" si="120"/>
        <v>18</v>
      </c>
      <c r="S273" s="14" t="s">
        <v>39</v>
      </c>
      <c r="T273" s="14">
        <f>ROUND(((IF(Q273=1,INDEX(新属性投放!$J$14:$J$34,卡牌属性!R273),INDEX(新属性投放!$J$42:$J$62,卡牌属性!R273)))*INDEX($G$5:$G$42,L273)+IF(Q273=1,INDEX(新属性投放!R$20:R$23,卡牌属性!M273-1),INDEX(新属性投放!R$25:R$28,卡牌属性!M273-1)))/SQRT(INDEX($I$5:$I$42,L273)),2)</f>
        <v>14380.5</v>
      </c>
      <c r="U273" s="29" t="s">
        <v>178</v>
      </c>
      <c r="V273" s="14">
        <f>ROUND((IF(Q273=1,INDEX(新属性投放!$K$14:$K$34,卡牌属性!R273),INDEX(新属性投放!$K$42:$K$62,卡牌属性!R273))+IF(Q273=1,INDEX(新属性投放!S$20:S$23,卡牌属性!M273-1),INDEX(新属性投放!S$25:S$28,卡牌属性!M273-1)))*INDEX($G$5:$G$42,L273),2)</f>
        <v>7152.75</v>
      </c>
      <c r="W273" s="29" t="s">
        <v>179</v>
      </c>
      <c r="X273" s="14">
        <f>ROUND((IF(Q273=1,INDEX(新属性投放!$L$14:$L$34,卡牌属性!R273),INDEX(新属性投放!$L$42:$L$62,卡牌属性!R273))*INDEX($G$5:$G$42,L273)+IF(Q273=1,INDEX(新属性投放!T$20:T$23,卡牌属性!M273-1),INDEX(新属性投放!T$25:T$28,卡牌属性!M273-1)))*SQRT(INDEX($I$5:$I$42,L273)),2)</f>
        <v>43341.5</v>
      </c>
      <c r="Y273" s="29" t="s">
        <v>177</v>
      </c>
      <c r="Z273" s="14">
        <f>ROUND(IF(Q273=1,INDEX(新属性投放!$D$14:$D$34,卡牌属性!R273),INDEX(新属性投放!$D$42:$D$62,卡牌属性!R273))*INDEX($G$5:$G$42,L273)/SQRT(INDEX($I$5:$I$42,L273)),2)</f>
        <v>359.51</v>
      </c>
      <c r="AA273" s="29" t="s">
        <v>178</v>
      </c>
      <c r="AB273" s="14">
        <f>ROUND(IF(Q273=1,INDEX(新属性投放!$E$14:$E$34,卡牌属性!R273),INDEX(新属性投放!$E$42:$E$62,卡牌属性!R273))*INDEX($G$5:$G$42,L273),2)</f>
        <v>179.76</v>
      </c>
      <c r="AC273" s="29" t="s">
        <v>179</v>
      </c>
      <c r="AD273" s="14">
        <f>ROUND(IF(Q273=1,INDEX(新属性投放!$F$14:$F$34,卡牌属性!R273),INDEX(新属性投放!$F$42:$F$62,卡牌属性!R273))*INDEX($G$5:$G$42,L273)*SQRT(INDEX($I$5:$I$42,L273)),2)</f>
        <v>1078.53</v>
      </c>
      <c r="AF273" s="14">
        <f t="shared" si="121"/>
        <v>3595</v>
      </c>
      <c r="AG273" s="14">
        <f t="shared" si="122"/>
        <v>1797</v>
      </c>
      <c r="AH273" s="14">
        <f t="shared" si="123"/>
        <v>10785</v>
      </c>
      <c r="AJ273" s="14">
        <f t="shared" si="112"/>
        <v>23447</v>
      </c>
      <c r="AK273" s="14">
        <f t="shared" si="113"/>
        <v>11720</v>
      </c>
      <c r="AL273" s="14">
        <f t="shared" si="114"/>
        <v>70361</v>
      </c>
    </row>
    <row r="274" spans="11:38" ht="16.5" x14ac:dyDescent="0.2">
      <c r="K274" s="13">
        <v>271</v>
      </c>
      <c r="L274" s="13">
        <f t="shared" si="115"/>
        <v>13</v>
      </c>
      <c r="M274" s="13">
        <f t="shared" si="116"/>
        <v>2</v>
      </c>
      <c r="N274" s="14">
        <f t="shared" si="117"/>
        <v>1101013</v>
      </c>
      <c r="O274" s="14" t="str">
        <f t="shared" si="118"/>
        <v>吉拉19突</v>
      </c>
      <c r="P274" s="29" t="s">
        <v>470</v>
      </c>
      <c r="Q274" s="14">
        <f t="shared" si="119"/>
        <v>1</v>
      </c>
      <c r="R274" s="14">
        <f t="shared" si="120"/>
        <v>19</v>
      </c>
      <c r="S274" s="14" t="s">
        <v>39</v>
      </c>
      <c r="T274" s="14">
        <f>ROUND(((IF(Q274=1,INDEX(新属性投放!$J$14:$J$34,卡牌属性!R274),INDEX(新属性投放!$J$42:$J$62,卡牌属性!R274)))*INDEX($G$5:$G$42,L274)+IF(Q274=1,INDEX(新属性投放!R$20:R$23,卡牌属性!M274-1),INDEX(新属性投放!R$25:R$28,卡牌属性!M274-1)))/SQRT(INDEX($I$5:$I$42,L274)),2)</f>
        <v>16627.05</v>
      </c>
      <c r="U274" s="29" t="s">
        <v>178</v>
      </c>
      <c r="V274" s="14">
        <f>ROUND((IF(Q274=1,INDEX(新属性投放!$K$14:$K$34,卡牌属性!R274),INDEX(新属性投放!$K$42:$K$62,卡牌属性!R274))+IF(Q274=1,INDEX(新属性投放!S$20:S$23,卡牌属性!M274-1),INDEX(新属性投放!S$25:S$28,卡牌属性!M274-1)))*INDEX($G$5:$G$42,L274),2)</f>
        <v>8276.5300000000007</v>
      </c>
      <c r="W274" s="29" t="s">
        <v>179</v>
      </c>
      <c r="X274" s="14">
        <f>ROUND((IF(Q274=1,INDEX(新属性投放!$L$14:$L$34,卡牌属性!R274),INDEX(新属性投放!$L$42:$L$62,卡牌属性!R274))*INDEX($G$5:$G$42,L274)+IF(Q274=1,INDEX(新属性投放!T$20:T$23,卡牌属性!M274-1),INDEX(新属性投放!T$25:T$28,卡牌属性!M274-1)))*SQRT(INDEX($I$5:$I$42,L274)),2)</f>
        <v>50081.15</v>
      </c>
      <c r="Y274" s="29" t="s">
        <v>177</v>
      </c>
      <c r="Z274" s="14">
        <f>ROUND(IF(Q274=1,INDEX(新属性投放!$D$14:$D$34,卡牌属性!R274),INDEX(新属性投放!$D$42:$D$62,卡牌属性!R274))*INDEX($G$5:$G$42,L274)/SQRT(INDEX($I$5:$I$42,L274)),2)</f>
        <v>415.68</v>
      </c>
      <c r="AA274" s="29" t="s">
        <v>178</v>
      </c>
      <c r="AB274" s="14">
        <f>ROUND(IF(Q274=1,INDEX(新属性投放!$E$14:$E$34,卡牌属性!R274),INDEX(新属性投放!$E$42:$E$62,卡牌属性!R274))*INDEX($G$5:$G$42,L274),2)</f>
        <v>207.84</v>
      </c>
      <c r="AC274" s="29" t="s">
        <v>179</v>
      </c>
      <c r="AD274" s="14">
        <f>ROUND(IF(Q274=1,INDEX(新属性投放!$F$14:$F$34,卡牌属性!R274),INDEX(新属性投放!$F$42:$F$62,卡牌属性!R274))*INDEX($G$5:$G$42,L274)*SQRT(INDEX($I$5:$I$42,L274)),2)</f>
        <v>1247.04</v>
      </c>
      <c r="AF274" s="14">
        <f t="shared" si="121"/>
        <v>4156</v>
      </c>
      <c r="AG274" s="14">
        <f t="shared" si="122"/>
        <v>2078</v>
      </c>
      <c r="AH274" s="14">
        <f t="shared" si="123"/>
        <v>12470</v>
      </c>
      <c r="AJ274" s="14">
        <f t="shared" si="112"/>
        <v>27603</v>
      </c>
      <c r="AK274" s="14">
        <f t="shared" si="113"/>
        <v>13798</v>
      </c>
      <c r="AL274" s="14">
        <f t="shared" si="114"/>
        <v>82831</v>
      </c>
    </row>
    <row r="275" spans="11:38" ht="16.5" x14ac:dyDescent="0.2">
      <c r="K275" s="13">
        <v>272</v>
      </c>
      <c r="L275" s="13">
        <f t="shared" si="115"/>
        <v>13</v>
      </c>
      <c r="M275" s="13">
        <f t="shared" si="116"/>
        <v>2</v>
      </c>
      <c r="N275" s="14">
        <f t="shared" si="117"/>
        <v>1101013</v>
      </c>
      <c r="O275" s="14" t="str">
        <f t="shared" si="118"/>
        <v>吉拉20突</v>
      </c>
      <c r="P275" s="29" t="s">
        <v>470</v>
      </c>
      <c r="Q275" s="14">
        <f t="shared" si="119"/>
        <v>1</v>
      </c>
      <c r="R275" s="14">
        <f t="shared" si="120"/>
        <v>20</v>
      </c>
      <c r="S275" s="14" t="s">
        <v>39</v>
      </c>
      <c r="T275" s="14">
        <f>ROUND(((IF(Q275=1,INDEX(新属性投放!$J$14:$J$34,卡牌属性!R275),INDEX(新属性投放!$J$42:$J$62,卡牌属性!R275)))*INDEX($G$5:$G$42,L275)+IF(Q275=1,INDEX(新属性投放!R$20:R$23,卡牌属性!M275-1),INDEX(新属性投放!R$25:R$28,卡牌属性!M275-1)))/SQRT(INDEX($I$5:$I$42,L275)),2)</f>
        <v>19225.45</v>
      </c>
      <c r="U275" s="29" t="s">
        <v>178</v>
      </c>
      <c r="V275" s="14">
        <f>ROUND((IF(Q275=1,INDEX(新属性投放!$K$14:$K$34,卡牌属性!R275),INDEX(新属性投放!$K$42:$K$62,卡牌属性!R275))+IF(Q275=1,INDEX(新属性投放!S$20:S$23,卡牌属性!M275-1),INDEX(新属性投放!S$25:S$28,卡牌属性!M275-1)))*INDEX($G$5:$G$42,L275),2)</f>
        <v>9575.73</v>
      </c>
      <c r="W275" s="29" t="s">
        <v>179</v>
      </c>
      <c r="X275" s="14">
        <f>ROUND((IF(Q275=1,INDEX(新属性投放!$L$14:$L$34,卡牌属性!R275),INDEX(新属性投放!$L$42:$L$62,卡牌属性!R275))*INDEX($G$5:$G$42,L275)+IF(Q275=1,INDEX(新属性投放!T$20:T$23,卡牌属性!M275-1),INDEX(新属性投放!T$25:T$28,卡牌属性!M275-1)))*SQRT(INDEX($I$5:$I$42,L275)),2)</f>
        <v>57876.35</v>
      </c>
      <c r="Y275" s="29" t="s">
        <v>177</v>
      </c>
      <c r="Z275" s="14">
        <f>ROUND(IF(Q275=1,INDEX(新属性投放!$D$14:$D$34,卡牌属性!R275),INDEX(新属性投放!$D$42:$D$62,卡牌属性!R275))*INDEX($G$5:$G$42,L275)/SQRT(INDEX($I$5:$I$42,L275)),2)</f>
        <v>480.64</v>
      </c>
      <c r="AA275" s="29" t="s">
        <v>178</v>
      </c>
      <c r="AB275" s="14">
        <f>ROUND(IF(Q275=1,INDEX(新属性投放!$E$14:$E$34,卡牌属性!R275),INDEX(新属性投放!$E$42:$E$62,卡牌属性!R275))*INDEX($G$5:$G$42,L275),2)</f>
        <v>240.32</v>
      </c>
      <c r="AC275" s="29" t="s">
        <v>179</v>
      </c>
      <c r="AD275" s="14">
        <f>ROUND(IF(Q275=1,INDEX(新属性投放!$F$14:$F$34,卡牌属性!R275),INDEX(新属性投放!$F$42:$F$62,卡牌属性!R275))*INDEX($G$5:$G$42,L275)*SQRT(INDEX($I$5:$I$42,L275)),2)</f>
        <v>1441.92</v>
      </c>
      <c r="AF275" s="14">
        <f t="shared" si="121"/>
        <v>4806</v>
      </c>
      <c r="AG275" s="14">
        <f t="shared" si="122"/>
        <v>2403</v>
      </c>
      <c r="AH275" s="14">
        <f t="shared" si="123"/>
        <v>14419</v>
      </c>
      <c r="AJ275" s="14">
        <f t="shared" si="112"/>
        <v>32409</v>
      </c>
      <c r="AK275" s="14">
        <f t="shared" si="113"/>
        <v>16201</v>
      </c>
      <c r="AL275" s="14">
        <f t="shared" si="114"/>
        <v>97250</v>
      </c>
    </row>
    <row r="276" spans="11:38" ht="16.5" x14ac:dyDescent="0.2">
      <c r="K276" s="13">
        <v>273</v>
      </c>
      <c r="L276" s="13">
        <f t="shared" si="115"/>
        <v>13</v>
      </c>
      <c r="M276" s="13">
        <f t="shared" si="116"/>
        <v>2</v>
      </c>
      <c r="N276" s="14">
        <f t="shared" si="117"/>
        <v>1101013</v>
      </c>
      <c r="O276" s="14" t="str">
        <f t="shared" si="118"/>
        <v>吉拉21突</v>
      </c>
      <c r="P276" s="29" t="s">
        <v>470</v>
      </c>
      <c r="Q276" s="14">
        <f t="shared" si="119"/>
        <v>1</v>
      </c>
      <c r="R276" s="14">
        <f t="shared" si="120"/>
        <v>21</v>
      </c>
      <c r="S276" s="14" t="s">
        <v>39</v>
      </c>
      <c r="T276" s="14">
        <f>ROUND(((IF(Q276=1,INDEX(新属性投放!$J$14:$J$34,卡牌属性!R276),INDEX(新属性投放!$J$42:$J$62,卡牌属性!R276)))*INDEX($G$5:$G$42,L276)+IF(Q276=1,INDEX(新属性投放!R$20:R$23,卡牌属性!M276-1),INDEX(新属性投放!R$25:R$28,卡牌属性!M276-1)))/SQRT(INDEX($I$5:$I$42,L276)),2)</f>
        <v>22229.65</v>
      </c>
      <c r="U276" s="29" t="s">
        <v>178</v>
      </c>
      <c r="V276" s="14">
        <f>ROUND((IF(Q276=1,INDEX(新属性投放!$K$14:$K$34,卡牌属性!R276),INDEX(新属性投放!$K$42:$K$62,卡牌属性!R276))+IF(Q276=1,INDEX(新属性投放!S$20:S$23,卡牌属性!M276-1),INDEX(新属性投放!S$25:S$28,卡牌属性!M276-1)))*INDEX($G$5:$G$42,L276),2)</f>
        <v>11077.33</v>
      </c>
      <c r="W276" s="29" t="s">
        <v>179</v>
      </c>
      <c r="X276" s="14">
        <f>ROUND((IF(Q276=1,INDEX(新属性投放!$L$14:$L$34,卡牌属性!R276),INDEX(新属性投放!$L$42:$L$62,卡牌属性!R276))*INDEX($G$5:$G$42,L276)+IF(Q276=1,INDEX(新属性投放!T$20:T$23,卡牌属性!M276-1),INDEX(新属性投放!T$25:T$28,卡牌属性!M276-1)))*SQRT(INDEX($I$5:$I$42,L276)),2)</f>
        <v>66888.95</v>
      </c>
      <c r="Y276" s="29" t="s">
        <v>177</v>
      </c>
      <c r="Z276" s="14">
        <f>ROUND(IF(Q276=1,INDEX(新属性投放!$D$14:$D$34,卡牌属性!R276),INDEX(新属性投放!$D$42:$D$62,卡牌属性!R276))*INDEX($G$5:$G$42,L276)/SQRT(INDEX($I$5:$I$42,L276)),2)</f>
        <v>555.74</v>
      </c>
      <c r="AA276" s="29" t="s">
        <v>178</v>
      </c>
      <c r="AB276" s="14">
        <f>ROUND(IF(Q276=1,INDEX(新属性投放!$E$14:$E$34,卡牌属性!R276),INDEX(新属性投放!$E$42:$E$62,卡牌属性!R276))*INDEX($G$5:$G$42,L276),2)</f>
        <v>277.87</v>
      </c>
      <c r="AC276" s="29" t="s">
        <v>179</v>
      </c>
      <c r="AD276" s="14">
        <f>ROUND(IF(Q276=1,INDEX(新属性投放!$F$14:$F$34,卡牌属性!R276),INDEX(新属性投放!$F$42:$F$62,卡牌属性!R276))*INDEX($G$5:$G$42,L276)*SQRT(INDEX($I$5:$I$42,L276)),2)</f>
        <v>1667.22</v>
      </c>
      <c r="AF276" s="14">
        <f t="shared" si="121"/>
        <v>5557</v>
      </c>
      <c r="AG276" s="14">
        <f t="shared" si="122"/>
        <v>2778</v>
      </c>
      <c r="AH276" s="14">
        <f t="shared" si="123"/>
        <v>16672</v>
      </c>
      <c r="AJ276" s="14">
        <f t="shared" si="112"/>
        <v>37966</v>
      </c>
      <c r="AK276" s="14">
        <f t="shared" si="113"/>
        <v>18979</v>
      </c>
      <c r="AL276" s="14">
        <f t="shared" si="114"/>
        <v>113922</v>
      </c>
    </row>
    <row r="277" spans="11:38" ht="16.5" x14ac:dyDescent="0.2">
      <c r="K277" s="13">
        <v>274</v>
      </c>
      <c r="L277" s="13">
        <f t="shared" si="115"/>
        <v>14</v>
      </c>
      <c r="M277" s="13">
        <f t="shared" si="116"/>
        <v>3</v>
      </c>
      <c r="N277" s="14">
        <f t="shared" si="117"/>
        <v>1101014</v>
      </c>
      <c r="O277" s="14" t="str">
        <f t="shared" si="118"/>
        <v>吕仙宫1突</v>
      </c>
      <c r="P277" s="29" t="s">
        <v>470</v>
      </c>
      <c r="Q277" s="14">
        <f t="shared" si="119"/>
        <v>1</v>
      </c>
      <c r="R277" s="14">
        <f t="shared" si="120"/>
        <v>1</v>
      </c>
      <c r="S277" s="14" t="s">
        <v>39</v>
      </c>
      <c r="T277" s="14">
        <f>ROUND(((IF(Q277=1,INDEX(新属性投放!$J$14:$J$34,卡牌属性!R277),INDEX(新属性投放!$J$42:$J$62,卡牌属性!R277)))*INDEX($G$5:$G$42,L277)+IF(Q277=1,INDEX(新属性投放!R$20:R$23,卡牌属性!M277-1),INDEX(新属性投放!R$25:R$28,卡牌属性!M277-1)))/SQRT(INDEX($I$5:$I$42,L277)),2)</f>
        <v>165</v>
      </c>
      <c r="U277" s="29" t="s">
        <v>178</v>
      </c>
      <c r="V277" s="14">
        <f>ROUND((IF(Q277=1,INDEX(新属性投放!$K$14:$K$34,卡牌属性!R277),INDEX(新属性投放!$K$42:$K$62,卡牌属性!R277))+IF(Q277=1,INDEX(新属性投放!S$20:S$23,卡牌属性!M277-1),INDEX(新属性投放!S$25:S$28,卡牌属性!M277-1)))*INDEX($G$5:$G$42,L277),2)</f>
        <v>0</v>
      </c>
      <c r="W277" s="29" t="s">
        <v>179</v>
      </c>
      <c r="X277" s="14">
        <f>ROUND((IF(Q277=1,INDEX(新属性投放!$L$14:$L$34,卡牌属性!R277),INDEX(新属性投放!$L$42:$L$62,卡牌属性!R277))*INDEX($G$5:$G$42,L277)+IF(Q277=1,INDEX(新属性投放!T$20:T$23,卡牌属性!M277-1),INDEX(新属性投放!T$25:T$28,卡牌属性!M277-1)))*SQRT(INDEX($I$5:$I$42,L277)),2)</f>
        <v>1075</v>
      </c>
      <c r="Y277" s="29" t="s">
        <v>177</v>
      </c>
      <c r="Z277" s="14">
        <f>ROUND(IF(Q277=1,INDEX(新属性投放!$D$14:$D$34,卡牌属性!R277),INDEX(新属性投放!$D$42:$D$62,卡牌属性!R277))*INDEX($G$5:$G$42,L277)/SQRT(INDEX($I$5:$I$42,L277)),2)</f>
        <v>17.25</v>
      </c>
      <c r="AA277" s="29" t="s">
        <v>178</v>
      </c>
      <c r="AB277" s="14">
        <f>ROUND(IF(Q277=1,INDEX(新属性投放!$E$14:$E$34,卡牌属性!R277),INDEX(新属性投放!$E$42:$E$62,卡牌属性!R277))*INDEX($G$5:$G$42,L277),2)</f>
        <v>8.6300000000000008</v>
      </c>
      <c r="AC277" s="29" t="s">
        <v>179</v>
      </c>
      <c r="AD277" s="14">
        <f>ROUND(IF(Q277=1,INDEX(新属性投放!$F$14:$F$34,卡牌属性!R277),INDEX(新属性投放!$F$42:$F$62,卡牌属性!R277))*INDEX($G$5:$G$42,L277)*SQRT(INDEX($I$5:$I$42,L277)),2)</f>
        <v>51.75</v>
      </c>
      <c r="AF277" s="14">
        <f t="shared" si="121"/>
        <v>172</v>
      </c>
      <c r="AG277" s="14">
        <f t="shared" si="122"/>
        <v>86</v>
      </c>
      <c r="AH277" s="14">
        <f t="shared" si="123"/>
        <v>517</v>
      </c>
      <c r="AJ277" s="14">
        <f t="shared" ref="AJ277" si="124">AF277</f>
        <v>172</v>
      </c>
      <c r="AK277" s="14">
        <f t="shared" ref="AK277" si="125">AG277</f>
        <v>86</v>
      </c>
      <c r="AL277" s="14">
        <f t="shared" ref="AL277" si="126">AH277</f>
        <v>517</v>
      </c>
    </row>
    <row r="278" spans="11:38" ht="16.5" x14ac:dyDescent="0.2">
      <c r="K278" s="13">
        <v>275</v>
      </c>
      <c r="L278" s="13">
        <f t="shared" si="115"/>
        <v>14</v>
      </c>
      <c r="M278" s="13">
        <f t="shared" si="116"/>
        <v>3</v>
      </c>
      <c r="N278" s="14">
        <f t="shared" si="117"/>
        <v>1101014</v>
      </c>
      <c r="O278" s="14" t="str">
        <f t="shared" si="118"/>
        <v>吕仙宫2突</v>
      </c>
      <c r="P278" s="29" t="s">
        <v>470</v>
      </c>
      <c r="Q278" s="14">
        <f t="shared" si="119"/>
        <v>1</v>
      </c>
      <c r="R278" s="14">
        <f t="shared" si="120"/>
        <v>2</v>
      </c>
      <c r="S278" s="14" t="s">
        <v>39</v>
      </c>
      <c r="T278" s="14">
        <f>ROUND(((IF(Q278=1,INDEX(新属性投放!$J$14:$J$34,卡牌属性!R278),INDEX(新属性投放!$J$42:$J$62,卡牌属性!R278)))*INDEX($G$5:$G$42,L278)+IF(Q278=1,INDEX(新属性投放!R$20:R$23,卡牌属性!M278-1),INDEX(新属性投放!R$25:R$28,卡牌属性!M278-1)))/SQRT(INDEX($I$5:$I$42,L278)),2)</f>
        <v>331.75</v>
      </c>
      <c r="U278" s="29" t="s">
        <v>178</v>
      </c>
      <c r="V278" s="14">
        <f>ROUND((IF(Q278=1,INDEX(新属性投放!$K$14:$K$34,卡牌属性!R278),INDEX(新属性投放!$K$42:$K$62,卡牌属性!R278))+IF(Q278=1,INDEX(新属性投放!S$20:S$23,卡牌属性!M278-1),INDEX(新属性投放!S$25:S$28,卡牌属性!M278-1)))*INDEX($G$5:$G$42,L278),2)</f>
        <v>97.18</v>
      </c>
      <c r="W278" s="29" t="s">
        <v>179</v>
      </c>
      <c r="X278" s="14">
        <f>ROUND((IF(Q278=1,INDEX(新属性投放!$L$14:$L$34,卡牌属性!R278),INDEX(新属性投放!$L$42:$L$62,卡牌属性!R278))*INDEX($G$5:$G$42,L278)+IF(Q278=1,INDEX(新属性投放!T$20:T$23,卡牌属性!M278-1),INDEX(新属性投放!T$25:T$28,卡牌属性!M278-1)))*SQRT(INDEX($I$5:$I$42,L278)),2)</f>
        <v>1575.25</v>
      </c>
      <c r="Y278" s="29" t="s">
        <v>177</v>
      </c>
      <c r="Z278" s="14">
        <f>ROUND(IF(Q278=1,INDEX(新属性投放!$D$14:$D$34,卡牌属性!R278),INDEX(新属性投放!$D$42:$D$62,卡牌属性!R278))*INDEX($G$5:$G$42,L278)/SQRT(INDEX($I$5:$I$42,L278)),2)</f>
        <v>15.84</v>
      </c>
      <c r="AA278" s="29" t="s">
        <v>178</v>
      </c>
      <c r="AB278" s="14">
        <f>ROUND(IF(Q278=1,INDEX(新属性投放!$E$14:$E$34,卡牌属性!R278),INDEX(新属性投放!$E$42:$E$62,卡牌属性!R278))*INDEX($G$5:$G$42,L278),2)</f>
        <v>7.92</v>
      </c>
      <c r="AC278" s="29" t="s">
        <v>179</v>
      </c>
      <c r="AD278" s="14">
        <f>ROUND(IF(Q278=1,INDEX(新属性投放!$F$14:$F$34,卡牌属性!R278),INDEX(新属性投放!$F$42:$F$62,卡牌属性!R278))*INDEX($G$5:$G$42,L278)*SQRT(INDEX($I$5:$I$42,L278)),2)</f>
        <v>47.51</v>
      </c>
      <c r="AF278" s="14">
        <f t="shared" si="121"/>
        <v>158</v>
      </c>
      <c r="AG278" s="14">
        <f t="shared" si="122"/>
        <v>79</v>
      </c>
      <c r="AH278" s="14">
        <f t="shared" si="123"/>
        <v>475</v>
      </c>
      <c r="AJ278" s="14">
        <f t="shared" ref="AJ278:AJ297" si="127">AJ277+AF278</f>
        <v>330</v>
      </c>
      <c r="AK278" s="14">
        <f t="shared" ref="AK278:AK297" si="128">AK277+AG278</f>
        <v>165</v>
      </c>
      <c r="AL278" s="14">
        <f t="shared" ref="AL278:AL297" si="129">AL277+AH278</f>
        <v>992</v>
      </c>
    </row>
    <row r="279" spans="11:38" ht="16.5" x14ac:dyDescent="0.2">
      <c r="K279" s="13">
        <v>276</v>
      </c>
      <c r="L279" s="13">
        <f t="shared" si="115"/>
        <v>14</v>
      </c>
      <c r="M279" s="13">
        <f t="shared" si="116"/>
        <v>3</v>
      </c>
      <c r="N279" s="14">
        <f t="shared" si="117"/>
        <v>1101014</v>
      </c>
      <c r="O279" s="14" t="str">
        <f t="shared" si="118"/>
        <v>吕仙宫3突</v>
      </c>
      <c r="P279" s="29" t="s">
        <v>470</v>
      </c>
      <c r="Q279" s="14">
        <f t="shared" si="119"/>
        <v>1</v>
      </c>
      <c r="R279" s="14">
        <f t="shared" si="120"/>
        <v>3</v>
      </c>
      <c r="S279" s="14" t="s">
        <v>39</v>
      </c>
      <c r="T279" s="14">
        <f>ROUND(((IF(Q279=1,INDEX(新属性投放!$J$14:$J$34,卡牌属性!R279),INDEX(新属性投放!$J$42:$J$62,卡牌属性!R279)))*INDEX($G$5:$G$42,L279)+IF(Q279=1,INDEX(新属性投放!R$20:R$23,卡牌属性!M279-1),INDEX(新属性投放!R$25:R$28,卡牌属性!M279-1)))/SQRT(INDEX($I$5:$I$42,L279)),2)</f>
        <v>529.21</v>
      </c>
      <c r="U279" s="29" t="s">
        <v>178</v>
      </c>
      <c r="V279" s="14">
        <f>ROUND((IF(Q279=1,INDEX(新属性投放!$K$14:$K$34,卡牌属性!R279),INDEX(新属性投放!$K$42:$K$62,卡牌属性!R279))+IF(Q279=1,INDEX(新属性投放!S$20:S$23,卡牌属性!M279-1),INDEX(新属性投放!S$25:S$28,卡牌属性!M279-1)))*INDEX($G$5:$G$42,L279),2)</f>
        <v>195.9</v>
      </c>
      <c r="W279" s="29" t="s">
        <v>179</v>
      </c>
      <c r="X279" s="14">
        <f>ROUND((IF(Q279=1,INDEX(新属性投放!$L$14:$L$34,卡牌属性!R279),INDEX(新属性投放!$L$42:$L$62,卡牌属性!R279))*INDEX($G$5:$G$42,L279)+IF(Q279=1,INDEX(新属性投放!T$20:T$23,卡牌属性!M279-1),INDEX(新属性投放!T$25:T$28,卡牌属性!M279-1)))*SQRT(INDEX($I$5:$I$42,L279)),2)</f>
        <v>2167.62</v>
      </c>
      <c r="Y279" s="29" t="s">
        <v>177</v>
      </c>
      <c r="Z279" s="14">
        <f>ROUND(IF(Q279=1,INDEX(新属性投放!$D$14:$D$34,卡牌属性!R279),INDEX(新属性投放!$D$42:$D$62,卡牌属性!R279))*INDEX($G$5:$G$42,L279)/SQRT(INDEX($I$5:$I$42,L279)),2)</f>
        <v>28.95</v>
      </c>
      <c r="AA279" s="29" t="s">
        <v>178</v>
      </c>
      <c r="AB279" s="14">
        <f>ROUND(IF(Q279=1,INDEX(新属性投放!$E$14:$E$34,卡牌属性!R279),INDEX(新属性投放!$E$42:$E$62,卡牌属性!R279))*INDEX($G$5:$G$42,L279),2)</f>
        <v>14.47</v>
      </c>
      <c r="AC279" s="29" t="s">
        <v>179</v>
      </c>
      <c r="AD279" s="14">
        <f>ROUND(IF(Q279=1,INDEX(新属性投放!$F$14:$F$34,卡牌属性!R279),INDEX(新属性投放!$F$42:$F$62,卡牌属性!R279))*INDEX($G$5:$G$42,L279)*SQRT(INDEX($I$5:$I$42,L279)),2)</f>
        <v>86.84</v>
      </c>
      <c r="AF279" s="14">
        <f t="shared" si="121"/>
        <v>289</v>
      </c>
      <c r="AG279" s="14">
        <f t="shared" si="122"/>
        <v>144</v>
      </c>
      <c r="AH279" s="14">
        <f t="shared" si="123"/>
        <v>868</v>
      </c>
      <c r="AJ279" s="14">
        <f t="shared" si="127"/>
        <v>619</v>
      </c>
      <c r="AK279" s="14">
        <f t="shared" si="128"/>
        <v>309</v>
      </c>
      <c r="AL279" s="14">
        <f t="shared" si="129"/>
        <v>1860</v>
      </c>
    </row>
    <row r="280" spans="11:38" ht="16.5" x14ac:dyDescent="0.2">
      <c r="K280" s="13">
        <v>277</v>
      </c>
      <c r="L280" s="13">
        <f t="shared" si="115"/>
        <v>14</v>
      </c>
      <c r="M280" s="13">
        <f t="shared" si="116"/>
        <v>3</v>
      </c>
      <c r="N280" s="14">
        <f t="shared" si="117"/>
        <v>1101014</v>
      </c>
      <c r="O280" s="14" t="str">
        <f t="shared" si="118"/>
        <v>吕仙宫4突</v>
      </c>
      <c r="P280" s="29" t="s">
        <v>470</v>
      </c>
      <c r="Q280" s="14">
        <f t="shared" si="119"/>
        <v>1</v>
      </c>
      <c r="R280" s="14">
        <f t="shared" si="120"/>
        <v>4</v>
      </c>
      <c r="S280" s="14" t="s">
        <v>39</v>
      </c>
      <c r="T280" s="14">
        <f>ROUND(((IF(Q280=1,INDEX(新属性投放!$J$14:$J$34,卡牌属性!R280),INDEX(新属性投放!$J$42:$J$62,卡牌属性!R280)))*INDEX($G$5:$G$42,L280)+IF(Q280=1,INDEX(新属性投放!R$20:R$23,卡牌属性!M280-1),INDEX(新属性投放!R$25:R$28,卡牌属性!M280-1)))/SQRT(INDEX($I$5:$I$42,L280)),2)</f>
        <v>891.11</v>
      </c>
      <c r="U280" s="29" t="s">
        <v>178</v>
      </c>
      <c r="V280" s="14">
        <f>ROUND((IF(Q280=1,INDEX(新属性投放!$K$14:$K$34,卡牌属性!R280),INDEX(新属性投放!$K$42:$K$62,卡牌属性!R280))+IF(Q280=1,INDEX(新属性投放!S$20:S$23,卡牌属性!M280-1),INDEX(新属性投放!S$25:S$28,卡牌属性!M280-1)))*INDEX($G$5:$G$42,L280),2)</f>
        <v>376.28</v>
      </c>
      <c r="W280" s="29" t="s">
        <v>179</v>
      </c>
      <c r="X280" s="14">
        <f>ROUND((IF(Q280=1,INDEX(新属性投放!$L$14:$L$34,卡牌属性!R280),INDEX(新属性投放!$L$42:$L$62,卡牌属性!R280))*INDEX($G$5:$G$42,L280)+IF(Q280=1,INDEX(新属性投放!T$20:T$23,卡牌属性!M280-1),INDEX(新属性投放!T$25:T$28,卡牌属性!M280-1)))*SQRT(INDEX($I$5:$I$42,L280)),2)</f>
        <v>3253.33</v>
      </c>
      <c r="Y280" s="29" t="s">
        <v>177</v>
      </c>
      <c r="Z280" s="14">
        <f>ROUND(IF(Q280=1,INDEX(新属性投放!$D$14:$D$34,卡牌属性!R280),INDEX(新属性投放!$D$42:$D$62,卡牌属性!R280))*INDEX($G$5:$G$42,L280)/SQRT(INDEX($I$5:$I$42,L280)),2)</f>
        <v>34.65</v>
      </c>
      <c r="AA280" s="29" t="s">
        <v>178</v>
      </c>
      <c r="AB280" s="14">
        <f>ROUND(IF(Q280=1,INDEX(新属性投放!$E$14:$E$34,卡牌属性!R280),INDEX(新属性投放!$E$42:$E$62,卡牌属性!R280))*INDEX($G$5:$G$42,L280),2)</f>
        <v>17.32</v>
      </c>
      <c r="AC280" s="29" t="s">
        <v>179</v>
      </c>
      <c r="AD280" s="14">
        <f>ROUND(IF(Q280=1,INDEX(新属性投放!$F$14:$F$34,卡牌属性!R280),INDEX(新属性投放!$F$42:$F$62,卡牌属性!R280))*INDEX($G$5:$G$42,L280)*SQRT(INDEX($I$5:$I$42,L280)),2)</f>
        <v>103.95</v>
      </c>
      <c r="AF280" s="14">
        <f t="shared" si="121"/>
        <v>346</v>
      </c>
      <c r="AG280" s="14">
        <f t="shared" si="122"/>
        <v>173</v>
      </c>
      <c r="AH280" s="14">
        <f t="shared" si="123"/>
        <v>1039</v>
      </c>
      <c r="AJ280" s="14">
        <f t="shared" si="127"/>
        <v>965</v>
      </c>
      <c r="AK280" s="14">
        <f t="shared" si="128"/>
        <v>482</v>
      </c>
      <c r="AL280" s="14">
        <f t="shared" si="129"/>
        <v>2899</v>
      </c>
    </row>
    <row r="281" spans="11:38" ht="16.5" x14ac:dyDescent="0.2">
      <c r="K281" s="13">
        <v>278</v>
      </c>
      <c r="L281" s="13">
        <f t="shared" si="115"/>
        <v>14</v>
      </c>
      <c r="M281" s="13">
        <f t="shared" si="116"/>
        <v>3</v>
      </c>
      <c r="N281" s="14">
        <f t="shared" si="117"/>
        <v>1101014</v>
      </c>
      <c r="O281" s="14" t="str">
        <f t="shared" si="118"/>
        <v>吕仙宫5突</v>
      </c>
      <c r="P281" s="29" t="s">
        <v>470</v>
      </c>
      <c r="Q281" s="14">
        <f t="shared" si="119"/>
        <v>1</v>
      </c>
      <c r="R281" s="14">
        <f t="shared" si="120"/>
        <v>5</v>
      </c>
      <c r="S281" s="14" t="s">
        <v>39</v>
      </c>
      <c r="T281" s="14">
        <f>ROUND(((IF(Q281=1,INDEX(新属性投放!$J$14:$J$34,卡牌属性!R281),INDEX(新属性投放!$J$42:$J$62,卡牌属性!R281)))*INDEX($G$5:$G$42,L281)+IF(Q281=1,INDEX(新属性投放!R$20:R$23,卡牌属性!M281-1),INDEX(新属性投放!R$25:R$28,卡牌属性!M281-1)))/SQRT(INDEX($I$5:$I$42,L281)),2)</f>
        <v>1323.86</v>
      </c>
      <c r="U281" s="29" t="s">
        <v>178</v>
      </c>
      <c r="V281" s="14">
        <f>ROUND((IF(Q281=1,INDEX(新属性投放!$K$14:$K$34,卡牌属性!R281),INDEX(新属性投放!$K$42:$K$62,卡牌属性!R281))+IF(Q281=1,INDEX(新属性投放!S$20:S$23,卡牌属性!M281-1),INDEX(新属性投放!S$25:S$28,卡牌属性!M281-1)))*INDEX($G$5:$G$42,L281),2)</f>
        <v>593.23</v>
      </c>
      <c r="W281" s="29" t="s">
        <v>179</v>
      </c>
      <c r="X281" s="14">
        <f>ROUND((IF(Q281=1,INDEX(新属性投放!$L$14:$L$34,卡牌属性!R281),INDEX(新属性投放!$L$42:$L$62,卡牌属性!R281))*INDEX($G$5:$G$42,L281)+IF(Q281=1,INDEX(新属性投放!T$20:T$23,卡牌属性!M281-1),INDEX(新属性投放!T$25:T$28,卡牌属性!M281-1)))*SQRT(INDEX($I$5:$I$42,L281)),2)</f>
        <v>4551.57</v>
      </c>
      <c r="Y281" s="29" t="s">
        <v>177</v>
      </c>
      <c r="Z281" s="14">
        <f>ROUND(IF(Q281=1,INDEX(新属性投放!$D$14:$D$34,卡牌属性!R281),INDEX(新属性投放!$D$42:$D$62,卡牌属性!R281))*INDEX($G$5:$G$42,L281)/SQRT(INDEX($I$5:$I$42,L281)),2)</f>
        <v>43.31</v>
      </c>
      <c r="AA281" s="29" t="s">
        <v>178</v>
      </c>
      <c r="AB281" s="14">
        <f>ROUND(IF(Q281=1,INDEX(新属性投放!$E$14:$E$34,卡牌属性!R281),INDEX(新属性投放!$E$42:$E$62,卡牌属性!R281))*INDEX($G$5:$G$42,L281),2)</f>
        <v>21.65</v>
      </c>
      <c r="AC281" s="29" t="s">
        <v>179</v>
      </c>
      <c r="AD281" s="14">
        <f>ROUND(IF(Q281=1,INDEX(新属性投放!$F$14:$F$34,卡牌属性!R281),INDEX(新属性投放!$F$42:$F$62,卡牌属性!R281))*INDEX($G$5:$G$42,L281)*SQRT(INDEX($I$5:$I$42,L281)),2)</f>
        <v>129.93</v>
      </c>
      <c r="AF281" s="14">
        <f t="shared" si="121"/>
        <v>433</v>
      </c>
      <c r="AG281" s="14">
        <f t="shared" si="122"/>
        <v>216</v>
      </c>
      <c r="AH281" s="14">
        <f t="shared" si="123"/>
        <v>1299</v>
      </c>
      <c r="AJ281" s="14">
        <f t="shared" si="127"/>
        <v>1398</v>
      </c>
      <c r="AK281" s="14">
        <f t="shared" si="128"/>
        <v>698</v>
      </c>
      <c r="AL281" s="14">
        <f t="shared" si="129"/>
        <v>4198</v>
      </c>
    </row>
    <row r="282" spans="11:38" ht="16.5" x14ac:dyDescent="0.2">
      <c r="K282" s="13">
        <v>279</v>
      </c>
      <c r="L282" s="13">
        <f t="shared" si="115"/>
        <v>14</v>
      </c>
      <c r="M282" s="13">
        <f t="shared" si="116"/>
        <v>3</v>
      </c>
      <c r="N282" s="14">
        <f t="shared" si="117"/>
        <v>1101014</v>
      </c>
      <c r="O282" s="14" t="str">
        <f t="shared" si="118"/>
        <v>吕仙宫6突</v>
      </c>
      <c r="P282" s="29" t="s">
        <v>470</v>
      </c>
      <c r="Q282" s="14">
        <f t="shared" si="119"/>
        <v>1</v>
      </c>
      <c r="R282" s="14">
        <f t="shared" si="120"/>
        <v>6</v>
      </c>
      <c r="S282" s="14" t="s">
        <v>39</v>
      </c>
      <c r="T282" s="14">
        <f>ROUND(((IF(Q282=1,INDEX(新属性投放!$J$14:$J$34,卡牌属性!R282),INDEX(新属性投放!$J$42:$J$62,卡牌属性!R282)))*INDEX($G$5:$G$42,L282)+IF(Q282=1,INDEX(新属性投放!R$20:R$23,卡牌属性!M282-1),INDEX(新属性投放!R$25:R$28,卡牌属性!M282-1)))/SQRT(INDEX($I$5:$I$42,L282)),2)</f>
        <v>1865.05</v>
      </c>
      <c r="U282" s="29" t="s">
        <v>178</v>
      </c>
      <c r="V282" s="14">
        <f>ROUND((IF(Q282=1,INDEX(新属性投放!$K$14:$K$34,卡牌属性!R282),INDEX(新属性投放!$K$42:$K$62,卡牌属性!R282))+IF(Q282=1,INDEX(新属性投放!S$20:S$23,卡牌属性!M282-1),INDEX(新属性投放!S$25:S$28,卡牌属性!M282-1)))*INDEX($G$5:$G$42,L282),2)</f>
        <v>863.82</v>
      </c>
      <c r="W282" s="29" t="s">
        <v>179</v>
      </c>
      <c r="X282" s="14">
        <f>ROUND((IF(Q282=1,INDEX(新属性投放!$L$14:$L$34,卡牌属性!R282),INDEX(新属性投放!$L$42:$L$62,卡牌属性!R282))*INDEX($G$5:$G$42,L282)+IF(Q282=1,INDEX(新属性投放!T$20:T$23,卡牌属性!M282-1),INDEX(新属性投放!T$25:T$28,卡牌属性!M282-1)))*SQRT(INDEX($I$5:$I$42,L282)),2)</f>
        <v>6175.14</v>
      </c>
      <c r="Y282" s="29" t="s">
        <v>177</v>
      </c>
      <c r="Z282" s="14">
        <f>ROUND(IF(Q282=1,INDEX(新属性投放!$D$14:$D$34,卡牌属性!R282),INDEX(新属性投放!$D$42:$D$62,卡牌属性!R282))*INDEX($G$5:$G$42,L282)/SQRT(INDEX($I$5:$I$42,L282)),2)</f>
        <v>56.18</v>
      </c>
      <c r="AA282" s="29" t="s">
        <v>178</v>
      </c>
      <c r="AB282" s="14">
        <f>ROUND(IF(Q282=1,INDEX(新属性投放!$E$14:$E$34,卡牌属性!R282),INDEX(新属性投放!$E$42:$E$62,卡牌属性!R282))*INDEX($G$5:$G$42,L282),2)</f>
        <v>28.09</v>
      </c>
      <c r="AC282" s="29" t="s">
        <v>179</v>
      </c>
      <c r="AD282" s="14">
        <f>ROUND(IF(Q282=1,INDEX(新属性投放!$F$14:$F$34,卡牌属性!R282),INDEX(新属性投放!$F$42:$F$62,卡牌属性!R282))*INDEX($G$5:$G$42,L282)*SQRT(INDEX($I$5:$I$42,L282)),2)</f>
        <v>168.53</v>
      </c>
      <c r="AF282" s="14">
        <f t="shared" si="121"/>
        <v>561</v>
      </c>
      <c r="AG282" s="14">
        <f t="shared" si="122"/>
        <v>280</v>
      </c>
      <c r="AH282" s="14">
        <f t="shared" si="123"/>
        <v>1685</v>
      </c>
      <c r="AJ282" s="14">
        <f t="shared" si="127"/>
        <v>1959</v>
      </c>
      <c r="AK282" s="14">
        <f t="shared" si="128"/>
        <v>978</v>
      </c>
      <c r="AL282" s="14">
        <f t="shared" si="129"/>
        <v>5883</v>
      </c>
    </row>
    <row r="283" spans="11:38" ht="16.5" x14ac:dyDescent="0.2">
      <c r="K283" s="13">
        <v>280</v>
      </c>
      <c r="L283" s="13">
        <f t="shared" si="115"/>
        <v>14</v>
      </c>
      <c r="M283" s="13">
        <f t="shared" si="116"/>
        <v>3</v>
      </c>
      <c r="N283" s="14">
        <f t="shared" si="117"/>
        <v>1101014</v>
      </c>
      <c r="O283" s="14" t="str">
        <f t="shared" si="118"/>
        <v>吕仙宫7突</v>
      </c>
      <c r="P283" s="29" t="s">
        <v>470</v>
      </c>
      <c r="Q283" s="14">
        <f t="shared" si="119"/>
        <v>1</v>
      </c>
      <c r="R283" s="14">
        <f t="shared" si="120"/>
        <v>7</v>
      </c>
      <c r="S283" s="14" t="s">
        <v>39</v>
      </c>
      <c r="T283" s="14">
        <f>ROUND(((IF(Q283=1,INDEX(新属性投放!$J$14:$J$34,卡牌属性!R283),INDEX(新属性投放!$J$42:$J$62,卡牌属性!R283)))*INDEX($G$5:$G$42,L283)+IF(Q283=1,INDEX(新属性投放!R$20:R$23,卡牌属性!M283-1),INDEX(新属性投放!R$25:R$28,卡牌属性!M283-1)))/SQRT(INDEX($I$5:$I$42,L283)),2)</f>
        <v>2567.12</v>
      </c>
      <c r="U283" s="29" t="s">
        <v>178</v>
      </c>
      <c r="V283" s="14">
        <f>ROUND((IF(Q283=1,INDEX(新属性投放!$K$14:$K$34,卡牌属性!R283),INDEX(新属性投放!$K$42:$K$62,卡牌属性!R283))+IF(Q283=1,INDEX(新属性投放!S$20:S$23,卡牌属性!M283-1),INDEX(新属性投放!S$25:S$28,卡牌属性!M283-1)))*INDEX($G$5:$G$42,L283),2)</f>
        <v>1214.8599999999999</v>
      </c>
      <c r="W283" s="29" t="s">
        <v>179</v>
      </c>
      <c r="X283" s="14">
        <f>ROUND((IF(Q283=1,INDEX(新属性投放!$L$14:$L$34,卡牌属性!R283),INDEX(新属性投放!$L$42:$L$62,卡牌属性!R283))*INDEX($G$5:$G$42,L283)+IF(Q283=1,INDEX(新属性投放!T$20:T$23,卡牌属性!M283-1),INDEX(新属性投放!T$25:T$28,卡牌属性!M283-1)))*SQRT(INDEX($I$5:$I$42,L283)),2)</f>
        <v>8281.36</v>
      </c>
      <c r="Y283" s="29" t="s">
        <v>177</v>
      </c>
      <c r="Z283" s="14">
        <f>ROUND(IF(Q283=1,INDEX(新属性投放!$D$14:$D$34,卡牌属性!R283),INDEX(新属性投放!$D$42:$D$62,卡牌属性!R283))*INDEX($G$5:$G$42,L283)/SQRT(INDEX($I$5:$I$42,L283)),2)</f>
        <v>69.22</v>
      </c>
      <c r="AA283" s="29" t="s">
        <v>178</v>
      </c>
      <c r="AB283" s="14">
        <f>ROUND(IF(Q283=1,INDEX(新属性投放!$E$14:$E$34,卡牌属性!R283),INDEX(新属性投放!$E$42:$E$62,卡牌属性!R283))*INDEX($G$5:$G$42,L283),2)</f>
        <v>34.61</v>
      </c>
      <c r="AC283" s="29" t="s">
        <v>179</v>
      </c>
      <c r="AD283" s="14">
        <f>ROUND(IF(Q283=1,INDEX(新属性投放!$F$14:$F$34,卡牌属性!R283),INDEX(新属性投放!$F$42:$F$62,卡牌属性!R283))*INDEX($G$5:$G$42,L283)*SQRT(INDEX($I$5:$I$42,L283)),2)</f>
        <v>207.66</v>
      </c>
      <c r="AF283" s="14">
        <f t="shared" si="121"/>
        <v>692</v>
      </c>
      <c r="AG283" s="14">
        <f t="shared" si="122"/>
        <v>346</v>
      </c>
      <c r="AH283" s="14">
        <f t="shared" si="123"/>
        <v>2076</v>
      </c>
      <c r="AJ283" s="14">
        <f t="shared" si="127"/>
        <v>2651</v>
      </c>
      <c r="AK283" s="14">
        <f t="shared" si="128"/>
        <v>1324</v>
      </c>
      <c r="AL283" s="14">
        <f t="shared" si="129"/>
        <v>7959</v>
      </c>
    </row>
    <row r="284" spans="11:38" ht="16.5" x14ac:dyDescent="0.2">
      <c r="K284" s="13">
        <v>281</v>
      </c>
      <c r="L284" s="13">
        <f t="shared" si="115"/>
        <v>14</v>
      </c>
      <c r="M284" s="13">
        <f t="shared" si="116"/>
        <v>3</v>
      </c>
      <c r="N284" s="14">
        <f t="shared" si="117"/>
        <v>1101014</v>
      </c>
      <c r="O284" s="14" t="str">
        <f t="shared" si="118"/>
        <v>吕仙宫8突</v>
      </c>
      <c r="P284" s="29" t="s">
        <v>470</v>
      </c>
      <c r="Q284" s="14">
        <f t="shared" si="119"/>
        <v>1</v>
      </c>
      <c r="R284" s="14">
        <f t="shared" si="120"/>
        <v>8</v>
      </c>
      <c r="S284" s="14" t="s">
        <v>39</v>
      </c>
      <c r="T284" s="14">
        <f>ROUND(((IF(Q284=1,INDEX(新属性投放!$J$14:$J$34,卡牌属性!R284),INDEX(新属性投放!$J$42:$J$62,卡牌属性!R284)))*INDEX($G$5:$G$42,L284)+IF(Q284=1,INDEX(新属性投放!R$20:R$23,卡牌属性!M284-1),INDEX(新属性投放!R$25:R$28,卡牌属性!M284-1)))/SQRT(INDEX($I$5:$I$42,L284)),2)</f>
        <v>3431.81</v>
      </c>
      <c r="U284" s="29" t="s">
        <v>178</v>
      </c>
      <c r="V284" s="14">
        <f>ROUND((IF(Q284=1,INDEX(新属性投放!$K$14:$K$34,卡牌属性!R284),INDEX(新属性投放!$K$42:$K$62,卡牌属性!R284))+IF(Q284=1,INDEX(新属性投放!S$20:S$23,卡牌属性!M284-1),INDEX(新属性投放!S$25:S$28,卡牌属性!M284-1)))*INDEX($G$5:$G$42,L284),2)</f>
        <v>1647.2</v>
      </c>
      <c r="W284" s="29" t="s">
        <v>179</v>
      </c>
      <c r="X284" s="14">
        <f>ROUND((IF(Q284=1,INDEX(新属性投放!$L$14:$L$34,卡牌属性!R284),INDEX(新属性投放!$L$42:$L$62,卡牌属性!R284))*INDEX($G$5:$G$42,L284)+IF(Q284=1,INDEX(新属性投放!T$20:T$23,卡牌属性!M284-1),INDEX(新属性投放!T$25:T$28,卡牌属性!M284-1)))*SQRT(INDEX($I$5:$I$42,L284)),2)</f>
        <v>10875.42</v>
      </c>
      <c r="Y284" s="29" t="s">
        <v>177</v>
      </c>
      <c r="Z284" s="14">
        <f>ROUND(IF(Q284=1,INDEX(新属性投放!$D$14:$D$34,卡牌属性!R284),INDEX(新属性投放!$D$42:$D$62,卡牌属性!R284))*INDEX($G$5:$G$42,L284)/SQRT(INDEX($I$5:$I$42,L284)),2)</f>
        <v>86.47</v>
      </c>
      <c r="AA284" s="29" t="s">
        <v>178</v>
      </c>
      <c r="AB284" s="14">
        <f>ROUND(IF(Q284=1,INDEX(新属性投放!$E$14:$E$34,卡牌属性!R284),INDEX(新属性投放!$E$42:$E$62,卡牌属性!R284))*INDEX($G$5:$G$42,L284),2)</f>
        <v>43.23</v>
      </c>
      <c r="AC284" s="29" t="s">
        <v>179</v>
      </c>
      <c r="AD284" s="14">
        <f>ROUND(IF(Q284=1,INDEX(新属性投放!$F$14:$F$34,卡牌属性!R284),INDEX(新属性投放!$F$42:$F$62,卡牌属性!R284))*INDEX($G$5:$G$42,L284)*SQRT(INDEX($I$5:$I$42,L284)),2)</f>
        <v>259.41000000000003</v>
      </c>
      <c r="AF284" s="14">
        <f t="shared" si="121"/>
        <v>864</v>
      </c>
      <c r="AG284" s="14">
        <f t="shared" si="122"/>
        <v>432</v>
      </c>
      <c r="AH284" s="14">
        <f t="shared" si="123"/>
        <v>2594</v>
      </c>
      <c r="AJ284" s="14">
        <f t="shared" si="127"/>
        <v>3515</v>
      </c>
      <c r="AK284" s="14">
        <f t="shared" si="128"/>
        <v>1756</v>
      </c>
      <c r="AL284" s="14">
        <f t="shared" si="129"/>
        <v>10553</v>
      </c>
    </row>
    <row r="285" spans="11:38" ht="16.5" x14ac:dyDescent="0.2">
      <c r="K285" s="13">
        <v>282</v>
      </c>
      <c r="L285" s="13">
        <f t="shared" si="115"/>
        <v>14</v>
      </c>
      <c r="M285" s="13">
        <f t="shared" si="116"/>
        <v>3</v>
      </c>
      <c r="N285" s="14">
        <f t="shared" si="117"/>
        <v>1101014</v>
      </c>
      <c r="O285" s="14" t="str">
        <f t="shared" si="118"/>
        <v>吕仙宫9突</v>
      </c>
      <c r="P285" s="29" t="s">
        <v>470</v>
      </c>
      <c r="Q285" s="14">
        <f t="shared" si="119"/>
        <v>1</v>
      </c>
      <c r="R285" s="14">
        <f t="shared" si="120"/>
        <v>9</v>
      </c>
      <c r="S285" s="14" t="s">
        <v>39</v>
      </c>
      <c r="T285" s="14">
        <f>ROUND(((IF(Q285=1,INDEX(新属性投放!$J$14:$J$34,卡牌属性!R285),INDEX(新属性投放!$J$42:$J$62,卡牌属性!R285)))*INDEX($G$5:$G$42,L285)+IF(Q285=1,INDEX(新属性投放!R$20:R$23,卡牌属性!M285-1),INDEX(新属性投放!R$25:R$28,卡牌属性!M285-1)))/SQRT(INDEX($I$5:$I$42,L285)),2)</f>
        <v>4512.6899999999996</v>
      </c>
      <c r="U285" s="29" t="s">
        <v>178</v>
      </c>
      <c r="V285" s="14">
        <f>ROUND((IF(Q285=1,INDEX(新属性投放!$K$14:$K$34,卡牌属性!R285),INDEX(新属性投放!$K$42:$K$62,卡牌属性!R285))+IF(Q285=1,INDEX(新属性投放!S$20:S$23,卡牌属性!M285-1),INDEX(新属性投放!S$25:S$28,卡牌属性!M285-1)))*INDEX($G$5:$G$42,L285),2)</f>
        <v>2187.65</v>
      </c>
      <c r="W285" s="29" t="s">
        <v>179</v>
      </c>
      <c r="X285" s="14">
        <f>ROUND((IF(Q285=1,INDEX(新属性投放!$L$14:$L$34,卡牌属性!R285),INDEX(新属性投放!$L$42:$L$62,卡牌属性!R285))*INDEX($G$5:$G$42,L285)+IF(Q285=1,INDEX(新属性投放!T$20:T$23,卡牌属性!M285-1),INDEX(新属性投放!T$25:T$28,卡牌属性!M285-1)))*SQRT(INDEX($I$5:$I$42,L285)),2)</f>
        <v>14118.07</v>
      </c>
      <c r="Y285" s="29" t="s">
        <v>177</v>
      </c>
      <c r="Z285" s="14">
        <f>ROUND(IF(Q285=1,INDEX(新属性投放!$D$14:$D$34,卡牌属性!R285),INDEX(新属性投放!$D$42:$D$62,卡牌属性!R285))*INDEX($G$5:$G$42,L285)/SQRT(INDEX($I$5:$I$42,L285)),2)</f>
        <v>112.46</v>
      </c>
      <c r="AA285" s="29" t="s">
        <v>178</v>
      </c>
      <c r="AB285" s="14">
        <f>ROUND(IF(Q285=1,INDEX(新属性投放!$E$14:$E$34,卡牌属性!R285),INDEX(新属性投放!$E$42:$E$62,卡牌属性!R285))*INDEX($G$5:$G$42,L285),2)</f>
        <v>56.23</v>
      </c>
      <c r="AC285" s="29" t="s">
        <v>179</v>
      </c>
      <c r="AD285" s="14">
        <f>ROUND(IF(Q285=1,INDEX(新属性投放!$F$14:$F$34,卡牌属性!R285),INDEX(新属性投放!$F$42:$F$62,卡牌属性!R285))*INDEX($G$5:$G$42,L285)*SQRT(INDEX($I$5:$I$42,L285)),2)</f>
        <v>337.38</v>
      </c>
      <c r="AF285" s="14">
        <f t="shared" si="121"/>
        <v>1124</v>
      </c>
      <c r="AG285" s="14">
        <f t="shared" si="122"/>
        <v>562</v>
      </c>
      <c r="AH285" s="14">
        <f t="shared" si="123"/>
        <v>3373</v>
      </c>
      <c r="AJ285" s="14">
        <f t="shared" si="127"/>
        <v>4639</v>
      </c>
      <c r="AK285" s="14">
        <f t="shared" si="128"/>
        <v>2318</v>
      </c>
      <c r="AL285" s="14">
        <f t="shared" si="129"/>
        <v>13926</v>
      </c>
    </row>
    <row r="286" spans="11:38" ht="16.5" x14ac:dyDescent="0.2">
      <c r="K286" s="13">
        <v>283</v>
      </c>
      <c r="L286" s="13">
        <f t="shared" si="115"/>
        <v>14</v>
      </c>
      <c r="M286" s="13">
        <f t="shared" si="116"/>
        <v>3</v>
      </c>
      <c r="N286" s="14">
        <f t="shared" si="117"/>
        <v>1101014</v>
      </c>
      <c r="O286" s="14" t="str">
        <f t="shared" si="118"/>
        <v>吕仙宫10突</v>
      </c>
      <c r="P286" s="29" t="s">
        <v>470</v>
      </c>
      <c r="Q286" s="14">
        <f t="shared" si="119"/>
        <v>1</v>
      </c>
      <c r="R286" s="14">
        <f t="shared" si="120"/>
        <v>10</v>
      </c>
      <c r="S286" s="14" t="s">
        <v>39</v>
      </c>
      <c r="T286" s="14">
        <f>ROUND(((IF(Q286=1,INDEX(新属性投放!$J$14:$J$34,卡牌属性!R286),INDEX(新属性投放!$J$42:$J$62,卡牌属性!R286)))*INDEX($G$5:$G$42,L286)+IF(Q286=1,INDEX(新属性投放!R$20:R$23,卡牌属性!M286-1),INDEX(新属性投放!R$25:R$28,卡牌属性!M286-1)))/SQRT(INDEX($I$5:$I$42,L286)),2)</f>
        <v>5215.28</v>
      </c>
      <c r="U286" s="29" t="s">
        <v>178</v>
      </c>
      <c r="V286" s="14">
        <f>ROUND((IF(Q286=1,INDEX(新属性投放!$K$14:$K$34,卡牌属性!R286),INDEX(新属性投放!$K$42:$K$62,卡牌属性!R286))+IF(Q286=1,INDEX(新属性投放!S$20:S$23,卡牌属性!M286-1),INDEX(新属性投放!S$25:S$28,卡牌属性!M286-1)))*INDEX($G$5:$G$42,L286),2)</f>
        <v>2538.94</v>
      </c>
      <c r="W286" s="29" t="s">
        <v>179</v>
      </c>
      <c r="X286" s="14">
        <f>ROUND((IF(Q286=1,INDEX(新属性投放!$L$14:$L$34,卡牌属性!R286),INDEX(新属性投放!$L$42:$L$62,卡牌属性!R286))*INDEX($G$5:$G$42,L286)+IF(Q286=1,INDEX(新属性投放!T$20:T$23,卡牌属性!M286-1),INDEX(新属性投放!T$25:T$28,卡牌属性!M286-1)))*SQRT(INDEX($I$5:$I$42,L286)),2)</f>
        <v>16225.85</v>
      </c>
      <c r="Y286" s="29" t="s">
        <v>177</v>
      </c>
      <c r="Z286" s="14">
        <f>ROUND(IF(Q286=1,INDEX(新属性投放!$D$14:$D$34,卡牌属性!R286),INDEX(新属性投放!$D$42:$D$62,卡牌属性!R286))*INDEX($G$5:$G$42,L286)/SQRT(INDEX($I$5:$I$42,L286)),2)</f>
        <v>129.75</v>
      </c>
      <c r="AA286" s="29" t="s">
        <v>178</v>
      </c>
      <c r="AB286" s="14">
        <f>ROUND(IF(Q286=1,INDEX(新属性投放!$E$14:$E$34,卡牌属性!R286),INDEX(新属性投放!$E$42:$E$62,卡牌属性!R286))*INDEX($G$5:$G$42,L286),2)</f>
        <v>64.88</v>
      </c>
      <c r="AC286" s="29" t="s">
        <v>179</v>
      </c>
      <c r="AD286" s="14">
        <f>ROUND(IF(Q286=1,INDEX(新属性投放!$F$14:$F$34,卡牌属性!R286),INDEX(新属性投放!$F$42:$F$62,卡牌属性!R286))*INDEX($G$5:$G$42,L286)*SQRT(INDEX($I$5:$I$42,L286)),2)</f>
        <v>389.26</v>
      </c>
      <c r="AF286" s="14">
        <f t="shared" si="121"/>
        <v>1297</v>
      </c>
      <c r="AG286" s="14">
        <f t="shared" si="122"/>
        <v>648</v>
      </c>
      <c r="AH286" s="14">
        <f t="shared" si="123"/>
        <v>3892</v>
      </c>
      <c r="AJ286" s="14">
        <f t="shared" si="127"/>
        <v>5936</v>
      </c>
      <c r="AK286" s="14">
        <f t="shared" si="128"/>
        <v>2966</v>
      </c>
      <c r="AL286" s="14">
        <f t="shared" si="129"/>
        <v>17818</v>
      </c>
    </row>
    <row r="287" spans="11:38" ht="16.5" x14ac:dyDescent="0.2">
      <c r="K287" s="13">
        <v>284</v>
      </c>
      <c r="L287" s="13">
        <f t="shared" si="115"/>
        <v>14</v>
      </c>
      <c r="M287" s="13">
        <f t="shared" si="116"/>
        <v>3</v>
      </c>
      <c r="N287" s="14">
        <f t="shared" si="117"/>
        <v>1101014</v>
      </c>
      <c r="O287" s="14" t="str">
        <f t="shared" si="118"/>
        <v>吕仙宫11突</v>
      </c>
      <c r="P287" s="29" t="s">
        <v>470</v>
      </c>
      <c r="Q287" s="14">
        <f t="shared" si="119"/>
        <v>1</v>
      </c>
      <c r="R287" s="14">
        <f t="shared" si="120"/>
        <v>11</v>
      </c>
      <c r="S287" s="14" t="s">
        <v>39</v>
      </c>
      <c r="T287" s="14">
        <f>ROUND(((IF(Q287=1,INDEX(新属性投放!$J$14:$J$34,卡牌属性!R287),INDEX(新属性投放!$J$42:$J$62,卡牌属性!R287)))*INDEX($G$5:$G$42,L287)+IF(Q287=1,INDEX(新属性投放!R$20:R$23,卡牌属性!M287-1),INDEX(新属性投放!R$25:R$28,卡牌属性!M287-1)))/SQRT(INDEX($I$5:$I$42,L287)),2)</f>
        <v>6026.21</v>
      </c>
      <c r="U287" s="29" t="s">
        <v>178</v>
      </c>
      <c r="V287" s="14">
        <f>ROUND((IF(Q287=1,INDEX(新属性投放!$K$14:$K$34,卡牌属性!R287),INDEX(新属性投放!$K$42:$K$62,卡牌属性!R287))+IF(Q287=1,INDEX(新属性投放!S$20:S$23,卡牌属性!M287-1),INDEX(新属性投放!S$25:S$28,卡牌属性!M287-1)))*INDEX($G$5:$G$42,L287),2)</f>
        <v>2944.98</v>
      </c>
      <c r="W287" s="29" t="s">
        <v>179</v>
      </c>
      <c r="X287" s="14">
        <f>ROUND((IF(Q287=1,INDEX(新属性投放!$L$14:$L$34,卡牌属性!R287),INDEX(新属性投放!$L$42:$L$62,卡牌属性!R287))*INDEX($G$5:$G$42,L287)+IF(Q287=1,INDEX(新属性投放!T$20:T$23,卡牌属性!M287-1),INDEX(新属性投放!T$25:T$28,卡牌属性!M287-1)))*SQRT(INDEX($I$5:$I$42,L287)),2)</f>
        <v>18658.62</v>
      </c>
      <c r="Y287" s="29" t="s">
        <v>177</v>
      </c>
      <c r="Z287" s="14">
        <f>ROUND(IF(Q287=1,INDEX(新属性投放!$D$14:$D$34,卡牌属性!R287),INDEX(新属性投放!$D$42:$D$62,卡牌属性!R287))*INDEX($G$5:$G$42,L287)/SQRT(INDEX($I$5:$I$42,L287)),2)</f>
        <v>151.32</v>
      </c>
      <c r="AA287" s="29" t="s">
        <v>178</v>
      </c>
      <c r="AB287" s="14">
        <f>ROUND(IF(Q287=1,INDEX(新属性投放!$E$14:$E$34,卡牌属性!R287),INDEX(新属性投放!$E$42:$E$62,卡牌属性!R287))*INDEX($G$5:$G$42,L287),2)</f>
        <v>75.66</v>
      </c>
      <c r="AC287" s="29" t="s">
        <v>179</v>
      </c>
      <c r="AD287" s="14">
        <f>ROUND(IF(Q287=1,INDEX(新属性投放!$F$14:$F$34,卡牌属性!R287),INDEX(新属性投放!$F$42:$F$62,卡牌属性!R287))*INDEX($G$5:$G$42,L287)*SQRT(INDEX($I$5:$I$42,L287)),2)</f>
        <v>453.95</v>
      </c>
      <c r="AF287" s="14">
        <f t="shared" si="121"/>
        <v>1513</v>
      </c>
      <c r="AG287" s="14">
        <f t="shared" si="122"/>
        <v>756</v>
      </c>
      <c r="AH287" s="14">
        <f t="shared" si="123"/>
        <v>4539</v>
      </c>
      <c r="AJ287" s="14">
        <f t="shared" si="127"/>
        <v>7449</v>
      </c>
      <c r="AK287" s="14">
        <f t="shared" si="128"/>
        <v>3722</v>
      </c>
      <c r="AL287" s="14">
        <f t="shared" si="129"/>
        <v>22357</v>
      </c>
    </row>
    <row r="288" spans="11:38" ht="16.5" x14ac:dyDescent="0.2">
      <c r="K288" s="13">
        <v>285</v>
      </c>
      <c r="L288" s="13">
        <f t="shared" si="115"/>
        <v>14</v>
      </c>
      <c r="M288" s="13">
        <f t="shared" si="116"/>
        <v>3</v>
      </c>
      <c r="N288" s="14">
        <f t="shared" si="117"/>
        <v>1101014</v>
      </c>
      <c r="O288" s="14" t="str">
        <f t="shared" si="118"/>
        <v>吕仙宫12突</v>
      </c>
      <c r="P288" s="29" t="s">
        <v>470</v>
      </c>
      <c r="Q288" s="14">
        <f t="shared" si="119"/>
        <v>1</v>
      </c>
      <c r="R288" s="14">
        <f t="shared" si="120"/>
        <v>12</v>
      </c>
      <c r="S288" s="14" t="s">
        <v>39</v>
      </c>
      <c r="T288" s="14">
        <f>ROUND(((IF(Q288=1,INDEX(新属性投放!$J$14:$J$34,卡牌属性!R288),INDEX(新属性投放!$J$42:$J$62,卡牌属性!R288)))*INDEX($G$5:$G$42,L288)+IF(Q288=1,INDEX(新属性投放!R$20:R$23,卡牌属性!M288-1),INDEX(新属性投放!R$25:R$28,卡牌属性!M288-1)))/SQRT(INDEX($I$5:$I$42,L288)),2)</f>
        <v>6971.39</v>
      </c>
      <c r="U288" s="29" t="s">
        <v>178</v>
      </c>
      <c r="V288" s="14">
        <f>ROUND((IF(Q288=1,INDEX(新属性投放!$K$14:$K$34,卡牌属性!R288),INDEX(新属性投放!$K$42:$K$62,卡牌属性!R288))+IF(Q288=1,INDEX(新属性投放!S$20:S$23,卡牌属性!M288-1),INDEX(新属性投放!S$25:S$28,卡牌属性!M288-1)))*INDEX($G$5:$G$42,L288),2)</f>
        <v>3417.57</v>
      </c>
      <c r="W288" s="29" t="s">
        <v>179</v>
      </c>
      <c r="X288" s="14">
        <f>ROUND((IF(Q288=1,INDEX(新属性投放!$L$14:$L$34,卡牌属性!R288),INDEX(新属性投放!$L$42:$L$62,卡牌属性!R288))*INDEX($G$5:$G$42,L288)+IF(Q288=1,INDEX(新属性投放!T$20:T$23,卡牌属性!M288-1),INDEX(新属性投放!T$25:T$28,卡牌属性!M288-1)))*SQRT(INDEX($I$5:$I$42,L288)),2)</f>
        <v>21494.17</v>
      </c>
      <c r="Y288" s="29" t="s">
        <v>177</v>
      </c>
      <c r="Z288" s="14">
        <f>ROUND(IF(Q288=1,INDEX(新属性投放!$D$14:$D$34,卡牌属性!R288),INDEX(新属性投放!$D$42:$D$62,卡牌属性!R288))*INDEX($G$5:$G$42,L288)/SQRT(INDEX($I$5:$I$42,L288)),2)</f>
        <v>173.04</v>
      </c>
      <c r="AA288" s="29" t="s">
        <v>178</v>
      </c>
      <c r="AB288" s="14">
        <f>ROUND(IF(Q288=1,INDEX(新属性投放!$E$14:$E$34,卡牌属性!R288),INDEX(新属性投放!$E$42:$E$62,卡牌属性!R288))*INDEX($G$5:$G$42,L288),2)</f>
        <v>86.52</v>
      </c>
      <c r="AC288" s="29" t="s">
        <v>179</v>
      </c>
      <c r="AD288" s="14">
        <f>ROUND(IF(Q288=1,INDEX(新属性投放!$F$14:$F$34,卡牌属性!R288),INDEX(新属性投放!$F$42:$F$62,卡牌属性!R288))*INDEX($G$5:$G$42,L288)*SQRT(INDEX($I$5:$I$42,L288)),2)</f>
        <v>519.12</v>
      </c>
      <c r="AF288" s="14">
        <f t="shared" si="121"/>
        <v>1730</v>
      </c>
      <c r="AG288" s="14">
        <f t="shared" si="122"/>
        <v>865</v>
      </c>
      <c r="AH288" s="14">
        <f t="shared" si="123"/>
        <v>5191</v>
      </c>
      <c r="AJ288" s="14">
        <f t="shared" si="127"/>
        <v>9179</v>
      </c>
      <c r="AK288" s="14">
        <f t="shared" si="128"/>
        <v>4587</v>
      </c>
      <c r="AL288" s="14">
        <f t="shared" si="129"/>
        <v>27548</v>
      </c>
    </row>
    <row r="289" spans="11:38" ht="16.5" x14ac:dyDescent="0.2">
      <c r="K289" s="13">
        <v>286</v>
      </c>
      <c r="L289" s="13">
        <f t="shared" si="115"/>
        <v>14</v>
      </c>
      <c r="M289" s="13">
        <f t="shared" si="116"/>
        <v>3</v>
      </c>
      <c r="N289" s="14">
        <f t="shared" si="117"/>
        <v>1101014</v>
      </c>
      <c r="O289" s="14" t="str">
        <f t="shared" si="118"/>
        <v>吕仙宫13突</v>
      </c>
      <c r="P289" s="29" t="s">
        <v>470</v>
      </c>
      <c r="Q289" s="14">
        <f t="shared" si="119"/>
        <v>1</v>
      </c>
      <c r="R289" s="14">
        <f t="shared" si="120"/>
        <v>13</v>
      </c>
      <c r="S289" s="14" t="s">
        <v>39</v>
      </c>
      <c r="T289" s="14">
        <f>ROUND(((IF(Q289=1,INDEX(新属性投放!$J$14:$J$34,卡牌属性!R289),INDEX(新属性投放!$J$42:$J$62,卡牌属性!R289)))*INDEX($G$5:$G$42,L289)+IF(Q289=1,INDEX(新属性投放!R$20:R$23,卡牌属性!M289-1),INDEX(新属性投放!R$25:R$28,卡牌属性!M289-1)))/SQRT(INDEX($I$5:$I$42,L289)),2)</f>
        <v>8052.79</v>
      </c>
      <c r="U289" s="29" t="s">
        <v>178</v>
      </c>
      <c r="V289" s="14">
        <f>ROUND((IF(Q289=1,INDEX(新属性投放!$K$14:$K$34,卡牌属性!R289),INDEX(新属性投放!$K$42:$K$62,卡牌属性!R289))+IF(Q289=1,INDEX(新属性投放!S$20:S$23,卡牌属性!M289-1),INDEX(新属性投放!S$25:S$28,卡牌属性!M289-1)))*INDEX($G$5:$G$42,L289),2)</f>
        <v>3958.27</v>
      </c>
      <c r="W289" s="29" t="s">
        <v>179</v>
      </c>
      <c r="X289" s="14">
        <f>ROUND((IF(Q289=1,INDEX(新属性投放!$L$14:$L$34,卡牌属性!R289),INDEX(新属性投放!$L$42:$L$62,卡牌属性!R289))*INDEX($G$5:$G$42,L289)+IF(Q289=1,INDEX(新属性投放!T$20:T$23,卡牌属性!M289-1),INDEX(新属性投放!T$25:T$28,卡牌属性!M289-1)))*SQRT(INDEX($I$5:$I$42,L289)),2)</f>
        <v>24738.38</v>
      </c>
      <c r="Y289" s="29" t="s">
        <v>177</v>
      </c>
      <c r="Z289" s="14">
        <f>ROUND(IF(Q289=1,INDEX(新属性投放!$D$14:$D$34,卡牌属性!R289),INDEX(新属性投放!$D$42:$D$62,卡牌属性!R289))*INDEX($G$5:$G$42,L289)/SQRT(INDEX($I$5:$I$42,L289)),2)</f>
        <v>200.07</v>
      </c>
      <c r="AA289" s="29" t="s">
        <v>178</v>
      </c>
      <c r="AB289" s="14">
        <f>ROUND(IF(Q289=1,INDEX(新属性投放!$E$14:$E$34,卡牌属性!R289),INDEX(新属性投放!$E$42:$E$62,卡牌属性!R289))*INDEX($G$5:$G$42,L289),2)</f>
        <v>100.03</v>
      </c>
      <c r="AC289" s="29" t="s">
        <v>179</v>
      </c>
      <c r="AD289" s="14">
        <f>ROUND(IF(Q289=1,INDEX(新属性投放!$F$14:$F$34,卡牌属性!R289),INDEX(新属性投放!$F$42:$F$62,卡牌属性!R289))*INDEX($G$5:$G$42,L289)*SQRT(INDEX($I$5:$I$42,L289)),2)</f>
        <v>600.20000000000005</v>
      </c>
      <c r="AF289" s="14">
        <f t="shared" si="121"/>
        <v>2000</v>
      </c>
      <c r="AG289" s="14">
        <f t="shared" si="122"/>
        <v>1000</v>
      </c>
      <c r="AH289" s="14">
        <f t="shared" si="123"/>
        <v>6002</v>
      </c>
      <c r="AJ289" s="14">
        <f t="shared" si="127"/>
        <v>11179</v>
      </c>
      <c r="AK289" s="14">
        <f t="shared" si="128"/>
        <v>5587</v>
      </c>
      <c r="AL289" s="14">
        <f t="shared" si="129"/>
        <v>33550</v>
      </c>
    </row>
    <row r="290" spans="11:38" ht="16.5" x14ac:dyDescent="0.2">
      <c r="K290" s="13">
        <v>287</v>
      </c>
      <c r="L290" s="13">
        <f t="shared" si="115"/>
        <v>14</v>
      </c>
      <c r="M290" s="13">
        <f t="shared" si="116"/>
        <v>3</v>
      </c>
      <c r="N290" s="14">
        <f t="shared" si="117"/>
        <v>1101014</v>
      </c>
      <c r="O290" s="14" t="str">
        <f t="shared" si="118"/>
        <v>吕仙宫14突</v>
      </c>
      <c r="P290" s="29" t="s">
        <v>470</v>
      </c>
      <c r="Q290" s="14">
        <f t="shared" si="119"/>
        <v>1</v>
      </c>
      <c r="R290" s="14">
        <f t="shared" si="120"/>
        <v>14</v>
      </c>
      <c r="S290" s="14" t="s">
        <v>39</v>
      </c>
      <c r="T290" s="14">
        <f>ROUND(((IF(Q290=1,INDEX(新属性投放!$J$14:$J$34,卡牌属性!R290),INDEX(新属性投放!$J$42:$J$62,卡牌属性!R290)))*INDEX($G$5:$G$42,L290)+IF(Q290=1,INDEX(新属性投放!R$20:R$23,卡牌属性!M290-1),INDEX(新属性投放!R$25:R$28,卡牌属性!M290-1)))/SQRT(INDEX($I$5:$I$42,L290)),2)</f>
        <v>9302.67</v>
      </c>
      <c r="U290" s="29" t="s">
        <v>178</v>
      </c>
      <c r="V290" s="14">
        <f>ROUND((IF(Q290=1,INDEX(新属性投放!$K$14:$K$34,卡牌属性!R290),INDEX(新属性投放!$K$42:$K$62,卡牌属性!R290))+IF(Q290=1,INDEX(新属性投放!S$20:S$23,卡牌属性!M290-1),INDEX(新属性投放!S$25:S$28,卡牌属性!M290-1)))*INDEX($G$5:$G$42,L290),2)</f>
        <v>4583.79</v>
      </c>
      <c r="W290" s="29" t="s">
        <v>179</v>
      </c>
      <c r="X290" s="14">
        <f>ROUND((IF(Q290=1,INDEX(新属性投放!$L$14:$L$34,卡牌属性!R290),INDEX(新属性投放!$L$42:$L$62,卡牌属性!R290))*INDEX($G$5:$G$42,L290)+IF(Q290=1,INDEX(新属性投放!T$20:T$23,卡牌属性!M290-1),INDEX(新属性投放!T$25:T$28,卡牌属性!M290-1)))*SQRT(INDEX($I$5:$I$42,L290)),2)</f>
        <v>28488.01</v>
      </c>
      <c r="Y290" s="29" t="s">
        <v>177</v>
      </c>
      <c r="Z290" s="14">
        <f>ROUND(IF(Q290=1,INDEX(新属性投放!$D$14:$D$34,卡牌属性!R290),INDEX(新属性投放!$D$42:$D$62,卡牌属性!R290))*INDEX($G$5:$G$42,L290)/SQRT(INDEX($I$5:$I$42,L290)),2)</f>
        <v>231.32</v>
      </c>
      <c r="AA290" s="29" t="s">
        <v>178</v>
      </c>
      <c r="AB290" s="14">
        <f>ROUND(IF(Q290=1,INDEX(新属性投放!$E$14:$E$34,卡牌属性!R290),INDEX(新属性投放!$E$42:$E$62,卡牌属性!R290))*INDEX($G$5:$G$42,L290),2)</f>
        <v>115.66</v>
      </c>
      <c r="AC290" s="29" t="s">
        <v>179</v>
      </c>
      <c r="AD290" s="14">
        <f>ROUND(IF(Q290=1,INDEX(新属性投放!$F$14:$F$34,卡牌属性!R290),INDEX(新属性投放!$F$42:$F$62,卡牌属性!R290))*INDEX($G$5:$G$42,L290)*SQRT(INDEX($I$5:$I$42,L290)),2)</f>
        <v>693.97</v>
      </c>
      <c r="AF290" s="14">
        <f t="shared" si="121"/>
        <v>2313</v>
      </c>
      <c r="AG290" s="14">
        <f t="shared" si="122"/>
        <v>1156</v>
      </c>
      <c r="AH290" s="14">
        <f t="shared" si="123"/>
        <v>6939</v>
      </c>
      <c r="AJ290" s="14">
        <f t="shared" si="127"/>
        <v>13492</v>
      </c>
      <c r="AK290" s="14">
        <f t="shared" si="128"/>
        <v>6743</v>
      </c>
      <c r="AL290" s="14">
        <f t="shared" si="129"/>
        <v>40489</v>
      </c>
    </row>
    <row r="291" spans="11:38" ht="16.5" x14ac:dyDescent="0.2">
      <c r="K291" s="13">
        <v>288</v>
      </c>
      <c r="L291" s="13">
        <f t="shared" si="115"/>
        <v>14</v>
      </c>
      <c r="M291" s="13">
        <f t="shared" si="116"/>
        <v>3</v>
      </c>
      <c r="N291" s="14">
        <f t="shared" si="117"/>
        <v>1101014</v>
      </c>
      <c r="O291" s="14" t="str">
        <f t="shared" si="118"/>
        <v>吕仙宫15突</v>
      </c>
      <c r="P291" s="29" t="s">
        <v>470</v>
      </c>
      <c r="Q291" s="14">
        <f t="shared" si="119"/>
        <v>1</v>
      </c>
      <c r="R291" s="14">
        <f t="shared" si="120"/>
        <v>15</v>
      </c>
      <c r="S291" s="14" t="s">
        <v>39</v>
      </c>
      <c r="T291" s="14">
        <f>ROUND(((IF(Q291=1,INDEX(新属性投放!$J$14:$J$34,卡牌属性!R291),INDEX(新属性投放!$J$42:$J$62,卡牌属性!R291)))*INDEX($G$5:$G$42,L291)+IF(Q291=1,INDEX(新属性投放!R$20:R$23,卡牌属性!M291-1),INDEX(新属性投放!R$25:R$28,卡牌属性!M291-1)))/SQRT(INDEX($I$5:$I$42,L291)),2)</f>
        <v>10747.93</v>
      </c>
      <c r="U291" s="29" t="s">
        <v>178</v>
      </c>
      <c r="V291" s="14">
        <f>ROUND((IF(Q291=1,INDEX(新属性投放!$K$14:$K$34,卡牌属性!R291),INDEX(新属性投放!$K$42:$K$62,卡牌属性!R291))+IF(Q291=1,INDEX(新属性投放!S$20:S$23,卡牌属性!M291-1),INDEX(新属性投放!S$25:S$28,卡牌属性!M291-1)))*INDEX($G$5:$G$42,L291),2)</f>
        <v>5306.99</v>
      </c>
      <c r="W291" s="29" t="s">
        <v>179</v>
      </c>
      <c r="X291" s="14">
        <f>ROUND((IF(Q291=1,INDEX(新属性投放!$L$14:$L$34,卡牌属性!R291),INDEX(新属性投放!$L$42:$L$62,卡牌属性!R291))*INDEX($G$5:$G$42,L291)+IF(Q291=1,INDEX(新属性投放!T$20:T$23,卡牌属性!M291-1),INDEX(新属性投放!T$25:T$28,卡牌属性!M291-1)))*SQRT(INDEX($I$5:$I$42,L291)),2)</f>
        <v>32823.800000000003</v>
      </c>
      <c r="Y291" s="29" t="s">
        <v>177</v>
      </c>
      <c r="Z291" s="14">
        <f>ROUND(IF(Q291=1,INDEX(新属性投放!$D$14:$D$34,卡牌属性!R291),INDEX(新属性投放!$D$42:$D$62,卡牌属性!R291))*INDEX($G$5:$G$42,L291)/SQRT(INDEX($I$5:$I$42,L291)),2)</f>
        <v>267.44</v>
      </c>
      <c r="AA291" s="29" t="s">
        <v>178</v>
      </c>
      <c r="AB291" s="14">
        <f>ROUND(IF(Q291=1,INDEX(新属性投放!$E$14:$E$34,卡牌属性!R291),INDEX(新属性投放!$E$42:$E$62,卡牌属性!R291))*INDEX($G$5:$G$42,L291),2)</f>
        <v>133.72</v>
      </c>
      <c r="AC291" s="29" t="s">
        <v>179</v>
      </c>
      <c r="AD291" s="14">
        <f>ROUND(IF(Q291=1,INDEX(新属性投放!$F$14:$F$34,卡牌属性!R291),INDEX(新属性投放!$F$42:$F$62,卡牌属性!R291))*INDEX($G$5:$G$42,L291)*SQRT(INDEX($I$5:$I$42,L291)),2)</f>
        <v>802.33</v>
      </c>
      <c r="AF291" s="14">
        <f t="shared" si="121"/>
        <v>2674</v>
      </c>
      <c r="AG291" s="14">
        <f t="shared" si="122"/>
        <v>1337</v>
      </c>
      <c r="AH291" s="14">
        <f t="shared" si="123"/>
        <v>8023</v>
      </c>
      <c r="AJ291" s="14">
        <f t="shared" si="127"/>
        <v>16166</v>
      </c>
      <c r="AK291" s="14">
        <f t="shared" si="128"/>
        <v>8080</v>
      </c>
      <c r="AL291" s="14">
        <f t="shared" si="129"/>
        <v>48512</v>
      </c>
    </row>
    <row r="292" spans="11:38" ht="16.5" x14ac:dyDescent="0.2">
      <c r="K292" s="13">
        <v>289</v>
      </c>
      <c r="L292" s="13">
        <f t="shared" si="115"/>
        <v>14</v>
      </c>
      <c r="M292" s="13">
        <f t="shared" si="116"/>
        <v>3</v>
      </c>
      <c r="N292" s="14">
        <f t="shared" si="117"/>
        <v>1101014</v>
      </c>
      <c r="O292" s="14" t="str">
        <f t="shared" si="118"/>
        <v>吕仙宫16突</v>
      </c>
      <c r="P292" s="29" t="s">
        <v>470</v>
      </c>
      <c r="Q292" s="14">
        <f t="shared" si="119"/>
        <v>1</v>
      </c>
      <c r="R292" s="14">
        <f t="shared" si="120"/>
        <v>16</v>
      </c>
      <c r="S292" s="14" t="s">
        <v>39</v>
      </c>
      <c r="T292" s="14">
        <f>ROUND(((IF(Q292=1,INDEX(新属性投放!$J$14:$J$34,卡牌属性!R292),INDEX(新属性投放!$J$42:$J$62,卡牌属性!R292)))*INDEX($G$5:$G$42,L292)+IF(Q292=1,INDEX(新属性投放!R$20:R$23,卡牌属性!M292-1),INDEX(新属性投放!R$25:R$28,卡牌属性!M292-1)))/SQRT(INDEX($I$5:$I$42,L292)),2)</f>
        <v>12419.8</v>
      </c>
      <c r="U292" s="29" t="s">
        <v>178</v>
      </c>
      <c r="V292" s="14">
        <f>ROUND((IF(Q292=1,INDEX(新属性投放!$K$14:$K$34,卡牌属性!R292),INDEX(新属性投放!$K$42:$K$62,卡牌属性!R292))+IF(Q292=1,INDEX(新属性投放!S$20:S$23,卡牌属性!M292-1),INDEX(新属性投放!S$25:S$28,卡牌属性!M292-1)))*INDEX($G$5:$G$42,L292),2)</f>
        <v>6142.35</v>
      </c>
      <c r="W292" s="29" t="s">
        <v>179</v>
      </c>
      <c r="X292" s="14">
        <f>ROUND((IF(Q292=1,INDEX(新属性投放!$L$14:$L$34,卡牌属性!R292),INDEX(新属性投放!$L$42:$L$62,卡牌属性!R292))*INDEX($G$5:$G$42,L292)+IF(Q292=1,INDEX(新属性投放!T$20:T$23,卡牌属性!M292-1),INDEX(新属性投放!T$25:T$28,卡牌属性!M292-1)))*SQRT(INDEX($I$5:$I$42,L292)),2)</f>
        <v>37839.410000000003</v>
      </c>
      <c r="Y292" s="29" t="s">
        <v>177</v>
      </c>
      <c r="Z292" s="14">
        <f>ROUND(IF(Q292=1,INDEX(新属性投放!$D$14:$D$34,卡牌属性!R292),INDEX(新属性投放!$D$42:$D$62,卡牌属性!R292))*INDEX($G$5:$G$42,L292)/SQRT(INDEX($I$5:$I$42,L292)),2)</f>
        <v>309.25</v>
      </c>
      <c r="AA292" s="29" t="s">
        <v>178</v>
      </c>
      <c r="AB292" s="14">
        <f>ROUND(IF(Q292=1,INDEX(新属性投放!$E$14:$E$34,卡牌属性!R292),INDEX(新属性投放!$E$42:$E$62,卡牌属性!R292))*INDEX($G$5:$G$42,L292),2)</f>
        <v>154.62</v>
      </c>
      <c r="AC292" s="29" t="s">
        <v>179</v>
      </c>
      <c r="AD292" s="14">
        <f>ROUND(IF(Q292=1,INDEX(新属性投放!$F$14:$F$34,卡牌属性!R292),INDEX(新属性投放!$F$42:$F$62,卡牌属性!R292))*INDEX($G$5:$G$42,L292)*SQRT(INDEX($I$5:$I$42,L292)),2)</f>
        <v>927.74</v>
      </c>
      <c r="AF292" s="14">
        <f t="shared" si="121"/>
        <v>3092</v>
      </c>
      <c r="AG292" s="14">
        <f t="shared" si="122"/>
        <v>1546</v>
      </c>
      <c r="AH292" s="14">
        <f t="shared" si="123"/>
        <v>9277</v>
      </c>
      <c r="AJ292" s="14">
        <f t="shared" si="127"/>
        <v>19258</v>
      </c>
      <c r="AK292" s="14">
        <f t="shared" si="128"/>
        <v>9626</v>
      </c>
      <c r="AL292" s="14">
        <f t="shared" si="129"/>
        <v>57789</v>
      </c>
    </row>
    <row r="293" spans="11:38" ht="16.5" x14ac:dyDescent="0.2">
      <c r="K293" s="13">
        <v>290</v>
      </c>
      <c r="L293" s="13">
        <f t="shared" si="115"/>
        <v>14</v>
      </c>
      <c r="M293" s="13">
        <f t="shared" si="116"/>
        <v>3</v>
      </c>
      <c r="N293" s="14">
        <f t="shared" si="117"/>
        <v>1101014</v>
      </c>
      <c r="O293" s="14" t="str">
        <f t="shared" si="118"/>
        <v>吕仙宫17突</v>
      </c>
      <c r="P293" s="29" t="s">
        <v>470</v>
      </c>
      <c r="Q293" s="14">
        <f t="shared" si="119"/>
        <v>1</v>
      </c>
      <c r="R293" s="14">
        <f t="shared" si="120"/>
        <v>17</v>
      </c>
      <c r="S293" s="14" t="s">
        <v>39</v>
      </c>
      <c r="T293" s="14">
        <f>ROUND(((IF(Q293=1,INDEX(新属性投放!$J$14:$J$34,卡牌属性!R293),INDEX(新属性投放!$J$42:$J$62,卡牌属性!R293)))*INDEX($G$5:$G$42,L293)+IF(Q293=1,INDEX(新属性投放!R$20:R$23,卡牌属性!M293-1),INDEX(新属性投放!R$25:R$28,卡牌属性!M293-1)))/SQRT(INDEX($I$5:$I$42,L293)),2)</f>
        <v>14352.44</v>
      </c>
      <c r="U293" s="29" t="s">
        <v>178</v>
      </c>
      <c r="V293" s="14">
        <f>ROUND((IF(Q293=1,INDEX(新属性投放!$K$14:$K$34,卡牌属性!R293),INDEX(新属性投放!$K$42:$K$62,卡牌属性!R293))+IF(Q293=1,INDEX(新属性投放!S$20:S$23,卡牌属性!M293-1),INDEX(新属性投放!S$25:S$28,卡牌属性!M293-1)))*INDEX($G$5:$G$42,L293),2)</f>
        <v>7108.67</v>
      </c>
      <c r="W293" s="29" t="s">
        <v>179</v>
      </c>
      <c r="X293" s="14">
        <f>ROUND((IF(Q293=1,INDEX(新属性投放!$L$14:$L$34,卡牌属性!R293),INDEX(新属性投放!$L$42:$L$62,卡牌属性!R293))*INDEX($G$5:$G$42,L293)+IF(Q293=1,INDEX(新属性投放!T$20:T$23,卡牌属性!M293-1),INDEX(新属性投放!T$25:T$28,卡牌属性!M293-1)))*SQRT(INDEX($I$5:$I$42,L293)),2)</f>
        <v>43637.31</v>
      </c>
      <c r="Y293" s="29" t="s">
        <v>177</v>
      </c>
      <c r="Z293" s="14">
        <f>ROUND(IF(Q293=1,INDEX(新属性投放!$D$14:$D$34,卡牌属性!R293),INDEX(新属性投放!$D$42:$D$62,卡牌属性!R293))*INDEX($G$5:$G$42,L293)/SQRT(INDEX($I$5:$I$42,L293)),2)</f>
        <v>357.56</v>
      </c>
      <c r="AA293" s="29" t="s">
        <v>178</v>
      </c>
      <c r="AB293" s="14">
        <f>ROUND(IF(Q293=1,INDEX(新属性投放!$E$14:$E$34,卡牌属性!R293),INDEX(新属性投放!$E$42:$E$62,卡牌属性!R293))*INDEX($G$5:$G$42,L293),2)</f>
        <v>178.78</v>
      </c>
      <c r="AC293" s="29" t="s">
        <v>179</v>
      </c>
      <c r="AD293" s="14">
        <f>ROUND(IF(Q293=1,INDEX(新属性投放!$F$14:$F$34,卡牌属性!R293),INDEX(新属性投放!$F$42:$F$62,卡牌属性!R293))*INDEX($G$5:$G$42,L293)*SQRT(INDEX($I$5:$I$42,L293)),2)</f>
        <v>1072.67</v>
      </c>
      <c r="AF293" s="14">
        <f t="shared" si="121"/>
        <v>3575</v>
      </c>
      <c r="AG293" s="14">
        <f t="shared" si="122"/>
        <v>1787</v>
      </c>
      <c r="AH293" s="14">
        <f t="shared" si="123"/>
        <v>10726</v>
      </c>
      <c r="AJ293" s="14">
        <f t="shared" si="127"/>
        <v>22833</v>
      </c>
      <c r="AK293" s="14">
        <f t="shared" si="128"/>
        <v>11413</v>
      </c>
      <c r="AL293" s="14">
        <f t="shared" si="129"/>
        <v>68515</v>
      </c>
    </row>
    <row r="294" spans="11:38" ht="16.5" x14ac:dyDescent="0.2">
      <c r="K294" s="13">
        <v>291</v>
      </c>
      <c r="L294" s="13">
        <f t="shared" si="115"/>
        <v>14</v>
      </c>
      <c r="M294" s="13">
        <f t="shared" si="116"/>
        <v>3</v>
      </c>
      <c r="N294" s="14">
        <f t="shared" si="117"/>
        <v>1101014</v>
      </c>
      <c r="O294" s="14" t="str">
        <f t="shared" si="118"/>
        <v>吕仙宫18突</v>
      </c>
      <c r="P294" s="29" t="s">
        <v>470</v>
      </c>
      <c r="Q294" s="14">
        <f t="shared" si="119"/>
        <v>1</v>
      </c>
      <c r="R294" s="14">
        <f t="shared" si="120"/>
        <v>18</v>
      </c>
      <c r="S294" s="14" t="s">
        <v>39</v>
      </c>
      <c r="T294" s="14">
        <f>ROUND(((IF(Q294=1,INDEX(新属性投放!$J$14:$J$34,卡牌属性!R294),INDEX(新属性投放!$J$42:$J$62,卡牌属性!R294)))*INDEX($G$5:$G$42,L294)+IF(Q294=1,INDEX(新属性投放!R$20:R$23,卡牌属性!M294-1),INDEX(新属性投放!R$25:R$28,卡牌属性!M294-1)))/SQRT(INDEX($I$5:$I$42,L294)),2)</f>
        <v>16587.580000000002</v>
      </c>
      <c r="U294" s="29" t="s">
        <v>178</v>
      </c>
      <c r="V294" s="14">
        <f>ROUND((IF(Q294=1,INDEX(新属性投放!$K$14:$K$34,卡牌属性!R294),INDEX(新属性投放!$K$42:$K$62,卡牌属性!R294))+IF(Q294=1,INDEX(新属性投放!S$20:S$23,卡牌属性!M294-1),INDEX(新属性投放!S$25:S$28,卡牌属性!M294-1)))*INDEX($G$5:$G$42,L294),2)</f>
        <v>8225.66</v>
      </c>
      <c r="W294" s="29" t="s">
        <v>179</v>
      </c>
      <c r="X294" s="14">
        <f>ROUND((IF(Q294=1,INDEX(新属性投放!$L$14:$L$34,卡牌属性!R294),INDEX(新属性投放!$L$42:$L$62,卡牌属性!R294))*INDEX($G$5:$G$42,L294)+IF(Q294=1,INDEX(新属性投放!T$20:T$23,卡牌属性!M294-1),INDEX(新属性投放!T$25:T$28,卡牌属性!M294-1)))*SQRT(INDEX($I$5:$I$42,L294)),2)</f>
        <v>50342.73</v>
      </c>
      <c r="Y294" s="29" t="s">
        <v>177</v>
      </c>
      <c r="Z294" s="14">
        <f>ROUND(IF(Q294=1,INDEX(新属性投放!$D$14:$D$34,卡牌属性!R294),INDEX(新属性投放!$D$42:$D$62,卡牌属性!R294))*INDEX($G$5:$G$42,L294)/SQRT(INDEX($I$5:$I$42,L294)),2)</f>
        <v>413.44</v>
      </c>
      <c r="AA294" s="29" t="s">
        <v>178</v>
      </c>
      <c r="AB294" s="14">
        <f>ROUND(IF(Q294=1,INDEX(新属性投放!$E$14:$E$34,卡牌属性!R294),INDEX(新属性投放!$E$42:$E$62,卡牌属性!R294))*INDEX($G$5:$G$42,L294),2)</f>
        <v>206.72</v>
      </c>
      <c r="AC294" s="29" t="s">
        <v>179</v>
      </c>
      <c r="AD294" s="14">
        <f>ROUND(IF(Q294=1,INDEX(新属性投放!$F$14:$F$34,卡牌属性!R294),INDEX(新属性投放!$F$42:$F$62,卡牌属性!R294))*INDEX($G$5:$G$42,L294)*SQRT(INDEX($I$5:$I$42,L294)),2)</f>
        <v>1240.31</v>
      </c>
      <c r="AF294" s="14">
        <f t="shared" si="121"/>
        <v>4134</v>
      </c>
      <c r="AG294" s="14">
        <f t="shared" si="122"/>
        <v>2067</v>
      </c>
      <c r="AH294" s="14">
        <f t="shared" si="123"/>
        <v>12403</v>
      </c>
      <c r="AJ294" s="14">
        <f t="shared" si="127"/>
        <v>26967</v>
      </c>
      <c r="AK294" s="14">
        <f t="shared" si="128"/>
        <v>13480</v>
      </c>
      <c r="AL294" s="14">
        <f t="shared" si="129"/>
        <v>80918</v>
      </c>
    </row>
    <row r="295" spans="11:38" ht="16.5" x14ac:dyDescent="0.2">
      <c r="K295" s="13">
        <v>292</v>
      </c>
      <c r="L295" s="13">
        <f t="shared" si="115"/>
        <v>14</v>
      </c>
      <c r="M295" s="13">
        <f t="shared" si="116"/>
        <v>3</v>
      </c>
      <c r="N295" s="14">
        <f t="shared" si="117"/>
        <v>1101014</v>
      </c>
      <c r="O295" s="14" t="str">
        <f t="shared" si="118"/>
        <v>吕仙宫19突</v>
      </c>
      <c r="P295" s="29" t="s">
        <v>470</v>
      </c>
      <c r="Q295" s="14">
        <f t="shared" si="119"/>
        <v>1</v>
      </c>
      <c r="R295" s="14">
        <f t="shared" si="120"/>
        <v>19</v>
      </c>
      <c r="S295" s="14" t="s">
        <v>39</v>
      </c>
      <c r="T295" s="14">
        <f>ROUND(((IF(Q295=1,INDEX(新属性投放!$J$14:$J$34,卡牌属性!R295),INDEX(新属性投放!$J$42:$J$62,卡牌属性!R295)))*INDEX($G$5:$G$42,L295)+IF(Q295=1,INDEX(新属性投放!R$20:R$23,卡牌属性!M295-1),INDEX(新属性投放!R$25:R$28,卡牌属性!M295-1)))/SQRT(INDEX($I$5:$I$42,L295)),2)</f>
        <v>19171.11</v>
      </c>
      <c r="U295" s="29" t="s">
        <v>178</v>
      </c>
      <c r="V295" s="14">
        <f>ROUND((IF(Q295=1,INDEX(新属性投放!$K$14:$K$34,卡牌属性!R295),INDEX(新属性投放!$K$42:$K$62,卡牌属性!R295))+IF(Q295=1,INDEX(新属性投放!S$20:S$23,卡牌属性!M295-1),INDEX(新属性投放!S$25:S$28,卡牌属性!M295-1)))*INDEX($G$5:$G$42,L295),2)</f>
        <v>9518</v>
      </c>
      <c r="W295" s="29" t="s">
        <v>179</v>
      </c>
      <c r="X295" s="14">
        <f>ROUND((IF(Q295=1,INDEX(新属性投放!$L$14:$L$34,卡牌属性!R295),INDEX(新属性投放!$L$42:$L$62,卡牌属性!R295))*INDEX($G$5:$G$42,L295)+IF(Q295=1,INDEX(新属性投放!T$20:T$23,卡牌属性!M295-1),INDEX(新属性投放!T$25:T$28,卡牌属性!M295-1)))*SQRT(INDEX($I$5:$I$42,L295)),2)</f>
        <v>58093.32</v>
      </c>
      <c r="Y295" s="29" t="s">
        <v>177</v>
      </c>
      <c r="Z295" s="14">
        <f>ROUND(IF(Q295=1,INDEX(新属性投放!$D$14:$D$34,卡牌属性!R295),INDEX(新属性投放!$D$42:$D$62,卡牌属性!R295))*INDEX($G$5:$G$42,L295)/SQRT(INDEX($I$5:$I$42,L295)),2)</f>
        <v>478.03</v>
      </c>
      <c r="AA295" s="29" t="s">
        <v>178</v>
      </c>
      <c r="AB295" s="14">
        <f>ROUND(IF(Q295=1,INDEX(新属性投放!$E$14:$E$34,卡牌属性!R295),INDEX(新属性投放!$E$42:$E$62,卡牌属性!R295))*INDEX($G$5:$G$42,L295),2)</f>
        <v>239.02</v>
      </c>
      <c r="AC295" s="29" t="s">
        <v>179</v>
      </c>
      <c r="AD295" s="14">
        <f>ROUND(IF(Q295=1,INDEX(新属性投放!$F$14:$F$34,卡牌属性!R295),INDEX(新属性投放!$F$42:$F$62,卡牌属性!R295))*INDEX($G$5:$G$42,L295)*SQRT(INDEX($I$5:$I$42,L295)),2)</f>
        <v>1434.1</v>
      </c>
      <c r="AF295" s="14">
        <f t="shared" si="121"/>
        <v>4780</v>
      </c>
      <c r="AG295" s="14">
        <f t="shared" si="122"/>
        <v>2390</v>
      </c>
      <c r="AH295" s="14">
        <f t="shared" si="123"/>
        <v>14341</v>
      </c>
      <c r="AJ295" s="14">
        <f t="shared" si="127"/>
        <v>31747</v>
      </c>
      <c r="AK295" s="14">
        <f t="shared" si="128"/>
        <v>15870</v>
      </c>
      <c r="AL295" s="14">
        <f t="shared" si="129"/>
        <v>95259</v>
      </c>
    </row>
    <row r="296" spans="11:38" ht="16.5" x14ac:dyDescent="0.2">
      <c r="K296" s="13">
        <v>293</v>
      </c>
      <c r="L296" s="13">
        <f t="shared" si="115"/>
        <v>14</v>
      </c>
      <c r="M296" s="13">
        <f t="shared" si="116"/>
        <v>3</v>
      </c>
      <c r="N296" s="14">
        <f t="shared" si="117"/>
        <v>1101014</v>
      </c>
      <c r="O296" s="14" t="str">
        <f t="shared" si="118"/>
        <v>吕仙宫20突</v>
      </c>
      <c r="P296" s="29" t="s">
        <v>470</v>
      </c>
      <c r="Q296" s="14">
        <f t="shared" si="119"/>
        <v>1</v>
      </c>
      <c r="R296" s="14">
        <f t="shared" si="120"/>
        <v>20</v>
      </c>
      <c r="S296" s="14" t="s">
        <v>39</v>
      </c>
      <c r="T296" s="14">
        <f>ROUND(((IF(Q296=1,INDEX(新属性投放!$J$14:$J$34,卡牌属性!R296),INDEX(新属性投放!$J$42:$J$62,卡牌属性!R296)))*INDEX($G$5:$G$42,L296)+IF(Q296=1,INDEX(新属性投放!R$20:R$23,卡牌属性!M296-1),INDEX(新属性投放!R$25:R$28,卡牌属性!M296-1)))/SQRT(INDEX($I$5:$I$42,L296)),2)</f>
        <v>22159.27</v>
      </c>
      <c r="U296" s="29" t="s">
        <v>178</v>
      </c>
      <c r="V296" s="14">
        <f>ROUND((IF(Q296=1,INDEX(新属性投放!$K$14:$K$34,卡牌属性!R296),INDEX(新属性投放!$K$42:$K$62,卡牌属性!R296))+IF(Q296=1,INDEX(新属性投放!S$20:S$23,卡牌属性!M296-1),INDEX(新属性投放!S$25:S$28,卡牌属性!M296-1)))*INDEX($G$5:$G$42,L296),2)</f>
        <v>11012.08</v>
      </c>
      <c r="W296" s="29" t="s">
        <v>179</v>
      </c>
      <c r="X296" s="14">
        <f>ROUND((IF(Q296=1,INDEX(新属性投放!$L$14:$L$34,卡牌属性!R296),INDEX(新属性投放!$L$42:$L$62,卡牌属性!R296))*INDEX($G$5:$G$42,L296)+IF(Q296=1,INDEX(新属性投放!T$20:T$23,卡牌属性!M296-1),INDEX(新属性投放!T$25:T$28,卡牌属性!M296-1)))*SQRT(INDEX($I$5:$I$42,L296)),2)</f>
        <v>67057.8</v>
      </c>
      <c r="Y296" s="29" t="s">
        <v>177</v>
      </c>
      <c r="Z296" s="14">
        <f>ROUND(IF(Q296=1,INDEX(新属性投放!$D$14:$D$34,卡牌属性!R296),INDEX(新属性投放!$D$42:$D$62,卡牌属性!R296))*INDEX($G$5:$G$42,L296)/SQRT(INDEX($I$5:$I$42,L296)),2)</f>
        <v>552.74</v>
      </c>
      <c r="AA296" s="29" t="s">
        <v>178</v>
      </c>
      <c r="AB296" s="14">
        <f>ROUND(IF(Q296=1,INDEX(新属性投放!$E$14:$E$34,卡牌属性!R296),INDEX(新属性投放!$E$42:$E$62,卡牌属性!R296))*INDEX($G$5:$G$42,L296),2)</f>
        <v>276.37</v>
      </c>
      <c r="AC296" s="29" t="s">
        <v>179</v>
      </c>
      <c r="AD296" s="14">
        <f>ROUND(IF(Q296=1,INDEX(新属性投放!$F$14:$F$34,卡牌属性!R296),INDEX(新属性投放!$F$42:$F$62,卡牌属性!R296))*INDEX($G$5:$G$42,L296)*SQRT(INDEX($I$5:$I$42,L296)),2)</f>
        <v>1658.21</v>
      </c>
      <c r="AF296" s="14">
        <f t="shared" si="121"/>
        <v>5527</v>
      </c>
      <c r="AG296" s="14">
        <f t="shared" si="122"/>
        <v>2763</v>
      </c>
      <c r="AH296" s="14">
        <f t="shared" si="123"/>
        <v>16582</v>
      </c>
      <c r="AJ296" s="14">
        <f t="shared" si="127"/>
        <v>37274</v>
      </c>
      <c r="AK296" s="14">
        <f t="shared" si="128"/>
        <v>18633</v>
      </c>
      <c r="AL296" s="14">
        <f t="shared" si="129"/>
        <v>111841</v>
      </c>
    </row>
    <row r="297" spans="11:38" ht="16.5" x14ac:dyDescent="0.2">
      <c r="K297" s="13">
        <v>294</v>
      </c>
      <c r="L297" s="13">
        <f t="shared" si="115"/>
        <v>14</v>
      </c>
      <c r="M297" s="13">
        <f t="shared" si="116"/>
        <v>3</v>
      </c>
      <c r="N297" s="14">
        <f t="shared" si="117"/>
        <v>1101014</v>
      </c>
      <c r="O297" s="14" t="str">
        <f t="shared" si="118"/>
        <v>吕仙宫21突</v>
      </c>
      <c r="P297" s="29" t="s">
        <v>470</v>
      </c>
      <c r="Q297" s="14">
        <f t="shared" si="119"/>
        <v>1</v>
      </c>
      <c r="R297" s="14">
        <f t="shared" si="120"/>
        <v>21</v>
      </c>
      <c r="S297" s="14" t="s">
        <v>39</v>
      </c>
      <c r="T297" s="14">
        <f>ROUND(((IF(Q297=1,INDEX(新属性投放!$J$14:$J$34,卡牌属性!R297),INDEX(新属性投放!$J$42:$J$62,卡牌属性!R297)))*INDEX($G$5:$G$42,L297)+IF(Q297=1,INDEX(新属性投放!R$20:R$23,卡牌属性!M297-1),INDEX(新属性投放!R$25:R$28,卡牌属性!M297-1)))/SQRT(INDEX($I$5:$I$42,L297)),2)</f>
        <v>25614.1</v>
      </c>
      <c r="U297" s="29" t="s">
        <v>178</v>
      </c>
      <c r="V297" s="14">
        <f>ROUND((IF(Q297=1,INDEX(新属性投放!$K$14:$K$34,卡牌属性!R297),INDEX(新属性投放!$K$42:$K$62,卡牌属性!R297))+IF(Q297=1,INDEX(新属性投放!S$20:S$23,卡牌属性!M297-1),INDEX(新属性投放!S$25:S$28,卡牌属性!M297-1)))*INDEX($G$5:$G$42,L297),2)</f>
        <v>12738.92</v>
      </c>
      <c r="W297" s="29" t="s">
        <v>179</v>
      </c>
      <c r="X297" s="14">
        <f>ROUND((IF(Q297=1,INDEX(新属性投放!$L$14:$L$34,卡牌属性!R297),INDEX(新属性投放!$L$42:$L$62,卡牌属性!R297))*INDEX($G$5:$G$42,L297)+IF(Q297=1,INDEX(新属性投放!T$20:T$23,卡牌属性!M297-1),INDEX(新属性投放!T$25:T$28,卡牌属性!M297-1)))*SQRT(INDEX($I$5:$I$42,L297)),2)</f>
        <v>77422.289999999994</v>
      </c>
      <c r="Y297" s="29" t="s">
        <v>177</v>
      </c>
      <c r="Z297" s="14">
        <f>ROUND(IF(Q297=1,INDEX(新属性投放!$D$14:$D$34,卡牌属性!R297),INDEX(新属性投放!$D$42:$D$62,卡牌属性!R297))*INDEX($G$5:$G$42,L297)/SQRT(INDEX($I$5:$I$42,L297)),2)</f>
        <v>639.1</v>
      </c>
      <c r="AA297" s="29" t="s">
        <v>178</v>
      </c>
      <c r="AB297" s="14">
        <f>ROUND(IF(Q297=1,INDEX(新属性投放!$E$14:$E$34,卡牌属性!R297),INDEX(新属性投放!$E$42:$E$62,卡牌属性!R297))*INDEX($G$5:$G$42,L297),2)</f>
        <v>319.55</v>
      </c>
      <c r="AC297" s="29" t="s">
        <v>179</v>
      </c>
      <c r="AD297" s="14">
        <f>ROUND(IF(Q297=1,INDEX(新属性投放!$F$14:$F$34,卡牌属性!R297),INDEX(新属性投放!$F$42:$F$62,卡牌属性!R297))*INDEX($G$5:$G$42,L297)*SQRT(INDEX($I$5:$I$42,L297)),2)</f>
        <v>1917.3</v>
      </c>
      <c r="AF297" s="14">
        <f t="shared" si="121"/>
        <v>6391</v>
      </c>
      <c r="AG297" s="14">
        <f t="shared" si="122"/>
        <v>3195</v>
      </c>
      <c r="AH297" s="14">
        <f t="shared" si="123"/>
        <v>19173</v>
      </c>
      <c r="AJ297" s="14">
        <f t="shared" si="127"/>
        <v>43665</v>
      </c>
      <c r="AK297" s="14">
        <f t="shared" si="128"/>
        <v>21828</v>
      </c>
      <c r="AL297" s="14">
        <f t="shared" si="129"/>
        <v>131014</v>
      </c>
    </row>
    <row r="298" spans="11:38" ht="16.5" x14ac:dyDescent="0.2">
      <c r="K298" s="13">
        <v>295</v>
      </c>
      <c r="L298" s="13">
        <f t="shared" si="115"/>
        <v>15</v>
      </c>
      <c r="M298" s="13">
        <f t="shared" si="116"/>
        <v>3</v>
      </c>
      <c r="N298" s="14">
        <f t="shared" si="117"/>
        <v>1101015</v>
      </c>
      <c r="O298" s="14" t="str">
        <f t="shared" si="118"/>
        <v>阎巧巧1突</v>
      </c>
      <c r="P298" s="29" t="s">
        <v>470</v>
      </c>
      <c r="Q298" s="14">
        <f t="shared" si="119"/>
        <v>1</v>
      </c>
      <c r="R298" s="14">
        <f t="shared" si="120"/>
        <v>1</v>
      </c>
      <c r="S298" s="14" t="s">
        <v>39</v>
      </c>
      <c r="T298" s="14">
        <f>ROUND(((IF(Q298=1,INDEX(新属性投放!$J$14:$J$34,卡牌属性!R298),INDEX(新属性投放!$J$42:$J$62,卡牌属性!R298)))*INDEX($G$5:$G$42,L298)+IF(Q298=1,INDEX(新属性投放!R$20:R$23,卡牌属性!M298-1),INDEX(新属性投放!R$25:R$28,卡牌属性!M298-1)))/SQRT(INDEX($I$5:$I$42,L298)),2)</f>
        <v>165</v>
      </c>
      <c r="U298" s="29" t="s">
        <v>178</v>
      </c>
      <c r="V298" s="14">
        <f>ROUND((IF(Q298=1,INDEX(新属性投放!$K$14:$K$34,卡牌属性!R298),INDEX(新属性投放!$K$42:$K$62,卡牌属性!R298))+IF(Q298=1,INDEX(新属性投放!S$20:S$23,卡牌属性!M298-1),INDEX(新属性投放!S$25:S$28,卡牌属性!M298-1)))*INDEX($G$5:$G$42,L298),2)</f>
        <v>0</v>
      </c>
      <c r="W298" s="29" t="s">
        <v>179</v>
      </c>
      <c r="X298" s="14">
        <f>ROUND((IF(Q298=1,INDEX(新属性投放!$L$14:$L$34,卡牌属性!R298),INDEX(新属性投放!$L$42:$L$62,卡牌属性!R298))*INDEX($G$5:$G$42,L298)+IF(Q298=1,INDEX(新属性投放!T$20:T$23,卡牌属性!M298-1),INDEX(新属性投放!T$25:T$28,卡牌属性!M298-1)))*SQRT(INDEX($I$5:$I$42,L298)),2)</f>
        <v>1075</v>
      </c>
      <c r="Y298" s="29" t="s">
        <v>177</v>
      </c>
      <c r="Z298" s="14">
        <f>ROUND(IF(Q298=1,INDEX(新属性投放!$D$14:$D$34,卡牌属性!R298),INDEX(新属性投放!$D$42:$D$62,卡牌属性!R298))*INDEX($G$5:$G$42,L298)/SQRT(INDEX($I$5:$I$42,L298)),2)</f>
        <v>17.25</v>
      </c>
      <c r="AA298" s="29" t="s">
        <v>178</v>
      </c>
      <c r="AB298" s="14">
        <f>ROUND(IF(Q298=1,INDEX(新属性投放!$E$14:$E$34,卡牌属性!R298),INDEX(新属性投放!$E$42:$E$62,卡牌属性!R298))*INDEX($G$5:$G$42,L298),2)</f>
        <v>8.6300000000000008</v>
      </c>
      <c r="AC298" s="29" t="s">
        <v>179</v>
      </c>
      <c r="AD298" s="14">
        <f>ROUND(IF(Q298=1,INDEX(新属性投放!$F$14:$F$34,卡牌属性!R298),INDEX(新属性投放!$F$42:$F$62,卡牌属性!R298))*INDEX($G$5:$G$42,L298)*SQRT(INDEX($I$5:$I$42,L298)),2)</f>
        <v>51.75</v>
      </c>
      <c r="AF298" s="14">
        <f t="shared" si="121"/>
        <v>172</v>
      </c>
      <c r="AG298" s="14">
        <f t="shared" si="122"/>
        <v>86</v>
      </c>
      <c r="AH298" s="14">
        <f t="shared" si="123"/>
        <v>517</v>
      </c>
      <c r="AJ298" s="14">
        <f t="shared" ref="AJ298" si="130">AF298</f>
        <v>172</v>
      </c>
      <c r="AK298" s="14">
        <f t="shared" ref="AK298" si="131">AG298</f>
        <v>86</v>
      </c>
      <c r="AL298" s="14">
        <f t="shared" ref="AL298" si="132">AH298</f>
        <v>517</v>
      </c>
    </row>
    <row r="299" spans="11:38" ht="16.5" x14ac:dyDescent="0.2">
      <c r="K299" s="13">
        <v>296</v>
      </c>
      <c r="L299" s="13">
        <f t="shared" si="115"/>
        <v>15</v>
      </c>
      <c r="M299" s="13">
        <f t="shared" si="116"/>
        <v>3</v>
      </c>
      <c r="N299" s="14">
        <f t="shared" si="117"/>
        <v>1101015</v>
      </c>
      <c r="O299" s="14" t="str">
        <f t="shared" si="118"/>
        <v>阎巧巧2突</v>
      </c>
      <c r="P299" s="29" t="s">
        <v>470</v>
      </c>
      <c r="Q299" s="14">
        <f t="shared" si="119"/>
        <v>1</v>
      </c>
      <c r="R299" s="14">
        <f t="shared" si="120"/>
        <v>2</v>
      </c>
      <c r="S299" s="14" t="s">
        <v>39</v>
      </c>
      <c r="T299" s="14">
        <f>ROUND(((IF(Q299=1,INDEX(新属性投放!$J$14:$J$34,卡牌属性!R299),INDEX(新属性投放!$J$42:$J$62,卡牌属性!R299)))*INDEX($G$5:$G$42,L299)+IF(Q299=1,INDEX(新属性投放!R$20:R$23,卡牌属性!M299-1),INDEX(新属性投放!R$25:R$28,卡牌属性!M299-1)))/SQRT(INDEX($I$5:$I$42,L299)),2)</f>
        <v>331.75</v>
      </c>
      <c r="U299" s="29" t="s">
        <v>178</v>
      </c>
      <c r="V299" s="14">
        <f>ROUND((IF(Q299=1,INDEX(新属性投放!$K$14:$K$34,卡牌属性!R299),INDEX(新属性投放!$K$42:$K$62,卡牌属性!R299))+IF(Q299=1,INDEX(新属性投放!S$20:S$23,卡牌属性!M299-1),INDEX(新属性投放!S$25:S$28,卡牌属性!M299-1)))*INDEX($G$5:$G$42,L299),2)</f>
        <v>97.18</v>
      </c>
      <c r="W299" s="29" t="s">
        <v>179</v>
      </c>
      <c r="X299" s="14">
        <f>ROUND((IF(Q299=1,INDEX(新属性投放!$L$14:$L$34,卡牌属性!R299),INDEX(新属性投放!$L$42:$L$62,卡牌属性!R299))*INDEX($G$5:$G$42,L299)+IF(Q299=1,INDEX(新属性投放!T$20:T$23,卡牌属性!M299-1),INDEX(新属性投放!T$25:T$28,卡牌属性!M299-1)))*SQRT(INDEX($I$5:$I$42,L299)),2)</f>
        <v>1575.25</v>
      </c>
      <c r="Y299" s="29" t="s">
        <v>177</v>
      </c>
      <c r="Z299" s="14">
        <f>ROUND(IF(Q299=1,INDEX(新属性投放!$D$14:$D$34,卡牌属性!R299),INDEX(新属性投放!$D$42:$D$62,卡牌属性!R299))*INDEX($G$5:$G$42,L299)/SQRT(INDEX($I$5:$I$42,L299)),2)</f>
        <v>15.84</v>
      </c>
      <c r="AA299" s="29" t="s">
        <v>178</v>
      </c>
      <c r="AB299" s="14">
        <f>ROUND(IF(Q299=1,INDEX(新属性投放!$E$14:$E$34,卡牌属性!R299),INDEX(新属性投放!$E$42:$E$62,卡牌属性!R299))*INDEX($G$5:$G$42,L299),2)</f>
        <v>7.92</v>
      </c>
      <c r="AC299" s="29" t="s">
        <v>179</v>
      </c>
      <c r="AD299" s="14">
        <f>ROUND(IF(Q299=1,INDEX(新属性投放!$F$14:$F$34,卡牌属性!R299),INDEX(新属性投放!$F$42:$F$62,卡牌属性!R299))*INDEX($G$5:$G$42,L299)*SQRT(INDEX($I$5:$I$42,L299)),2)</f>
        <v>47.51</v>
      </c>
      <c r="AF299" s="14">
        <f t="shared" si="121"/>
        <v>158</v>
      </c>
      <c r="AG299" s="14">
        <f t="shared" si="122"/>
        <v>79</v>
      </c>
      <c r="AH299" s="14">
        <f t="shared" si="123"/>
        <v>475</v>
      </c>
      <c r="AJ299" s="14">
        <f t="shared" ref="AJ299:AJ318" si="133">AJ298+AF299</f>
        <v>330</v>
      </c>
      <c r="AK299" s="14">
        <f t="shared" ref="AK299:AK318" si="134">AK298+AG299</f>
        <v>165</v>
      </c>
      <c r="AL299" s="14">
        <f t="shared" ref="AL299:AL318" si="135">AL298+AH299</f>
        <v>992</v>
      </c>
    </row>
    <row r="300" spans="11:38" ht="16.5" x14ac:dyDescent="0.2">
      <c r="K300" s="13">
        <v>297</v>
      </c>
      <c r="L300" s="13">
        <f t="shared" si="115"/>
        <v>15</v>
      </c>
      <c r="M300" s="13">
        <f t="shared" si="116"/>
        <v>3</v>
      </c>
      <c r="N300" s="14">
        <f t="shared" si="117"/>
        <v>1101015</v>
      </c>
      <c r="O300" s="14" t="str">
        <f t="shared" si="118"/>
        <v>阎巧巧3突</v>
      </c>
      <c r="P300" s="29" t="s">
        <v>470</v>
      </c>
      <c r="Q300" s="14">
        <f t="shared" si="119"/>
        <v>1</v>
      </c>
      <c r="R300" s="14">
        <f t="shared" si="120"/>
        <v>3</v>
      </c>
      <c r="S300" s="14" t="s">
        <v>39</v>
      </c>
      <c r="T300" s="14">
        <f>ROUND(((IF(Q300=1,INDEX(新属性投放!$J$14:$J$34,卡牌属性!R300),INDEX(新属性投放!$J$42:$J$62,卡牌属性!R300)))*INDEX($G$5:$G$42,L300)+IF(Q300=1,INDEX(新属性投放!R$20:R$23,卡牌属性!M300-1),INDEX(新属性投放!R$25:R$28,卡牌属性!M300-1)))/SQRT(INDEX($I$5:$I$42,L300)),2)</f>
        <v>529.21</v>
      </c>
      <c r="U300" s="29" t="s">
        <v>178</v>
      </c>
      <c r="V300" s="14">
        <f>ROUND((IF(Q300=1,INDEX(新属性投放!$K$14:$K$34,卡牌属性!R300),INDEX(新属性投放!$K$42:$K$62,卡牌属性!R300))+IF(Q300=1,INDEX(新属性投放!S$20:S$23,卡牌属性!M300-1),INDEX(新属性投放!S$25:S$28,卡牌属性!M300-1)))*INDEX($G$5:$G$42,L300),2)</f>
        <v>195.9</v>
      </c>
      <c r="W300" s="29" t="s">
        <v>179</v>
      </c>
      <c r="X300" s="14">
        <f>ROUND((IF(Q300=1,INDEX(新属性投放!$L$14:$L$34,卡牌属性!R300),INDEX(新属性投放!$L$42:$L$62,卡牌属性!R300))*INDEX($G$5:$G$42,L300)+IF(Q300=1,INDEX(新属性投放!T$20:T$23,卡牌属性!M300-1),INDEX(新属性投放!T$25:T$28,卡牌属性!M300-1)))*SQRT(INDEX($I$5:$I$42,L300)),2)</f>
        <v>2167.62</v>
      </c>
      <c r="Y300" s="29" t="s">
        <v>177</v>
      </c>
      <c r="Z300" s="14">
        <f>ROUND(IF(Q300=1,INDEX(新属性投放!$D$14:$D$34,卡牌属性!R300),INDEX(新属性投放!$D$42:$D$62,卡牌属性!R300))*INDEX($G$5:$G$42,L300)/SQRT(INDEX($I$5:$I$42,L300)),2)</f>
        <v>28.95</v>
      </c>
      <c r="AA300" s="29" t="s">
        <v>178</v>
      </c>
      <c r="AB300" s="14">
        <f>ROUND(IF(Q300=1,INDEX(新属性投放!$E$14:$E$34,卡牌属性!R300),INDEX(新属性投放!$E$42:$E$62,卡牌属性!R300))*INDEX($G$5:$G$42,L300),2)</f>
        <v>14.47</v>
      </c>
      <c r="AC300" s="29" t="s">
        <v>179</v>
      </c>
      <c r="AD300" s="14">
        <f>ROUND(IF(Q300=1,INDEX(新属性投放!$F$14:$F$34,卡牌属性!R300),INDEX(新属性投放!$F$42:$F$62,卡牌属性!R300))*INDEX($G$5:$G$42,L300)*SQRT(INDEX($I$5:$I$42,L300)),2)</f>
        <v>86.84</v>
      </c>
      <c r="AF300" s="14">
        <f t="shared" si="121"/>
        <v>289</v>
      </c>
      <c r="AG300" s="14">
        <f t="shared" si="122"/>
        <v>144</v>
      </c>
      <c r="AH300" s="14">
        <f t="shared" si="123"/>
        <v>868</v>
      </c>
      <c r="AJ300" s="14">
        <f t="shared" si="133"/>
        <v>619</v>
      </c>
      <c r="AK300" s="14">
        <f t="shared" si="134"/>
        <v>309</v>
      </c>
      <c r="AL300" s="14">
        <f t="shared" si="135"/>
        <v>1860</v>
      </c>
    </row>
    <row r="301" spans="11:38" ht="16.5" x14ac:dyDescent="0.2">
      <c r="K301" s="13">
        <v>298</v>
      </c>
      <c r="L301" s="13">
        <f t="shared" si="115"/>
        <v>15</v>
      </c>
      <c r="M301" s="13">
        <f t="shared" si="116"/>
        <v>3</v>
      </c>
      <c r="N301" s="14">
        <f t="shared" si="117"/>
        <v>1101015</v>
      </c>
      <c r="O301" s="14" t="str">
        <f t="shared" si="118"/>
        <v>阎巧巧4突</v>
      </c>
      <c r="P301" s="29" t="s">
        <v>470</v>
      </c>
      <c r="Q301" s="14">
        <f t="shared" si="119"/>
        <v>1</v>
      </c>
      <c r="R301" s="14">
        <f t="shared" si="120"/>
        <v>4</v>
      </c>
      <c r="S301" s="14" t="s">
        <v>39</v>
      </c>
      <c r="T301" s="14">
        <f>ROUND(((IF(Q301=1,INDEX(新属性投放!$J$14:$J$34,卡牌属性!R301),INDEX(新属性投放!$J$42:$J$62,卡牌属性!R301)))*INDEX($G$5:$G$42,L301)+IF(Q301=1,INDEX(新属性投放!R$20:R$23,卡牌属性!M301-1),INDEX(新属性投放!R$25:R$28,卡牌属性!M301-1)))/SQRT(INDEX($I$5:$I$42,L301)),2)</f>
        <v>891.11</v>
      </c>
      <c r="U301" s="29" t="s">
        <v>178</v>
      </c>
      <c r="V301" s="14">
        <f>ROUND((IF(Q301=1,INDEX(新属性投放!$K$14:$K$34,卡牌属性!R301),INDEX(新属性投放!$K$42:$K$62,卡牌属性!R301))+IF(Q301=1,INDEX(新属性投放!S$20:S$23,卡牌属性!M301-1),INDEX(新属性投放!S$25:S$28,卡牌属性!M301-1)))*INDEX($G$5:$G$42,L301),2)</f>
        <v>376.28</v>
      </c>
      <c r="W301" s="29" t="s">
        <v>179</v>
      </c>
      <c r="X301" s="14">
        <f>ROUND((IF(Q301=1,INDEX(新属性投放!$L$14:$L$34,卡牌属性!R301),INDEX(新属性投放!$L$42:$L$62,卡牌属性!R301))*INDEX($G$5:$G$42,L301)+IF(Q301=1,INDEX(新属性投放!T$20:T$23,卡牌属性!M301-1),INDEX(新属性投放!T$25:T$28,卡牌属性!M301-1)))*SQRT(INDEX($I$5:$I$42,L301)),2)</f>
        <v>3253.33</v>
      </c>
      <c r="Y301" s="29" t="s">
        <v>177</v>
      </c>
      <c r="Z301" s="14">
        <f>ROUND(IF(Q301=1,INDEX(新属性投放!$D$14:$D$34,卡牌属性!R301),INDEX(新属性投放!$D$42:$D$62,卡牌属性!R301))*INDEX($G$5:$G$42,L301)/SQRT(INDEX($I$5:$I$42,L301)),2)</f>
        <v>34.65</v>
      </c>
      <c r="AA301" s="29" t="s">
        <v>178</v>
      </c>
      <c r="AB301" s="14">
        <f>ROUND(IF(Q301=1,INDEX(新属性投放!$E$14:$E$34,卡牌属性!R301),INDEX(新属性投放!$E$42:$E$62,卡牌属性!R301))*INDEX($G$5:$G$42,L301),2)</f>
        <v>17.32</v>
      </c>
      <c r="AC301" s="29" t="s">
        <v>179</v>
      </c>
      <c r="AD301" s="14">
        <f>ROUND(IF(Q301=1,INDEX(新属性投放!$F$14:$F$34,卡牌属性!R301),INDEX(新属性投放!$F$42:$F$62,卡牌属性!R301))*INDEX($G$5:$G$42,L301)*SQRT(INDEX($I$5:$I$42,L301)),2)</f>
        <v>103.95</v>
      </c>
      <c r="AF301" s="14">
        <f t="shared" si="121"/>
        <v>346</v>
      </c>
      <c r="AG301" s="14">
        <f t="shared" si="122"/>
        <v>173</v>
      </c>
      <c r="AH301" s="14">
        <f t="shared" si="123"/>
        <v>1039</v>
      </c>
      <c r="AJ301" s="14">
        <f t="shared" si="133"/>
        <v>965</v>
      </c>
      <c r="AK301" s="14">
        <f t="shared" si="134"/>
        <v>482</v>
      </c>
      <c r="AL301" s="14">
        <f t="shared" si="135"/>
        <v>2899</v>
      </c>
    </row>
    <row r="302" spans="11:38" ht="16.5" x14ac:dyDescent="0.2">
      <c r="K302" s="13">
        <v>299</v>
      </c>
      <c r="L302" s="13">
        <f t="shared" si="115"/>
        <v>15</v>
      </c>
      <c r="M302" s="13">
        <f t="shared" si="116"/>
        <v>3</v>
      </c>
      <c r="N302" s="14">
        <f t="shared" si="117"/>
        <v>1101015</v>
      </c>
      <c r="O302" s="14" t="str">
        <f t="shared" si="118"/>
        <v>阎巧巧5突</v>
      </c>
      <c r="P302" s="29" t="s">
        <v>470</v>
      </c>
      <c r="Q302" s="14">
        <f t="shared" si="119"/>
        <v>1</v>
      </c>
      <c r="R302" s="14">
        <f t="shared" si="120"/>
        <v>5</v>
      </c>
      <c r="S302" s="14" t="s">
        <v>39</v>
      </c>
      <c r="T302" s="14">
        <f>ROUND(((IF(Q302=1,INDEX(新属性投放!$J$14:$J$34,卡牌属性!R302),INDEX(新属性投放!$J$42:$J$62,卡牌属性!R302)))*INDEX($G$5:$G$42,L302)+IF(Q302=1,INDEX(新属性投放!R$20:R$23,卡牌属性!M302-1),INDEX(新属性投放!R$25:R$28,卡牌属性!M302-1)))/SQRT(INDEX($I$5:$I$42,L302)),2)</f>
        <v>1323.86</v>
      </c>
      <c r="U302" s="29" t="s">
        <v>178</v>
      </c>
      <c r="V302" s="14">
        <f>ROUND((IF(Q302=1,INDEX(新属性投放!$K$14:$K$34,卡牌属性!R302),INDEX(新属性投放!$K$42:$K$62,卡牌属性!R302))+IF(Q302=1,INDEX(新属性投放!S$20:S$23,卡牌属性!M302-1),INDEX(新属性投放!S$25:S$28,卡牌属性!M302-1)))*INDEX($G$5:$G$42,L302),2)</f>
        <v>593.23</v>
      </c>
      <c r="W302" s="29" t="s">
        <v>179</v>
      </c>
      <c r="X302" s="14">
        <f>ROUND((IF(Q302=1,INDEX(新属性投放!$L$14:$L$34,卡牌属性!R302),INDEX(新属性投放!$L$42:$L$62,卡牌属性!R302))*INDEX($G$5:$G$42,L302)+IF(Q302=1,INDEX(新属性投放!T$20:T$23,卡牌属性!M302-1),INDEX(新属性投放!T$25:T$28,卡牌属性!M302-1)))*SQRT(INDEX($I$5:$I$42,L302)),2)</f>
        <v>4551.57</v>
      </c>
      <c r="Y302" s="29" t="s">
        <v>177</v>
      </c>
      <c r="Z302" s="14">
        <f>ROUND(IF(Q302=1,INDEX(新属性投放!$D$14:$D$34,卡牌属性!R302),INDEX(新属性投放!$D$42:$D$62,卡牌属性!R302))*INDEX($G$5:$G$42,L302)/SQRT(INDEX($I$5:$I$42,L302)),2)</f>
        <v>43.31</v>
      </c>
      <c r="AA302" s="29" t="s">
        <v>178</v>
      </c>
      <c r="AB302" s="14">
        <f>ROUND(IF(Q302=1,INDEX(新属性投放!$E$14:$E$34,卡牌属性!R302),INDEX(新属性投放!$E$42:$E$62,卡牌属性!R302))*INDEX($G$5:$G$42,L302),2)</f>
        <v>21.65</v>
      </c>
      <c r="AC302" s="29" t="s">
        <v>179</v>
      </c>
      <c r="AD302" s="14">
        <f>ROUND(IF(Q302=1,INDEX(新属性投放!$F$14:$F$34,卡牌属性!R302),INDEX(新属性投放!$F$42:$F$62,卡牌属性!R302))*INDEX($G$5:$G$42,L302)*SQRT(INDEX($I$5:$I$42,L302)),2)</f>
        <v>129.93</v>
      </c>
      <c r="AF302" s="14">
        <f t="shared" si="121"/>
        <v>433</v>
      </c>
      <c r="AG302" s="14">
        <f t="shared" si="122"/>
        <v>216</v>
      </c>
      <c r="AH302" s="14">
        <f t="shared" si="123"/>
        <v>1299</v>
      </c>
      <c r="AJ302" s="14">
        <f t="shared" si="133"/>
        <v>1398</v>
      </c>
      <c r="AK302" s="14">
        <f t="shared" si="134"/>
        <v>698</v>
      </c>
      <c r="AL302" s="14">
        <f t="shared" si="135"/>
        <v>4198</v>
      </c>
    </row>
    <row r="303" spans="11:38" ht="16.5" x14ac:dyDescent="0.2">
      <c r="K303" s="13">
        <v>300</v>
      </c>
      <c r="L303" s="13">
        <f t="shared" si="115"/>
        <v>15</v>
      </c>
      <c r="M303" s="13">
        <f t="shared" si="116"/>
        <v>3</v>
      </c>
      <c r="N303" s="14">
        <f t="shared" si="117"/>
        <v>1101015</v>
      </c>
      <c r="O303" s="14" t="str">
        <f t="shared" si="118"/>
        <v>阎巧巧6突</v>
      </c>
      <c r="P303" s="29" t="s">
        <v>470</v>
      </c>
      <c r="Q303" s="14">
        <f t="shared" si="119"/>
        <v>1</v>
      </c>
      <c r="R303" s="14">
        <f t="shared" si="120"/>
        <v>6</v>
      </c>
      <c r="S303" s="14" t="s">
        <v>39</v>
      </c>
      <c r="T303" s="14">
        <f>ROUND(((IF(Q303=1,INDEX(新属性投放!$J$14:$J$34,卡牌属性!R303),INDEX(新属性投放!$J$42:$J$62,卡牌属性!R303)))*INDEX($G$5:$G$42,L303)+IF(Q303=1,INDEX(新属性投放!R$20:R$23,卡牌属性!M303-1),INDEX(新属性投放!R$25:R$28,卡牌属性!M303-1)))/SQRT(INDEX($I$5:$I$42,L303)),2)</f>
        <v>1865.05</v>
      </c>
      <c r="U303" s="29" t="s">
        <v>178</v>
      </c>
      <c r="V303" s="14">
        <f>ROUND((IF(Q303=1,INDEX(新属性投放!$K$14:$K$34,卡牌属性!R303),INDEX(新属性投放!$K$42:$K$62,卡牌属性!R303))+IF(Q303=1,INDEX(新属性投放!S$20:S$23,卡牌属性!M303-1),INDEX(新属性投放!S$25:S$28,卡牌属性!M303-1)))*INDEX($G$5:$G$42,L303),2)</f>
        <v>863.82</v>
      </c>
      <c r="W303" s="29" t="s">
        <v>179</v>
      </c>
      <c r="X303" s="14">
        <f>ROUND((IF(Q303=1,INDEX(新属性投放!$L$14:$L$34,卡牌属性!R303),INDEX(新属性投放!$L$42:$L$62,卡牌属性!R303))*INDEX($G$5:$G$42,L303)+IF(Q303=1,INDEX(新属性投放!T$20:T$23,卡牌属性!M303-1),INDEX(新属性投放!T$25:T$28,卡牌属性!M303-1)))*SQRT(INDEX($I$5:$I$42,L303)),2)</f>
        <v>6175.14</v>
      </c>
      <c r="Y303" s="29" t="s">
        <v>177</v>
      </c>
      <c r="Z303" s="14">
        <f>ROUND(IF(Q303=1,INDEX(新属性投放!$D$14:$D$34,卡牌属性!R303),INDEX(新属性投放!$D$42:$D$62,卡牌属性!R303))*INDEX($G$5:$G$42,L303)/SQRT(INDEX($I$5:$I$42,L303)),2)</f>
        <v>56.18</v>
      </c>
      <c r="AA303" s="29" t="s">
        <v>178</v>
      </c>
      <c r="AB303" s="14">
        <f>ROUND(IF(Q303=1,INDEX(新属性投放!$E$14:$E$34,卡牌属性!R303),INDEX(新属性投放!$E$42:$E$62,卡牌属性!R303))*INDEX($G$5:$G$42,L303),2)</f>
        <v>28.09</v>
      </c>
      <c r="AC303" s="29" t="s">
        <v>179</v>
      </c>
      <c r="AD303" s="14">
        <f>ROUND(IF(Q303=1,INDEX(新属性投放!$F$14:$F$34,卡牌属性!R303),INDEX(新属性投放!$F$42:$F$62,卡牌属性!R303))*INDEX($G$5:$G$42,L303)*SQRT(INDEX($I$5:$I$42,L303)),2)</f>
        <v>168.53</v>
      </c>
      <c r="AF303" s="14">
        <f t="shared" si="121"/>
        <v>561</v>
      </c>
      <c r="AG303" s="14">
        <f t="shared" si="122"/>
        <v>280</v>
      </c>
      <c r="AH303" s="14">
        <f t="shared" si="123"/>
        <v>1685</v>
      </c>
      <c r="AJ303" s="14">
        <f t="shared" si="133"/>
        <v>1959</v>
      </c>
      <c r="AK303" s="14">
        <f t="shared" si="134"/>
        <v>978</v>
      </c>
      <c r="AL303" s="14">
        <f t="shared" si="135"/>
        <v>5883</v>
      </c>
    </row>
    <row r="304" spans="11:38" ht="16.5" x14ac:dyDescent="0.2">
      <c r="K304" s="13">
        <v>301</v>
      </c>
      <c r="L304" s="13">
        <f t="shared" si="115"/>
        <v>15</v>
      </c>
      <c r="M304" s="13">
        <f t="shared" si="116"/>
        <v>3</v>
      </c>
      <c r="N304" s="14">
        <f t="shared" si="117"/>
        <v>1101015</v>
      </c>
      <c r="O304" s="14" t="str">
        <f t="shared" si="118"/>
        <v>阎巧巧7突</v>
      </c>
      <c r="P304" s="29" t="s">
        <v>470</v>
      </c>
      <c r="Q304" s="14">
        <f t="shared" si="119"/>
        <v>1</v>
      </c>
      <c r="R304" s="14">
        <f t="shared" si="120"/>
        <v>7</v>
      </c>
      <c r="S304" s="14" t="s">
        <v>39</v>
      </c>
      <c r="T304" s="14">
        <f>ROUND(((IF(Q304=1,INDEX(新属性投放!$J$14:$J$34,卡牌属性!R304),INDEX(新属性投放!$J$42:$J$62,卡牌属性!R304)))*INDEX($G$5:$G$42,L304)+IF(Q304=1,INDEX(新属性投放!R$20:R$23,卡牌属性!M304-1),INDEX(新属性投放!R$25:R$28,卡牌属性!M304-1)))/SQRT(INDEX($I$5:$I$42,L304)),2)</f>
        <v>2567.12</v>
      </c>
      <c r="U304" s="29" t="s">
        <v>178</v>
      </c>
      <c r="V304" s="14">
        <f>ROUND((IF(Q304=1,INDEX(新属性投放!$K$14:$K$34,卡牌属性!R304),INDEX(新属性投放!$K$42:$K$62,卡牌属性!R304))+IF(Q304=1,INDEX(新属性投放!S$20:S$23,卡牌属性!M304-1),INDEX(新属性投放!S$25:S$28,卡牌属性!M304-1)))*INDEX($G$5:$G$42,L304),2)</f>
        <v>1214.8599999999999</v>
      </c>
      <c r="W304" s="29" t="s">
        <v>179</v>
      </c>
      <c r="X304" s="14">
        <f>ROUND((IF(Q304=1,INDEX(新属性投放!$L$14:$L$34,卡牌属性!R304),INDEX(新属性投放!$L$42:$L$62,卡牌属性!R304))*INDEX($G$5:$G$42,L304)+IF(Q304=1,INDEX(新属性投放!T$20:T$23,卡牌属性!M304-1),INDEX(新属性投放!T$25:T$28,卡牌属性!M304-1)))*SQRT(INDEX($I$5:$I$42,L304)),2)</f>
        <v>8281.36</v>
      </c>
      <c r="Y304" s="29" t="s">
        <v>177</v>
      </c>
      <c r="Z304" s="14">
        <f>ROUND(IF(Q304=1,INDEX(新属性投放!$D$14:$D$34,卡牌属性!R304),INDEX(新属性投放!$D$42:$D$62,卡牌属性!R304))*INDEX($G$5:$G$42,L304)/SQRT(INDEX($I$5:$I$42,L304)),2)</f>
        <v>69.22</v>
      </c>
      <c r="AA304" s="29" t="s">
        <v>178</v>
      </c>
      <c r="AB304" s="14">
        <f>ROUND(IF(Q304=1,INDEX(新属性投放!$E$14:$E$34,卡牌属性!R304),INDEX(新属性投放!$E$42:$E$62,卡牌属性!R304))*INDEX($G$5:$G$42,L304),2)</f>
        <v>34.61</v>
      </c>
      <c r="AC304" s="29" t="s">
        <v>179</v>
      </c>
      <c r="AD304" s="14">
        <f>ROUND(IF(Q304=1,INDEX(新属性投放!$F$14:$F$34,卡牌属性!R304),INDEX(新属性投放!$F$42:$F$62,卡牌属性!R304))*INDEX($G$5:$G$42,L304)*SQRT(INDEX($I$5:$I$42,L304)),2)</f>
        <v>207.66</v>
      </c>
      <c r="AF304" s="14">
        <f t="shared" si="121"/>
        <v>692</v>
      </c>
      <c r="AG304" s="14">
        <f t="shared" si="122"/>
        <v>346</v>
      </c>
      <c r="AH304" s="14">
        <f t="shared" si="123"/>
        <v>2076</v>
      </c>
      <c r="AJ304" s="14">
        <f t="shared" si="133"/>
        <v>2651</v>
      </c>
      <c r="AK304" s="14">
        <f t="shared" si="134"/>
        <v>1324</v>
      </c>
      <c r="AL304" s="14">
        <f t="shared" si="135"/>
        <v>7959</v>
      </c>
    </row>
    <row r="305" spans="11:38" ht="16.5" x14ac:dyDescent="0.2">
      <c r="K305" s="13">
        <v>302</v>
      </c>
      <c r="L305" s="13">
        <f t="shared" si="115"/>
        <v>15</v>
      </c>
      <c r="M305" s="13">
        <f t="shared" si="116"/>
        <v>3</v>
      </c>
      <c r="N305" s="14">
        <f t="shared" si="117"/>
        <v>1101015</v>
      </c>
      <c r="O305" s="14" t="str">
        <f t="shared" si="118"/>
        <v>阎巧巧8突</v>
      </c>
      <c r="P305" s="29" t="s">
        <v>470</v>
      </c>
      <c r="Q305" s="14">
        <f t="shared" si="119"/>
        <v>1</v>
      </c>
      <c r="R305" s="14">
        <f t="shared" si="120"/>
        <v>8</v>
      </c>
      <c r="S305" s="14" t="s">
        <v>39</v>
      </c>
      <c r="T305" s="14">
        <f>ROUND(((IF(Q305=1,INDEX(新属性投放!$J$14:$J$34,卡牌属性!R305),INDEX(新属性投放!$J$42:$J$62,卡牌属性!R305)))*INDEX($G$5:$G$42,L305)+IF(Q305=1,INDEX(新属性投放!R$20:R$23,卡牌属性!M305-1),INDEX(新属性投放!R$25:R$28,卡牌属性!M305-1)))/SQRT(INDEX($I$5:$I$42,L305)),2)</f>
        <v>3431.81</v>
      </c>
      <c r="U305" s="29" t="s">
        <v>178</v>
      </c>
      <c r="V305" s="14">
        <f>ROUND((IF(Q305=1,INDEX(新属性投放!$K$14:$K$34,卡牌属性!R305),INDEX(新属性投放!$K$42:$K$62,卡牌属性!R305))+IF(Q305=1,INDEX(新属性投放!S$20:S$23,卡牌属性!M305-1),INDEX(新属性投放!S$25:S$28,卡牌属性!M305-1)))*INDEX($G$5:$G$42,L305),2)</f>
        <v>1647.2</v>
      </c>
      <c r="W305" s="29" t="s">
        <v>179</v>
      </c>
      <c r="X305" s="14">
        <f>ROUND((IF(Q305=1,INDEX(新属性投放!$L$14:$L$34,卡牌属性!R305),INDEX(新属性投放!$L$42:$L$62,卡牌属性!R305))*INDEX($G$5:$G$42,L305)+IF(Q305=1,INDEX(新属性投放!T$20:T$23,卡牌属性!M305-1),INDEX(新属性投放!T$25:T$28,卡牌属性!M305-1)))*SQRT(INDEX($I$5:$I$42,L305)),2)</f>
        <v>10875.42</v>
      </c>
      <c r="Y305" s="29" t="s">
        <v>177</v>
      </c>
      <c r="Z305" s="14">
        <f>ROUND(IF(Q305=1,INDEX(新属性投放!$D$14:$D$34,卡牌属性!R305),INDEX(新属性投放!$D$42:$D$62,卡牌属性!R305))*INDEX($G$5:$G$42,L305)/SQRT(INDEX($I$5:$I$42,L305)),2)</f>
        <v>86.47</v>
      </c>
      <c r="AA305" s="29" t="s">
        <v>178</v>
      </c>
      <c r="AB305" s="14">
        <f>ROUND(IF(Q305=1,INDEX(新属性投放!$E$14:$E$34,卡牌属性!R305),INDEX(新属性投放!$E$42:$E$62,卡牌属性!R305))*INDEX($G$5:$G$42,L305),2)</f>
        <v>43.23</v>
      </c>
      <c r="AC305" s="29" t="s">
        <v>179</v>
      </c>
      <c r="AD305" s="14">
        <f>ROUND(IF(Q305=1,INDEX(新属性投放!$F$14:$F$34,卡牌属性!R305),INDEX(新属性投放!$F$42:$F$62,卡牌属性!R305))*INDEX($G$5:$G$42,L305)*SQRT(INDEX($I$5:$I$42,L305)),2)</f>
        <v>259.41000000000003</v>
      </c>
      <c r="AF305" s="14">
        <f t="shared" si="121"/>
        <v>864</v>
      </c>
      <c r="AG305" s="14">
        <f t="shared" si="122"/>
        <v>432</v>
      </c>
      <c r="AH305" s="14">
        <f t="shared" si="123"/>
        <v>2594</v>
      </c>
      <c r="AJ305" s="14">
        <f t="shared" si="133"/>
        <v>3515</v>
      </c>
      <c r="AK305" s="14">
        <f t="shared" si="134"/>
        <v>1756</v>
      </c>
      <c r="AL305" s="14">
        <f t="shared" si="135"/>
        <v>10553</v>
      </c>
    </row>
    <row r="306" spans="11:38" ht="16.5" x14ac:dyDescent="0.2">
      <c r="K306" s="13">
        <v>303</v>
      </c>
      <c r="L306" s="13">
        <f t="shared" si="115"/>
        <v>15</v>
      </c>
      <c r="M306" s="13">
        <f t="shared" si="116"/>
        <v>3</v>
      </c>
      <c r="N306" s="14">
        <f t="shared" si="117"/>
        <v>1101015</v>
      </c>
      <c r="O306" s="14" t="str">
        <f t="shared" si="118"/>
        <v>阎巧巧9突</v>
      </c>
      <c r="P306" s="29" t="s">
        <v>470</v>
      </c>
      <c r="Q306" s="14">
        <f t="shared" si="119"/>
        <v>1</v>
      </c>
      <c r="R306" s="14">
        <f t="shared" si="120"/>
        <v>9</v>
      </c>
      <c r="S306" s="14" t="s">
        <v>39</v>
      </c>
      <c r="T306" s="14">
        <f>ROUND(((IF(Q306=1,INDEX(新属性投放!$J$14:$J$34,卡牌属性!R306),INDEX(新属性投放!$J$42:$J$62,卡牌属性!R306)))*INDEX($G$5:$G$42,L306)+IF(Q306=1,INDEX(新属性投放!R$20:R$23,卡牌属性!M306-1),INDEX(新属性投放!R$25:R$28,卡牌属性!M306-1)))/SQRT(INDEX($I$5:$I$42,L306)),2)</f>
        <v>4512.6899999999996</v>
      </c>
      <c r="U306" s="29" t="s">
        <v>178</v>
      </c>
      <c r="V306" s="14">
        <f>ROUND((IF(Q306=1,INDEX(新属性投放!$K$14:$K$34,卡牌属性!R306),INDEX(新属性投放!$K$42:$K$62,卡牌属性!R306))+IF(Q306=1,INDEX(新属性投放!S$20:S$23,卡牌属性!M306-1),INDEX(新属性投放!S$25:S$28,卡牌属性!M306-1)))*INDEX($G$5:$G$42,L306),2)</f>
        <v>2187.65</v>
      </c>
      <c r="W306" s="29" t="s">
        <v>179</v>
      </c>
      <c r="X306" s="14">
        <f>ROUND((IF(Q306=1,INDEX(新属性投放!$L$14:$L$34,卡牌属性!R306),INDEX(新属性投放!$L$42:$L$62,卡牌属性!R306))*INDEX($G$5:$G$42,L306)+IF(Q306=1,INDEX(新属性投放!T$20:T$23,卡牌属性!M306-1),INDEX(新属性投放!T$25:T$28,卡牌属性!M306-1)))*SQRT(INDEX($I$5:$I$42,L306)),2)</f>
        <v>14118.07</v>
      </c>
      <c r="Y306" s="29" t="s">
        <v>177</v>
      </c>
      <c r="Z306" s="14">
        <f>ROUND(IF(Q306=1,INDEX(新属性投放!$D$14:$D$34,卡牌属性!R306),INDEX(新属性投放!$D$42:$D$62,卡牌属性!R306))*INDEX($G$5:$G$42,L306)/SQRT(INDEX($I$5:$I$42,L306)),2)</f>
        <v>112.46</v>
      </c>
      <c r="AA306" s="29" t="s">
        <v>178</v>
      </c>
      <c r="AB306" s="14">
        <f>ROUND(IF(Q306=1,INDEX(新属性投放!$E$14:$E$34,卡牌属性!R306),INDEX(新属性投放!$E$42:$E$62,卡牌属性!R306))*INDEX($G$5:$G$42,L306),2)</f>
        <v>56.23</v>
      </c>
      <c r="AC306" s="29" t="s">
        <v>179</v>
      </c>
      <c r="AD306" s="14">
        <f>ROUND(IF(Q306=1,INDEX(新属性投放!$F$14:$F$34,卡牌属性!R306),INDEX(新属性投放!$F$42:$F$62,卡牌属性!R306))*INDEX($G$5:$G$42,L306)*SQRT(INDEX($I$5:$I$42,L306)),2)</f>
        <v>337.38</v>
      </c>
      <c r="AF306" s="14">
        <f t="shared" si="121"/>
        <v>1124</v>
      </c>
      <c r="AG306" s="14">
        <f t="shared" si="122"/>
        <v>562</v>
      </c>
      <c r="AH306" s="14">
        <f t="shared" si="123"/>
        <v>3373</v>
      </c>
      <c r="AJ306" s="14">
        <f t="shared" si="133"/>
        <v>4639</v>
      </c>
      <c r="AK306" s="14">
        <f t="shared" si="134"/>
        <v>2318</v>
      </c>
      <c r="AL306" s="14">
        <f t="shared" si="135"/>
        <v>13926</v>
      </c>
    </row>
    <row r="307" spans="11:38" ht="16.5" x14ac:dyDescent="0.2">
      <c r="K307" s="13">
        <v>304</v>
      </c>
      <c r="L307" s="13">
        <f t="shared" si="115"/>
        <v>15</v>
      </c>
      <c r="M307" s="13">
        <f t="shared" si="116"/>
        <v>3</v>
      </c>
      <c r="N307" s="14">
        <f t="shared" si="117"/>
        <v>1101015</v>
      </c>
      <c r="O307" s="14" t="str">
        <f t="shared" si="118"/>
        <v>阎巧巧10突</v>
      </c>
      <c r="P307" s="29" t="s">
        <v>470</v>
      </c>
      <c r="Q307" s="14">
        <f t="shared" si="119"/>
        <v>1</v>
      </c>
      <c r="R307" s="14">
        <f t="shared" si="120"/>
        <v>10</v>
      </c>
      <c r="S307" s="14" t="s">
        <v>39</v>
      </c>
      <c r="T307" s="14">
        <f>ROUND(((IF(Q307=1,INDEX(新属性投放!$J$14:$J$34,卡牌属性!R307),INDEX(新属性投放!$J$42:$J$62,卡牌属性!R307)))*INDEX($G$5:$G$42,L307)+IF(Q307=1,INDEX(新属性投放!R$20:R$23,卡牌属性!M307-1),INDEX(新属性投放!R$25:R$28,卡牌属性!M307-1)))/SQRT(INDEX($I$5:$I$42,L307)),2)</f>
        <v>5215.28</v>
      </c>
      <c r="U307" s="29" t="s">
        <v>178</v>
      </c>
      <c r="V307" s="14">
        <f>ROUND((IF(Q307=1,INDEX(新属性投放!$K$14:$K$34,卡牌属性!R307),INDEX(新属性投放!$K$42:$K$62,卡牌属性!R307))+IF(Q307=1,INDEX(新属性投放!S$20:S$23,卡牌属性!M307-1),INDEX(新属性投放!S$25:S$28,卡牌属性!M307-1)))*INDEX($G$5:$G$42,L307),2)</f>
        <v>2538.94</v>
      </c>
      <c r="W307" s="29" t="s">
        <v>179</v>
      </c>
      <c r="X307" s="14">
        <f>ROUND((IF(Q307=1,INDEX(新属性投放!$L$14:$L$34,卡牌属性!R307),INDEX(新属性投放!$L$42:$L$62,卡牌属性!R307))*INDEX($G$5:$G$42,L307)+IF(Q307=1,INDEX(新属性投放!T$20:T$23,卡牌属性!M307-1),INDEX(新属性投放!T$25:T$28,卡牌属性!M307-1)))*SQRT(INDEX($I$5:$I$42,L307)),2)</f>
        <v>16225.85</v>
      </c>
      <c r="Y307" s="29" t="s">
        <v>177</v>
      </c>
      <c r="Z307" s="14">
        <f>ROUND(IF(Q307=1,INDEX(新属性投放!$D$14:$D$34,卡牌属性!R307),INDEX(新属性投放!$D$42:$D$62,卡牌属性!R307))*INDEX($G$5:$G$42,L307)/SQRT(INDEX($I$5:$I$42,L307)),2)</f>
        <v>129.75</v>
      </c>
      <c r="AA307" s="29" t="s">
        <v>178</v>
      </c>
      <c r="AB307" s="14">
        <f>ROUND(IF(Q307=1,INDEX(新属性投放!$E$14:$E$34,卡牌属性!R307),INDEX(新属性投放!$E$42:$E$62,卡牌属性!R307))*INDEX($G$5:$G$42,L307),2)</f>
        <v>64.88</v>
      </c>
      <c r="AC307" s="29" t="s">
        <v>179</v>
      </c>
      <c r="AD307" s="14">
        <f>ROUND(IF(Q307=1,INDEX(新属性投放!$F$14:$F$34,卡牌属性!R307),INDEX(新属性投放!$F$42:$F$62,卡牌属性!R307))*INDEX($G$5:$G$42,L307)*SQRT(INDEX($I$5:$I$42,L307)),2)</f>
        <v>389.26</v>
      </c>
      <c r="AF307" s="14">
        <f t="shared" si="121"/>
        <v>1297</v>
      </c>
      <c r="AG307" s="14">
        <f t="shared" si="122"/>
        <v>648</v>
      </c>
      <c r="AH307" s="14">
        <f t="shared" si="123"/>
        <v>3892</v>
      </c>
      <c r="AJ307" s="14">
        <f t="shared" si="133"/>
        <v>5936</v>
      </c>
      <c r="AK307" s="14">
        <f t="shared" si="134"/>
        <v>2966</v>
      </c>
      <c r="AL307" s="14">
        <f t="shared" si="135"/>
        <v>17818</v>
      </c>
    </row>
    <row r="308" spans="11:38" ht="16.5" x14ac:dyDescent="0.2">
      <c r="K308" s="13">
        <v>305</v>
      </c>
      <c r="L308" s="13">
        <f t="shared" si="115"/>
        <v>15</v>
      </c>
      <c r="M308" s="13">
        <f t="shared" si="116"/>
        <v>3</v>
      </c>
      <c r="N308" s="14">
        <f t="shared" si="117"/>
        <v>1101015</v>
      </c>
      <c r="O308" s="14" t="str">
        <f t="shared" si="118"/>
        <v>阎巧巧11突</v>
      </c>
      <c r="P308" s="29" t="s">
        <v>470</v>
      </c>
      <c r="Q308" s="14">
        <f t="shared" si="119"/>
        <v>1</v>
      </c>
      <c r="R308" s="14">
        <f t="shared" si="120"/>
        <v>11</v>
      </c>
      <c r="S308" s="14" t="s">
        <v>39</v>
      </c>
      <c r="T308" s="14">
        <f>ROUND(((IF(Q308=1,INDEX(新属性投放!$J$14:$J$34,卡牌属性!R308),INDEX(新属性投放!$J$42:$J$62,卡牌属性!R308)))*INDEX($G$5:$G$42,L308)+IF(Q308=1,INDEX(新属性投放!R$20:R$23,卡牌属性!M308-1),INDEX(新属性投放!R$25:R$28,卡牌属性!M308-1)))/SQRT(INDEX($I$5:$I$42,L308)),2)</f>
        <v>6026.21</v>
      </c>
      <c r="U308" s="29" t="s">
        <v>178</v>
      </c>
      <c r="V308" s="14">
        <f>ROUND((IF(Q308=1,INDEX(新属性投放!$K$14:$K$34,卡牌属性!R308),INDEX(新属性投放!$K$42:$K$62,卡牌属性!R308))+IF(Q308=1,INDEX(新属性投放!S$20:S$23,卡牌属性!M308-1),INDEX(新属性投放!S$25:S$28,卡牌属性!M308-1)))*INDEX($G$5:$G$42,L308),2)</f>
        <v>2944.98</v>
      </c>
      <c r="W308" s="29" t="s">
        <v>179</v>
      </c>
      <c r="X308" s="14">
        <f>ROUND((IF(Q308=1,INDEX(新属性投放!$L$14:$L$34,卡牌属性!R308),INDEX(新属性投放!$L$42:$L$62,卡牌属性!R308))*INDEX($G$5:$G$42,L308)+IF(Q308=1,INDEX(新属性投放!T$20:T$23,卡牌属性!M308-1),INDEX(新属性投放!T$25:T$28,卡牌属性!M308-1)))*SQRT(INDEX($I$5:$I$42,L308)),2)</f>
        <v>18658.62</v>
      </c>
      <c r="Y308" s="29" t="s">
        <v>177</v>
      </c>
      <c r="Z308" s="14">
        <f>ROUND(IF(Q308=1,INDEX(新属性投放!$D$14:$D$34,卡牌属性!R308),INDEX(新属性投放!$D$42:$D$62,卡牌属性!R308))*INDEX($G$5:$G$42,L308)/SQRT(INDEX($I$5:$I$42,L308)),2)</f>
        <v>151.32</v>
      </c>
      <c r="AA308" s="29" t="s">
        <v>178</v>
      </c>
      <c r="AB308" s="14">
        <f>ROUND(IF(Q308=1,INDEX(新属性投放!$E$14:$E$34,卡牌属性!R308),INDEX(新属性投放!$E$42:$E$62,卡牌属性!R308))*INDEX($G$5:$G$42,L308),2)</f>
        <v>75.66</v>
      </c>
      <c r="AC308" s="29" t="s">
        <v>179</v>
      </c>
      <c r="AD308" s="14">
        <f>ROUND(IF(Q308=1,INDEX(新属性投放!$F$14:$F$34,卡牌属性!R308),INDEX(新属性投放!$F$42:$F$62,卡牌属性!R308))*INDEX($G$5:$G$42,L308)*SQRT(INDEX($I$5:$I$42,L308)),2)</f>
        <v>453.95</v>
      </c>
      <c r="AF308" s="14">
        <f t="shared" si="121"/>
        <v>1513</v>
      </c>
      <c r="AG308" s="14">
        <f t="shared" si="122"/>
        <v>756</v>
      </c>
      <c r="AH308" s="14">
        <f t="shared" si="123"/>
        <v>4539</v>
      </c>
      <c r="AJ308" s="14">
        <f t="shared" si="133"/>
        <v>7449</v>
      </c>
      <c r="AK308" s="14">
        <f t="shared" si="134"/>
        <v>3722</v>
      </c>
      <c r="AL308" s="14">
        <f t="shared" si="135"/>
        <v>22357</v>
      </c>
    </row>
    <row r="309" spans="11:38" ht="16.5" x14ac:dyDescent="0.2">
      <c r="K309" s="13">
        <v>306</v>
      </c>
      <c r="L309" s="13">
        <f t="shared" si="115"/>
        <v>15</v>
      </c>
      <c r="M309" s="13">
        <f t="shared" si="116"/>
        <v>3</v>
      </c>
      <c r="N309" s="14">
        <f t="shared" si="117"/>
        <v>1101015</v>
      </c>
      <c r="O309" s="14" t="str">
        <f t="shared" si="118"/>
        <v>阎巧巧12突</v>
      </c>
      <c r="P309" s="29" t="s">
        <v>470</v>
      </c>
      <c r="Q309" s="14">
        <f t="shared" si="119"/>
        <v>1</v>
      </c>
      <c r="R309" s="14">
        <f t="shared" si="120"/>
        <v>12</v>
      </c>
      <c r="S309" s="14" t="s">
        <v>39</v>
      </c>
      <c r="T309" s="14">
        <f>ROUND(((IF(Q309=1,INDEX(新属性投放!$J$14:$J$34,卡牌属性!R309),INDEX(新属性投放!$J$42:$J$62,卡牌属性!R309)))*INDEX($G$5:$G$42,L309)+IF(Q309=1,INDEX(新属性投放!R$20:R$23,卡牌属性!M309-1),INDEX(新属性投放!R$25:R$28,卡牌属性!M309-1)))/SQRT(INDEX($I$5:$I$42,L309)),2)</f>
        <v>6971.39</v>
      </c>
      <c r="U309" s="29" t="s">
        <v>178</v>
      </c>
      <c r="V309" s="14">
        <f>ROUND((IF(Q309=1,INDEX(新属性投放!$K$14:$K$34,卡牌属性!R309),INDEX(新属性投放!$K$42:$K$62,卡牌属性!R309))+IF(Q309=1,INDEX(新属性投放!S$20:S$23,卡牌属性!M309-1),INDEX(新属性投放!S$25:S$28,卡牌属性!M309-1)))*INDEX($G$5:$G$42,L309),2)</f>
        <v>3417.57</v>
      </c>
      <c r="W309" s="29" t="s">
        <v>179</v>
      </c>
      <c r="X309" s="14">
        <f>ROUND((IF(Q309=1,INDEX(新属性投放!$L$14:$L$34,卡牌属性!R309),INDEX(新属性投放!$L$42:$L$62,卡牌属性!R309))*INDEX($G$5:$G$42,L309)+IF(Q309=1,INDEX(新属性投放!T$20:T$23,卡牌属性!M309-1),INDEX(新属性投放!T$25:T$28,卡牌属性!M309-1)))*SQRT(INDEX($I$5:$I$42,L309)),2)</f>
        <v>21494.17</v>
      </c>
      <c r="Y309" s="29" t="s">
        <v>177</v>
      </c>
      <c r="Z309" s="14">
        <f>ROUND(IF(Q309=1,INDEX(新属性投放!$D$14:$D$34,卡牌属性!R309),INDEX(新属性投放!$D$42:$D$62,卡牌属性!R309))*INDEX($G$5:$G$42,L309)/SQRT(INDEX($I$5:$I$42,L309)),2)</f>
        <v>173.04</v>
      </c>
      <c r="AA309" s="29" t="s">
        <v>178</v>
      </c>
      <c r="AB309" s="14">
        <f>ROUND(IF(Q309=1,INDEX(新属性投放!$E$14:$E$34,卡牌属性!R309),INDEX(新属性投放!$E$42:$E$62,卡牌属性!R309))*INDEX($G$5:$G$42,L309),2)</f>
        <v>86.52</v>
      </c>
      <c r="AC309" s="29" t="s">
        <v>179</v>
      </c>
      <c r="AD309" s="14">
        <f>ROUND(IF(Q309=1,INDEX(新属性投放!$F$14:$F$34,卡牌属性!R309),INDEX(新属性投放!$F$42:$F$62,卡牌属性!R309))*INDEX($G$5:$G$42,L309)*SQRT(INDEX($I$5:$I$42,L309)),2)</f>
        <v>519.12</v>
      </c>
      <c r="AF309" s="14">
        <f t="shared" si="121"/>
        <v>1730</v>
      </c>
      <c r="AG309" s="14">
        <f t="shared" si="122"/>
        <v>865</v>
      </c>
      <c r="AH309" s="14">
        <f t="shared" si="123"/>
        <v>5191</v>
      </c>
      <c r="AJ309" s="14">
        <f t="shared" si="133"/>
        <v>9179</v>
      </c>
      <c r="AK309" s="14">
        <f t="shared" si="134"/>
        <v>4587</v>
      </c>
      <c r="AL309" s="14">
        <f t="shared" si="135"/>
        <v>27548</v>
      </c>
    </row>
    <row r="310" spans="11:38" ht="16.5" x14ac:dyDescent="0.2">
      <c r="K310" s="13">
        <v>307</v>
      </c>
      <c r="L310" s="13">
        <f t="shared" si="115"/>
        <v>15</v>
      </c>
      <c r="M310" s="13">
        <f t="shared" si="116"/>
        <v>3</v>
      </c>
      <c r="N310" s="14">
        <f t="shared" si="117"/>
        <v>1101015</v>
      </c>
      <c r="O310" s="14" t="str">
        <f t="shared" si="118"/>
        <v>阎巧巧13突</v>
      </c>
      <c r="P310" s="29" t="s">
        <v>470</v>
      </c>
      <c r="Q310" s="14">
        <f t="shared" si="119"/>
        <v>1</v>
      </c>
      <c r="R310" s="14">
        <f t="shared" si="120"/>
        <v>13</v>
      </c>
      <c r="S310" s="14" t="s">
        <v>39</v>
      </c>
      <c r="T310" s="14">
        <f>ROUND(((IF(Q310=1,INDEX(新属性投放!$J$14:$J$34,卡牌属性!R310),INDEX(新属性投放!$J$42:$J$62,卡牌属性!R310)))*INDEX($G$5:$G$42,L310)+IF(Q310=1,INDEX(新属性投放!R$20:R$23,卡牌属性!M310-1),INDEX(新属性投放!R$25:R$28,卡牌属性!M310-1)))/SQRT(INDEX($I$5:$I$42,L310)),2)</f>
        <v>8052.79</v>
      </c>
      <c r="U310" s="29" t="s">
        <v>178</v>
      </c>
      <c r="V310" s="14">
        <f>ROUND((IF(Q310=1,INDEX(新属性投放!$K$14:$K$34,卡牌属性!R310),INDEX(新属性投放!$K$42:$K$62,卡牌属性!R310))+IF(Q310=1,INDEX(新属性投放!S$20:S$23,卡牌属性!M310-1),INDEX(新属性投放!S$25:S$28,卡牌属性!M310-1)))*INDEX($G$5:$G$42,L310),2)</f>
        <v>3958.27</v>
      </c>
      <c r="W310" s="29" t="s">
        <v>179</v>
      </c>
      <c r="X310" s="14">
        <f>ROUND((IF(Q310=1,INDEX(新属性投放!$L$14:$L$34,卡牌属性!R310),INDEX(新属性投放!$L$42:$L$62,卡牌属性!R310))*INDEX($G$5:$G$42,L310)+IF(Q310=1,INDEX(新属性投放!T$20:T$23,卡牌属性!M310-1),INDEX(新属性投放!T$25:T$28,卡牌属性!M310-1)))*SQRT(INDEX($I$5:$I$42,L310)),2)</f>
        <v>24738.38</v>
      </c>
      <c r="Y310" s="29" t="s">
        <v>177</v>
      </c>
      <c r="Z310" s="14">
        <f>ROUND(IF(Q310=1,INDEX(新属性投放!$D$14:$D$34,卡牌属性!R310),INDEX(新属性投放!$D$42:$D$62,卡牌属性!R310))*INDEX($G$5:$G$42,L310)/SQRT(INDEX($I$5:$I$42,L310)),2)</f>
        <v>200.07</v>
      </c>
      <c r="AA310" s="29" t="s">
        <v>178</v>
      </c>
      <c r="AB310" s="14">
        <f>ROUND(IF(Q310=1,INDEX(新属性投放!$E$14:$E$34,卡牌属性!R310),INDEX(新属性投放!$E$42:$E$62,卡牌属性!R310))*INDEX($G$5:$G$42,L310),2)</f>
        <v>100.03</v>
      </c>
      <c r="AC310" s="29" t="s">
        <v>179</v>
      </c>
      <c r="AD310" s="14">
        <f>ROUND(IF(Q310=1,INDEX(新属性投放!$F$14:$F$34,卡牌属性!R310),INDEX(新属性投放!$F$42:$F$62,卡牌属性!R310))*INDEX($G$5:$G$42,L310)*SQRT(INDEX($I$5:$I$42,L310)),2)</f>
        <v>600.20000000000005</v>
      </c>
      <c r="AF310" s="14">
        <f t="shared" si="121"/>
        <v>2000</v>
      </c>
      <c r="AG310" s="14">
        <f t="shared" si="122"/>
        <v>1000</v>
      </c>
      <c r="AH310" s="14">
        <f t="shared" si="123"/>
        <v>6002</v>
      </c>
      <c r="AJ310" s="14">
        <f t="shared" si="133"/>
        <v>11179</v>
      </c>
      <c r="AK310" s="14">
        <f t="shared" si="134"/>
        <v>5587</v>
      </c>
      <c r="AL310" s="14">
        <f t="shared" si="135"/>
        <v>33550</v>
      </c>
    </row>
    <row r="311" spans="11:38" ht="16.5" x14ac:dyDescent="0.2">
      <c r="K311" s="13">
        <v>308</v>
      </c>
      <c r="L311" s="13">
        <f t="shared" si="115"/>
        <v>15</v>
      </c>
      <c r="M311" s="13">
        <f t="shared" si="116"/>
        <v>3</v>
      </c>
      <c r="N311" s="14">
        <f t="shared" si="117"/>
        <v>1101015</v>
      </c>
      <c r="O311" s="14" t="str">
        <f t="shared" si="118"/>
        <v>阎巧巧14突</v>
      </c>
      <c r="P311" s="29" t="s">
        <v>470</v>
      </c>
      <c r="Q311" s="14">
        <f t="shared" si="119"/>
        <v>1</v>
      </c>
      <c r="R311" s="14">
        <f t="shared" si="120"/>
        <v>14</v>
      </c>
      <c r="S311" s="14" t="s">
        <v>39</v>
      </c>
      <c r="T311" s="14">
        <f>ROUND(((IF(Q311=1,INDEX(新属性投放!$J$14:$J$34,卡牌属性!R311),INDEX(新属性投放!$J$42:$J$62,卡牌属性!R311)))*INDEX($G$5:$G$42,L311)+IF(Q311=1,INDEX(新属性投放!R$20:R$23,卡牌属性!M311-1),INDEX(新属性投放!R$25:R$28,卡牌属性!M311-1)))/SQRT(INDEX($I$5:$I$42,L311)),2)</f>
        <v>9302.67</v>
      </c>
      <c r="U311" s="29" t="s">
        <v>178</v>
      </c>
      <c r="V311" s="14">
        <f>ROUND((IF(Q311=1,INDEX(新属性投放!$K$14:$K$34,卡牌属性!R311),INDEX(新属性投放!$K$42:$K$62,卡牌属性!R311))+IF(Q311=1,INDEX(新属性投放!S$20:S$23,卡牌属性!M311-1),INDEX(新属性投放!S$25:S$28,卡牌属性!M311-1)))*INDEX($G$5:$G$42,L311),2)</f>
        <v>4583.79</v>
      </c>
      <c r="W311" s="29" t="s">
        <v>179</v>
      </c>
      <c r="X311" s="14">
        <f>ROUND((IF(Q311=1,INDEX(新属性投放!$L$14:$L$34,卡牌属性!R311),INDEX(新属性投放!$L$42:$L$62,卡牌属性!R311))*INDEX($G$5:$G$42,L311)+IF(Q311=1,INDEX(新属性投放!T$20:T$23,卡牌属性!M311-1),INDEX(新属性投放!T$25:T$28,卡牌属性!M311-1)))*SQRT(INDEX($I$5:$I$42,L311)),2)</f>
        <v>28488.01</v>
      </c>
      <c r="Y311" s="29" t="s">
        <v>177</v>
      </c>
      <c r="Z311" s="14">
        <f>ROUND(IF(Q311=1,INDEX(新属性投放!$D$14:$D$34,卡牌属性!R311),INDEX(新属性投放!$D$42:$D$62,卡牌属性!R311))*INDEX($G$5:$G$42,L311)/SQRT(INDEX($I$5:$I$42,L311)),2)</f>
        <v>231.32</v>
      </c>
      <c r="AA311" s="29" t="s">
        <v>178</v>
      </c>
      <c r="AB311" s="14">
        <f>ROUND(IF(Q311=1,INDEX(新属性投放!$E$14:$E$34,卡牌属性!R311),INDEX(新属性投放!$E$42:$E$62,卡牌属性!R311))*INDEX($G$5:$G$42,L311),2)</f>
        <v>115.66</v>
      </c>
      <c r="AC311" s="29" t="s">
        <v>179</v>
      </c>
      <c r="AD311" s="14">
        <f>ROUND(IF(Q311=1,INDEX(新属性投放!$F$14:$F$34,卡牌属性!R311),INDEX(新属性投放!$F$42:$F$62,卡牌属性!R311))*INDEX($G$5:$G$42,L311)*SQRT(INDEX($I$5:$I$42,L311)),2)</f>
        <v>693.97</v>
      </c>
      <c r="AF311" s="14">
        <f t="shared" si="121"/>
        <v>2313</v>
      </c>
      <c r="AG311" s="14">
        <f t="shared" si="122"/>
        <v>1156</v>
      </c>
      <c r="AH311" s="14">
        <f t="shared" si="123"/>
        <v>6939</v>
      </c>
      <c r="AJ311" s="14">
        <f t="shared" si="133"/>
        <v>13492</v>
      </c>
      <c r="AK311" s="14">
        <f t="shared" si="134"/>
        <v>6743</v>
      </c>
      <c r="AL311" s="14">
        <f t="shared" si="135"/>
        <v>40489</v>
      </c>
    </row>
    <row r="312" spans="11:38" ht="16.5" x14ac:dyDescent="0.2">
      <c r="K312" s="13">
        <v>309</v>
      </c>
      <c r="L312" s="13">
        <f t="shared" si="115"/>
        <v>15</v>
      </c>
      <c r="M312" s="13">
        <f t="shared" si="116"/>
        <v>3</v>
      </c>
      <c r="N312" s="14">
        <f t="shared" si="117"/>
        <v>1101015</v>
      </c>
      <c r="O312" s="14" t="str">
        <f t="shared" si="118"/>
        <v>阎巧巧15突</v>
      </c>
      <c r="P312" s="29" t="s">
        <v>470</v>
      </c>
      <c r="Q312" s="14">
        <f t="shared" si="119"/>
        <v>1</v>
      </c>
      <c r="R312" s="14">
        <f t="shared" si="120"/>
        <v>15</v>
      </c>
      <c r="S312" s="14" t="s">
        <v>39</v>
      </c>
      <c r="T312" s="14">
        <f>ROUND(((IF(Q312=1,INDEX(新属性投放!$J$14:$J$34,卡牌属性!R312),INDEX(新属性投放!$J$42:$J$62,卡牌属性!R312)))*INDEX($G$5:$G$42,L312)+IF(Q312=1,INDEX(新属性投放!R$20:R$23,卡牌属性!M312-1),INDEX(新属性投放!R$25:R$28,卡牌属性!M312-1)))/SQRT(INDEX($I$5:$I$42,L312)),2)</f>
        <v>10747.93</v>
      </c>
      <c r="U312" s="29" t="s">
        <v>178</v>
      </c>
      <c r="V312" s="14">
        <f>ROUND((IF(Q312=1,INDEX(新属性投放!$K$14:$K$34,卡牌属性!R312),INDEX(新属性投放!$K$42:$K$62,卡牌属性!R312))+IF(Q312=1,INDEX(新属性投放!S$20:S$23,卡牌属性!M312-1),INDEX(新属性投放!S$25:S$28,卡牌属性!M312-1)))*INDEX($G$5:$G$42,L312),2)</f>
        <v>5306.99</v>
      </c>
      <c r="W312" s="29" t="s">
        <v>179</v>
      </c>
      <c r="X312" s="14">
        <f>ROUND((IF(Q312=1,INDEX(新属性投放!$L$14:$L$34,卡牌属性!R312),INDEX(新属性投放!$L$42:$L$62,卡牌属性!R312))*INDEX($G$5:$G$42,L312)+IF(Q312=1,INDEX(新属性投放!T$20:T$23,卡牌属性!M312-1),INDEX(新属性投放!T$25:T$28,卡牌属性!M312-1)))*SQRT(INDEX($I$5:$I$42,L312)),2)</f>
        <v>32823.800000000003</v>
      </c>
      <c r="Y312" s="29" t="s">
        <v>177</v>
      </c>
      <c r="Z312" s="14">
        <f>ROUND(IF(Q312=1,INDEX(新属性投放!$D$14:$D$34,卡牌属性!R312),INDEX(新属性投放!$D$42:$D$62,卡牌属性!R312))*INDEX($G$5:$G$42,L312)/SQRT(INDEX($I$5:$I$42,L312)),2)</f>
        <v>267.44</v>
      </c>
      <c r="AA312" s="29" t="s">
        <v>178</v>
      </c>
      <c r="AB312" s="14">
        <f>ROUND(IF(Q312=1,INDEX(新属性投放!$E$14:$E$34,卡牌属性!R312),INDEX(新属性投放!$E$42:$E$62,卡牌属性!R312))*INDEX($G$5:$G$42,L312),2)</f>
        <v>133.72</v>
      </c>
      <c r="AC312" s="29" t="s">
        <v>179</v>
      </c>
      <c r="AD312" s="14">
        <f>ROUND(IF(Q312=1,INDEX(新属性投放!$F$14:$F$34,卡牌属性!R312),INDEX(新属性投放!$F$42:$F$62,卡牌属性!R312))*INDEX($G$5:$G$42,L312)*SQRT(INDEX($I$5:$I$42,L312)),2)</f>
        <v>802.33</v>
      </c>
      <c r="AF312" s="14">
        <f t="shared" si="121"/>
        <v>2674</v>
      </c>
      <c r="AG312" s="14">
        <f t="shared" si="122"/>
        <v>1337</v>
      </c>
      <c r="AH312" s="14">
        <f t="shared" si="123"/>
        <v>8023</v>
      </c>
      <c r="AJ312" s="14">
        <f t="shared" si="133"/>
        <v>16166</v>
      </c>
      <c r="AK312" s="14">
        <f t="shared" si="134"/>
        <v>8080</v>
      </c>
      <c r="AL312" s="14">
        <f t="shared" si="135"/>
        <v>48512</v>
      </c>
    </row>
    <row r="313" spans="11:38" ht="16.5" x14ac:dyDescent="0.2">
      <c r="K313" s="13">
        <v>310</v>
      </c>
      <c r="L313" s="13">
        <f t="shared" si="115"/>
        <v>15</v>
      </c>
      <c r="M313" s="13">
        <f t="shared" si="116"/>
        <v>3</v>
      </c>
      <c r="N313" s="14">
        <f t="shared" si="117"/>
        <v>1101015</v>
      </c>
      <c r="O313" s="14" t="str">
        <f t="shared" si="118"/>
        <v>阎巧巧16突</v>
      </c>
      <c r="P313" s="29" t="s">
        <v>470</v>
      </c>
      <c r="Q313" s="14">
        <f t="shared" si="119"/>
        <v>1</v>
      </c>
      <c r="R313" s="14">
        <f t="shared" si="120"/>
        <v>16</v>
      </c>
      <c r="S313" s="14" t="s">
        <v>39</v>
      </c>
      <c r="T313" s="14">
        <f>ROUND(((IF(Q313=1,INDEX(新属性投放!$J$14:$J$34,卡牌属性!R313),INDEX(新属性投放!$J$42:$J$62,卡牌属性!R313)))*INDEX($G$5:$G$42,L313)+IF(Q313=1,INDEX(新属性投放!R$20:R$23,卡牌属性!M313-1),INDEX(新属性投放!R$25:R$28,卡牌属性!M313-1)))/SQRT(INDEX($I$5:$I$42,L313)),2)</f>
        <v>12419.8</v>
      </c>
      <c r="U313" s="29" t="s">
        <v>178</v>
      </c>
      <c r="V313" s="14">
        <f>ROUND((IF(Q313=1,INDEX(新属性投放!$K$14:$K$34,卡牌属性!R313),INDEX(新属性投放!$K$42:$K$62,卡牌属性!R313))+IF(Q313=1,INDEX(新属性投放!S$20:S$23,卡牌属性!M313-1),INDEX(新属性投放!S$25:S$28,卡牌属性!M313-1)))*INDEX($G$5:$G$42,L313),2)</f>
        <v>6142.35</v>
      </c>
      <c r="W313" s="29" t="s">
        <v>179</v>
      </c>
      <c r="X313" s="14">
        <f>ROUND((IF(Q313=1,INDEX(新属性投放!$L$14:$L$34,卡牌属性!R313),INDEX(新属性投放!$L$42:$L$62,卡牌属性!R313))*INDEX($G$5:$G$42,L313)+IF(Q313=1,INDEX(新属性投放!T$20:T$23,卡牌属性!M313-1),INDEX(新属性投放!T$25:T$28,卡牌属性!M313-1)))*SQRT(INDEX($I$5:$I$42,L313)),2)</f>
        <v>37839.410000000003</v>
      </c>
      <c r="Y313" s="29" t="s">
        <v>177</v>
      </c>
      <c r="Z313" s="14">
        <f>ROUND(IF(Q313=1,INDEX(新属性投放!$D$14:$D$34,卡牌属性!R313),INDEX(新属性投放!$D$42:$D$62,卡牌属性!R313))*INDEX($G$5:$G$42,L313)/SQRT(INDEX($I$5:$I$42,L313)),2)</f>
        <v>309.25</v>
      </c>
      <c r="AA313" s="29" t="s">
        <v>178</v>
      </c>
      <c r="AB313" s="14">
        <f>ROUND(IF(Q313=1,INDEX(新属性投放!$E$14:$E$34,卡牌属性!R313),INDEX(新属性投放!$E$42:$E$62,卡牌属性!R313))*INDEX($G$5:$G$42,L313),2)</f>
        <v>154.62</v>
      </c>
      <c r="AC313" s="29" t="s">
        <v>179</v>
      </c>
      <c r="AD313" s="14">
        <f>ROUND(IF(Q313=1,INDEX(新属性投放!$F$14:$F$34,卡牌属性!R313),INDEX(新属性投放!$F$42:$F$62,卡牌属性!R313))*INDEX($G$5:$G$42,L313)*SQRT(INDEX($I$5:$I$42,L313)),2)</f>
        <v>927.74</v>
      </c>
      <c r="AF313" s="14">
        <f t="shared" si="121"/>
        <v>3092</v>
      </c>
      <c r="AG313" s="14">
        <f t="shared" si="122"/>
        <v>1546</v>
      </c>
      <c r="AH313" s="14">
        <f t="shared" si="123"/>
        <v>9277</v>
      </c>
      <c r="AJ313" s="14">
        <f t="shared" si="133"/>
        <v>19258</v>
      </c>
      <c r="AK313" s="14">
        <f t="shared" si="134"/>
        <v>9626</v>
      </c>
      <c r="AL313" s="14">
        <f t="shared" si="135"/>
        <v>57789</v>
      </c>
    </row>
    <row r="314" spans="11:38" ht="16.5" x14ac:dyDescent="0.2">
      <c r="K314" s="13">
        <v>311</v>
      </c>
      <c r="L314" s="13">
        <f t="shared" si="115"/>
        <v>15</v>
      </c>
      <c r="M314" s="13">
        <f t="shared" si="116"/>
        <v>3</v>
      </c>
      <c r="N314" s="14">
        <f t="shared" si="117"/>
        <v>1101015</v>
      </c>
      <c r="O314" s="14" t="str">
        <f t="shared" si="118"/>
        <v>阎巧巧17突</v>
      </c>
      <c r="P314" s="29" t="s">
        <v>470</v>
      </c>
      <c r="Q314" s="14">
        <f t="shared" si="119"/>
        <v>1</v>
      </c>
      <c r="R314" s="14">
        <f t="shared" si="120"/>
        <v>17</v>
      </c>
      <c r="S314" s="14" t="s">
        <v>39</v>
      </c>
      <c r="T314" s="14">
        <f>ROUND(((IF(Q314=1,INDEX(新属性投放!$J$14:$J$34,卡牌属性!R314),INDEX(新属性投放!$J$42:$J$62,卡牌属性!R314)))*INDEX($G$5:$G$42,L314)+IF(Q314=1,INDEX(新属性投放!R$20:R$23,卡牌属性!M314-1),INDEX(新属性投放!R$25:R$28,卡牌属性!M314-1)))/SQRT(INDEX($I$5:$I$42,L314)),2)</f>
        <v>14352.44</v>
      </c>
      <c r="U314" s="29" t="s">
        <v>178</v>
      </c>
      <c r="V314" s="14">
        <f>ROUND((IF(Q314=1,INDEX(新属性投放!$K$14:$K$34,卡牌属性!R314),INDEX(新属性投放!$K$42:$K$62,卡牌属性!R314))+IF(Q314=1,INDEX(新属性投放!S$20:S$23,卡牌属性!M314-1),INDEX(新属性投放!S$25:S$28,卡牌属性!M314-1)))*INDEX($G$5:$G$42,L314),2)</f>
        <v>7108.67</v>
      </c>
      <c r="W314" s="29" t="s">
        <v>179</v>
      </c>
      <c r="X314" s="14">
        <f>ROUND((IF(Q314=1,INDEX(新属性投放!$L$14:$L$34,卡牌属性!R314),INDEX(新属性投放!$L$42:$L$62,卡牌属性!R314))*INDEX($G$5:$G$42,L314)+IF(Q314=1,INDEX(新属性投放!T$20:T$23,卡牌属性!M314-1),INDEX(新属性投放!T$25:T$28,卡牌属性!M314-1)))*SQRT(INDEX($I$5:$I$42,L314)),2)</f>
        <v>43637.31</v>
      </c>
      <c r="Y314" s="29" t="s">
        <v>177</v>
      </c>
      <c r="Z314" s="14">
        <f>ROUND(IF(Q314=1,INDEX(新属性投放!$D$14:$D$34,卡牌属性!R314),INDEX(新属性投放!$D$42:$D$62,卡牌属性!R314))*INDEX($G$5:$G$42,L314)/SQRT(INDEX($I$5:$I$42,L314)),2)</f>
        <v>357.56</v>
      </c>
      <c r="AA314" s="29" t="s">
        <v>178</v>
      </c>
      <c r="AB314" s="14">
        <f>ROUND(IF(Q314=1,INDEX(新属性投放!$E$14:$E$34,卡牌属性!R314),INDEX(新属性投放!$E$42:$E$62,卡牌属性!R314))*INDEX($G$5:$G$42,L314),2)</f>
        <v>178.78</v>
      </c>
      <c r="AC314" s="29" t="s">
        <v>179</v>
      </c>
      <c r="AD314" s="14">
        <f>ROUND(IF(Q314=1,INDEX(新属性投放!$F$14:$F$34,卡牌属性!R314),INDEX(新属性投放!$F$42:$F$62,卡牌属性!R314))*INDEX($G$5:$G$42,L314)*SQRT(INDEX($I$5:$I$42,L314)),2)</f>
        <v>1072.67</v>
      </c>
      <c r="AF314" s="14">
        <f t="shared" si="121"/>
        <v>3575</v>
      </c>
      <c r="AG314" s="14">
        <f t="shared" si="122"/>
        <v>1787</v>
      </c>
      <c r="AH314" s="14">
        <f t="shared" si="123"/>
        <v>10726</v>
      </c>
      <c r="AJ314" s="14">
        <f t="shared" si="133"/>
        <v>22833</v>
      </c>
      <c r="AK314" s="14">
        <f t="shared" si="134"/>
        <v>11413</v>
      </c>
      <c r="AL314" s="14">
        <f t="shared" si="135"/>
        <v>68515</v>
      </c>
    </row>
    <row r="315" spans="11:38" ht="16.5" x14ac:dyDescent="0.2">
      <c r="K315" s="13">
        <v>312</v>
      </c>
      <c r="L315" s="13">
        <f t="shared" si="115"/>
        <v>15</v>
      </c>
      <c r="M315" s="13">
        <f t="shared" si="116"/>
        <v>3</v>
      </c>
      <c r="N315" s="14">
        <f t="shared" si="117"/>
        <v>1101015</v>
      </c>
      <c r="O315" s="14" t="str">
        <f t="shared" si="118"/>
        <v>阎巧巧18突</v>
      </c>
      <c r="P315" s="29" t="s">
        <v>470</v>
      </c>
      <c r="Q315" s="14">
        <f t="shared" si="119"/>
        <v>1</v>
      </c>
      <c r="R315" s="14">
        <f t="shared" si="120"/>
        <v>18</v>
      </c>
      <c r="S315" s="14" t="s">
        <v>39</v>
      </c>
      <c r="T315" s="14">
        <f>ROUND(((IF(Q315=1,INDEX(新属性投放!$J$14:$J$34,卡牌属性!R315),INDEX(新属性投放!$J$42:$J$62,卡牌属性!R315)))*INDEX($G$5:$G$42,L315)+IF(Q315=1,INDEX(新属性投放!R$20:R$23,卡牌属性!M315-1),INDEX(新属性投放!R$25:R$28,卡牌属性!M315-1)))/SQRT(INDEX($I$5:$I$42,L315)),2)</f>
        <v>16587.580000000002</v>
      </c>
      <c r="U315" s="29" t="s">
        <v>178</v>
      </c>
      <c r="V315" s="14">
        <f>ROUND((IF(Q315=1,INDEX(新属性投放!$K$14:$K$34,卡牌属性!R315),INDEX(新属性投放!$K$42:$K$62,卡牌属性!R315))+IF(Q315=1,INDEX(新属性投放!S$20:S$23,卡牌属性!M315-1),INDEX(新属性投放!S$25:S$28,卡牌属性!M315-1)))*INDEX($G$5:$G$42,L315),2)</f>
        <v>8225.66</v>
      </c>
      <c r="W315" s="29" t="s">
        <v>179</v>
      </c>
      <c r="X315" s="14">
        <f>ROUND((IF(Q315=1,INDEX(新属性投放!$L$14:$L$34,卡牌属性!R315),INDEX(新属性投放!$L$42:$L$62,卡牌属性!R315))*INDEX($G$5:$G$42,L315)+IF(Q315=1,INDEX(新属性投放!T$20:T$23,卡牌属性!M315-1),INDEX(新属性投放!T$25:T$28,卡牌属性!M315-1)))*SQRT(INDEX($I$5:$I$42,L315)),2)</f>
        <v>50342.73</v>
      </c>
      <c r="Y315" s="29" t="s">
        <v>177</v>
      </c>
      <c r="Z315" s="14">
        <f>ROUND(IF(Q315=1,INDEX(新属性投放!$D$14:$D$34,卡牌属性!R315),INDEX(新属性投放!$D$42:$D$62,卡牌属性!R315))*INDEX($G$5:$G$42,L315)/SQRT(INDEX($I$5:$I$42,L315)),2)</f>
        <v>413.44</v>
      </c>
      <c r="AA315" s="29" t="s">
        <v>178</v>
      </c>
      <c r="AB315" s="14">
        <f>ROUND(IF(Q315=1,INDEX(新属性投放!$E$14:$E$34,卡牌属性!R315),INDEX(新属性投放!$E$42:$E$62,卡牌属性!R315))*INDEX($G$5:$G$42,L315),2)</f>
        <v>206.72</v>
      </c>
      <c r="AC315" s="29" t="s">
        <v>179</v>
      </c>
      <c r="AD315" s="14">
        <f>ROUND(IF(Q315=1,INDEX(新属性投放!$F$14:$F$34,卡牌属性!R315),INDEX(新属性投放!$F$42:$F$62,卡牌属性!R315))*INDEX($G$5:$G$42,L315)*SQRT(INDEX($I$5:$I$42,L315)),2)</f>
        <v>1240.31</v>
      </c>
      <c r="AF315" s="14">
        <f t="shared" si="121"/>
        <v>4134</v>
      </c>
      <c r="AG315" s="14">
        <f t="shared" si="122"/>
        <v>2067</v>
      </c>
      <c r="AH315" s="14">
        <f t="shared" si="123"/>
        <v>12403</v>
      </c>
      <c r="AJ315" s="14">
        <f t="shared" si="133"/>
        <v>26967</v>
      </c>
      <c r="AK315" s="14">
        <f t="shared" si="134"/>
        <v>13480</v>
      </c>
      <c r="AL315" s="14">
        <f t="shared" si="135"/>
        <v>80918</v>
      </c>
    </row>
    <row r="316" spans="11:38" ht="16.5" x14ac:dyDescent="0.2">
      <c r="K316" s="13">
        <v>313</v>
      </c>
      <c r="L316" s="13">
        <f t="shared" si="115"/>
        <v>15</v>
      </c>
      <c r="M316" s="13">
        <f t="shared" si="116"/>
        <v>3</v>
      </c>
      <c r="N316" s="14">
        <f t="shared" si="117"/>
        <v>1101015</v>
      </c>
      <c r="O316" s="14" t="str">
        <f t="shared" si="118"/>
        <v>阎巧巧19突</v>
      </c>
      <c r="P316" s="29" t="s">
        <v>470</v>
      </c>
      <c r="Q316" s="14">
        <f t="shared" si="119"/>
        <v>1</v>
      </c>
      <c r="R316" s="14">
        <f t="shared" si="120"/>
        <v>19</v>
      </c>
      <c r="S316" s="14" t="s">
        <v>39</v>
      </c>
      <c r="T316" s="14">
        <f>ROUND(((IF(Q316=1,INDEX(新属性投放!$J$14:$J$34,卡牌属性!R316),INDEX(新属性投放!$J$42:$J$62,卡牌属性!R316)))*INDEX($G$5:$G$42,L316)+IF(Q316=1,INDEX(新属性投放!R$20:R$23,卡牌属性!M316-1),INDEX(新属性投放!R$25:R$28,卡牌属性!M316-1)))/SQRT(INDEX($I$5:$I$42,L316)),2)</f>
        <v>19171.11</v>
      </c>
      <c r="U316" s="29" t="s">
        <v>178</v>
      </c>
      <c r="V316" s="14">
        <f>ROUND((IF(Q316=1,INDEX(新属性投放!$K$14:$K$34,卡牌属性!R316),INDEX(新属性投放!$K$42:$K$62,卡牌属性!R316))+IF(Q316=1,INDEX(新属性投放!S$20:S$23,卡牌属性!M316-1),INDEX(新属性投放!S$25:S$28,卡牌属性!M316-1)))*INDEX($G$5:$G$42,L316),2)</f>
        <v>9518</v>
      </c>
      <c r="W316" s="29" t="s">
        <v>179</v>
      </c>
      <c r="X316" s="14">
        <f>ROUND((IF(Q316=1,INDEX(新属性投放!$L$14:$L$34,卡牌属性!R316),INDEX(新属性投放!$L$42:$L$62,卡牌属性!R316))*INDEX($G$5:$G$42,L316)+IF(Q316=1,INDEX(新属性投放!T$20:T$23,卡牌属性!M316-1),INDEX(新属性投放!T$25:T$28,卡牌属性!M316-1)))*SQRT(INDEX($I$5:$I$42,L316)),2)</f>
        <v>58093.32</v>
      </c>
      <c r="Y316" s="29" t="s">
        <v>177</v>
      </c>
      <c r="Z316" s="14">
        <f>ROUND(IF(Q316=1,INDEX(新属性投放!$D$14:$D$34,卡牌属性!R316),INDEX(新属性投放!$D$42:$D$62,卡牌属性!R316))*INDEX($G$5:$G$42,L316)/SQRT(INDEX($I$5:$I$42,L316)),2)</f>
        <v>478.03</v>
      </c>
      <c r="AA316" s="29" t="s">
        <v>178</v>
      </c>
      <c r="AB316" s="14">
        <f>ROUND(IF(Q316=1,INDEX(新属性投放!$E$14:$E$34,卡牌属性!R316),INDEX(新属性投放!$E$42:$E$62,卡牌属性!R316))*INDEX($G$5:$G$42,L316),2)</f>
        <v>239.02</v>
      </c>
      <c r="AC316" s="29" t="s">
        <v>179</v>
      </c>
      <c r="AD316" s="14">
        <f>ROUND(IF(Q316=1,INDEX(新属性投放!$F$14:$F$34,卡牌属性!R316),INDEX(新属性投放!$F$42:$F$62,卡牌属性!R316))*INDEX($G$5:$G$42,L316)*SQRT(INDEX($I$5:$I$42,L316)),2)</f>
        <v>1434.1</v>
      </c>
      <c r="AF316" s="14">
        <f t="shared" si="121"/>
        <v>4780</v>
      </c>
      <c r="AG316" s="14">
        <f t="shared" si="122"/>
        <v>2390</v>
      </c>
      <c r="AH316" s="14">
        <f t="shared" si="123"/>
        <v>14341</v>
      </c>
      <c r="AJ316" s="14">
        <f t="shared" si="133"/>
        <v>31747</v>
      </c>
      <c r="AK316" s="14">
        <f t="shared" si="134"/>
        <v>15870</v>
      </c>
      <c r="AL316" s="14">
        <f t="shared" si="135"/>
        <v>95259</v>
      </c>
    </row>
    <row r="317" spans="11:38" ht="16.5" x14ac:dyDescent="0.2">
      <c r="K317" s="13">
        <v>314</v>
      </c>
      <c r="L317" s="13">
        <f t="shared" si="115"/>
        <v>15</v>
      </c>
      <c r="M317" s="13">
        <f t="shared" si="116"/>
        <v>3</v>
      </c>
      <c r="N317" s="14">
        <f t="shared" si="117"/>
        <v>1101015</v>
      </c>
      <c r="O317" s="14" t="str">
        <f t="shared" si="118"/>
        <v>阎巧巧20突</v>
      </c>
      <c r="P317" s="29" t="s">
        <v>470</v>
      </c>
      <c r="Q317" s="14">
        <f t="shared" si="119"/>
        <v>1</v>
      </c>
      <c r="R317" s="14">
        <f t="shared" si="120"/>
        <v>20</v>
      </c>
      <c r="S317" s="14" t="s">
        <v>39</v>
      </c>
      <c r="T317" s="14">
        <f>ROUND(((IF(Q317=1,INDEX(新属性投放!$J$14:$J$34,卡牌属性!R317),INDEX(新属性投放!$J$42:$J$62,卡牌属性!R317)))*INDEX($G$5:$G$42,L317)+IF(Q317=1,INDEX(新属性投放!R$20:R$23,卡牌属性!M317-1),INDEX(新属性投放!R$25:R$28,卡牌属性!M317-1)))/SQRT(INDEX($I$5:$I$42,L317)),2)</f>
        <v>22159.27</v>
      </c>
      <c r="U317" s="29" t="s">
        <v>178</v>
      </c>
      <c r="V317" s="14">
        <f>ROUND((IF(Q317=1,INDEX(新属性投放!$K$14:$K$34,卡牌属性!R317),INDEX(新属性投放!$K$42:$K$62,卡牌属性!R317))+IF(Q317=1,INDEX(新属性投放!S$20:S$23,卡牌属性!M317-1),INDEX(新属性投放!S$25:S$28,卡牌属性!M317-1)))*INDEX($G$5:$G$42,L317),2)</f>
        <v>11012.08</v>
      </c>
      <c r="W317" s="29" t="s">
        <v>179</v>
      </c>
      <c r="X317" s="14">
        <f>ROUND((IF(Q317=1,INDEX(新属性投放!$L$14:$L$34,卡牌属性!R317),INDEX(新属性投放!$L$42:$L$62,卡牌属性!R317))*INDEX($G$5:$G$42,L317)+IF(Q317=1,INDEX(新属性投放!T$20:T$23,卡牌属性!M317-1),INDEX(新属性投放!T$25:T$28,卡牌属性!M317-1)))*SQRT(INDEX($I$5:$I$42,L317)),2)</f>
        <v>67057.8</v>
      </c>
      <c r="Y317" s="29" t="s">
        <v>177</v>
      </c>
      <c r="Z317" s="14">
        <f>ROUND(IF(Q317=1,INDEX(新属性投放!$D$14:$D$34,卡牌属性!R317),INDEX(新属性投放!$D$42:$D$62,卡牌属性!R317))*INDEX($G$5:$G$42,L317)/SQRT(INDEX($I$5:$I$42,L317)),2)</f>
        <v>552.74</v>
      </c>
      <c r="AA317" s="29" t="s">
        <v>178</v>
      </c>
      <c r="AB317" s="14">
        <f>ROUND(IF(Q317=1,INDEX(新属性投放!$E$14:$E$34,卡牌属性!R317),INDEX(新属性投放!$E$42:$E$62,卡牌属性!R317))*INDEX($G$5:$G$42,L317),2)</f>
        <v>276.37</v>
      </c>
      <c r="AC317" s="29" t="s">
        <v>179</v>
      </c>
      <c r="AD317" s="14">
        <f>ROUND(IF(Q317=1,INDEX(新属性投放!$F$14:$F$34,卡牌属性!R317),INDEX(新属性投放!$F$42:$F$62,卡牌属性!R317))*INDEX($G$5:$G$42,L317)*SQRT(INDEX($I$5:$I$42,L317)),2)</f>
        <v>1658.21</v>
      </c>
      <c r="AF317" s="14">
        <f t="shared" si="121"/>
        <v>5527</v>
      </c>
      <c r="AG317" s="14">
        <f t="shared" si="122"/>
        <v>2763</v>
      </c>
      <c r="AH317" s="14">
        <f t="shared" si="123"/>
        <v>16582</v>
      </c>
      <c r="AJ317" s="14">
        <f t="shared" si="133"/>
        <v>37274</v>
      </c>
      <c r="AK317" s="14">
        <f t="shared" si="134"/>
        <v>18633</v>
      </c>
      <c r="AL317" s="14">
        <f t="shared" si="135"/>
        <v>111841</v>
      </c>
    </row>
    <row r="318" spans="11:38" ht="16.5" x14ac:dyDescent="0.2">
      <c r="K318" s="13">
        <v>315</v>
      </c>
      <c r="L318" s="13">
        <f t="shared" si="115"/>
        <v>15</v>
      </c>
      <c r="M318" s="13">
        <f t="shared" si="116"/>
        <v>3</v>
      </c>
      <c r="N318" s="14">
        <f t="shared" si="117"/>
        <v>1101015</v>
      </c>
      <c r="O318" s="14" t="str">
        <f t="shared" si="118"/>
        <v>阎巧巧21突</v>
      </c>
      <c r="P318" s="29" t="s">
        <v>470</v>
      </c>
      <c r="Q318" s="14">
        <f t="shared" si="119"/>
        <v>1</v>
      </c>
      <c r="R318" s="14">
        <f t="shared" si="120"/>
        <v>21</v>
      </c>
      <c r="S318" s="14" t="s">
        <v>39</v>
      </c>
      <c r="T318" s="14">
        <f>ROUND(((IF(Q318=1,INDEX(新属性投放!$J$14:$J$34,卡牌属性!R318),INDEX(新属性投放!$J$42:$J$62,卡牌属性!R318)))*INDEX($G$5:$G$42,L318)+IF(Q318=1,INDEX(新属性投放!R$20:R$23,卡牌属性!M318-1),INDEX(新属性投放!R$25:R$28,卡牌属性!M318-1)))/SQRT(INDEX($I$5:$I$42,L318)),2)</f>
        <v>25614.1</v>
      </c>
      <c r="U318" s="29" t="s">
        <v>178</v>
      </c>
      <c r="V318" s="14">
        <f>ROUND((IF(Q318=1,INDEX(新属性投放!$K$14:$K$34,卡牌属性!R318),INDEX(新属性投放!$K$42:$K$62,卡牌属性!R318))+IF(Q318=1,INDEX(新属性投放!S$20:S$23,卡牌属性!M318-1),INDEX(新属性投放!S$25:S$28,卡牌属性!M318-1)))*INDEX($G$5:$G$42,L318),2)</f>
        <v>12738.92</v>
      </c>
      <c r="W318" s="29" t="s">
        <v>179</v>
      </c>
      <c r="X318" s="14">
        <f>ROUND((IF(Q318=1,INDEX(新属性投放!$L$14:$L$34,卡牌属性!R318),INDEX(新属性投放!$L$42:$L$62,卡牌属性!R318))*INDEX($G$5:$G$42,L318)+IF(Q318=1,INDEX(新属性投放!T$20:T$23,卡牌属性!M318-1),INDEX(新属性投放!T$25:T$28,卡牌属性!M318-1)))*SQRT(INDEX($I$5:$I$42,L318)),2)</f>
        <v>77422.289999999994</v>
      </c>
      <c r="Y318" s="29" t="s">
        <v>177</v>
      </c>
      <c r="Z318" s="14">
        <f>ROUND(IF(Q318=1,INDEX(新属性投放!$D$14:$D$34,卡牌属性!R318),INDEX(新属性投放!$D$42:$D$62,卡牌属性!R318))*INDEX($G$5:$G$42,L318)/SQRT(INDEX($I$5:$I$42,L318)),2)</f>
        <v>639.1</v>
      </c>
      <c r="AA318" s="29" t="s">
        <v>178</v>
      </c>
      <c r="AB318" s="14">
        <f>ROUND(IF(Q318=1,INDEX(新属性投放!$E$14:$E$34,卡牌属性!R318),INDEX(新属性投放!$E$42:$E$62,卡牌属性!R318))*INDEX($G$5:$G$42,L318),2)</f>
        <v>319.55</v>
      </c>
      <c r="AC318" s="29" t="s">
        <v>179</v>
      </c>
      <c r="AD318" s="14">
        <f>ROUND(IF(Q318=1,INDEX(新属性投放!$F$14:$F$34,卡牌属性!R318),INDEX(新属性投放!$F$42:$F$62,卡牌属性!R318))*INDEX($G$5:$G$42,L318)*SQRT(INDEX($I$5:$I$42,L318)),2)</f>
        <v>1917.3</v>
      </c>
      <c r="AF318" s="14">
        <f t="shared" si="121"/>
        <v>6391</v>
      </c>
      <c r="AG318" s="14">
        <f t="shared" si="122"/>
        <v>3195</v>
      </c>
      <c r="AH318" s="14">
        <f t="shared" si="123"/>
        <v>19173</v>
      </c>
      <c r="AJ318" s="14">
        <f t="shared" si="133"/>
        <v>43665</v>
      </c>
      <c r="AK318" s="14">
        <f t="shared" si="134"/>
        <v>21828</v>
      </c>
      <c r="AL318" s="14">
        <f t="shared" si="135"/>
        <v>131014</v>
      </c>
    </row>
    <row r="319" spans="11:38" ht="16.5" x14ac:dyDescent="0.2">
      <c r="K319" s="13">
        <v>316</v>
      </c>
      <c r="L319" s="13">
        <f t="shared" si="115"/>
        <v>16</v>
      </c>
      <c r="M319" s="13">
        <f t="shared" si="116"/>
        <v>2</v>
      </c>
      <c r="N319" s="14">
        <f t="shared" si="117"/>
        <v>1101041</v>
      </c>
      <c r="O319" s="14" t="str">
        <f t="shared" si="118"/>
        <v>常服夏玲1突</v>
      </c>
      <c r="P319" s="29" t="s">
        <v>470</v>
      </c>
      <c r="Q319" s="14">
        <f t="shared" si="119"/>
        <v>1</v>
      </c>
      <c r="R319" s="14">
        <f t="shared" si="120"/>
        <v>1</v>
      </c>
      <c r="S319" s="14" t="s">
        <v>39</v>
      </c>
      <c r="T319" s="14">
        <f>ROUND(((IF(Q319=1,INDEX(新属性投放!$J$14:$J$34,卡牌属性!R319),INDEX(新属性投放!$J$42:$J$62,卡牌属性!R319)))*INDEX($G$5:$G$42,L319)+IF(Q319=1,INDEX(新属性投放!R$20:R$23,卡牌属性!M319-1),INDEX(新属性投放!R$25:R$28,卡牌属性!M319-1)))/SQRT(INDEX($I$5:$I$42,L319)),2)</f>
        <v>100</v>
      </c>
      <c r="U319" s="29" t="s">
        <v>178</v>
      </c>
      <c r="V319" s="14">
        <f>ROUND((IF(Q319=1,INDEX(新属性投放!$K$14:$K$34,卡牌属性!R319),INDEX(新属性投放!$K$42:$K$62,卡牌属性!R319))+IF(Q319=1,INDEX(新属性投放!S$20:S$23,卡牌属性!M319-1),INDEX(新属性投放!S$25:S$28,卡牌属性!M319-1)))*INDEX($G$5:$G$42,L319),2)</f>
        <v>0</v>
      </c>
      <c r="W319" s="29" t="s">
        <v>179</v>
      </c>
      <c r="X319" s="14">
        <f>ROUND((IF(Q319=1,INDEX(新属性投放!$L$14:$L$34,卡牌属性!R319),INDEX(新属性投放!$L$42:$L$62,卡牌属性!R319))*INDEX($G$5:$G$42,L319)+IF(Q319=1,INDEX(新属性投放!T$20:T$23,卡牌属性!M319-1),INDEX(新属性投放!T$25:T$28,卡牌属性!M319-1)))*SQRT(INDEX($I$5:$I$42,L319)),2)</f>
        <v>500</v>
      </c>
      <c r="Y319" s="29" t="s">
        <v>177</v>
      </c>
      <c r="Z319" s="14">
        <f>ROUND(IF(Q319=1,INDEX(新属性投放!$D$14:$D$34,卡牌属性!R319),INDEX(新属性投放!$D$42:$D$62,卡牌属性!R319))*INDEX($G$5:$G$42,L319)/SQRT(INDEX($I$5:$I$42,L319)),2)</f>
        <v>15</v>
      </c>
      <c r="AA319" s="29" t="s">
        <v>178</v>
      </c>
      <c r="AB319" s="14">
        <f>ROUND(IF(Q319=1,INDEX(新属性投放!$E$14:$E$34,卡牌属性!R319),INDEX(新属性投放!$E$42:$E$62,卡牌属性!R319))*INDEX($G$5:$G$42,L319),2)</f>
        <v>7.5</v>
      </c>
      <c r="AC319" s="29" t="s">
        <v>179</v>
      </c>
      <c r="AD319" s="14">
        <f>ROUND(IF(Q319=1,INDEX(新属性投放!$F$14:$F$34,卡牌属性!R319),INDEX(新属性投放!$F$42:$F$62,卡牌属性!R319))*INDEX($G$5:$G$42,L319)*SQRT(INDEX($I$5:$I$42,L319)),2)</f>
        <v>45</v>
      </c>
      <c r="AF319" s="14">
        <f t="shared" si="121"/>
        <v>150</v>
      </c>
      <c r="AG319" s="14">
        <f t="shared" si="122"/>
        <v>75</v>
      </c>
      <c r="AH319" s="14">
        <f t="shared" si="123"/>
        <v>450</v>
      </c>
      <c r="AJ319" s="14">
        <f t="shared" ref="AJ319" si="136">AF319</f>
        <v>150</v>
      </c>
      <c r="AK319" s="14">
        <f t="shared" ref="AK319" si="137">AG319</f>
        <v>75</v>
      </c>
      <c r="AL319" s="14">
        <f t="shared" ref="AL319" si="138">AH319</f>
        <v>450</v>
      </c>
    </row>
    <row r="320" spans="11:38" ht="16.5" x14ac:dyDescent="0.2">
      <c r="K320" s="13">
        <v>317</v>
      </c>
      <c r="L320" s="13">
        <f t="shared" si="115"/>
        <v>16</v>
      </c>
      <c r="M320" s="13">
        <f t="shared" si="116"/>
        <v>2</v>
      </c>
      <c r="N320" s="14">
        <f t="shared" si="117"/>
        <v>1101041</v>
      </c>
      <c r="O320" s="14" t="str">
        <f t="shared" si="118"/>
        <v>常服夏玲2突</v>
      </c>
      <c r="P320" s="29" t="s">
        <v>470</v>
      </c>
      <c r="Q320" s="14">
        <f t="shared" si="119"/>
        <v>1</v>
      </c>
      <c r="R320" s="14">
        <f t="shared" si="120"/>
        <v>2</v>
      </c>
      <c r="S320" s="14" t="s">
        <v>39</v>
      </c>
      <c r="T320" s="14">
        <f>ROUND(((IF(Q320=1,INDEX(新属性投放!$J$14:$J$34,卡牌属性!R320),INDEX(新属性投放!$J$42:$J$62,卡牌属性!R320)))*INDEX($G$5:$G$42,L320)+IF(Q320=1,INDEX(新属性投放!R$20:R$23,卡牌属性!M320-1),INDEX(新属性投放!R$25:R$28,卡牌属性!M320-1)))/SQRT(INDEX($I$5:$I$42,L320)),2)</f>
        <v>245</v>
      </c>
      <c r="U320" s="29" t="s">
        <v>178</v>
      </c>
      <c r="V320" s="14">
        <f>ROUND((IF(Q320=1,INDEX(新属性投放!$K$14:$K$34,卡牌属性!R320),INDEX(新属性投放!$K$42:$K$62,卡牌属性!R320))+IF(Q320=1,INDEX(新属性投放!S$20:S$23,卡牌属性!M320-1),INDEX(新属性投放!S$25:S$28,卡牌属性!M320-1)))*INDEX($G$5:$G$42,L320),2)</f>
        <v>84.5</v>
      </c>
      <c r="W320" s="29" t="s">
        <v>179</v>
      </c>
      <c r="X320" s="14">
        <f>ROUND((IF(Q320=1,INDEX(新属性投放!$L$14:$L$34,卡牌属性!R320),INDEX(新属性投放!$L$42:$L$62,卡牌属性!R320))*INDEX($G$5:$G$42,L320)+IF(Q320=1,INDEX(新属性投放!T$20:T$23,卡牌属性!M320-1),INDEX(新属性投放!T$25:T$28,卡牌属性!M320-1)))*SQRT(INDEX($I$5:$I$42,L320)),2)</f>
        <v>935</v>
      </c>
      <c r="Y320" s="29" t="s">
        <v>177</v>
      </c>
      <c r="Z320" s="14">
        <f>ROUND(IF(Q320=1,INDEX(新属性投放!$D$14:$D$34,卡牌属性!R320),INDEX(新属性投放!$D$42:$D$62,卡牌属性!R320))*INDEX($G$5:$G$42,L320)/SQRT(INDEX($I$5:$I$42,L320)),2)</f>
        <v>13.77</v>
      </c>
      <c r="AA320" s="29" t="s">
        <v>178</v>
      </c>
      <c r="AB320" s="14">
        <f>ROUND(IF(Q320=1,INDEX(新属性投放!$E$14:$E$34,卡牌属性!R320),INDEX(新属性投放!$E$42:$E$62,卡牌属性!R320))*INDEX($G$5:$G$42,L320),2)</f>
        <v>6.89</v>
      </c>
      <c r="AC320" s="29" t="s">
        <v>179</v>
      </c>
      <c r="AD320" s="14">
        <f>ROUND(IF(Q320=1,INDEX(新属性投放!$F$14:$F$34,卡牌属性!R320),INDEX(新属性投放!$F$42:$F$62,卡牌属性!R320))*INDEX($G$5:$G$42,L320)*SQRT(INDEX($I$5:$I$42,L320)),2)</f>
        <v>41.31</v>
      </c>
      <c r="AF320" s="14">
        <f t="shared" si="121"/>
        <v>137</v>
      </c>
      <c r="AG320" s="14">
        <f t="shared" si="122"/>
        <v>68</v>
      </c>
      <c r="AH320" s="14">
        <f t="shared" si="123"/>
        <v>413</v>
      </c>
      <c r="AJ320" s="14">
        <f t="shared" ref="AJ320:AJ339" si="139">AJ319+AF320</f>
        <v>287</v>
      </c>
      <c r="AK320" s="14">
        <f t="shared" ref="AK320:AK339" si="140">AK319+AG320</f>
        <v>143</v>
      </c>
      <c r="AL320" s="14">
        <f t="shared" ref="AL320:AL339" si="141">AL319+AH320</f>
        <v>863</v>
      </c>
    </row>
    <row r="321" spans="11:38" ht="16.5" x14ac:dyDescent="0.2">
      <c r="K321" s="13">
        <v>318</v>
      </c>
      <c r="L321" s="13">
        <f t="shared" si="115"/>
        <v>16</v>
      </c>
      <c r="M321" s="13">
        <f t="shared" si="116"/>
        <v>2</v>
      </c>
      <c r="N321" s="14">
        <f t="shared" si="117"/>
        <v>1101041</v>
      </c>
      <c r="O321" s="14" t="str">
        <f t="shared" si="118"/>
        <v>常服夏玲3突</v>
      </c>
      <c r="P321" s="29" t="s">
        <v>470</v>
      </c>
      <c r="Q321" s="14">
        <f t="shared" si="119"/>
        <v>1</v>
      </c>
      <c r="R321" s="14">
        <f t="shared" si="120"/>
        <v>3</v>
      </c>
      <c r="S321" s="14" t="s">
        <v>39</v>
      </c>
      <c r="T321" s="14">
        <f>ROUND(((IF(Q321=1,INDEX(新属性投放!$J$14:$J$34,卡牌属性!R321),INDEX(新属性投放!$J$42:$J$62,卡牌属性!R321)))*INDEX($G$5:$G$42,L321)+IF(Q321=1,INDEX(新属性投放!R$20:R$23,卡牌属性!M321-1),INDEX(新属性投放!R$25:R$28,卡牌属性!M321-1)))/SQRT(INDEX($I$5:$I$42,L321)),2)</f>
        <v>416.7</v>
      </c>
      <c r="U321" s="29" t="s">
        <v>178</v>
      </c>
      <c r="V321" s="14">
        <f>ROUND((IF(Q321=1,INDEX(新属性投放!$K$14:$K$34,卡牌属性!R321),INDEX(新属性投放!$K$42:$K$62,卡牌属性!R321))+IF(Q321=1,INDEX(新属性投放!S$20:S$23,卡牌属性!M321-1),INDEX(新属性投放!S$25:S$28,卡牌属性!M321-1)))*INDEX($G$5:$G$42,L321),2)</f>
        <v>170.35</v>
      </c>
      <c r="W321" s="29" t="s">
        <v>179</v>
      </c>
      <c r="X321" s="14">
        <f>ROUND((IF(Q321=1,INDEX(新属性投放!$L$14:$L$34,卡牌属性!R321),INDEX(新属性投放!$L$42:$L$62,卡牌属性!R321))*INDEX($G$5:$G$42,L321)+IF(Q321=1,INDEX(新属性投放!T$20:T$23,卡牌属性!M321-1),INDEX(新属性投放!T$25:T$28,卡牌属性!M321-1)))*SQRT(INDEX($I$5:$I$42,L321)),2)</f>
        <v>1450.1</v>
      </c>
      <c r="Y321" s="29" t="s">
        <v>177</v>
      </c>
      <c r="Z321" s="14">
        <f>ROUND(IF(Q321=1,INDEX(新属性投放!$D$14:$D$34,卡牌属性!R321),INDEX(新属性投放!$D$42:$D$62,卡牌属性!R321))*INDEX($G$5:$G$42,L321)/SQRT(INDEX($I$5:$I$42,L321)),2)</f>
        <v>25.17</v>
      </c>
      <c r="AA321" s="29" t="s">
        <v>178</v>
      </c>
      <c r="AB321" s="14">
        <f>ROUND(IF(Q321=1,INDEX(新属性投放!$E$14:$E$34,卡牌属性!R321),INDEX(新属性投放!$E$42:$E$62,卡牌属性!R321))*INDEX($G$5:$G$42,L321),2)</f>
        <v>12.59</v>
      </c>
      <c r="AC321" s="29" t="s">
        <v>179</v>
      </c>
      <c r="AD321" s="14">
        <f>ROUND(IF(Q321=1,INDEX(新属性投放!$F$14:$F$34,卡牌属性!R321),INDEX(新属性投放!$F$42:$F$62,卡牌属性!R321))*INDEX($G$5:$G$42,L321)*SQRT(INDEX($I$5:$I$42,L321)),2)</f>
        <v>75.510000000000005</v>
      </c>
      <c r="AF321" s="14">
        <f t="shared" si="121"/>
        <v>251</v>
      </c>
      <c r="AG321" s="14">
        <f t="shared" si="122"/>
        <v>125</v>
      </c>
      <c r="AH321" s="14">
        <f t="shared" si="123"/>
        <v>755</v>
      </c>
      <c r="AJ321" s="14">
        <f t="shared" si="139"/>
        <v>538</v>
      </c>
      <c r="AK321" s="14">
        <f t="shared" si="140"/>
        <v>268</v>
      </c>
      <c r="AL321" s="14">
        <f t="shared" si="141"/>
        <v>1618</v>
      </c>
    </row>
    <row r="322" spans="11:38" ht="16.5" x14ac:dyDescent="0.2">
      <c r="K322" s="13">
        <v>319</v>
      </c>
      <c r="L322" s="13">
        <f t="shared" si="115"/>
        <v>16</v>
      </c>
      <c r="M322" s="13">
        <f t="shared" si="116"/>
        <v>2</v>
      </c>
      <c r="N322" s="14">
        <f t="shared" si="117"/>
        <v>1101041</v>
      </c>
      <c r="O322" s="14" t="str">
        <f t="shared" si="118"/>
        <v>常服夏玲4突</v>
      </c>
      <c r="P322" s="29" t="s">
        <v>470</v>
      </c>
      <c r="Q322" s="14">
        <f t="shared" si="119"/>
        <v>1</v>
      </c>
      <c r="R322" s="14">
        <f t="shared" si="120"/>
        <v>4</v>
      </c>
      <c r="S322" s="14" t="s">
        <v>39</v>
      </c>
      <c r="T322" s="14">
        <f>ROUND(((IF(Q322=1,INDEX(新属性投放!$J$14:$J$34,卡牌属性!R322),INDEX(新属性投放!$J$42:$J$62,卡牌属性!R322)))*INDEX($G$5:$G$42,L322)+IF(Q322=1,INDEX(新属性投放!R$20:R$23,卡牌属性!M322-1),INDEX(新属性投放!R$25:R$28,卡牌属性!M322-1)))/SQRT(INDEX($I$5:$I$42,L322)),2)</f>
        <v>731.4</v>
      </c>
      <c r="U322" s="29" t="s">
        <v>178</v>
      </c>
      <c r="V322" s="14">
        <f>ROUND((IF(Q322=1,INDEX(新属性投放!$K$14:$K$34,卡牌属性!R322),INDEX(新属性投放!$K$42:$K$62,卡牌属性!R322))+IF(Q322=1,INDEX(新属性投放!S$20:S$23,卡牌属性!M322-1),INDEX(新属性投放!S$25:S$28,卡牌属性!M322-1)))*INDEX($G$5:$G$42,L322),2)</f>
        <v>327.2</v>
      </c>
      <c r="W322" s="29" t="s">
        <v>179</v>
      </c>
      <c r="X322" s="14">
        <f>ROUND((IF(Q322=1,INDEX(新属性投放!$L$14:$L$34,卡牌属性!R322),INDEX(新属性投放!$L$42:$L$62,卡牌属性!R322))*INDEX($G$5:$G$42,L322)+IF(Q322=1,INDEX(新属性投放!T$20:T$23,卡牌属性!M322-1),INDEX(新属性投放!T$25:T$28,卡牌属性!M322-1)))*SQRT(INDEX($I$5:$I$42,L322)),2)</f>
        <v>2394.1999999999998</v>
      </c>
      <c r="Y322" s="29" t="s">
        <v>177</v>
      </c>
      <c r="Z322" s="14">
        <f>ROUND(IF(Q322=1,INDEX(新属性投放!$D$14:$D$34,卡牌属性!R322),INDEX(新属性投放!$D$42:$D$62,卡牌属性!R322))*INDEX($G$5:$G$42,L322)/SQRT(INDEX($I$5:$I$42,L322)),2)</f>
        <v>30.13</v>
      </c>
      <c r="AA322" s="29" t="s">
        <v>178</v>
      </c>
      <c r="AB322" s="14">
        <f>ROUND(IF(Q322=1,INDEX(新属性投放!$E$14:$E$34,卡牌属性!R322),INDEX(新属性投放!$E$42:$E$62,卡牌属性!R322))*INDEX($G$5:$G$42,L322),2)</f>
        <v>15.07</v>
      </c>
      <c r="AC322" s="29" t="s">
        <v>179</v>
      </c>
      <c r="AD322" s="14">
        <f>ROUND(IF(Q322=1,INDEX(新属性投放!$F$14:$F$34,卡牌属性!R322),INDEX(新属性投放!$F$42:$F$62,卡牌属性!R322))*INDEX($G$5:$G$42,L322)*SQRT(INDEX($I$5:$I$42,L322)),2)</f>
        <v>90.39</v>
      </c>
      <c r="AF322" s="14">
        <f t="shared" si="121"/>
        <v>301</v>
      </c>
      <c r="AG322" s="14">
        <f t="shared" si="122"/>
        <v>150</v>
      </c>
      <c r="AH322" s="14">
        <f t="shared" si="123"/>
        <v>903</v>
      </c>
      <c r="AJ322" s="14">
        <f t="shared" si="139"/>
        <v>839</v>
      </c>
      <c r="AK322" s="14">
        <f t="shared" si="140"/>
        <v>418</v>
      </c>
      <c r="AL322" s="14">
        <f t="shared" si="141"/>
        <v>2521</v>
      </c>
    </row>
    <row r="323" spans="11:38" ht="16.5" x14ac:dyDescent="0.2">
      <c r="K323" s="13">
        <v>320</v>
      </c>
      <c r="L323" s="13">
        <f t="shared" si="115"/>
        <v>16</v>
      </c>
      <c r="M323" s="13">
        <f t="shared" si="116"/>
        <v>2</v>
      </c>
      <c r="N323" s="14">
        <f t="shared" si="117"/>
        <v>1101041</v>
      </c>
      <c r="O323" s="14" t="str">
        <f t="shared" si="118"/>
        <v>常服夏玲5突</v>
      </c>
      <c r="P323" s="29" t="s">
        <v>470</v>
      </c>
      <c r="Q323" s="14">
        <f t="shared" si="119"/>
        <v>1</v>
      </c>
      <c r="R323" s="14">
        <f t="shared" si="120"/>
        <v>5</v>
      </c>
      <c r="S323" s="14" t="s">
        <v>39</v>
      </c>
      <c r="T323" s="14">
        <f>ROUND(((IF(Q323=1,INDEX(新属性投放!$J$14:$J$34,卡牌属性!R323),INDEX(新属性投放!$J$42:$J$62,卡牌属性!R323)))*INDEX($G$5:$G$42,L323)+IF(Q323=1,INDEX(新属性投放!R$20:R$23,卡牌属性!M323-1),INDEX(新属性投放!R$25:R$28,卡牌属性!M323-1)))/SQRT(INDEX($I$5:$I$42,L323)),2)</f>
        <v>1107.7</v>
      </c>
      <c r="U323" s="29" t="s">
        <v>178</v>
      </c>
      <c r="V323" s="14">
        <f>ROUND((IF(Q323=1,INDEX(新属性投放!$K$14:$K$34,卡牌属性!R323),INDEX(新属性投放!$K$42:$K$62,卡牌属性!R323))+IF(Q323=1,INDEX(新属性投放!S$20:S$23,卡牌属性!M323-1),INDEX(新属性投放!S$25:S$28,卡牌属性!M323-1)))*INDEX($G$5:$G$42,L323),2)</f>
        <v>515.85</v>
      </c>
      <c r="W323" s="29" t="s">
        <v>179</v>
      </c>
      <c r="X323" s="14">
        <f>ROUND((IF(Q323=1,INDEX(新属性投放!$L$14:$L$34,卡牌属性!R323),INDEX(新属性投放!$L$42:$L$62,卡牌属性!R323))*INDEX($G$5:$G$42,L323)+IF(Q323=1,INDEX(新属性投放!T$20:T$23,卡牌属性!M323-1),INDEX(新属性投放!T$25:T$28,卡牌属性!M323-1)))*SQRT(INDEX($I$5:$I$42,L323)),2)</f>
        <v>3523.1</v>
      </c>
      <c r="Y323" s="29" t="s">
        <v>177</v>
      </c>
      <c r="Z323" s="14">
        <f>ROUND(IF(Q323=1,INDEX(新属性投放!$D$14:$D$34,卡牌属性!R323),INDEX(新属性投放!$D$42:$D$62,卡牌属性!R323))*INDEX($G$5:$G$42,L323)/SQRT(INDEX($I$5:$I$42,L323)),2)</f>
        <v>37.659999999999997</v>
      </c>
      <c r="AA323" s="29" t="s">
        <v>178</v>
      </c>
      <c r="AB323" s="14">
        <f>ROUND(IF(Q323=1,INDEX(新属性投放!$E$14:$E$34,卡牌属性!R323),INDEX(新属性投放!$E$42:$E$62,卡牌属性!R323))*INDEX($G$5:$G$42,L323),2)</f>
        <v>18.829999999999998</v>
      </c>
      <c r="AC323" s="29" t="s">
        <v>179</v>
      </c>
      <c r="AD323" s="14">
        <f>ROUND(IF(Q323=1,INDEX(新属性投放!$F$14:$F$34,卡牌属性!R323),INDEX(新属性投放!$F$42:$F$62,卡牌属性!R323))*INDEX($G$5:$G$42,L323)*SQRT(INDEX($I$5:$I$42,L323)),2)</f>
        <v>112.98</v>
      </c>
      <c r="AF323" s="14">
        <f t="shared" si="121"/>
        <v>376</v>
      </c>
      <c r="AG323" s="14">
        <f t="shared" si="122"/>
        <v>188</v>
      </c>
      <c r="AH323" s="14">
        <f t="shared" si="123"/>
        <v>1129</v>
      </c>
      <c r="AJ323" s="14">
        <f t="shared" si="139"/>
        <v>1215</v>
      </c>
      <c r="AK323" s="14">
        <f t="shared" si="140"/>
        <v>606</v>
      </c>
      <c r="AL323" s="14">
        <f t="shared" si="141"/>
        <v>3650</v>
      </c>
    </row>
    <row r="324" spans="11:38" ht="16.5" x14ac:dyDescent="0.2">
      <c r="K324" s="13">
        <v>321</v>
      </c>
      <c r="L324" s="13">
        <f t="shared" si="115"/>
        <v>16</v>
      </c>
      <c r="M324" s="13">
        <f t="shared" si="116"/>
        <v>2</v>
      </c>
      <c r="N324" s="14">
        <f t="shared" si="117"/>
        <v>1101041</v>
      </c>
      <c r="O324" s="14" t="str">
        <f t="shared" si="118"/>
        <v>常服夏玲6突</v>
      </c>
      <c r="P324" s="29" t="s">
        <v>470</v>
      </c>
      <c r="Q324" s="14">
        <f t="shared" si="119"/>
        <v>1</v>
      </c>
      <c r="R324" s="14">
        <f t="shared" si="120"/>
        <v>6</v>
      </c>
      <c r="S324" s="14" t="s">
        <v>39</v>
      </c>
      <c r="T324" s="14">
        <f>ROUND(((IF(Q324=1,INDEX(新属性投放!$J$14:$J$34,卡牌属性!R324),INDEX(新属性投放!$J$42:$J$62,卡牌属性!R324)))*INDEX($G$5:$G$42,L324)+IF(Q324=1,INDEX(新属性投放!R$20:R$23,卡牌属性!M324-1),INDEX(新属性投放!R$25:R$28,卡牌属性!M324-1)))/SQRT(INDEX($I$5:$I$42,L324)),2)</f>
        <v>1578.3</v>
      </c>
      <c r="U324" s="29" t="s">
        <v>178</v>
      </c>
      <c r="V324" s="14">
        <f>ROUND((IF(Q324=1,INDEX(新属性投放!$K$14:$K$34,卡牌属性!R324),INDEX(新属性投放!$K$42:$K$62,卡牌属性!R324))+IF(Q324=1,INDEX(新属性投放!S$20:S$23,卡牌属性!M324-1),INDEX(新属性投放!S$25:S$28,卡牌属性!M324-1)))*INDEX($G$5:$G$42,L324),2)</f>
        <v>751.15</v>
      </c>
      <c r="W324" s="29" t="s">
        <v>179</v>
      </c>
      <c r="X324" s="14">
        <f>ROUND((IF(Q324=1,INDEX(新属性投放!$L$14:$L$34,卡牌属性!R324),INDEX(新属性投放!$L$42:$L$62,卡牌属性!R324))*INDEX($G$5:$G$42,L324)+IF(Q324=1,INDEX(新属性投放!T$20:T$23,卡牌属性!M324-1),INDEX(新属性投放!T$25:T$28,卡牌属性!M324-1)))*SQRT(INDEX($I$5:$I$42,L324)),2)</f>
        <v>4934.8999999999996</v>
      </c>
      <c r="Y324" s="29" t="s">
        <v>177</v>
      </c>
      <c r="Z324" s="14">
        <f>ROUND(IF(Q324=1,INDEX(新属性投放!$D$14:$D$34,卡牌属性!R324),INDEX(新属性投放!$D$42:$D$62,卡牌属性!R324))*INDEX($G$5:$G$42,L324)/SQRT(INDEX($I$5:$I$42,L324)),2)</f>
        <v>48.85</v>
      </c>
      <c r="AA324" s="29" t="s">
        <v>178</v>
      </c>
      <c r="AB324" s="14">
        <f>ROUND(IF(Q324=1,INDEX(新属性投放!$E$14:$E$34,卡牌属性!R324),INDEX(新属性投放!$E$42:$E$62,卡牌属性!R324))*INDEX($G$5:$G$42,L324),2)</f>
        <v>24.43</v>
      </c>
      <c r="AC324" s="29" t="s">
        <v>179</v>
      </c>
      <c r="AD324" s="14">
        <f>ROUND(IF(Q324=1,INDEX(新属性投放!$F$14:$F$34,卡牌属性!R324),INDEX(新属性投放!$F$42:$F$62,卡牌属性!R324))*INDEX($G$5:$G$42,L324)*SQRT(INDEX($I$5:$I$42,L324)),2)</f>
        <v>146.55000000000001</v>
      </c>
      <c r="AF324" s="14">
        <f t="shared" si="121"/>
        <v>488</v>
      </c>
      <c r="AG324" s="14">
        <f t="shared" si="122"/>
        <v>244</v>
      </c>
      <c r="AH324" s="14">
        <f t="shared" si="123"/>
        <v>1465</v>
      </c>
      <c r="AJ324" s="14">
        <f t="shared" si="139"/>
        <v>1703</v>
      </c>
      <c r="AK324" s="14">
        <f t="shared" si="140"/>
        <v>850</v>
      </c>
      <c r="AL324" s="14">
        <f t="shared" si="141"/>
        <v>5115</v>
      </c>
    </row>
    <row r="325" spans="11:38" ht="16.5" x14ac:dyDescent="0.2">
      <c r="K325" s="13">
        <v>322</v>
      </c>
      <c r="L325" s="13">
        <f t="shared" ref="L325:L388" si="142">MATCH(K325-1,$F$4:$F$41,1)</f>
        <v>16</v>
      </c>
      <c r="M325" s="13">
        <f t="shared" ref="M325:M388" si="143">INDEX($D$5:$D$42,L325)</f>
        <v>2</v>
      </c>
      <c r="N325" s="14">
        <f t="shared" ref="N325:N388" si="144">INDEX($A$4:$A$42,L325+1)</f>
        <v>1101041</v>
      </c>
      <c r="O325" s="14" t="str">
        <f t="shared" ref="O325:O388" si="145">INDEX($B$4:$B$42,MATCH(N325,$A$4:$A$42,0))&amp;R325&amp;"突"</f>
        <v>常服夏玲7突</v>
      </c>
      <c r="P325" s="29" t="s">
        <v>470</v>
      </c>
      <c r="Q325" s="14">
        <f t="shared" ref="Q325:Q388" si="146">INDEX($C$4:$C$42,L325+1)</f>
        <v>1</v>
      </c>
      <c r="R325" s="14">
        <f t="shared" ref="R325:R388" si="147">K325-INDEX($F$4:$F$42,L325)</f>
        <v>7</v>
      </c>
      <c r="S325" s="14" t="s">
        <v>39</v>
      </c>
      <c r="T325" s="14">
        <f>ROUND(((IF(Q325=1,INDEX(新属性投放!$J$14:$J$34,卡牌属性!R325),INDEX(新属性投放!$J$42:$J$62,卡牌属性!R325)))*INDEX($G$5:$G$42,L325)+IF(Q325=1,INDEX(新属性投放!R$20:R$23,卡牌属性!M325-1),INDEX(新属性投放!R$25:R$28,卡牌属性!M325-1)))/SQRT(INDEX($I$5:$I$42,L325)),2)</f>
        <v>2188.8000000000002</v>
      </c>
      <c r="U325" s="29" t="s">
        <v>178</v>
      </c>
      <c r="V325" s="14">
        <f>ROUND((IF(Q325=1,INDEX(新属性投放!$K$14:$K$34,卡牌属性!R325),INDEX(新属性投放!$K$42:$K$62,卡牌属性!R325))+IF(Q325=1,INDEX(新属性投放!S$20:S$23,卡牌属性!M325-1),INDEX(新属性投放!S$25:S$28,卡牌属性!M325-1)))*INDEX($G$5:$G$42,L325),2)</f>
        <v>1056.4000000000001</v>
      </c>
      <c r="W325" s="29" t="s">
        <v>179</v>
      </c>
      <c r="X325" s="14">
        <f>ROUND((IF(Q325=1,INDEX(新属性投放!$L$14:$L$34,卡牌属性!R325),INDEX(新属性投放!$L$42:$L$62,卡牌属性!R325))*INDEX($G$5:$G$42,L325)+IF(Q325=1,INDEX(新属性投放!T$20:T$23,卡牌属性!M325-1),INDEX(新属性投放!T$25:T$28,卡牌属性!M325-1)))*SQRT(INDEX($I$5:$I$42,L325)),2)</f>
        <v>6766.4</v>
      </c>
      <c r="Y325" s="29" t="s">
        <v>177</v>
      </c>
      <c r="Z325" s="14">
        <f>ROUND(IF(Q325=1,INDEX(新属性投放!$D$14:$D$34,卡牌属性!R325),INDEX(新属性投放!$D$42:$D$62,卡牌属性!R325))*INDEX($G$5:$G$42,L325)/SQRT(INDEX($I$5:$I$42,L325)),2)</f>
        <v>60.19</v>
      </c>
      <c r="AA325" s="29" t="s">
        <v>178</v>
      </c>
      <c r="AB325" s="14">
        <f>ROUND(IF(Q325=1,INDEX(新属性投放!$E$14:$E$34,卡牌属性!R325),INDEX(新属性投放!$E$42:$E$62,卡牌属性!R325))*INDEX($G$5:$G$42,L325),2)</f>
        <v>30.1</v>
      </c>
      <c r="AC325" s="29" t="s">
        <v>179</v>
      </c>
      <c r="AD325" s="14">
        <f>ROUND(IF(Q325=1,INDEX(新属性投放!$F$14:$F$34,卡牌属性!R325),INDEX(新属性投放!$F$42:$F$62,卡牌属性!R325))*INDEX($G$5:$G$42,L325)*SQRT(INDEX($I$5:$I$42,L325)),2)</f>
        <v>180.57</v>
      </c>
      <c r="AF325" s="14">
        <f t="shared" ref="AF325:AF388" si="148">INT(Z325*AF$2*10)</f>
        <v>601</v>
      </c>
      <c r="AG325" s="14">
        <f t="shared" ref="AG325:AG388" si="149">INT(AB325*AF$2*10)</f>
        <v>301</v>
      </c>
      <c r="AH325" s="14">
        <f t="shared" ref="AH325:AH388" si="150">INT(AD325*AF$2*10)</f>
        <v>1805</v>
      </c>
      <c r="AJ325" s="14">
        <f t="shared" si="139"/>
        <v>2304</v>
      </c>
      <c r="AK325" s="14">
        <f t="shared" si="140"/>
        <v>1151</v>
      </c>
      <c r="AL325" s="14">
        <f t="shared" si="141"/>
        <v>6920</v>
      </c>
    </row>
    <row r="326" spans="11:38" ht="16.5" x14ac:dyDescent="0.2">
      <c r="K326" s="13">
        <v>323</v>
      </c>
      <c r="L326" s="13">
        <f t="shared" si="142"/>
        <v>16</v>
      </c>
      <c r="M326" s="13">
        <f t="shared" si="143"/>
        <v>2</v>
      </c>
      <c r="N326" s="14">
        <f t="shared" si="144"/>
        <v>1101041</v>
      </c>
      <c r="O326" s="14" t="str">
        <f t="shared" si="145"/>
        <v>常服夏玲8突</v>
      </c>
      <c r="P326" s="29" t="s">
        <v>470</v>
      </c>
      <c r="Q326" s="14">
        <f t="shared" si="146"/>
        <v>1</v>
      </c>
      <c r="R326" s="14">
        <f t="shared" si="147"/>
        <v>8</v>
      </c>
      <c r="S326" s="14" t="s">
        <v>39</v>
      </c>
      <c r="T326" s="14">
        <f>ROUND(((IF(Q326=1,INDEX(新属性投放!$J$14:$J$34,卡牌属性!R326),INDEX(新属性投放!$J$42:$J$62,卡牌属性!R326)))*INDEX($G$5:$G$42,L326)+IF(Q326=1,INDEX(新属性投放!R$20:R$23,卡牌属性!M326-1),INDEX(新属性投放!R$25:R$28,卡牌属性!M326-1)))/SQRT(INDEX($I$5:$I$42,L326)),2)</f>
        <v>2940.7</v>
      </c>
      <c r="U326" s="29" t="s">
        <v>178</v>
      </c>
      <c r="V326" s="14">
        <f>ROUND((IF(Q326=1,INDEX(新属性投放!$K$14:$K$34,卡牌属性!R326),INDEX(新属性投放!$K$42:$K$62,卡牌属性!R326))+IF(Q326=1,INDEX(新属性投放!S$20:S$23,卡牌属性!M326-1),INDEX(新属性投放!S$25:S$28,卡牌属性!M326-1)))*INDEX($G$5:$G$42,L326),2)</f>
        <v>1432.35</v>
      </c>
      <c r="W326" s="29" t="s">
        <v>179</v>
      </c>
      <c r="X326" s="14">
        <f>ROUND((IF(Q326=1,INDEX(新属性投放!$L$14:$L$34,卡牌属性!R326),INDEX(新属性投放!$L$42:$L$62,卡牌属性!R326))*INDEX($G$5:$G$42,L326)+IF(Q326=1,INDEX(新属性投放!T$20:T$23,卡牌属性!M326-1),INDEX(新属性投放!T$25:T$28,卡牌属性!M326-1)))*SQRT(INDEX($I$5:$I$42,L326)),2)</f>
        <v>9022.1</v>
      </c>
      <c r="Y326" s="29" t="s">
        <v>177</v>
      </c>
      <c r="Z326" s="14">
        <f>ROUND(IF(Q326=1,INDEX(新属性投放!$D$14:$D$34,卡牌属性!R326),INDEX(新属性投放!$D$42:$D$62,卡牌属性!R326))*INDEX($G$5:$G$42,L326)/SQRT(INDEX($I$5:$I$42,L326)),2)</f>
        <v>75.19</v>
      </c>
      <c r="AA326" s="29" t="s">
        <v>178</v>
      </c>
      <c r="AB326" s="14">
        <f>ROUND(IF(Q326=1,INDEX(新属性投放!$E$14:$E$34,卡牌属性!R326),INDEX(新属性投放!$E$42:$E$62,卡牌属性!R326))*INDEX($G$5:$G$42,L326),2)</f>
        <v>37.6</v>
      </c>
      <c r="AC326" s="29" t="s">
        <v>179</v>
      </c>
      <c r="AD326" s="14">
        <f>ROUND(IF(Q326=1,INDEX(新属性投放!$F$14:$F$34,卡牌属性!R326),INDEX(新属性投放!$F$42:$F$62,卡牌属性!R326))*INDEX($G$5:$G$42,L326)*SQRT(INDEX($I$5:$I$42,L326)),2)</f>
        <v>225.57</v>
      </c>
      <c r="AF326" s="14">
        <f t="shared" si="148"/>
        <v>751</v>
      </c>
      <c r="AG326" s="14">
        <f t="shared" si="149"/>
        <v>376</v>
      </c>
      <c r="AH326" s="14">
        <f t="shared" si="150"/>
        <v>2255</v>
      </c>
      <c r="AJ326" s="14">
        <f t="shared" si="139"/>
        <v>3055</v>
      </c>
      <c r="AK326" s="14">
        <f t="shared" si="140"/>
        <v>1527</v>
      </c>
      <c r="AL326" s="14">
        <f t="shared" si="141"/>
        <v>9175</v>
      </c>
    </row>
    <row r="327" spans="11:38" ht="16.5" x14ac:dyDescent="0.2">
      <c r="K327" s="13">
        <v>324</v>
      </c>
      <c r="L327" s="13">
        <f t="shared" si="142"/>
        <v>16</v>
      </c>
      <c r="M327" s="13">
        <f t="shared" si="143"/>
        <v>2</v>
      </c>
      <c r="N327" s="14">
        <f t="shared" si="144"/>
        <v>1101041</v>
      </c>
      <c r="O327" s="14" t="str">
        <f t="shared" si="145"/>
        <v>常服夏玲9突</v>
      </c>
      <c r="P327" s="29" t="s">
        <v>470</v>
      </c>
      <c r="Q327" s="14">
        <f t="shared" si="146"/>
        <v>1</v>
      </c>
      <c r="R327" s="14">
        <f t="shared" si="147"/>
        <v>9</v>
      </c>
      <c r="S327" s="14" t="s">
        <v>39</v>
      </c>
      <c r="T327" s="14">
        <f>ROUND(((IF(Q327=1,INDEX(新属性投放!$J$14:$J$34,卡牌属性!R327),INDEX(新属性投放!$J$42:$J$62,卡牌属性!R327)))*INDEX($G$5:$G$42,L327)+IF(Q327=1,INDEX(新属性投放!R$20:R$23,卡牌属性!M327-1),INDEX(新属性投放!R$25:R$28,卡牌属性!M327-1)))/SQRT(INDEX($I$5:$I$42,L327)),2)</f>
        <v>3880.6</v>
      </c>
      <c r="U327" s="29" t="s">
        <v>178</v>
      </c>
      <c r="V327" s="14">
        <f>ROUND((IF(Q327=1,INDEX(新属性投放!$K$14:$K$34,卡牌属性!R327),INDEX(新属性投放!$K$42:$K$62,卡牌属性!R327))+IF(Q327=1,INDEX(新属性投放!S$20:S$23,卡牌属性!M327-1),INDEX(新属性投放!S$25:S$28,卡牌属性!M327-1)))*INDEX($G$5:$G$42,L327),2)</f>
        <v>1902.3</v>
      </c>
      <c r="W327" s="29" t="s">
        <v>179</v>
      </c>
      <c r="X327" s="14">
        <f>ROUND((IF(Q327=1,INDEX(新属性投放!$L$14:$L$34,卡牌属性!R327),INDEX(新属性投放!$L$42:$L$62,卡牌属性!R327))*INDEX($G$5:$G$42,L327)+IF(Q327=1,INDEX(新属性投放!T$20:T$23,卡牌属性!M327-1),INDEX(新属性投放!T$25:T$28,卡牌属性!M327-1)))*SQRT(INDEX($I$5:$I$42,L327)),2)</f>
        <v>11841.8</v>
      </c>
      <c r="Y327" s="29" t="s">
        <v>177</v>
      </c>
      <c r="Z327" s="14">
        <f>ROUND(IF(Q327=1,INDEX(新属性投放!$D$14:$D$34,卡牌属性!R327),INDEX(新属性投放!$D$42:$D$62,卡牌属性!R327))*INDEX($G$5:$G$42,L327)/SQRT(INDEX($I$5:$I$42,L327)),2)</f>
        <v>97.79</v>
      </c>
      <c r="AA327" s="29" t="s">
        <v>178</v>
      </c>
      <c r="AB327" s="14">
        <f>ROUND(IF(Q327=1,INDEX(新属性投放!$E$14:$E$34,卡牌属性!R327),INDEX(新属性投放!$E$42:$E$62,卡牌属性!R327))*INDEX($G$5:$G$42,L327),2)</f>
        <v>48.9</v>
      </c>
      <c r="AC327" s="29" t="s">
        <v>179</v>
      </c>
      <c r="AD327" s="14">
        <f>ROUND(IF(Q327=1,INDEX(新属性投放!$F$14:$F$34,卡牌属性!R327),INDEX(新属性投放!$F$42:$F$62,卡牌属性!R327))*INDEX($G$5:$G$42,L327)*SQRT(INDEX($I$5:$I$42,L327)),2)</f>
        <v>293.37</v>
      </c>
      <c r="AF327" s="14">
        <f t="shared" si="148"/>
        <v>977</v>
      </c>
      <c r="AG327" s="14">
        <f t="shared" si="149"/>
        <v>489</v>
      </c>
      <c r="AH327" s="14">
        <f t="shared" si="150"/>
        <v>2933</v>
      </c>
      <c r="AJ327" s="14">
        <f t="shared" si="139"/>
        <v>4032</v>
      </c>
      <c r="AK327" s="14">
        <f t="shared" si="140"/>
        <v>2016</v>
      </c>
      <c r="AL327" s="14">
        <f t="shared" si="141"/>
        <v>12108</v>
      </c>
    </row>
    <row r="328" spans="11:38" ht="16.5" x14ac:dyDescent="0.2">
      <c r="K328" s="13">
        <v>325</v>
      </c>
      <c r="L328" s="13">
        <f t="shared" si="142"/>
        <v>16</v>
      </c>
      <c r="M328" s="13">
        <f t="shared" si="143"/>
        <v>2</v>
      </c>
      <c r="N328" s="14">
        <f t="shared" si="144"/>
        <v>1101041</v>
      </c>
      <c r="O328" s="14" t="str">
        <f t="shared" si="145"/>
        <v>常服夏玲10突</v>
      </c>
      <c r="P328" s="29" t="s">
        <v>470</v>
      </c>
      <c r="Q328" s="14">
        <f t="shared" si="146"/>
        <v>1</v>
      </c>
      <c r="R328" s="14">
        <f t="shared" si="147"/>
        <v>10</v>
      </c>
      <c r="S328" s="14" t="s">
        <v>39</v>
      </c>
      <c r="T328" s="14">
        <f>ROUND(((IF(Q328=1,INDEX(新属性投放!$J$14:$J$34,卡牌属性!R328),INDEX(新属性投放!$J$42:$J$62,卡牌属性!R328)))*INDEX($G$5:$G$42,L328)+IF(Q328=1,INDEX(新属性投放!R$20:R$23,卡牌属性!M328-1),INDEX(新属性投放!R$25:R$28,卡牌属性!M328-1)))/SQRT(INDEX($I$5:$I$42,L328)),2)</f>
        <v>4491.55</v>
      </c>
      <c r="U328" s="29" t="s">
        <v>178</v>
      </c>
      <c r="V328" s="14">
        <f>ROUND((IF(Q328=1,INDEX(新属性投放!$K$14:$K$34,卡牌属性!R328),INDEX(新属性投放!$K$42:$K$62,卡牌属性!R328))+IF(Q328=1,INDEX(新属性投放!S$20:S$23,卡牌属性!M328-1),INDEX(新属性投放!S$25:S$28,卡牌属性!M328-1)))*INDEX($G$5:$G$42,L328),2)</f>
        <v>2207.7800000000002</v>
      </c>
      <c r="W328" s="29" t="s">
        <v>179</v>
      </c>
      <c r="X328" s="14">
        <f>ROUND((IF(Q328=1,INDEX(新属性投放!$L$14:$L$34,卡牌属性!R328),INDEX(新属性投放!$L$42:$L$62,卡牌属性!R328))*INDEX($G$5:$G$42,L328)+IF(Q328=1,INDEX(新属性投放!T$20:T$23,卡牌属性!M328-1),INDEX(新属性投放!T$25:T$28,卡牌属性!M328-1)))*SQRT(INDEX($I$5:$I$42,L328)),2)</f>
        <v>13674.65</v>
      </c>
      <c r="Y328" s="29" t="s">
        <v>177</v>
      </c>
      <c r="Z328" s="14">
        <f>ROUND(IF(Q328=1,INDEX(新属性投放!$D$14:$D$34,卡牌属性!R328),INDEX(新属性投放!$D$42:$D$62,卡牌属性!R328))*INDEX($G$5:$G$42,L328)/SQRT(INDEX($I$5:$I$42,L328)),2)</f>
        <v>112.83</v>
      </c>
      <c r="AA328" s="29" t="s">
        <v>178</v>
      </c>
      <c r="AB328" s="14">
        <f>ROUND(IF(Q328=1,INDEX(新属性投放!$E$14:$E$34,卡牌属性!R328),INDEX(新属性投放!$E$42:$E$62,卡牌属性!R328))*INDEX($G$5:$G$42,L328),2)</f>
        <v>56.42</v>
      </c>
      <c r="AC328" s="29" t="s">
        <v>179</v>
      </c>
      <c r="AD328" s="14">
        <f>ROUND(IF(Q328=1,INDEX(新属性投放!$F$14:$F$34,卡牌属性!R328),INDEX(新属性投放!$F$42:$F$62,卡牌属性!R328))*INDEX($G$5:$G$42,L328)*SQRT(INDEX($I$5:$I$42,L328)),2)</f>
        <v>338.49</v>
      </c>
      <c r="AF328" s="14">
        <f t="shared" si="148"/>
        <v>1128</v>
      </c>
      <c r="AG328" s="14">
        <f t="shared" si="149"/>
        <v>564</v>
      </c>
      <c r="AH328" s="14">
        <f t="shared" si="150"/>
        <v>3384</v>
      </c>
      <c r="AJ328" s="14">
        <f t="shared" si="139"/>
        <v>5160</v>
      </c>
      <c r="AK328" s="14">
        <f t="shared" si="140"/>
        <v>2580</v>
      </c>
      <c r="AL328" s="14">
        <f t="shared" si="141"/>
        <v>15492</v>
      </c>
    </row>
    <row r="329" spans="11:38" ht="16.5" x14ac:dyDescent="0.2">
      <c r="K329" s="13">
        <v>326</v>
      </c>
      <c r="L329" s="13">
        <f t="shared" si="142"/>
        <v>16</v>
      </c>
      <c r="M329" s="13">
        <f t="shared" si="143"/>
        <v>2</v>
      </c>
      <c r="N329" s="14">
        <f t="shared" si="144"/>
        <v>1101041</v>
      </c>
      <c r="O329" s="14" t="str">
        <f t="shared" si="145"/>
        <v>常服夏玲11突</v>
      </c>
      <c r="P329" s="29" t="s">
        <v>470</v>
      </c>
      <c r="Q329" s="14">
        <f t="shared" si="146"/>
        <v>1</v>
      </c>
      <c r="R329" s="14">
        <f t="shared" si="147"/>
        <v>11</v>
      </c>
      <c r="S329" s="14" t="s">
        <v>39</v>
      </c>
      <c r="T329" s="14">
        <f>ROUND(((IF(Q329=1,INDEX(新属性投放!$J$14:$J$34,卡牌属性!R329),INDEX(新属性投放!$J$42:$J$62,卡牌属性!R329)))*INDEX($G$5:$G$42,L329)+IF(Q329=1,INDEX(新属性投放!R$20:R$23,卡牌属性!M329-1),INDEX(新属性投放!R$25:R$28,卡牌属性!M329-1)))/SQRT(INDEX($I$5:$I$42,L329)),2)</f>
        <v>5196.7</v>
      </c>
      <c r="U329" s="29" t="s">
        <v>178</v>
      </c>
      <c r="V329" s="14">
        <f>ROUND((IF(Q329=1,INDEX(新属性投放!$K$14:$K$34,卡牌属性!R329),INDEX(新属性投放!$K$42:$K$62,卡牌属性!R329))+IF(Q329=1,INDEX(新属性投放!S$20:S$23,卡牌属性!M329-1),INDEX(新属性投放!S$25:S$28,卡牌属性!M329-1)))*INDEX($G$5:$G$42,L329),2)</f>
        <v>2560.85</v>
      </c>
      <c r="W329" s="29" t="s">
        <v>179</v>
      </c>
      <c r="X329" s="14">
        <f>ROUND((IF(Q329=1,INDEX(新属性投放!$L$14:$L$34,卡牌属性!R329),INDEX(新属性投放!$L$42:$L$62,卡牌属性!R329))*INDEX($G$5:$G$42,L329)+IF(Q329=1,INDEX(新属性投放!T$20:T$23,卡牌属性!M329-1),INDEX(新属性投放!T$25:T$28,卡牌属性!M329-1)))*SQRT(INDEX($I$5:$I$42,L329)),2)</f>
        <v>15790.1</v>
      </c>
      <c r="Y329" s="29" t="s">
        <v>177</v>
      </c>
      <c r="Z329" s="14">
        <f>ROUND(IF(Q329=1,INDEX(新属性投放!$D$14:$D$34,卡牌属性!R329),INDEX(新属性投放!$D$42:$D$62,卡牌属性!R329))*INDEX($G$5:$G$42,L329)/SQRT(INDEX($I$5:$I$42,L329)),2)</f>
        <v>131.58000000000001</v>
      </c>
      <c r="AA329" s="29" t="s">
        <v>178</v>
      </c>
      <c r="AB329" s="14">
        <f>ROUND(IF(Q329=1,INDEX(新属性投放!$E$14:$E$34,卡牌属性!R329),INDEX(新属性投放!$E$42:$E$62,卡牌属性!R329))*INDEX($G$5:$G$42,L329),2)</f>
        <v>65.790000000000006</v>
      </c>
      <c r="AC329" s="29" t="s">
        <v>179</v>
      </c>
      <c r="AD329" s="14">
        <f>ROUND(IF(Q329=1,INDEX(新属性投放!$F$14:$F$34,卡牌属性!R329),INDEX(新属性投放!$F$42:$F$62,卡牌属性!R329))*INDEX($G$5:$G$42,L329)*SQRT(INDEX($I$5:$I$42,L329)),2)</f>
        <v>394.74</v>
      </c>
      <c r="AF329" s="14">
        <f t="shared" si="148"/>
        <v>1315</v>
      </c>
      <c r="AG329" s="14">
        <f t="shared" si="149"/>
        <v>657</v>
      </c>
      <c r="AH329" s="14">
        <f t="shared" si="150"/>
        <v>3947</v>
      </c>
      <c r="AJ329" s="14">
        <f t="shared" si="139"/>
        <v>6475</v>
      </c>
      <c r="AK329" s="14">
        <f t="shared" si="140"/>
        <v>3237</v>
      </c>
      <c r="AL329" s="14">
        <f t="shared" si="141"/>
        <v>19439</v>
      </c>
    </row>
    <row r="330" spans="11:38" ht="16.5" x14ac:dyDescent="0.2">
      <c r="K330" s="13">
        <v>327</v>
      </c>
      <c r="L330" s="13">
        <f t="shared" si="142"/>
        <v>16</v>
      </c>
      <c r="M330" s="13">
        <f t="shared" si="143"/>
        <v>2</v>
      </c>
      <c r="N330" s="14">
        <f t="shared" si="144"/>
        <v>1101041</v>
      </c>
      <c r="O330" s="14" t="str">
        <f t="shared" si="145"/>
        <v>常服夏玲12突</v>
      </c>
      <c r="P330" s="29" t="s">
        <v>470</v>
      </c>
      <c r="Q330" s="14">
        <f t="shared" si="146"/>
        <v>1</v>
      </c>
      <c r="R330" s="14">
        <f t="shared" si="147"/>
        <v>12</v>
      </c>
      <c r="S330" s="14" t="s">
        <v>39</v>
      </c>
      <c r="T330" s="14">
        <f>ROUND(((IF(Q330=1,INDEX(新属性投放!$J$14:$J$34,卡牌属性!R330),INDEX(新属性投放!$J$42:$J$62,卡牌属性!R330)))*INDEX($G$5:$G$42,L330)+IF(Q330=1,INDEX(新属性投放!R$20:R$23,卡牌属性!M330-1),INDEX(新属性投放!R$25:R$28,卡牌属性!M330-1)))/SQRT(INDEX($I$5:$I$42,L330)),2)</f>
        <v>6018.6</v>
      </c>
      <c r="U330" s="29" t="s">
        <v>178</v>
      </c>
      <c r="V330" s="14">
        <f>ROUND((IF(Q330=1,INDEX(新属性投放!$K$14:$K$34,卡牌属性!R330),INDEX(新属性投放!$K$42:$K$62,卡牌属性!R330))+IF(Q330=1,INDEX(新属性投放!S$20:S$23,卡牌属性!M330-1),INDEX(新属性投放!S$25:S$28,卡牌属性!M330-1)))*INDEX($G$5:$G$42,L330),2)</f>
        <v>2971.8</v>
      </c>
      <c r="W330" s="29" t="s">
        <v>179</v>
      </c>
      <c r="X330" s="14">
        <f>ROUND((IF(Q330=1,INDEX(新属性投放!$L$14:$L$34,卡牌属性!R330),INDEX(新属性投放!$L$42:$L$62,卡牌属性!R330))*INDEX($G$5:$G$42,L330)+IF(Q330=1,INDEX(新属性投放!T$20:T$23,卡牌属性!M330-1),INDEX(新属性投放!T$25:T$28,卡牌属性!M330-1)))*SQRT(INDEX($I$5:$I$42,L330)),2)</f>
        <v>18255.8</v>
      </c>
      <c r="Y330" s="29" t="s">
        <v>177</v>
      </c>
      <c r="Z330" s="14">
        <f>ROUND(IF(Q330=1,INDEX(新属性投放!$D$14:$D$34,卡牌属性!R330),INDEX(新属性投放!$D$42:$D$62,卡牌属性!R330))*INDEX($G$5:$G$42,L330)/SQRT(INDEX($I$5:$I$42,L330)),2)</f>
        <v>150.47</v>
      </c>
      <c r="AA330" s="29" t="s">
        <v>178</v>
      </c>
      <c r="AB330" s="14">
        <f>ROUND(IF(Q330=1,INDEX(新属性投放!$E$14:$E$34,卡牌属性!R330),INDEX(新属性投放!$E$42:$E$62,卡牌属性!R330))*INDEX($G$5:$G$42,L330),2)</f>
        <v>75.239999999999995</v>
      </c>
      <c r="AC330" s="29" t="s">
        <v>179</v>
      </c>
      <c r="AD330" s="14">
        <f>ROUND(IF(Q330=1,INDEX(新属性投放!$F$14:$F$34,卡牌属性!R330),INDEX(新属性投放!$F$42:$F$62,卡牌属性!R330))*INDEX($G$5:$G$42,L330)*SQRT(INDEX($I$5:$I$42,L330)),2)</f>
        <v>451.41</v>
      </c>
      <c r="AF330" s="14">
        <f t="shared" si="148"/>
        <v>1504</v>
      </c>
      <c r="AG330" s="14">
        <f t="shared" si="149"/>
        <v>752</v>
      </c>
      <c r="AH330" s="14">
        <f t="shared" si="150"/>
        <v>4514</v>
      </c>
      <c r="AJ330" s="14">
        <f t="shared" si="139"/>
        <v>7979</v>
      </c>
      <c r="AK330" s="14">
        <f t="shared" si="140"/>
        <v>3989</v>
      </c>
      <c r="AL330" s="14">
        <f t="shared" si="141"/>
        <v>23953</v>
      </c>
    </row>
    <row r="331" spans="11:38" ht="16.5" x14ac:dyDescent="0.2">
      <c r="K331" s="13">
        <v>328</v>
      </c>
      <c r="L331" s="13">
        <f t="shared" si="142"/>
        <v>16</v>
      </c>
      <c r="M331" s="13">
        <f t="shared" si="143"/>
        <v>2</v>
      </c>
      <c r="N331" s="14">
        <f t="shared" si="144"/>
        <v>1101041</v>
      </c>
      <c r="O331" s="14" t="str">
        <f t="shared" si="145"/>
        <v>常服夏玲13突</v>
      </c>
      <c r="P331" s="29" t="s">
        <v>470</v>
      </c>
      <c r="Q331" s="14">
        <f t="shared" si="146"/>
        <v>1</v>
      </c>
      <c r="R331" s="14">
        <f t="shared" si="147"/>
        <v>13</v>
      </c>
      <c r="S331" s="14" t="s">
        <v>39</v>
      </c>
      <c r="T331" s="14">
        <f>ROUND(((IF(Q331=1,INDEX(新属性投放!$J$14:$J$34,卡牌属性!R331),INDEX(新属性投放!$J$42:$J$62,卡牌属性!R331)))*INDEX($G$5:$G$42,L331)+IF(Q331=1,INDEX(新属性投放!R$20:R$23,卡牌属性!M331-1),INDEX(新属性投放!R$25:R$28,卡牌属性!M331-1)))/SQRT(INDEX($I$5:$I$42,L331)),2)</f>
        <v>6958.95</v>
      </c>
      <c r="U331" s="29" t="s">
        <v>178</v>
      </c>
      <c r="V331" s="14">
        <f>ROUND((IF(Q331=1,INDEX(新属性投放!$K$14:$K$34,卡牌属性!R331),INDEX(新属性投放!$K$42:$K$62,卡牌属性!R331))+IF(Q331=1,INDEX(新属性投放!S$20:S$23,卡牌属性!M331-1),INDEX(新属性投放!S$25:S$28,卡牌属性!M331-1)))*INDEX($G$5:$G$42,L331),2)</f>
        <v>3441.98</v>
      </c>
      <c r="W331" s="29" t="s">
        <v>179</v>
      </c>
      <c r="X331" s="14">
        <f>ROUND((IF(Q331=1,INDEX(新属性投放!$L$14:$L$34,卡牌属性!R331),INDEX(新属性投放!$L$42:$L$62,卡牌属性!R331))*INDEX($G$5:$G$42,L331)+IF(Q331=1,INDEX(新属性投放!T$20:T$23,卡牌属性!M331-1),INDEX(新属性投放!T$25:T$28,卡牌属性!M331-1)))*SQRT(INDEX($I$5:$I$42,L331)),2)</f>
        <v>21076.85</v>
      </c>
      <c r="Y331" s="29" t="s">
        <v>177</v>
      </c>
      <c r="Z331" s="14">
        <f>ROUND(IF(Q331=1,INDEX(新属性投放!$D$14:$D$34,卡牌属性!R331),INDEX(新属性投放!$D$42:$D$62,卡牌属性!R331))*INDEX($G$5:$G$42,L331)/SQRT(INDEX($I$5:$I$42,L331)),2)</f>
        <v>173.97</v>
      </c>
      <c r="AA331" s="29" t="s">
        <v>178</v>
      </c>
      <c r="AB331" s="14">
        <f>ROUND(IF(Q331=1,INDEX(新属性投放!$E$14:$E$34,卡牌属性!R331),INDEX(新属性投放!$E$42:$E$62,卡牌属性!R331))*INDEX($G$5:$G$42,L331),2)</f>
        <v>86.99</v>
      </c>
      <c r="AC331" s="29" t="s">
        <v>179</v>
      </c>
      <c r="AD331" s="14">
        <f>ROUND(IF(Q331=1,INDEX(新属性投放!$F$14:$F$34,卡牌属性!R331),INDEX(新属性投放!$F$42:$F$62,卡牌属性!R331))*INDEX($G$5:$G$42,L331)*SQRT(INDEX($I$5:$I$42,L331)),2)</f>
        <v>521.91</v>
      </c>
      <c r="AF331" s="14">
        <f t="shared" si="148"/>
        <v>1739</v>
      </c>
      <c r="AG331" s="14">
        <f t="shared" si="149"/>
        <v>869</v>
      </c>
      <c r="AH331" s="14">
        <f t="shared" si="150"/>
        <v>5219</v>
      </c>
      <c r="AJ331" s="14">
        <f t="shared" si="139"/>
        <v>9718</v>
      </c>
      <c r="AK331" s="14">
        <f t="shared" si="140"/>
        <v>4858</v>
      </c>
      <c r="AL331" s="14">
        <f t="shared" si="141"/>
        <v>29172</v>
      </c>
    </row>
    <row r="332" spans="11:38" ht="16.5" x14ac:dyDescent="0.2">
      <c r="K332" s="13">
        <v>329</v>
      </c>
      <c r="L332" s="13">
        <f t="shared" si="142"/>
        <v>16</v>
      </c>
      <c r="M332" s="13">
        <f t="shared" si="143"/>
        <v>2</v>
      </c>
      <c r="N332" s="14">
        <f t="shared" si="144"/>
        <v>1101041</v>
      </c>
      <c r="O332" s="14" t="str">
        <f t="shared" si="145"/>
        <v>常服夏玲14突</v>
      </c>
      <c r="P332" s="29" t="s">
        <v>470</v>
      </c>
      <c r="Q332" s="14">
        <f t="shared" si="146"/>
        <v>1</v>
      </c>
      <c r="R332" s="14">
        <f t="shared" si="147"/>
        <v>14</v>
      </c>
      <c r="S332" s="14" t="s">
        <v>39</v>
      </c>
      <c r="T332" s="14">
        <f>ROUND(((IF(Q332=1,INDEX(新属性投放!$J$14:$J$34,卡牌属性!R332),INDEX(新属性投放!$J$42:$J$62,卡牌属性!R332)))*INDEX($G$5:$G$42,L332)+IF(Q332=1,INDEX(新属性投放!R$20:R$23,卡牌属性!M332-1),INDEX(新属性投放!R$25:R$28,卡牌属性!M332-1)))/SQRT(INDEX($I$5:$I$42,L332)),2)</f>
        <v>8045.8</v>
      </c>
      <c r="U332" s="29" t="s">
        <v>178</v>
      </c>
      <c r="V332" s="14">
        <f>ROUND((IF(Q332=1,INDEX(新属性投放!$K$14:$K$34,卡牌属性!R332),INDEX(新属性投放!$K$42:$K$62,卡牌属性!R332))+IF(Q332=1,INDEX(新属性投放!S$20:S$23,卡牌属性!M332-1),INDEX(新属性投放!S$25:S$28,卡牌属性!M332-1)))*INDEX($G$5:$G$42,L332),2)</f>
        <v>3985.9</v>
      </c>
      <c r="W332" s="29" t="s">
        <v>179</v>
      </c>
      <c r="X332" s="14">
        <f>ROUND((IF(Q332=1,INDEX(新属性投放!$L$14:$L$34,卡牌属性!R332),INDEX(新属性投放!$L$42:$L$62,卡牌属性!R332))*INDEX($G$5:$G$42,L332)+IF(Q332=1,INDEX(新属性投放!T$20:T$23,卡牌属性!M332-1),INDEX(新属性投放!T$25:T$28,卡牌属性!M332-1)))*SQRT(INDEX($I$5:$I$42,L332)),2)</f>
        <v>24337.4</v>
      </c>
      <c r="Y332" s="29" t="s">
        <v>177</v>
      </c>
      <c r="Z332" s="14">
        <f>ROUND(IF(Q332=1,INDEX(新属性投放!$D$14:$D$34,卡牌属性!R332),INDEX(新属性投放!$D$42:$D$62,卡牌属性!R332))*INDEX($G$5:$G$42,L332)/SQRT(INDEX($I$5:$I$42,L332)),2)</f>
        <v>201.15</v>
      </c>
      <c r="AA332" s="29" t="s">
        <v>178</v>
      </c>
      <c r="AB332" s="14">
        <f>ROUND(IF(Q332=1,INDEX(新属性投放!$E$14:$E$34,卡牌属性!R332),INDEX(新属性投放!$E$42:$E$62,卡牌属性!R332))*INDEX($G$5:$G$42,L332),2)</f>
        <v>100.58</v>
      </c>
      <c r="AC332" s="29" t="s">
        <v>179</v>
      </c>
      <c r="AD332" s="14">
        <f>ROUND(IF(Q332=1,INDEX(新属性投放!$F$14:$F$34,卡牌属性!R332),INDEX(新属性投放!$F$42:$F$62,卡牌属性!R332))*INDEX($G$5:$G$42,L332)*SQRT(INDEX($I$5:$I$42,L332)),2)</f>
        <v>603.45000000000005</v>
      </c>
      <c r="AF332" s="14">
        <f t="shared" si="148"/>
        <v>2011</v>
      </c>
      <c r="AG332" s="14">
        <f t="shared" si="149"/>
        <v>1005</v>
      </c>
      <c r="AH332" s="14">
        <f t="shared" si="150"/>
        <v>6034</v>
      </c>
      <c r="AJ332" s="14">
        <f t="shared" si="139"/>
        <v>11729</v>
      </c>
      <c r="AK332" s="14">
        <f t="shared" si="140"/>
        <v>5863</v>
      </c>
      <c r="AL332" s="14">
        <f t="shared" si="141"/>
        <v>35206</v>
      </c>
    </row>
    <row r="333" spans="11:38" ht="16.5" x14ac:dyDescent="0.2">
      <c r="K333" s="13">
        <v>330</v>
      </c>
      <c r="L333" s="13">
        <f t="shared" si="142"/>
        <v>16</v>
      </c>
      <c r="M333" s="13">
        <f t="shared" si="143"/>
        <v>2</v>
      </c>
      <c r="N333" s="14">
        <f t="shared" si="144"/>
        <v>1101041</v>
      </c>
      <c r="O333" s="14" t="str">
        <f t="shared" si="145"/>
        <v>常服夏玲15突</v>
      </c>
      <c r="P333" s="29" t="s">
        <v>470</v>
      </c>
      <c r="Q333" s="14">
        <f t="shared" si="146"/>
        <v>1</v>
      </c>
      <c r="R333" s="14">
        <f t="shared" si="147"/>
        <v>15</v>
      </c>
      <c r="S333" s="14" t="s">
        <v>39</v>
      </c>
      <c r="T333" s="14">
        <f>ROUND(((IF(Q333=1,INDEX(新属性投放!$J$14:$J$34,卡牌属性!R333),INDEX(新属性投放!$J$42:$J$62,卡牌属性!R333)))*INDEX($G$5:$G$42,L333)+IF(Q333=1,INDEX(新属性投放!R$20:R$23,卡牌属性!M333-1),INDEX(新属性投放!R$25:R$28,卡牌属性!M333-1)))/SQRT(INDEX($I$5:$I$42,L333)),2)</f>
        <v>9302.5499999999993</v>
      </c>
      <c r="U333" s="29" t="s">
        <v>178</v>
      </c>
      <c r="V333" s="14">
        <f>ROUND((IF(Q333=1,INDEX(新属性投放!$K$14:$K$34,卡牌属性!R333),INDEX(新属性投放!$K$42:$K$62,卡牌属性!R333))+IF(Q333=1,INDEX(新属性投放!S$20:S$23,卡牌属性!M333-1),INDEX(新属性投放!S$25:S$28,卡牌属性!M333-1)))*INDEX($G$5:$G$42,L333),2)</f>
        <v>4614.78</v>
      </c>
      <c r="W333" s="29" t="s">
        <v>179</v>
      </c>
      <c r="X333" s="14">
        <f>ROUND((IF(Q333=1,INDEX(新属性投放!$L$14:$L$34,卡牌属性!R333),INDEX(新属性投放!$L$42:$L$62,卡牌属性!R333))*INDEX($G$5:$G$42,L333)+IF(Q333=1,INDEX(新属性投放!T$20:T$23,卡牌属性!M333-1),INDEX(新属性投放!T$25:T$28,卡牌属性!M333-1)))*SQRT(INDEX($I$5:$I$42,L333)),2)</f>
        <v>28107.65</v>
      </c>
      <c r="Y333" s="29" t="s">
        <v>177</v>
      </c>
      <c r="Z333" s="14">
        <f>ROUND(IF(Q333=1,INDEX(新属性投放!$D$14:$D$34,卡牌属性!R333),INDEX(新属性投放!$D$42:$D$62,卡牌属性!R333))*INDEX($G$5:$G$42,L333)/SQRT(INDEX($I$5:$I$42,L333)),2)</f>
        <v>232.56</v>
      </c>
      <c r="AA333" s="29" t="s">
        <v>178</v>
      </c>
      <c r="AB333" s="14">
        <f>ROUND(IF(Q333=1,INDEX(新属性投放!$E$14:$E$34,卡牌属性!R333),INDEX(新属性投放!$E$42:$E$62,卡牌属性!R333))*INDEX($G$5:$G$42,L333),2)</f>
        <v>116.28</v>
      </c>
      <c r="AC333" s="29" t="s">
        <v>179</v>
      </c>
      <c r="AD333" s="14">
        <f>ROUND(IF(Q333=1,INDEX(新属性投放!$F$14:$F$34,卡牌属性!R333),INDEX(新属性投放!$F$42:$F$62,卡牌属性!R333))*INDEX($G$5:$G$42,L333)*SQRT(INDEX($I$5:$I$42,L333)),2)</f>
        <v>697.68</v>
      </c>
      <c r="AF333" s="14">
        <f t="shared" si="148"/>
        <v>2325</v>
      </c>
      <c r="AG333" s="14">
        <f t="shared" si="149"/>
        <v>1162</v>
      </c>
      <c r="AH333" s="14">
        <f t="shared" si="150"/>
        <v>6976</v>
      </c>
      <c r="AJ333" s="14">
        <f t="shared" si="139"/>
        <v>14054</v>
      </c>
      <c r="AK333" s="14">
        <f t="shared" si="140"/>
        <v>7025</v>
      </c>
      <c r="AL333" s="14">
        <f t="shared" si="141"/>
        <v>42182</v>
      </c>
    </row>
    <row r="334" spans="11:38" ht="16.5" x14ac:dyDescent="0.2">
      <c r="K334" s="13">
        <v>331</v>
      </c>
      <c r="L334" s="13">
        <f t="shared" si="142"/>
        <v>16</v>
      </c>
      <c r="M334" s="13">
        <f t="shared" si="143"/>
        <v>2</v>
      </c>
      <c r="N334" s="14">
        <f t="shared" si="144"/>
        <v>1101041</v>
      </c>
      <c r="O334" s="14" t="str">
        <f t="shared" si="145"/>
        <v>常服夏玲16突</v>
      </c>
      <c r="P334" s="29" t="s">
        <v>470</v>
      </c>
      <c r="Q334" s="14">
        <f t="shared" si="146"/>
        <v>1</v>
      </c>
      <c r="R334" s="14">
        <f t="shared" si="147"/>
        <v>16</v>
      </c>
      <c r="S334" s="14" t="s">
        <v>39</v>
      </c>
      <c r="T334" s="14">
        <f>ROUND(((IF(Q334=1,INDEX(新属性投放!$J$14:$J$34,卡牌属性!R334),INDEX(新属性投放!$J$42:$J$62,卡牌属性!R334)))*INDEX($G$5:$G$42,L334)+IF(Q334=1,INDEX(新属性投放!R$20:R$23,卡牌属性!M334-1),INDEX(新属性投放!R$25:R$28,卡牌属性!M334-1)))/SQRT(INDEX($I$5:$I$42,L334)),2)</f>
        <v>10756.35</v>
      </c>
      <c r="U334" s="29" t="s">
        <v>178</v>
      </c>
      <c r="V334" s="14">
        <f>ROUND((IF(Q334=1,INDEX(新属性投放!$K$14:$K$34,卡牌属性!R334),INDEX(新属性投放!$K$42:$K$62,卡牌属性!R334))+IF(Q334=1,INDEX(新属性投放!S$20:S$23,卡牌属性!M334-1),INDEX(新属性投放!S$25:S$28,卡牌属性!M334-1)))*INDEX($G$5:$G$42,L334),2)</f>
        <v>5341.18</v>
      </c>
      <c r="W334" s="29" t="s">
        <v>179</v>
      </c>
      <c r="X334" s="14">
        <f>ROUND((IF(Q334=1,INDEX(新属性投放!$L$14:$L$34,卡牌属性!R334),INDEX(新属性投放!$L$42:$L$62,卡牌属性!R334))*INDEX($G$5:$G$42,L334)+IF(Q334=1,INDEX(新属性投放!T$20:T$23,卡牌属性!M334-1),INDEX(新属性投放!T$25:T$28,卡牌属性!M334-1)))*SQRT(INDEX($I$5:$I$42,L334)),2)</f>
        <v>32469.05</v>
      </c>
      <c r="Y334" s="29" t="s">
        <v>177</v>
      </c>
      <c r="Z334" s="14">
        <f>ROUND(IF(Q334=1,INDEX(新属性投放!$D$14:$D$34,卡牌属性!R334),INDEX(新属性投放!$D$42:$D$62,卡牌属性!R334))*INDEX($G$5:$G$42,L334)/SQRT(INDEX($I$5:$I$42,L334)),2)</f>
        <v>268.91000000000003</v>
      </c>
      <c r="AA334" s="29" t="s">
        <v>178</v>
      </c>
      <c r="AB334" s="14">
        <f>ROUND(IF(Q334=1,INDEX(新属性投放!$E$14:$E$34,卡牌属性!R334),INDEX(新属性投放!$E$42:$E$62,卡牌属性!R334))*INDEX($G$5:$G$42,L334),2)</f>
        <v>134.46</v>
      </c>
      <c r="AC334" s="29" t="s">
        <v>179</v>
      </c>
      <c r="AD334" s="14">
        <f>ROUND(IF(Q334=1,INDEX(新属性投放!$F$14:$F$34,卡牌属性!R334),INDEX(新属性投放!$F$42:$F$62,卡牌属性!R334))*INDEX($G$5:$G$42,L334)*SQRT(INDEX($I$5:$I$42,L334)),2)</f>
        <v>806.73</v>
      </c>
      <c r="AF334" s="14">
        <f t="shared" si="148"/>
        <v>2689</v>
      </c>
      <c r="AG334" s="14">
        <f t="shared" si="149"/>
        <v>1344</v>
      </c>
      <c r="AH334" s="14">
        <f t="shared" si="150"/>
        <v>8067</v>
      </c>
      <c r="AJ334" s="14">
        <f t="shared" si="139"/>
        <v>16743</v>
      </c>
      <c r="AK334" s="14">
        <f t="shared" si="140"/>
        <v>8369</v>
      </c>
      <c r="AL334" s="14">
        <f t="shared" si="141"/>
        <v>50249</v>
      </c>
    </row>
    <row r="335" spans="11:38" ht="16.5" x14ac:dyDescent="0.2">
      <c r="K335" s="13">
        <v>332</v>
      </c>
      <c r="L335" s="13">
        <f t="shared" si="142"/>
        <v>16</v>
      </c>
      <c r="M335" s="13">
        <f t="shared" si="143"/>
        <v>2</v>
      </c>
      <c r="N335" s="14">
        <f t="shared" si="144"/>
        <v>1101041</v>
      </c>
      <c r="O335" s="14" t="str">
        <f t="shared" si="145"/>
        <v>常服夏玲17突</v>
      </c>
      <c r="P335" s="29" t="s">
        <v>470</v>
      </c>
      <c r="Q335" s="14">
        <f t="shared" si="146"/>
        <v>1</v>
      </c>
      <c r="R335" s="14">
        <f t="shared" si="147"/>
        <v>17</v>
      </c>
      <c r="S335" s="14" t="s">
        <v>39</v>
      </c>
      <c r="T335" s="14">
        <f>ROUND(((IF(Q335=1,INDEX(新属性投放!$J$14:$J$34,卡牌属性!R335),INDEX(新属性投放!$J$42:$J$62,卡牌属性!R335)))*INDEX($G$5:$G$42,L335)+IF(Q335=1,INDEX(新属性投放!R$20:R$23,卡牌属性!M335-1),INDEX(新属性投放!R$25:R$28,卡牌属性!M335-1)))/SQRT(INDEX($I$5:$I$42,L335)),2)</f>
        <v>12436.9</v>
      </c>
      <c r="U335" s="29" t="s">
        <v>178</v>
      </c>
      <c r="V335" s="14">
        <f>ROUND((IF(Q335=1,INDEX(新属性投放!$K$14:$K$34,卡牌属性!R335),INDEX(新属性投放!$K$42:$K$62,卡牌属性!R335))+IF(Q335=1,INDEX(新属性投放!S$20:S$23,卡牌属性!M335-1),INDEX(新属性投放!S$25:S$28,卡牌属性!M335-1)))*INDEX($G$5:$G$42,L335),2)</f>
        <v>6181.45</v>
      </c>
      <c r="W335" s="29" t="s">
        <v>179</v>
      </c>
      <c r="X335" s="14">
        <f>ROUND((IF(Q335=1,INDEX(新属性投放!$L$14:$L$34,卡牌属性!R335),INDEX(新属性投放!$L$42:$L$62,卡牌属性!R335))*INDEX($G$5:$G$42,L335)+IF(Q335=1,INDEX(新属性投放!T$20:T$23,卡牌属性!M335-1),INDEX(新属性投放!T$25:T$28,卡牌属性!M335-1)))*SQRT(INDEX($I$5:$I$42,L335)),2)</f>
        <v>37510.699999999997</v>
      </c>
      <c r="Y335" s="29" t="s">
        <v>177</v>
      </c>
      <c r="Z335" s="14">
        <f>ROUND(IF(Q335=1,INDEX(新属性投放!$D$14:$D$34,卡牌属性!R335),INDEX(新属性投放!$D$42:$D$62,卡牌属性!R335))*INDEX($G$5:$G$42,L335)/SQRT(INDEX($I$5:$I$42,L335)),2)</f>
        <v>310.92</v>
      </c>
      <c r="AA335" s="29" t="s">
        <v>178</v>
      </c>
      <c r="AB335" s="14">
        <f>ROUND(IF(Q335=1,INDEX(新属性投放!$E$14:$E$34,卡牌属性!R335),INDEX(新属性投放!$E$42:$E$62,卡牌属性!R335))*INDEX($G$5:$G$42,L335),2)</f>
        <v>155.46</v>
      </c>
      <c r="AC335" s="29" t="s">
        <v>179</v>
      </c>
      <c r="AD335" s="14">
        <f>ROUND(IF(Q335=1,INDEX(新属性投放!$F$14:$F$34,卡牌属性!R335),INDEX(新属性投放!$F$42:$F$62,卡牌属性!R335))*INDEX($G$5:$G$42,L335)*SQRT(INDEX($I$5:$I$42,L335)),2)</f>
        <v>932.76</v>
      </c>
      <c r="AF335" s="14">
        <f t="shared" si="148"/>
        <v>3109</v>
      </c>
      <c r="AG335" s="14">
        <f t="shared" si="149"/>
        <v>1554</v>
      </c>
      <c r="AH335" s="14">
        <f t="shared" si="150"/>
        <v>9327</v>
      </c>
      <c r="AJ335" s="14">
        <f t="shared" si="139"/>
        <v>19852</v>
      </c>
      <c r="AK335" s="14">
        <f t="shared" si="140"/>
        <v>9923</v>
      </c>
      <c r="AL335" s="14">
        <f t="shared" si="141"/>
        <v>59576</v>
      </c>
    </row>
    <row r="336" spans="11:38" ht="16.5" x14ac:dyDescent="0.2">
      <c r="K336" s="13">
        <v>333</v>
      </c>
      <c r="L336" s="13">
        <f t="shared" si="142"/>
        <v>16</v>
      </c>
      <c r="M336" s="13">
        <f t="shared" si="143"/>
        <v>2</v>
      </c>
      <c r="N336" s="14">
        <f t="shared" si="144"/>
        <v>1101041</v>
      </c>
      <c r="O336" s="14" t="str">
        <f t="shared" si="145"/>
        <v>常服夏玲18突</v>
      </c>
      <c r="P336" s="29" t="s">
        <v>470</v>
      </c>
      <c r="Q336" s="14">
        <f t="shared" si="146"/>
        <v>1</v>
      </c>
      <c r="R336" s="14">
        <f t="shared" si="147"/>
        <v>18</v>
      </c>
      <c r="S336" s="14" t="s">
        <v>39</v>
      </c>
      <c r="T336" s="14">
        <f>ROUND(((IF(Q336=1,INDEX(新属性投放!$J$14:$J$34,卡牌属性!R336),INDEX(新属性投放!$J$42:$J$62,卡牌属性!R336)))*INDEX($G$5:$G$42,L336)+IF(Q336=1,INDEX(新属性投放!R$20:R$23,卡牌属性!M336-1),INDEX(新属性投放!R$25:R$28,卡牌属性!M336-1)))/SQRT(INDEX($I$5:$I$42,L336)),2)</f>
        <v>14380.5</v>
      </c>
      <c r="U336" s="29" t="s">
        <v>178</v>
      </c>
      <c r="V336" s="14">
        <f>ROUND((IF(Q336=1,INDEX(新属性投放!$K$14:$K$34,卡牌属性!R336),INDEX(新属性投放!$K$42:$K$62,卡牌属性!R336))+IF(Q336=1,INDEX(新属性投放!S$20:S$23,卡牌属性!M336-1),INDEX(新属性投放!S$25:S$28,卡牌属性!M336-1)))*INDEX($G$5:$G$42,L336),2)</f>
        <v>7152.75</v>
      </c>
      <c r="W336" s="29" t="s">
        <v>179</v>
      </c>
      <c r="X336" s="14">
        <f>ROUND((IF(Q336=1,INDEX(新属性投放!$L$14:$L$34,卡牌属性!R336),INDEX(新属性投放!$L$42:$L$62,卡牌属性!R336))*INDEX($G$5:$G$42,L336)+IF(Q336=1,INDEX(新属性投放!T$20:T$23,卡牌属性!M336-1),INDEX(新属性投放!T$25:T$28,卡牌属性!M336-1)))*SQRT(INDEX($I$5:$I$42,L336)),2)</f>
        <v>43341.5</v>
      </c>
      <c r="Y336" s="29" t="s">
        <v>177</v>
      </c>
      <c r="Z336" s="14">
        <f>ROUND(IF(Q336=1,INDEX(新属性投放!$D$14:$D$34,卡牌属性!R336),INDEX(新属性投放!$D$42:$D$62,卡牌属性!R336))*INDEX($G$5:$G$42,L336)/SQRT(INDEX($I$5:$I$42,L336)),2)</f>
        <v>359.51</v>
      </c>
      <c r="AA336" s="29" t="s">
        <v>178</v>
      </c>
      <c r="AB336" s="14">
        <f>ROUND(IF(Q336=1,INDEX(新属性投放!$E$14:$E$34,卡牌属性!R336),INDEX(新属性投放!$E$42:$E$62,卡牌属性!R336))*INDEX($G$5:$G$42,L336),2)</f>
        <v>179.76</v>
      </c>
      <c r="AC336" s="29" t="s">
        <v>179</v>
      </c>
      <c r="AD336" s="14">
        <f>ROUND(IF(Q336=1,INDEX(新属性投放!$F$14:$F$34,卡牌属性!R336),INDEX(新属性投放!$F$42:$F$62,卡牌属性!R336))*INDEX($G$5:$G$42,L336)*SQRT(INDEX($I$5:$I$42,L336)),2)</f>
        <v>1078.53</v>
      </c>
      <c r="AF336" s="14">
        <f t="shared" si="148"/>
        <v>3595</v>
      </c>
      <c r="AG336" s="14">
        <f t="shared" si="149"/>
        <v>1797</v>
      </c>
      <c r="AH336" s="14">
        <f t="shared" si="150"/>
        <v>10785</v>
      </c>
      <c r="AJ336" s="14">
        <f t="shared" si="139"/>
        <v>23447</v>
      </c>
      <c r="AK336" s="14">
        <f t="shared" si="140"/>
        <v>11720</v>
      </c>
      <c r="AL336" s="14">
        <f t="shared" si="141"/>
        <v>70361</v>
      </c>
    </row>
    <row r="337" spans="11:38" ht="16.5" x14ac:dyDescent="0.2">
      <c r="K337" s="13">
        <v>334</v>
      </c>
      <c r="L337" s="13">
        <f t="shared" si="142"/>
        <v>16</v>
      </c>
      <c r="M337" s="13">
        <f t="shared" si="143"/>
        <v>2</v>
      </c>
      <c r="N337" s="14">
        <f t="shared" si="144"/>
        <v>1101041</v>
      </c>
      <c r="O337" s="14" t="str">
        <f t="shared" si="145"/>
        <v>常服夏玲19突</v>
      </c>
      <c r="P337" s="29" t="s">
        <v>470</v>
      </c>
      <c r="Q337" s="14">
        <f t="shared" si="146"/>
        <v>1</v>
      </c>
      <c r="R337" s="14">
        <f t="shared" si="147"/>
        <v>19</v>
      </c>
      <c r="S337" s="14" t="s">
        <v>39</v>
      </c>
      <c r="T337" s="14">
        <f>ROUND(((IF(Q337=1,INDEX(新属性投放!$J$14:$J$34,卡牌属性!R337),INDEX(新属性投放!$J$42:$J$62,卡牌属性!R337)))*INDEX($G$5:$G$42,L337)+IF(Q337=1,INDEX(新属性投放!R$20:R$23,卡牌属性!M337-1),INDEX(新属性投放!R$25:R$28,卡牌属性!M337-1)))/SQRT(INDEX($I$5:$I$42,L337)),2)</f>
        <v>16627.05</v>
      </c>
      <c r="U337" s="29" t="s">
        <v>178</v>
      </c>
      <c r="V337" s="14">
        <f>ROUND((IF(Q337=1,INDEX(新属性投放!$K$14:$K$34,卡牌属性!R337),INDEX(新属性投放!$K$42:$K$62,卡牌属性!R337))+IF(Q337=1,INDEX(新属性投放!S$20:S$23,卡牌属性!M337-1),INDEX(新属性投放!S$25:S$28,卡牌属性!M337-1)))*INDEX($G$5:$G$42,L337),2)</f>
        <v>8276.5300000000007</v>
      </c>
      <c r="W337" s="29" t="s">
        <v>179</v>
      </c>
      <c r="X337" s="14">
        <f>ROUND((IF(Q337=1,INDEX(新属性投放!$L$14:$L$34,卡牌属性!R337),INDEX(新属性投放!$L$42:$L$62,卡牌属性!R337))*INDEX($G$5:$G$42,L337)+IF(Q337=1,INDEX(新属性投放!T$20:T$23,卡牌属性!M337-1),INDEX(新属性投放!T$25:T$28,卡牌属性!M337-1)))*SQRT(INDEX($I$5:$I$42,L337)),2)</f>
        <v>50081.15</v>
      </c>
      <c r="Y337" s="29" t="s">
        <v>177</v>
      </c>
      <c r="Z337" s="14">
        <f>ROUND(IF(Q337=1,INDEX(新属性投放!$D$14:$D$34,卡牌属性!R337),INDEX(新属性投放!$D$42:$D$62,卡牌属性!R337))*INDEX($G$5:$G$42,L337)/SQRT(INDEX($I$5:$I$42,L337)),2)</f>
        <v>415.68</v>
      </c>
      <c r="AA337" s="29" t="s">
        <v>178</v>
      </c>
      <c r="AB337" s="14">
        <f>ROUND(IF(Q337=1,INDEX(新属性投放!$E$14:$E$34,卡牌属性!R337),INDEX(新属性投放!$E$42:$E$62,卡牌属性!R337))*INDEX($G$5:$G$42,L337),2)</f>
        <v>207.84</v>
      </c>
      <c r="AC337" s="29" t="s">
        <v>179</v>
      </c>
      <c r="AD337" s="14">
        <f>ROUND(IF(Q337=1,INDEX(新属性投放!$F$14:$F$34,卡牌属性!R337),INDEX(新属性投放!$F$42:$F$62,卡牌属性!R337))*INDEX($G$5:$G$42,L337)*SQRT(INDEX($I$5:$I$42,L337)),2)</f>
        <v>1247.04</v>
      </c>
      <c r="AF337" s="14">
        <f t="shared" si="148"/>
        <v>4156</v>
      </c>
      <c r="AG337" s="14">
        <f t="shared" si="149"/>
        <v>2078</v>
      </c>
      <c r="AH337" s="14">
        <f t="shared" si="150"/>
        <v>12470</v>
      </c>
      <c r="AJ337" s="14">
        <f t="shared" si="139"/>
        <v>27603</v>
      </c>
      <c r="AK337" s="14">
        <f t="shared" si="140"/>
        <v>13798</v>
      </c>
      <c r="AL337" s="14">
        <f t="shared" si="141"/>
        <v>82831</v>
      </c>
    </row>
    <row r="338" spans="11:38" ht="16.5" x14ac:dyDescent="0.2">
      <c r="K338" s="13">
        <v>335</v>
      </c>
      <c r="L338" s="13">
        <f t="shared" si="142"/>
        <v>16</v>
      </c>
      <c r="M338" s="13">
        <f t="shared" si="143"/>
        <v>2</v>
      </c>
      <c r="N338" s="14">
        <f t="shared" si="144"/>
        <v>1101041</v>
      </c>
      <c r="O338" s="14" t="str">
        <f t="shared" si="145"/>
        <v>常服夏玲20突</v>
      </c>
      <c r="P338" s="29" t="s">
        <v>470</v>
      </c>
      <c r="Q338" s="14">
        <f t="shared" si="146"/>
        <v>1</v>
      </c>
      <c r="R338" s="14">
        <f t="shared" si="147"/>
        <v>20</v>
      </c>
      <c r="S338" s="14" t="s">
        <v>39</v>
      </c>
      <c r="T338" s="14">
        <f>ROUND(((IF(Q338=1,INDEX(新属性投放!$J$14:$J$34,卡牌属性!R338),INDEX(新属性投放!$J$42:$J$62,卡牌属性!R338)))*INDEX($G$5:$G$42,L338)+IF(Q338=1,INDEX(新属性投放!R$20:R$23,卡牌属性!M338-1),INDEX(新属性投放!R$25:R$28,卡牌属性!M338-1)))/SQRT(INDEX($I$5:$I$42,L338)),2)</f>
        <v>19225.45</v>
      </c>
      <c r="U338" s="29" t="s">
        <v>178</v>
      </c>
      <c r="V338" s="14">
        <f>ROUND((IF(Q338=1,INDEX(新属性投放!$K$14:$K$34,卡牌属性!R338),INDEX(新属性投放!$K$42:$K$62,卡牌属性!R338))+IF(Q338=1,INDEX(新属性投放!S$20:S$23,卡牌属性!M338-1),INDEX(新属性投放!S$25:S$28,卡牌属性!M338-1)))*INDEX($G$5:$G$42,L338),2)</f>
        <v>9575.73</v>
      </c>
      <c r="W338" s="29" t="s">
        <v>179</v>
      </c>
      <c r="X338" s="14">
        <f>ROUND((IF(Q338=1,INDEX(新属性投放!$L$14:$L$34,卡牌属性!R338),INDEX(新属性投放!$L$42:$L$62,卡牌属性!R338))*INDEX($G$5:$G$42,L338)+IF(Q338=1,INDEX(新属性投放!T$20:T$23,卡牌属性!M338-1),INDEX(新属性投放!T$25:T$28,卡牌属性!M338-1)))*SQRT(INDEX($I$5:$I$42,L338)),2)</f>
        <v>57876.35</v>
      </c>
      <c r="Y338" s="29" t="s">
        <v>177</v>
      </c>
      <c r="Z338" s="14">
        <f>ROUND(IF(Q338=1,INDEX(新属性投放!$D$14:$D$34,卡牌属性!R338),INDEX(新属性投放!$D$42:$D$62,卡牌属性!R338))*INDEX($G$5:$G$42,L338)/SQRT(INDEX($I$5:$I$42,L338)),2)</f>
        <v>480.64</v>
      </c>
      <c r="AA338" s="29" t="s">
        <v>178</v>
      </c>
      <c r="AB338" s="14">
        <f>ROUND(IF(Q338=1,INDEX(新属性投放!$E$14:$E$34,卡牌属性!R338),INDEX(新属性投放!$E$42:$E$62,卡牌属性!R338))*INDEX($G$5:$G$42,L338),2)</f>
        <v>240.32</v>
      </c>
      <c r="AC338" s="29" t="s">
        <v>179</v>
      </c>
      <c r="AD338" s="14">
        <f>ROUND(IF(Q338=1,INDEX(新属性投放!$F$14:$F$34,卡牌属性!R338),INDEX(新属性投放!$F$42:$F$62,卡牌属性!R338))*INDEX($G$5:$G$42,L338)*SQRT(INDEX($I$5:$I$42,L338)),2)</f>
        <v>1441.92</v>
      </c>
      <c r="AF338" s="14">
        <f t="shared" si="148"/>
        <v>4806</v>
      </c>
      <c r="AG338" s="14">
        <f t="shared" si="149"/>
        <v>2403</v>
      </c>
      <c r="AH338" s="14">
        <f t="shared" si="150"/>
        <v>14419</v>
      </c>
      <c r="AJ338" s="14">
        <f t="shared" si="139"/>
        <v>32409</v>
      </c>
      <c r="AK338" s="14">
        <f t="shared" si="140"/>
        <v>16201</v>
      </c>
      <c r="AL338" s="14">
        <f t="shared" si="141"/>
        <v>97250</v>
      </c>
    </row>
    <row r="339" spans="11:38" ht="16.5" x14ac:dyDescent="0.2">
      <c r="K339" s="13">
        <v>336</v>
      </c>
      <c r="L339" s="13">
        <f t="shared" si="142"/>
        <v>16</v>
      </c>
      <c r="M339" s="13">
        <f t="shared" si="143"/>
        <v>2</v>
      </c>
      <c r="N339" s="14">
        <f t="shared" si="144"/>
        <v>1101041</v>
      </c>
      <c r="O339" s="14" t="str">
        <f t="shared" si="145"/>
        <v>常服夏玲21突</v>
      </c>
      <c r="P339" s="29" t="s">
        <v>470</v>
      </c>
      <c r="Q339" s="14">
        <f t="shared" si="146"/>
        <v>1</v>
      </c>
      <c r="R339" s="14">
        <f t="shared" si="147"/>
        <v>21</v>
      </c>
      <c r="S339" s="14" t="s">
        <v>39</v>
      </c>
      <c r="T339" s="14">
        <f>ROUND(((IF(Q339=1,INDEX(新属性投放!$J$14:$J$34,卡牌属性!R339),INDEX(新属性投放!$J$42:$J$62,卡牌属性!R339)))*INDEX($G$5:$G$42,L339)+IF(Q339=1,INDEX(新属性投放!R$20:R$23,卡牌属性!M339-1),INDEX(新属性投放!R$25:R$28,卡牌属性!M339-1)))/SQRT(INDEX($I$5:$I$42,L339)),2)</f>
        <v>22229.65</v>
      </c>
      <c r="U339" s="29" t="s">
        <v>178</v>
      </c>
      <c r="V339" s="14">
        <f>ROUND((IF(Q339=1,INDEX(新属性投放!$K$14:$K$34,卡牌属性!R339),INDEX(新属性投放!$K$42:$K$62,卡牌属性!R339))+IF(Q339=1,INDEX(新属性投放!S$20:S$23,卡牌属性!M339-1),INDEX(新属性投放!S$25:S$28,卡牌属性!M339-1)))*INDEX($G$5:$G$42,L339),2)</f>
        <v>11077.33</v>
      </c>
      <c r="W339" s="29" t="s">
        <v>179</v>
      </c>
      <c r="X339" s="14">
        <f>ROUND((IF(Q339=1,INDEX(新属性投放!$L$14:$L$34,卡牌属性!R339),INDEX(新属性投放!$L$42:$L$62,卡牌属性!R339))*INDEX($G$5:$G$42,L339)+IF(Q339=1,INDEX(新属性投放!T$20:T$23,卡牌属性!M339-1),INDEX(新属性投放!T$25:T$28,卡牌属性!M339-1)))*SQRT(INDEX($I$5:$I$42,L339)),2)</f>
        <v>66888.95</v>
      </c>
      <c r="Y339" s="29" t="s">
        <v>177</v>
      </c>
      <c r="Z339" s="14">
        <f>ROUND(IF(Q339=1,INDEX(新属性投放!$D$14:$D$34,卡牌属性!R339),INDEX(新属性投放!$D$42:$D$62,卡牌属性!R339))*INDEX($G$5:$G$42,L339)/SQRT(INDEX($I$5:$I$42,L339)),2)</f>
        <v>555.74</v>
      </c>
      <c r="AA339" s="29" t="s">
        <v>178</v>
      </c>
      <c r="AB339" s="14">
        <f>ROUND(IF(Q339=1,INDEX(新属性投放!$E$14:$E$34,卡牌属性!R339),INDEX(新属性投放!$E$42:$E$62,卡牌属性!R339))*INDEX($G$5:$G$42,L339),2)</f>
        <v>277.87</v>
      </c>
      <c r="AC339" s="29" t="s">
        <v>179</v>
      </c>
      <c r="AD339" s="14">
        <f>ROUND(IF(Q339=1,INDEX(新属性投放!$F$14:$F$34,卡牌属性!R339),INDEX(新属性投放!$F$42:$F$62,卡牌属性!R339))*INDEX($G$5:$G$42,L339)*SQRT(INDEX($I$5:$I$42,L339)),2)</f>
        <v>1667.22</v>
      </c>
      <c r="AF339" s="14">
        <f t="shared" si="148"/>
        <v>5557</v>
      </c>
      <c r="AG339" s="14">
        <f t="shared" si="149"/>
        <v>2778</v>
      </c>
      <c r="AH339" s="14">
        <f t="shared" si="150"/>
        <v>16672</v>
      </c>
      <c r="AJ339" s="14">
        <f t="shared" si="139"/>
        <v>37966</v>
      </c>
      <c r="AK339" s="14">
        <f t="shared" si="140"/>
        <v>18979</v>
      </c>
      <c r="AL339" s="14">
        <f t="shared" si="141"/>
        <v>113922</v>
      </c>
    </row>
    <row r="340" spans="11:38" ht="16.5" x14ac:dyDescent="0.2">
      <c r="K340" s="13">
        <v>337</v>
      </c>
      <c r="L340" s="13">
        <f t="shared" si="142"/>
        <v>17</v>
      </c>
      <c r="M340" s="13">
        <f t="shared" si="143"/>
        <v>5</v>
      </c>
      <c r="N340" s="14">
        <f t="shared" si="144"/>
        <v>1102001</v>
      </c>
      <c r="O340" s="14" t="str">
        <f t="shared" si="145"/>
        <v>关羽1突</v>
      </c>
      <c r="P340" s="29" t="s">
        <v>470</v>
      </c>
      <c r="Q340" s="14">
        <f t="shared" si="146"/>
        <v>2</v>
      </c>
      <c r="R340" s="14">
        <f t="shared" si="147"/>
        <v>1</v>
      </c>
      <c r="S340" s="14" t="s">
        <v>39</v>
      </c>
      <c r="T340" s="14">
        <f>ROUND(((IF(Q340=1,INDEX(新属性投放!$J$14:$J$34,卡牌属性!R340),INDEX(新属性投放!$J$42:$J$62,卡牌属性!R340)))*INDEX($G$5:$G$42,L340)+IF(Q340=1,INDEX(新属性投放!R$20:R$23,卡牌属性!M340-1),INDEX(新属性投放!R$25:R$28,卡牌属性!M340-1)))/SQRT(INDEX($I$5:$I$42,L340)),2)</f>
        <v>975</v>
      </c>
      <c r="U340" s="29" t="s">
        <v>178</v>
      </c>
      <c r="V340" s="14">
        <f>ROUND((IF(Q340=1,INDEX(新属性投放!$K$14:$K$34,卡牌属性!R340),INDEX(新属性投放!$K$42:$K$62,卡牌属性!R340))+IF(Q340=1,INDEX(新属性投放!S$20:S$23,卡牌属性!M340-1),INDEX(新属性投放!S$25:S$28,卡牌属性!M340-1)))*INDEX($G$5:$G$42,L340),2)</f>
        <v>150</v>
      </c>
      <c r="W340" s="29" t="s">
        <v>179</v>
      </c>
      <c r="X340" s="14">
        <f>ROUND((IF(Q340=1,INDEX(新属性投放!$L$14:$L$34,卡牌属性!R340),INDEX(新属性投放!$L$42:$L$62,卡牌属性!R340))*INDEX($G$5:$G$42,L340)+IF(Q340=1,INDEX(新属性投放!T$20:T$23,卡牌属性!M340-1),INDEX(新属性投放!T$25:T$28,卡牌属性!M340-1)))*SQRT(INDEX($I$5:$I$42,L340)),2)</f>
        <v>3625</v>
      </c>
      <c r="Y340" s="29" t="s">
        <v>177</v>
      </c>
      <c r="Z340" s="14">
        <f>ROUND(IF(Q340=1,INDEX(新属性投放!$D$14:$D$34,卡牌属性!R340),INDEX(新属性投放!$D$42:$D$62,卡牌属性!R340))*INDEX($G$5:$G$42,L340)/SQRT(INDEX($I$5:$I$42,L340)),2)</f>
        <v>22.5</v>
      </c>
      <c r="AA340" s="29" t="s">
        <v>178</v>
      </c>
      <c r="AB340" s="14">
        <f>ROUND(IF(Q340=1,INDEX(新属性投放!$E$14:$E$34,卡牌属性!R340),INDEX(新属性投放!$E$42:$E$62,卡牌属性!R340))*INDEX($G$5:$G$42,L340),2)</f>
        <v>11.25</v>
      </c>
      <c r="AC340" s="29" t="s">
        <v>179</v>
      </c>
      <c r="AD340" s="14">
        <f>ROUND(IF(Q340=1,INDEX(新属性投放!$F$14:$F$34,卡牌属性!R340),INDEX(新属性投放!$F$42:$F$62,卡牌属性!R340))*INDEX($G$5:$G$42,L340)*SQRT(INDEX($I$5:$I$42,L340)),2)</f>
        <v>100.5</v>
      </c>
      <c r="AF340" s="14">
        <f t="shared" si="148"/>
        <v>225</v>
      </c>
      <c r="AG340" s="14">
        <f t="shared" si="149"/>
        <v>112</v>
      </c>
      <c r="AH340" s="14">
        <f t="shared" si="150"/>
        <v>1005</v>
      </c>
      <c r="AJ340" s="14">
        <f t="shared" ref="AJ340" si="151">AF340</f>
        <v>225</v>
      </c>
      <c r="AK340" s="14">
        <f t="shared" ref="AK340" si="152">AG340</f>
        <v>112</v>
      </c>
      <c r="AL340" s="14">
        <f t="shared" ref="AL340" si="153">AH340</f>
        <v>1005</v>
      </c>
    </row>
    <row r="341" spans="11:38" ht="16.5" x14ac:dyDescent="0.2">
      <c r="K341" s="13">
        <v>338</v>
      </c>
      <c r="L341" s="13">
        <f t="shared" si="142"/>
        <v>17</v>
      </c>
      <c r="M341" s="13">
        <f t="shared" si="143"/>
        <v>5</v>
      </c>
      <c r="N341" s="14">
        <f t="shared" si="144"/>
        <v>1102001</v>
      </c>
      <c r="O341" s="14" t="str">
        <f t="shared" si="145"/>
        <v>关羽2突</v>
      </c>
      <c r="P341" s="29" t="s">
        <v>470</v>
      </c>
      <c r="Q341" s="14">
        <f t="shared" si="146"/>
        <v>2</v>
      </c>
      <c r="R341" s="14">
        <f t="shared" si="147"/>
        <v>2</v>
      </c>
      <c r="S341" s="14" t="s">
        <v>39</v>
      </c>
      <c r="T341" s="14">
        <f>ROUND(((IF(Q341=1,INDEX(新属性投放!$J$14:$J$34,卡牌属性!R341),INDEX(新属性投放!$J$42:$J$62,卡牌属性!R341)))*INDEX($G$5:$G$42,L341)+IF(Q341=1,INDEX(新属性投放!R$20:R$23,卡牌属性!M341-1),INDEX(新属性投放!R$25:R$28,卡牌属性!M341-1)))/SQRT(INDEX($I$5:$I$42,L341)),2)</f>
        <v>1215</v>
      </c>
      <c r="U341" s="29" t="s">
        <v>178</v>
      </c>
      <c r="V341" s="14">
        <f>ROUND((IF(Q341=1,INDEX(新属性投放!$K$14:$K$34,卡牌属性!R341),INDEX(新属性投放!$K$42:$K$62,卡牌属性!R341))+IF(Q341=1,INDEX(新属性投放!S$20:S$23,卡牌属性!M341-1),INDEX(新属性投放!S$25:S$28,卡牌属性!M341-1)))*INDEX($G$5:$G$42,L341),2)</f>
        <v>266.25</v>
      </c>
      <c r="W341" s="29" t="s">
        <v>179</v>
      </c>
      <c r="X341" s="14">
        <f>ROUND((IF(Q341=1,INDEX(新属性投放!$L$14:$L$34,卡牌属性!R341),INDEX(新属性投放!$L$42:$L$62,卡牌属性!R341))*INDEX($G$5:$G$42,L341)+IF(Q341=1,INDEX(新属性投放!T$20:T$23,卡牌属性!M341-1),INDEX(新属性投放!T$25:T$28,卡牌属性!M341-1)))*SQRT(INDEX($I$5:$I$42,L341)),2)</f>
        <v>4867</v>
      </c>
      <c r="Y341" s="29" t="s">
        <v>177</v>
      </c>
      <c r="Z341" s="14">
        <f>ROUND(IF(Q341=1,INDEX(新属性投放!$D$14:$D$34,卡牌属性!R341),INDEX(新属性投放!$D$42:$D$62,卡牌属性!R341))*INDEX($G$5:$G$42,L341)/SQRT(INDEX($I$5:$I$42,L341)),2)</f>
        <v>20.66</v>
      </c>
      <c r="AA341" s="29" t="s">
        <v>178</v>
      </c>
      <c r="AB341" s="14">
        <f>ROUND(IF(Q341=1,INDEX(新属性投放!$E$14:$E$34,卡牌属性!R341),INDEX(新属性投放!$E$42:$E$62,卡牌属性!R341))*INDEX($G$5:$G$42,L341),2)</f>
        <v>10.33</v>
      </c>
      <c r="AC341" s="29" t="s">
        <v>179</v>
      </c>
      <c r="AD341" s="14">
        <f>ROUND(IF(Q341=1,INDEX(新属性投放!$F$14:$F$34,卡牌属性!R341),INDEX(新属性投放!$F$42:$F$62,卡牌属性!R341))*INDEX($G$5:$G$42,L341)*SQRT(INDEX($I$5:$I$42,L341)),2)</f>
        <v>91.5</v>
      </c>
      <c r="AF341" s="14">
        <f t="shared" si="148"/>
        <v>206</v>
      </c>
      <c r="AG341" s="14">
        <f t="shared" si="149"/>
        <v>103</v>
      </c>
      <c r="AH341" s="14">
        <f t="shared" si="150"/>
        <v>915</v>
      </c>
      <c r="AJ341" s="14">
        <f t="shared" ref="AJ341:AJ360" si="154">AJ340+AF341</f>
        <v>431</v>
      </c>
      <c r="AK341" s="14">
        <f t="shared" ref="AK341:AK360" si="155">AK340+AG341</f>
        <v>215</v>
      </c>
      <c r="AL341" s="14">
        <f t="shared" ref="AL341:AL360" si="156">AL340+AH341</f>
        <v>1920</v>
      </c>
    </row>
    <row r="342" spans="11:38" ht="16.5" x14ac:dyDescent="0.2">
      <c r="K342" s="13">
        <v>339</v>
      </c>
      <c r="L342" s="13">
        <f t="shared" si="142"/>
        <v>17</v>
      </c>
      <c r="M342" s="13">
        <f t="shared" si="143"/>
        <v>5</v>
      </c>
      <c r="N342" s="14">
        <f t="shared" si="144"/>
        <v>1102001</v>
      </c>
      <c r="O342" s="14" t="str">
        <f t="shared" si="145"/>
        <v>关羽3突</v>
      </c>
      <c r="P342" s="29" t="s">
        <v>470</v>
      </c>
      <c r="Q342" s="14">
        <f t="shared" si="146"/>
        <v>2</v>
      </c>
      <c r="R342" s="14">
        <f t="shared" si="147"/>
        <v>3</v>
      </c>
      <c r="S342" s="14" t="s">
        <v>39</v>
      </c>
      <c r="T342" s="14">
        <f>ROUND(((IF(Q342=1,INDEX(新属性投放!$J$14:$J$34,卡牌属性!R342),INDEX(新属性投放!$J$42:$J$62,卡牌属性!R342)))*INDEX($G$5:$G$42,L342)+IF(Q342=1,INDEX(新属性投放!R$20:R$23,卡牌属性!M342-1),INDEX(新属性投放!R$25:R$28,卡牌属性!M342-1)))/SQRT(INDEX($I$5:$I$42,L342)),2)</f>
        <v>1472.55</v>
      </c>
      <c r="U342" s="29" t="s">
        <v>178</v>
      </c>
      <c r="V342" s="14">
        <f>ROUND((IF(Q342=1,INDEX(新属性投放!$K$14:$K$34,卡牌属性!R342),INDEX(新属性投放!$K$42:$K$62,卡牌属性!R342))+IF(Q342=1,INDEX(新属性投放!S$20:S$23,卡牌属性!M342-1),INDEX(新属性投放!S$25:S$28,卡牌属性!M342-1)))*INDEX($G$5:$G$42,L342),2)</f>
        <v>395.03</v>
      </c>
      <c r="W342" s="29" t="s">
        <v>179</v>
      </c>
      <c r="X342" s="14">
        <f>ROUND((IF(Q342=1,INDEX(新属性投放!$L$14:$L$34,卡牌属性!R342),INDEX(新属性投放!$L$42:$L$62,卡牌属性!R342))*INDEX($G$5:$G$42,L342)+IF(Q342=1,INDEX(新属性投放!T$20:T$23,卡牌属性!M342-1),INDEX(新属性投放!T$25:T$28,卡牌属性!M342-1)))*SQRT(INDEX($I$5:$I$42,L342)),2)</f>
        <v>6241</v>
      </c>
      <c r="Y342" s="29" t="s">
        <v>177</v>
      </c>
      <c r="Z342" s="14">
        <f>ROUND(IF(Q342=1,INDEX(新属性投放!$D$14:$D$34,卡牌属性!R342),INDEX(新属性投放!$D$42:$D$62,卡牌属性!R342))*INDEX($G$5:$G$42,L342)/SQRT(INDEX($I$5:$I$42,L342)),2)</f>
        <v>37.76</v>
      </c>
      <c r="AA342" s="29" t="s">
        <v>178</v>
      </c>
      <c r="AB342" s="14">
        <f>ROUND(IF(Q342=1,INDEX(新属性投放!$E$14:$E$34,卡牌属性!R342),INDEX(新属性投放!$E$42:$E$62,卡牌属性!R342))*INDEX($G$5:$G$42,L342),2)</f>
        <v>18.88</v>
      </c>
      <c r="AC342" s="29" t="s">
        <v>179</v>
      </c>
      <c r="AD342" s="14">
        <f>ROUND(IF(Q342=1,INDEX(新属性投放!$F$14:$F$34,卡牌属性!R342),INDEX(新属性投放!$F$42:$F$62,卡牌属性!R342))*INDEX($G$5:$G$42,L342)*SQRT(INDEX($I$5:$I$42,L342)),2)</f>
        <v>169.5</v>
      </c>
      <c r="AF342" s="14">
        <f t="shared" si="148"/>
        <v>377</v>
      </c>
      <c r="AG342" s="14">
        <f t="shared" si="149"/>
        <v>188</v>
      </c>
      <c r="AH342" s="14">
        <f t="shared" si="150"/>
        <v>1695</v>
      </c>
      <c r="AJ342" s="14">
        <f t="shared" si="154"/>
        <v>808</v>
      </c>
      <c r="AK342" s="14">
        <f t="shared" si="155"/>
        <v>403</v>
      </c>
      <c r="AL342" s="14">
        <f t="shared" si="156"/>
        <v>3615</v>
      </c>
    </row>
    <row r="343" spans="11:38" ht="16.5" x14ac:dyDescent="0.2">
      <c r="K343" s="13">
        <v>340</v>
      </c>
      <c r="L343" s="13">
        <f t="shared" si="142"/>
        <v>17</v>
      </c>
      <c r="M343" s="13">
        <f t="shared" si="143"/>
        <v>5</v>
      </c>
      <c r="N343" s="14">
        <f t="shared" si="144"/>
        <v>1102001</v>
      </c>
      <c r="O343" s="14" t="str">
        <f t="shared" si="145"/>
        <v>关羽4突</v>
      </c>
      <c r="P343" s="29" t="s">
        <v>470</v>
      </c>
      <c r="Q343" s="14">
        <f t="shared" si="146"/>
        <v>2</v>
      </c>
      <c r="R343" s="14">
        <f t="shared" si="147"/>
        <v>4</v>
      </c>
      <c r="S343" s="14" t="s">
        <v>39</v>
      </c>
      <c r="T343" s="14">
        <f>ROUND(((IF(Q343=1,INDEX(新属性投放!$J$14:$J$34,卡牌属性!R343),INDEX(新属性投放!$J$42:$J$62,卡牌属性!R343)))*INDEX($G$5:$G$42,L343)+IF(Q343=1,INDEX(新属性投放!R$20:R$23,卡牌属性!M343-1),INDEX(新属性投放!R$25:R$28,卡牌属性!M343-1)))/SQRT(INDEX($I$5:$I$42,L343)),2)</f>
        <v>1944.6</v>
      </c>
      <c r="U343" s="29" t="s">
        <v>178</v>
      </c>
      <c r="V343" s="14">
        <f>ROUND((IF(Q343=1,INDEX(新属性投放!$K$14:$K$34,卡牌属性!R343),INDEX(新属性投放!$K$42:$K$62,卡牌属性!R343))+IF(Q343=1,INDEX(新属性投放!S$20:S$23,卡牌属性!M343-1),INDEX(新属性投放!S$25:S$28,卡牌属性!M343-1)))*INDEX($G$5:$G$42,L343),2)</f>
        <v>630.29999999999995</v>
      </c>
      <c r="W343" s="29" t="s">
        <v>179</v>
      </c>
      <c r="X343" s="14">
        <f>ROUND((IF(Q343=1,INDEX(新属性投放!$L$14:$L$34,卡牌属性!R343),INDEX(新属性投放!$L$42:$L$62,卡牌属性!R343))*INDEX($G$5:$G$42,L343)+IF(Q343=1,INDEX(新属性投放!T$20:T$23,卡牌属性!M343-1),INDEX(新属性投放!T$25:T$28,卡牌属性!M343-1)))*SQRT(INDEX($I$5:$I$42,L343)),2)</f>
        <v>8786.5</v>
      </c>
      <c r="Y343" s="29" t="s">
        <v>177</v>
      </c>
      <c r="Z343" s="14">
        <f>ROUND(IF(Q343=1,INDEX(新属性投放!$D$14:$D$34,卡牌属性!R343),INDEX(新属性投放!$D$42:$D$62,卡牌属性!R343))*INDEX($G$5:$G$42,L343)/SQRT(INDEX($I$5:$I$42,L343)),2)</f>
        <v>45.2</v>
      </c>
      <c r="AA343" s="29" t="s">
        <v>178</v>
      </c>
      <c r="AB343" s="14">
        <f>ROUND(IF(Q343=1,INDEX(新属性投放!$E$14:$E$34,卡牌属性!R343),INDEX(新属性投放!$E$42:$E$62,卡牌属性!R343))*INDEX($G$5:$G$42,L343),2)</f>
        <v>22.6</v>
      </c>
      <c r="AC343" s="29" t="s">
        <v>179</v>
      </c>
      <c r="AD343" s="14">
        <f>ROUND(IF(Q343=1,INDEX(新属性投放!$F$14:$F$34,卡牌属性!R343),INDEX(新属性投放!$F$42:$F$62,卡牌属性!R343))*INDEX($G$5:$G$42,L343)*SQRT(INDEX($I$5:$I$42,L343)),2)</f>
        <v>202.5</v>
      </c>
      <c r="AF343" s="14">
        <f t="shared" si="148"/>
        <v>452</v>
      </c>
      <c r="AG343" s="14">
        <f t="shared" si="149"/>
        <v>226</v>
      </c>
      <c r="AH343" s="14">
        <f t="shared" si="150"/>
        <v>2025</v>
      </c>
      <c r="AJ343" s="14">
        <f t="shared" si="154"/>
        <v>1260</v>
      </c>
      <c r="AK343" s="14">
        <f t="shared" si="155"/>
        <v>629</v>
      </c>
      <c r="AL343" s="14">
        <f t="shared" si="156"/>
        <v>5640</v>
      </c>
    </row>
    <row r="344" spans="11:38" ht="16.5" x14ac:dyDescent="0.2">
      <c r="K344" s="13">
        <v>341</v>
      </c>
      <c r="L344" s="13">
        <f t="shared" si="142"/>
        <v>17</v>
      </c>
      <c r="M344" s="13">
        <f t="shared" si="143"/>
        <v>5</v>
      </c>
      <c r="N344" s="14">
        <f t="shared" si="144"/>
        <v>1102001</v>
      </c>
      <c r="O344" s="14" t="str">
        <f t="shared" si="145"/>
        <v>关羽5突</v>
      </c>
      <c r="P344" s="29" t="s">
        <v>470</v>
      </c>
      <c r="Q344" s="14">
        <f t="shared" si="146"/>
        <v>2</v>
      </c>
      <c r="R344" s="14">
        <f t="shared" si="147"/>
        <v>5</v>
      </c>
      <c r="S344" s="14" t="s">
        <v>39</v>
      </c>
      <c r="T344" s="14">
        <f>ROUND(((IF(Q344=1,INDEX(新属性投放!$J$14:$J$34,卡牌属性!R344),INDEX(新属性投放!$J$42:$J$62,卡牌属性!R344)))*INDEX($G$5:$G$42,L344)+IF(Q344=1,INDEX(新属性投放!R$20:R$23,卡牌属性!M344-1),INDEX(新属性投放!R$25:R$28,卡牌属性!M344-1)))/SQRT(INDEX($I$5:$I$42,L344)),2)</f>
        <v>2509.0500000000002</v>
      </c>
      <c r="U344" s="29" t="s">
        <v>178</v>
      </c>
      <c r="V344" s="14">
        <f>ROUND((IF(Q344=1,INDEX(新属性投放!$K$14:$K$34,卡牌属性!R344),INDEX(新属性投放!$K$42:$K$62,卡牌属性!R344))+IF(Q344=1,INDEX(新属性投放!S$20:S$23,卡牌属性!M344-1),INDEX(新属性投放!S$25:S$28,卡牌属性!M344-1)))*INDEX($G$5:$G$42,L344),2)</f>
        <v>913.28</v>
      </c>
      <c r="W344" s="29" t="s">
        <v>179</v>
      </c>
      <c r="X344" s="14">
        <f>ROUND((IF(Q344=1,INDEX(新属性投放!$L$14:$L$34,卡牌属性!R344),INDEX(新属性投放!$L$42:$L$62,卡牌属性!R344))*INDEX($G$5:$G$42,L344)+IF(Q344=1,INDEX(新属性投放!T$20:T$23,卡牌属性!M344-1),INDEX(新属性投放!T$25:T$28,卡牌属性!M344-1)))*SQRT(INDEX($I$5:$I$42,L344)),2)</f>
        <v>11824</v>
      </c>
      <c r="Y344" s="29" t="s">
        <v>177</v>
      </c>
      <c r="Z344" s="14">
        <f>ROUND(IF(Q344=1,INDEX(新属性投放!$D$14:$D$34,卡牌属性!R344),INDEX(新属性投放!$D$42:$D$62,卡牌属性!R344))*INDEX($G$5:$G$42,L344)/SQRT(INDEX($I$5:$I$42,L344)),2)</f>
        <v>56.49</v>
      </c>
      <c r="AA344" s="29" t="s">
        <v>178</v>
      </c>
      <c r="AB344" s="14">
        <f>ROUND(IF(Q344=1,INDEX(新属性投放!$E$14:$E$34,卡牌属性!R344),INDEX(新属性投放!$E$42:$E$62,卡牌属性!R344))*INDEX($G$5:$G$42,L344),2)</f>
        <v>28.25</v>
      </c>
      <c r="AC344" s="29" t="s">
        <v>179</v>
      </c>
      <c r="AD344" s="14">
        <f>ROUND(IF(Q344=1,INDEX(新属性投放!$F$14:$F$34,卡牌属性!R344),INDEX(新属性投放!$F$42:$F$62,卡牌属性!R344))*INDEX($G$5:$G$42,L344)*SQRT(INDEX($I$5:$I$42,L344)),2)</f>
        <v>253.5</v>
      </c>
      <c r="AF344" s="14">
        <f t="shared" si="148"/>
        <v>564</v>
      </c>
      <c r="AG344" s="14">
        <f t="shared" si="149"/>
        <v>282</v>
      </c>
      <c r="AH344" s="14">
        <f t="shared" si="150"/>
        <v>2535</v>
      </c>
      <c r="AJ344" s="14">
        <f t="shared" si="154"/>
        <v>1824</v>
      </c>
      <c r="AK344" s="14">
        <f t="shared" si="155"/>
        <v>911</v>
      </c>
      <c r="AL344" s="14">
        <f t="shared" si="156"/>
        <v>8175</v>
      </c>
    </row>
    <row r="345" spans="11:38" ht="16.5" x14ac:dyDescent="0.2">
      <c r="K345" s="13">
        <v>342</v>
      </c>
      <c r="L345" s="13">
        <f t="shared" si="142"/>
        <v>17</v>
      </c>
      <c r="M345" s="13">
        <f t="shared" si="143"/>
        <v>5</v>
      </c>
      <c r="N345" s="14">
        <f t="shared" si="144"/>
        <v>1102001</v>
      </c>
      <c r="O345" s="14" t="str">
        <f t="shared" si="145"/>
        <v>关羽6突</v>
      </c>
      <c r="P345" s="29" t="s">
        <v>470</v>
      </c>
      <c r="Q345" s="14">
        <f t="shared" si="146"/>
        <v>2</v>
      </c>
      <c r="R345" s="14">
        <f t="shared" si="147"/>
        <v>6</v>
      </c>
      <c r="S345" s="14" t="s">
        <v>39</v>
      </c>
      <c r="T345" s="14">
        <f>ROUND(((IF(Q345=1,INDEX(新属性投放!$J$14:$J$34,卡牌属性!R345),INDEX(新属性投放!$J$42:$J$62,卡牌属性!R345)))*INDEX($G$5:$G$42,L345)+IF(Q345=1,INDEX(新属性投放!R$20:R$23,卡牌属性!M345-1),INDEX(新属性投放!R$25:R$28,卡牌属性!M345-1)))/SQRT(INDEX($I$5:$I$42,L345)),2)</f>
        <v>3214.95</v>
      </c>
      <c r="U345" s="29" t="s">
        <v>178</v>
      </c>
      <c r="V345" s="14">
        <f>ROUND((IF(Q345=1,INDEX(新属性投放!$K$14:$K$34,卡牌属性!R345),INDEX(新属性投放!$K$42:$K$62,卡牌属性!R345))+IF(Q345=1,INDEX(新属性投放!S$20:S$23,卡牌属性!M345-1),INDEX(新属性投放!S$25:S$28,卡牌属性!M345-1)))*INDEX($G$5:$G$42,L345),2)</f>
        <v>1266.23</v>
      </c>
      <c r="W345" s="29" t="s">
        <v>179</v>
      </c>
      <c r="X345" s="14">
        <f>ROUND((IF(Q345=1,INDEX(新属性投放!$L$14:$L$34,卡牌属性!R345),INDEX(新属性投放!$L$42:$L$62,卡牌属性!R345))*INDEX($G$5:$G$42,L345)+IF(Q345=1,INDEX(新属性投放!T$20:T$23,卡牌属性!M345-1),INDEX(新属性投放!T$25:T$28,卡牌属性!M345-1)))*SQRT(INDEX($I$5:$I$42,L345)),2)</f>
        <v>15628</v>
      </c>
      <c r="Y345" s="29" t="s">
        <v>177</v>
      </c>
      <c r="Z345" s="14">
        <f>ROUND(IF(Q345=1,INDEX(新属性投放!$D$14:$D$34,卡牌属性!R345),INDEX(新属性投放!$D$42:$D$62,卡牌属性!R345))*INDEX($G$5:$G$42,L345)/SQRT(INDEX($I$5:$I$42,L345)),2)</f>
        <v>73.28</v>
      </c>
      <c r="AA345" s="29" t="s">
        <v>178</v>
      </c>
      <c r="AB345" s="14">
        <f>ROUND(IF(Q345=1,INDEX(新属性投放!$E$14:$E$34,卡牌属性!R345),INDEX(新属性投放!$E$42:$E$62,卡牌属性!R345))*INDEX($G$5:$G$42,L345),2)</f>
        <v>36.64</v>
      </c>
      <c r="AC345" s="29" t="s">
        <v>179</v>
      </c>
      <c r="AD345" s="14">
        <f>ROUND(IF(Q345=1,INDEX(新属性投放!$F$14:$F$34,卡牌属性!R345),INDEX(新属性投放!$F$42:$F$62,卡牌属性!R345))*INDEX($G$5:$G$42,L345)*SQRT(INDEX($I$5:$I$42,L345)),2)</f>
        <v>328.5</v>
      </c>
      <c r="AF345" s="14">
        <f t="shared" si="148"/>
        <v>732</v>
      </c>
      <c r="AG345" s="14">
        <f t="shared" si="149"/>
        <v>366</v>
      </c>
      <c r="AH345" s="14">
        <f t="shared" si="150"/>
        <v>3285</v>
      </c>
      <c r="AJ345" s="14">
        <f t="shared" si="154"/>
        <v>2556</v>
      </c>
      <c r="AK345" s="14">
        <f t="shared" si="155"/>
        <v>1277</v>
      </c>
      <c r="AL345" s="14">
        <f t="shared" si="156"/>
        <v>11460</v>
      </c>
    </row>
    <row r="346" spans="11:38" ht="16.5" x14ac:dyDescent="0.2">
      <c r="K346" s="13">
        <v>343</v>
      </c>
      <c r="L346" s="13">
        <f t="shared" si="142"/>
        <v>17</v>
      </c>
      <c r="M346" s="13">
        <f t="shared" si="143"/>
        <v>5</v>
      </c>
      <c r="N346" s="14">
        <f t="shared" si="144"/>
        <v>1102001</v>
      </c>
      <c r="O346" s="14" t="str">
        <f t="shared" si="145"/>
        <v>关羽7突</v>
      </c>
      <c r="P346" s="29" t="s">
        <v>470</v>
      </c>
      <c r="Q346" s="14">
        <f t="shared" si="146"/>
        <v>2</v>
      </c>
      <c r="R346" s="14">
        <f t="shared" si="147"/>
        <v>7</v>
      </c>
      <c r="S346" s="14" t="s">
        <v>39</v>
      </c>
      <c r="T346" s="14">
        <f>ROUND(((IF(Q346=1,INDEX(新属性投放!$J$14:$J$34,卡牌属性!R346),INDEX(新属性投放!$J$42:$J$62,卡牌属性!R346)))*INDEX($G$5:$G$42,L346)+IF(Q346=1,INDEX(新属性投放!R$20:R$23,卡牌属性!M346-1),INDEX(新属性投放!R$25:R$28,卡牌属性!M346-1)))/SQRT(INDEX($I$5:$I$42,L346)),2)</f>
        <v>4130.7</v>
      </c>
      <c r="U346" s="29" t="s">
        <v>178</v>
      </c>
      <c r="V346" s="14">
        <f>ROUND((IF(Q346=1,INDEX(新属性投放!$K$14:$K$34,卡牌属性!R346),INDEX(新属性投放!$K$42:$K$62,卡牌属性!R346))+IF(Q346=1,INDEX(新属性投放!S$20:S$23,卡牌属性!M346-1),INDEX(新属性投放!S$25:S$28,卡牌属性!M346-1)))*INDEX($G$5:$G$42,L346),2)</f>
        <v>1724.1</v>
      </c>
      <c r="W346" s="29" t="s">
        <v>179</v>
      </c>
      <c r="X346" s="14">
        <f>ROUND((IF(Q346=1,INDEX(新属性投放!$L$14:$L$34,卡牌属性!R346),INDEX(新属性投放!$L$42:$L$62,卡牌属性!R346))*INDEX($G$5:$G$42,L346)+IF(Q346=1,INDEX(新属性投放!T$20:T$23,卡牌属性!M346-1),INDEX(新属性投放!T$25:T$28,卡牌属性!M346-1)))*SQRT(INDEX($I$5:$I$42,L346)),2)</f>
        <v>20560</v>
      </c>
      <c r="Y346" s="29" t="s">
        <v>177</v>
      </c>
      <c r="Z346" s="14">
        <f>ROUND(IF(Q346=1,INDEX(新属性投放!$D$14:$D$34,卡牌属性!R346),INDEX(新属性投放!$D$42:$D$62,卡牌属性!R346))*INDEX($G$5:$G$42,L346)/SQRT(INDEX($I$5:$I$42,L346)),2)</f>
        <v>90.29</v>
      </c>
      <c r="AA346" s="29" t="s">
        <v>178</v>
      </c>
      <c r="AB346" s="14">
        <f>ROUND(IF(Q346=1,INDEX(新属性投放!$E$14:$E$34,卡牌属性!R346),INDEX(新属性投放!$E$42:$E$62,卡牌属性!R346))*INDEX($G$5:$G$42,L346),2)</f>
        <v>45.14</v>
      </c>
      <c r="AC346" s="29" t="s">
        <v>179</v>
      </c>
      <c r="AD346" s="14">
        <f>ROUND(IF(Q346=1,INDEX(新属性投放!$F$14:$F$34,卡牌属性!R346),INDEX(新属性投放!$F$42:$F$62,卡牌属性!R346))*INDEX($G$5:$G$42,L346)*SQRT(INDEX($I$5:$I$42,L346)),2)</f>
        <v>405</v>
      </c>
      <c r="AF346" s="14">
        <f t="shared" si="148"/>
        <v>902</v>
      </c>
      <c r="AG346" s="14">
        <f t="shared" si="149"/>
        <v>451</v>
      </c>
      <c r="AH346" s="14">
        <f t="shared" si="150"/>
        <v>4050</v>
      </c>
      <c r="AJ346" s="14">
        <f t="shared" si="154"/>
        <v>3458</v>
      </c>
      <c r="AK346" s="14">
        <f t="shared" si="155"/>
        <v>1728</v>
      </c>
      <c r="AL346" s="14">
        <f t="shared" si="156"/>
        <v>15510</v>
      </c>
    </row>
    <row r="347" spans="11:38" ht="16.5" x14ac:dyDescent="0.2">
      <c r="K347" s="13">
        <v>344</v>
      </c>
      <c r="L347" s="13">
        <f t="shared" si="142"/>
        <v>17</v>
      </c>
      <c r="M347" s="13">
        <f t="shared" si="143"/>
        <v>5</v>
      </c>
      <c r="N347" s="14">
        <f t="shared" si="144"/>
        <v>1102001</v>
      </c>
      <c r="O347" s="14" t="str">
        <f t="shared" si="145"/>
        <v>关羽8突</v>
      </c>
      <c r="P347" s="29" t="s">
        <v>470</v>
      </c>
      <c r="Q347" s="14">
        <f t="shared" si="146"/>
        <v>2</v>
      </c>
      <c r="R347" s="14">
        <f t="shared" si="147"/>
        <v>8</v>
      </c>
      <c r="S347" s="14" t="s">
        <v>39</v>
      </c>
      <c r="T347" s="14">
        <f>ROUND(((IF(Q347=1,INDEX(新属性投放!$J$14:$J$34,卡牌属性!R347),INDEX(新属性投放!$J$42:$J$62,卡牌属性!R347)))*INDEX($G$5:$G$42,L347)+IF(Q347=1,INDEX(新属性投放!R$20:R$23,卡牌属性!M347-1),INDEX(新属性投放!R$25:R$28,卡牌属性!M347-1)))/SQRT(INDEX($I$5:$I$42,L347)),2)</f>
        <v>5258.55</v>
      </c>
      <c r="U347" s="29" t="s">
        <v>178</v>
      </c>
      <c r="V347" s="14">
        <f>ROUND((IF(Q347=1,INDEX(新属性投放!$K$14:$K$34,卡牌属性!R347),INDEX(新属性投放!$K$42:$K$62,卡牌属性!R347))+IF(Q347=1,INDEX(新属性投放!S$20:S$23,卡牌属性!M347-1),INDEX(新属性投放!S$25:S$28,卡牌属性!M347-1)))*INDEX($G$5:$G$42,L347),2)</f>
        <v>2288.0300000000002</v>
      </c>
      <c r="W347" s="29" t="s">
        <v>179</v>
      </c>
      <c r="X347" s="14">
        <f>ROUND((IF(Q347=1,INDEX(新属性投放!$L$14:$L$34,卡牌属性!R347),INDEX(新属性投放!$L$42:$L$62,卡牌属性!R347))*INDEX($G$5:$G$42,L347)+IF(Q347=1,INDEX(新属性投放!T$20:T$23,卡牌属性!M347-1),INDEX(新属性投放!T$25:T$28,卡牌属性!M347-1)))*SQRT(INDEX($I$5:$I$42,L347)),2)</f>
        <v>26635</v>
      </c>
      <c r="Y347" s="29" t="s">
        <v>177</v>
      </c>
      <c r="Z347" s="14">
        <f>ROUND(IF(Q347=1,INDEX(新属性投放!$D$14:$D$34,卡牌属性!R347),INDEX(新属性投放!$D$42:$D$62,卡牌属性!R347))*INDEX($G$5:$G$42,L347)/SQRT(INDEX($I$5:$I$42,L347)),2)</f>
        <v>112.79</v>
      </c>
      <c r="AA347" s="29" t="s">
        <v>178</v>
      </c>
      <c r="AB347" s="14">
        <f>ROUND(IF(Q347=1,INDEX(新属性投放!$E$14:$E$34,卡牌属性!R347),INDEX(新属性投放!$E$42:$E$62,卡牌属性!R347))*INDEX($G$5:$G$42,L347),2)</f>
        <v>56.39</v>
      </c>
      <c r="AC347" s="29" t="s">
        <v>179</v>
      </c>
      <c r="AD347" s="14">
        <f>ROUND(IF(Q347=1,INDEX(新属性投放!$F$14:$F$34,卡牌属性!R347),INDEX(新属性投放!$F$42:$F$62,卡牌属性!R347))*INDEX($G$5:$G$42,L347)*SQRT(INDEX($I$5:$I$42,L347)),2)</f>
        <v>507</v>
      </c>
      <c r="AF347" s="14">
        <f t="shared" si="148"/>
        <v>1127</v>
      </c>
      <c r="AG347" s="14">
        <f t="shared" si="149"/>
        <v>563</v>
      </c>
      <c r="AH347" s="14">
        <f t="shared" si="150"/>
        <v>5070</v>
      </c>
      <c r="AJ347" s="14">
        <f t="shared" si="154"/>
        <v>4585</v>
      </c>
      <c r="AK347" s="14">
        <f t="shared" si="155"/>
        <v>2291</v>
      </c>
      <c r="AL347" s="14">
        <f t="shared" si="156"/>
        <v>20580</v>
      </c>
    </row>
    <row r="348" spans="11:38" ht="16.5" x14ac:dyDescent="0.2">
      <c r="K348" s="13">
        <v>345</v>
      </c>
      <c r="L348" s="13">
        <f t="shared" si="142"/>
        <v>17</v>
      </c>
      <c r="M348" s="13">
        <f t="shared" si="143"/>
        <v>5</v>
      </c>
      <c r="N348" s="14">
        <f t="shared" si="144"/>
        <v>1102001</v>
      </c>
      <c r="O348" s="14" t="str">
        <f t="shared" si="145"/>
        <v>关羽9突</v>
      </c>
      <c r="P348" s="29" t="s">
        <v>470</v>
      </c>
      <c r="Q348" s="14">
        <f t="shared" si="146"/>
        <v>2</v>
      </c>
      <c r="R348" s="14">
        <f t="shared" si="147"/>
        <v>9</v>
      </c>
      <c r="S348" s="14" t="s">
        <v>39</v>
      </c>
      <c r="T348" s="14">
        <f>ROUND(((IF(Q348=1,INDEX(新属性投放!$J$14:$J$34,卡牌属性!R348),INDEX(新属性投放!$J$42:$J$62,卡牌属性!R348)))*INDEX($G$5:$G$42,L348)+IF(Q348=1,INDEX(新属性投放!R$20:R$23,卡牌属性!M348-1),INDEX(新属性投放!R$25:R$28,卡牌属性!M348-1)))/SQRT(INDEX($I$5:$I$42,L348)),2)</f>
        <v>6668.4</v>
      </c>
      <c r="U348" s="29" t="s">
        <v>178</v>
      </c>
      <c r="V348" s="14">
        <f>ROUND((IF(Q348=1,INDEX(新属性投放!$K$14:$K$34,卡牌属性!R348),INDEX(新属性投放!$K$42:$K$62,卡牌属性!R348))+IF(Q348=1,INDEX(新属性投放!S$20:S$23,卡牌属性!M348-1),INDEX(新属性投放!S$25:S$28,卡牌属性!M348-1)))*INDEX($G$5:$G$42,L348),2)</f>
        <v>2992.95</v>
      </c>
      <c r="W348" s="29" t="s">
        <v>179</v>
      </c>
      <c r="X348" s="14">
        <f>ROUND((IF(Q348=1,INDEX(新属性投放!$L$14:$L$34,卡牌属性!R348),INDEX(新属性投放!$L$42:$L$62,卡牌属性!R348))*INDEX($G$5:$G$42,L348)+IF(Q348=1,INDEX(新属性投放!T$20:T$23,卡牌属性!M348-1),INDEX(新属性投放!T$25:T$28,卡牌属性!M348-1)))*SQRT(INDEX($I$5:$I$42,L348)),2)</f>
        <v>34243</v>
      </c>
      <c r="Y348" s="29" t="s">
        <v>177</v>
      </c>
      <c r="Z348" s="14">
        <f>ROUND(IF(Q348=1,INDEX(新属性投放!$D$14:$D$34,卡牌属性!R348),INDEX(新属性投放!$D$42:$D$62,卡牌属性!R348))*INDEX($G$5:$G$42,L348)/SQRT(INDEX($I$5:$I$42,L348)),2)</f>
        <v>146.69</v>
      </c>
      <c r="AA348" s="29" t="s">
        <v>178</v>
      </c>
      <c r="AB348" s="14">
        <f>ROUND(IF(Q348=1,INDEX(新属性投放!$E$14:$E$34,卡牌属性!R348),INDEX(新属性投放!$E$42:$E$62,卡牌属性!R348))*INDEX($G$5:$G$42,L348),2)</f>
        <v>73.34</v>
      </c>
      <c r="AC348" s="29" t="s">
        <v>179</v>
      </c>
      <c r="AD348" s="14">
        <f>ROUND(IF(Q348=1,INDEX(新属性投放!$F$14:$F$34,卡牌属性!R348),INDEX(新属性投放!$F$42:$F$62,卡牌属性!R348))*INDEX($G$5:$G$42,L348)*SQRT(INDEX($I$5:$I$42,L348)),2)</f>
        <v>660</v>
      </c>
      <c r="AF348" s="14">
        <f t="shared" si="148"/>
        <v>1466</v>
      </c>
      <c r="AG348" s="14">
        <f t="shared" si="149"/>
        <v>733</v>
      </c>
      <c r="AH348" s="14">
        <f t="shared" si="150"/>
        <v>6600</v>
      </c>
      <c r="AJ348" s="14">
        <f t="shared" si="154"/>
        <v>6051</v>
      </c>
      <c r="AK348" s="14">
        <f t="shared" si="155"/>
        <v>3024</v>
      </c>
      <c r="AL348" s="14">
        <f t="shared" si="156"/>
        <v>27180</v>
      </c>
    </row>
    <row r="349" spans="11:38" ht="16.5" x14ac:dyDescent="0.2">
      <c r="K349" s="13">
        <v>346</v>
      </c>
      <c r="L349" s="13">
        <f t="shared" si="142"/>
        <v>17</v>
      </c>
      <c r="M349" s="13">
        <f t="shared" si="143"/>
        <v>5</v>
      </c>
      <c r="N349" s="14">
        <f t="shared" si="144"/>
        <v>1102001</v>
      </c>
      <c r="O349" s="14" t="str">
        <f t="shared" si="145"/>
        <v>关羽10突</v>
      </c>
      <c r="P349" s="29" t="s">
        <v>470</v>
      </c>
      <c r="Q349" s="14">
        <f t="shared" si="146"/>
        <v>2</v>
      </c>
      <c r="R349" s="14">
        <f t="shared" si="147"/>
        <v>10</v>
      </c>
      <c r="S349" s="14" t="s">
        <v>39</v>
      </c>
      <c r="T349" s="14">
        <f>ROUND(((IF(Q349=1,INDEX(新属性投放!$J$14:$J$34,卡牌属性!R349),INDEX(新属性投放!$J$42:$J$62,卡牌属性!R349)))*INDEX($G$5:$G$42,L349)+IF(Q349=1,INDEX(新属性投放!R$20:R$23,卡牌属性!M349-1),INDEX(新属性投放!R$25:R$28,卡牌属性!M349-1)))/SQRT(INDEX($I$5:$I$42,L349)),2)</f>
        <v>7584.83</v>
      </c>
      <c r="U349" s="29" t="s">
        <v>178</v>
      </c>
      <c r="V349" s="14">
        <f>ROUND((IF(Q349=1,INDEX(新属性投放!$K$14:$K$34,卡牌属性!R349),INDEX(新属性投放!$K$42:$K$62,卡牌属性!R349))+IF(Q349=1,INDEX(新属性投放!S$20:S$23,卡牌属性!M349-1),INDEX(新属性投放!S$25:S$28,卡牌属性!M349-1)))*INDEX($G$5:$G$42,L349),2)</f>
        <v>3451.16</v>
      </c>
      <c r="W349" s="29" t="s">
        <v>179</v>
      </c>
      <c r="X349" s="14">
        <f>ROUND((IF(Q349=1,INDEX(新属性投放!$L$14:$L$34,卡牌属性!R349),INDEX(新属性投放!$L$42:$L$62,卡牌属性!R349))*INDEX($G$5:$G$42,L349)+IF(Q349=1,INDEX(新属性投放!T$20:T$23,卡牌属性!M349-1),INDEX(新属性投放!T$25:T$28,卡牌属性!M349-1)))*SQRT(INDEX($I$5:$I$42,L349)),2)</f>
        <v>39190</v>
      </c>
      <c r="Y349" s="29" t="s">
        <v>177</v>
      </c>
      <c r="Z349" s="14">
        <f>ROUND(IF(Q349=1,INDEX(新属性投放!$D$14:$D$34,卡牌属性!R349),INDEX(新属性投放!$D$42:$D$62,卡牌属性!R349))*INDEX($G$5:$G$42,L349)/SQRT(INDEX($I$5:$I$42,L349)),2)</f>
        <v>169.25</v>
      </c>
      <c r="AA349" s="29" t="s">
        <v>178</v>
      </c>
      <c r="AB349" s="14">
        <f>ROUND(IF(Q349=1,INDEX(新属性投放!$E$14:$E$34,卡牌属性!R349),INDEX(新属性投放!$E$42:$E$62,卡牌属性!R349))*INDEX($G$5:$G$42,L349),2)</f>
        <v>84.62</v>
      </c>
      <c r="AC349" s="29" t="s">
        <v>179</v>
      </c>
      <c r="AD349" s="14">
        <f>ROUND(IF(Q349=1,INDEX(新属性投放!$F$14:$F$34,卡牌属性!R349),INDEX(新属性投放!$F$42:$F$62,卡牌属性!R349))*INDEX($G$5:$G$42,L349)*SQRT(INDEX($I$5:$I$42,L349)),2)</f>
        <v>760.5</v>
      </c>
      <c r="AF349" s="14">
        <f t="shared" si="148"/>
        <v>1692</v>
      </c>
      <c r="AG349" s="14">
        <f t="shared" si="149"/>
        <v>846</v>
      </c>
      <c r="AH349" s="14">
        <f t="shared" si="150"/>
        <v>7605</v>
      </c>
      <c r="AJ349" s="14">
        <f t="shared" si="154"/>
        <v>7743</v>
      </c>
      <c r="AK349" s="14">
        <f t="shared" si="155"/>
        <v>3870</v>
      </c>
      <c r="AL349" s="14">
        <f t="shared" si="156"/>
        <v>34785</v>
      </c>
    </row>
    <row r="350" spans="11:38" ht="16.5" x14ac:dyDescent="0.2">
      <c r="K350" s="13">
        <v>347</v>
      </c>
      <c r="L350" s="13">
        <f t="shared" si="142"/>
        <v>17</v>
      </c>
      <c r="M350" s="13">
        <f t="shared" si="143"/>
        <v>5</v>
      </c>
      <c r="N350" s="14">
        <f t="shared" si="144"/>
        <v>1102001</v>
      </c>
      <c r="O350" s="14" t="str">
        <f t="shared" si="145"/>
        <v>关羽11突</v>
      </c>
      <c r="P350" s="29" t="s">
        <v>470</v>
      </c>
      <c r="Q350" s="14">
        <f t="shared" si="146"/>
        <v>2</v>
      </c>
      <c r="R350" s="14">
        <f t="shared" si="147"/>
        <v>11</v>
      </c>
      <c r="S350" s="14" t="s">
        <v>39</v>
      </c>
      <c r="T350" s="14">
        <f>ROUND(((IF(Q350=1,INDEX(新属性投放!$J$14:$J$34,卡牌属性!R350),INDEX(新属性投放!$J$42:$J$62,卡牌属性!R350)))*INDEX($G$5:$G$42,L350)+IF(Q350=1,INDEX(新属性投放!R$20:R$23,卡牌属性!M350-1),INDEX(新属性投放!R$25:R$28,卡牌属性!M350-1)))/SQRT(INDEX($I$5:$I$42,L350)),2)</f>
        <v>8642.5499999999993</v>
      </c>
      <c r="U350" s="29" t="s">
        <v>178</v>
      </c>
      <c r="V350" s="14">
        <f>ROUND((IF(Q350=1,INDEX(新属性投放!$K$14:$K$34,卡牌属性!R350),INDEX(新属性投放!$K$42:$K$62,卡牌属性!R350))+IF(Q350=1,INDEX(新属性投放!S$20:S$23,卡牌属性!M350-1),INDEX(新属性投放!S$25:S$28,卡牌属性!M350-1)))*INDEX($G$5:$G$42,L350),2)</f>
        <v>3980.78</v>
      </c>
      <c r="W350" s="29" t="s">
        <v>179</v>
      </c>
      <c r="X350" s="14">
        <f>ROUND((IF(Q350=1,INDEX(新属性投放!$L$14:$L$34,卡牌属性!R350),INDEX(新属性投放!$L$42:$L$62,卡牌属性!R350))*INDEX($G$5:$G$42,L350)+IF(Q350=1,INDEX(新属性投放!T$20:T$23,卡牌属性!M350-1),INDEX(新属性投放!T$25:T$28,卡牌属性!M350-1)))*SQRT(INDEX($I$5:$I$42,L350)),2)</f>
        <v>44896</v>
      </c>
      <c r="Y350" s="29" t="s">
        <v>177</v>
      </c>
      <c r="Z350" s="14">
        <f>ROUND(IF(Q350=1,INDEX(新属性投放!$D$14:$D$34,卡牌属性!R350),INDEX(新属性投放!$D$42:$D$62,卡牌属性!R350))*INDEX($G$5:$G$42,L350)/SQRT(INDEX($I$5:$I$42,L350)),2)</f>
        <v>197.37</v>
      </c>
      <c r="AA350" s="29" t="s">
        <v>178</v>
      </c>
      <c r="AB350" s="14">
        <f>ROUND(IF(Q350=1,INDEX(新属性投放!$E$14:$E$34,卡牌属性!R350),INDEX(新属性投放!$E$42:$E$62,卡牌属性!R350))*INDEX($G$5:$G$42,L350),2)</f>
        <v>98.69</v>
      </c>
      <c r="AC350" s="29" t="s">
        <v>179</v>
      </c>
      <c r="AD350" s="14">
        <f>ROUND(IF(Q350=1,INDEX(新属性投放!$F$14:$F$34,卡牌属性!R350),INDEX(新属性投放!$F$42:$F$62,卡牌属性!R350))*INDEX($G$5:$G$42,L350)*SQRT(INDEX($I$5:$I$42,L350)),2)</f>
        <v>888</v>
      </c>
      <c r="AF350" s="14">
        <f t="shared" si="148"/>
        <v>1973</v>
      </c>
      <c r="AG350" s="14">
        <f t="shared" si="149"/>
        <v>986</v>
      </c>
      <c r="AH350" s="14">
        <f t="shared" si="150"/>
        <v>8880</v>
      </c>
      <c r="AJ350" s="14">
        <f t="shared" si="154"/>
        <v>9716</v>
      </c>
      <c r="AK350" s="14">
        <f t="shared" si="155"/>
        <v>4856</v>
      </c>
      <c r="AL350" s="14">
        <f t="shared" si="156"/>
        <v>43665</v>
      </c>
    </row>
    <row r="351" spans="11:38" ht="16.5" x14ac:dyDescent="0.2">
      <c r="K351" s="13">
        <v>348</v>
      </c>
      <c r="L351" s="13">
        <f t="shared" si="142"/>
        <v>17</v>
      </c>
      <c r="M351" s="13">
        <f t="shared" si="143"/>
        <v>5</v>
      </c>
      <c r="N351" s="14">
        <f t="shared" si="144"/>
        <v>1102001</v>
      </c>
      <c r="O351" s="14" t="str">
        <f t="shared" si="145"/>
        <v>关羽12突</v>
      </c>
      <c r="P351" s="29" t="s">
        <v>470</v>
      </c>
      <c r="Q351" s="14">
        <f t="shared" si="146"/>
        <v>2</v>
      </c>
      <c r="R351" s="14">
        <f t="shared" si="147"/>
        <v>12</v>
      </c>
      <c r="S351" s="14" t="s">
        <v>39</v>
      </c>
      <c r="T351" s="14">
        <f>ROUND(((IF(Q351=1,INDEX(新属性投放!$J$14:$J$34,卡牌属性!R351),INDEX(新属性投放!$J$42:$J$62,卡牌属性!R351)))*INDEX($G$5:$G$42,L351)+IF(Q351=1,INDEX(新属性投放!R$20:R$23,卡牌属性!M351-1),INDEX(新属性投放!R$25:R$28,卡牌属性!M351-1)))/SQRT(INDEX($I$5:$I$42,L351)),2)</f>
        <v>9875.4</v>
      </c>
      <c r="U351" s="29" t="s">
        <v>178</v>
      </c>
      <c r="V351" s="14">
        <f>ROUND((IF(Q351=1,INDEX(新属性投放!$K$14:$K$34,卡牌属性!R351),INDEX(新属性投放!$K$42:$K$62,卡牌属性!R351))+IF(Q351=1,INDEX(新属性投放!S$20:S$23,卡牌属性!M351-1),INDEX(新属性投放!S$25:S$28,卡牌属性!M351-1)))*INDEX($G$5:$G$42,L351),2)</f>
        <v>4597.2</v>
      </c>
      <c r="W351" s="29" t="s">
        <v>179</v>
      </c>
      <c r="X351" s="14">
        <f>ROUND((IF(Q351=1,INDEX(新属性投放!$L$14:$L$34,卡牌属性!R351),INDEX(新属性投放!$L$42:$L$62,卡牌属性!R351))*INDEX($G$5:$G$42,L351)+IF(Q351=1,INDEX(新属性投放!T$20:T$23,卡牌属性!M351-1),INDEX(新属性投放!T$25:T$28,卡牌属性!M351-1)))*SQRT(INDEX($I$5:$I$42,L351)),2)</f>
        <v>51550</v>
      </c>
      <c r="Y351" s="29" t="s">
        <v>177</v>
      </c>
      <c r="Z351" s="14">
        <f>ROUND(IF(Q351=1,INDEX(新属性投放!$D$14:$D$34,卡牌属性!R351),INDEX(新属性投放!$D$42:$D$62,卡牌属性!R351))*INDEX($G$5:$G$42,L351)/SQRT(INDEX($I$5:$I$42,L351)),2)</f>
        <v>225.71</v>
      </c>
      <c r="AA351" s="29" t="s">
        <v>178</v>
      </c>
      <c r="AB351" s="14">
        <f>ROUND(IF(Q351=1,INDEX(新属性投放!$E$14:$E$34,卡牌属性!R351),INDEX(新属性投放!$E$42:$E$62,卡牌属性!R351))*INDEX($G$5:$G$42,L351),2)</f>
        <v>112.85</v>
      </c>
      <c r="AC351" s="29" t="s">
        <v>179</v>
      </c>
      <c r="AD351" s="14">
        <f>ROUND(IF(Q351=1,INDEX(新属性投放!$F$14:$F$34,卡牌属性!R351),INDEX(新属性投放!$F$42:$F$62,卡牌属性!R351))*INDEX($G$5:$G$42,L351)*SQRT(INDEX($I$5:$I$42,L351)),2)</f>
        <v>1015.5</v>
      </c>
      <c r="AF351" s="14">
        <f t="shared" si="148"/>
        <v>2257</v>
      </c>
      <c r="AG351" s="14">
        <f t="shared" si="149"/>
        <v>1128</v>
      </c>
      <c r="AH351" s="14">
        <f t="shared" si="150"/>
        <v>10155</v>
      </c>
      <c r="AJ351" s="14">
        <f t="shared" si="154"/>
        <v>11973</v>
      </c>
      <c r="AK351" s="14">
        <f t="shared" si="155"/>
        <v>5984</v>
      </c>
      <c r="AL351" s="14">
        <f t="shared" si="156"/>
        <v>53820</v>
      </c>
    </row>
    <row r="352" spans="11:38" ht="16.5" x14ac:dyDescent="0.2">
      <c r="K352" s="13">
        <v>349</v>
      </c>
      <c r="L352" s="13">
        <f t="shared" si="142"/>
        <v>17</v>
      </c>
      <c r="M352" s="13">
        <f t="shared" si="143"/>
        <v>5</v>
      </c>
      <c r="N352" s="14">
        <f t="shared" si="144"/>
        <v>1102001</v>
      </c>
      <c r="O352" s="14" t="str">
        <f t="shared" si="145"/>
        <v>关羽13突</v>
      </c>
      <c r="P352" s="29" t="s">
        <v>470</v>
      </c>
      <c r="Q352" s="14">
        <f t="shared" si="146"/>
        <v>2</v>
      </c>
      <c r="R352" s="14">
        <f t="shared" si="147"/>
        <v>13</v>
      </c>
      <c r="S352" s="14" t="s">
        <v>39</v>
      </c>
      <c r="T352" s="14">
        <f>ROUND(((IF(Q352=1,INDEX(新属性投放!$J$14:$J$34,卡牌属性!R352),INDEX(新属性投放!$J$42:$J$62,卡牌属性!R352)))*INDEX($G$5:$G$42,L352)+IF(Q352=1,INDEX(新属性投放!R$20:R$23,卡牌属性!M352-1),INDEX(新属性投放!R$25:R$28,卡牌属性!M352-1)))/SQRT(INDEX($I$5:$I$42,L352)),2)</f>
        <v>11285.93</v>
      </c>
      <c r="U352" s="29" t="s">
        <v>178</v>
      </c>
      <c r="V352" s="14">
        <f>ROUND((IF(Q352=1,INDEX(新属性投放!$K$14:$K$34,卡牌属性!R352),INDEX(新属性投放!$K$42:$K$62,卡牌属性!R352))+IF(Q352=1,INDEX(新属性投放!S$20:S$23,卡牌属性!M352-1),INDEX(新属性投放!S$25:S$28,卡牌属性!M352-1)))*INDEX($G$5:$G$42,L352),2)</f>
        <v>5302.46</v>
      </c>
      <c r="W352" s="29" t="s">
        <v>179</v>
      </c>
      <c r="X352" s="14">
        <f>ROUND((IF(Q352=1,INDEX(新属性投放!$L$14:$L$34,卡牌属性!R352),INDEX(新属性投放!$L$42:$L$62,卡牌属性!R352))*INDEX($G$5:$G$42,L352)+IF(Q352=1,INDEX(新属性投放!T$20:T$23,卡牌属性!M352-1),INDEX(新属性投放!T$25:T$28,卡牌属性!M352-1)))*SQRT(INDEX($I$5:$I$42,L352)),2)</f>
        <v>59165.5</v>
      </c>
      <c r="Y352" s="29" t="s">
        <v>177</v>
      </c>
      <c r="Z352" s="14">
        <f>ROUND(IF(Q352=1,INDEX(新属性投放!$D$14:$D$34,卡牌属性!R352),INDEX(新属性投放!$D$42:$D$62,卡牌属性!R352))*INDEX($G$5:$G$42,L352)/SQRT(INDEX($I$5:$I$42,L352)),2)</f>
        <v>260.95999999999998</v>
      </c>
      <c r="AA352" s="29" t="s">
        <v>178</v>
      </c>
      <c r="AB352" s="14">
        <f>ROUND(IF(Q352=1,INDEX(新属性投放!$E$14:$E$34,卡牌属性!R352),INDEX(新属性投放!$E$42:$E$62,卡牌属性!R352))*INDEX($G$5:$G$42,L352),2)</f>
        <v>130.47999999999999</v>
      </c>
      <c r="AC352" s="29" t="s">
        <v>179</v>
      </c>
      <c r="AD352" s="14">
        <f>ROUND(IF(Q352=1,INDEX(新属性投放!$F$14:$F$34,卡牌属性!R352),INDEX(新属性投放!$F$42:$F$62,卡牌属性!R352))*INDEX($G$5:$G$42,L352)*SQRT(INDEX($I$5:$I$42,L352)),2)</f>
        <v>1173</v>
      </c>
      <c r="AF352" s="14">
        <f t="shared" si="148"/>
        <v>2609</v>
      </c>
      <c r="AG352" s="14">
        <f t="shared" si="149"/>
        <v>1304</v>
      </c>
      <c r="AH352" s="14">
        <f t="shared" si="150"/>
        <v>11730</v>
      </c>
      <c r="AJ352" s="14">
        <f t="shared" si="154"/>
        <v>14582</v>
      </c>
      <c r="AK352" s="14">
        <f t="shared" si="155"/>
        <v>7288</v>
      </c>
      <c r="AL352" s="14">
        <f t="shared" si="156"/>
        <v>65550</v>
      </c>
    </row>
    <row r="353" spans="11:38" ht="16.5" x14ac:dyDescent="0.2">
      <c r="K353" s="13">
        <v>350</v>
      </c>
      <c r="L353" s="13">
        <f t="shared" si="142"/>
        <v>17</v>
      </c>
      <c r="M353" s="13">
        <f t="shared" si="143"/>
        <v>5</v>
      </c>
      <c r="N353" s="14">
        <f t="shared" si="144"/>
        <v>1102001</v>
      </c>
      <c r="O353" s="14" t="str">
        <f t="shared" si="145"/>
        <v>关羽14突</v>
      </c>
      <c r="P353" s="29" t="s">
        <v>470</v>
      </c>
      <c r="Q353" s="14">
        <f t="shared" si="146"/>
        <v>2</v>
      </c>
      <c r="R353" s="14">
        <f t="shared" si="147"/>
        <v>14</v>
      </c>
      <c r="S353" s="14" t="s">
        <v>39</v>
      </c>
      <c r="T353" s="14">
        <f>ROUND(((IF(Q353=1,INDEX(新属性投放!$J$14:$J$34,卡牌属性!R353),INDEX(新属性投放!$J$42:$J$62,卡牌属性!R353)))*INDEX($G$5:$G$42,L353)+IF(Q353=1,INDEX(新属性投放!R$20:R$23,卡牌属性!M353-1),INDEX(新属性投放!R$25:R$28,卡牌属性!M353-1)))/SQRT(INDEX($I$5:$I$42,L353)),2)</f>
        <v>12916.2</v>
      </c>
      <c r="U353" s="29" t="s">
        <v>178</v>
      </c>
      <c r="V353" s="14">
        <f>ROUND((IF(Q353=1,INDEX(新属性投放!$K$14:$K$34,卡牌属性!R353),INDEX(新属性投放!$K$42:$K$62,卡牌属性!R353))+IF(Q353=1,INDEX(新属性投放!S$20:S$23,卡牌属性!M353-1),INDEX(新属性投放!S$25:S$28,卡牌属性!M353-1)))*INDEX($G$5:$G$42,L353),2)</f>
        <v>6118.35</v>
      </c>
      <c r="W353" s="29" t="s">
        <v>179</v>
      </c>
      <c r="X353" s="14">
        <f>ROUND((IF(Q353=1,INDEX(新属性投放!$L$14:$L$34,卡牌属性!R353),INDEX(新属性投放!$L$42:$L$62,卡牌属性!R353))*INDEX($G$5:$G$42,L353)+IF(Q353=1,INDEX(新属性投放!T$20:T$23,卡牌属性!M353-1),INDEX(新属性投放!T$25:T$28,卡牌属性!M353-1)))*SQRT(INDEX($I$5:$I$42,L353)),2)</f>
        <v>67960</v>
      </c>
      <c r="Y353" s="29" t="s">
        <v>177</v>
      </c>
      <c r="Z353" s="14">
        <f>ROUND(IF(Q353=1,INDEX(新属性投放!$D$14:$D$34,卡牌属性!R353),INDEX(新属性投放!$D$42:$D$62,卡牌属性!R353))*INDEX($G$5:$G$42,L353)/SQRT(INDEX($I$5:$I$42,L353)),2)</f>
        <v>301.73</v>
      </c>
      <c r="AA353" s="29" t="s">
        <v>178</v>
      </c>
      <c r="AB353" s="14">
        <f>ROUND(IF(Q353=1,INDEX(新属性投放!$E$14:$E$34,卡牌属性!R353),INDEX(新属性投放!$E$42:$E$62,卡牌属性!R353))*INDEX($G$5:$G$42,L353),2)</f>
        <v>150.86000000000001</v>
      </c>
      <c r="AC353" s="29" t="s">
        <v>179</v>
      </c>
      <c r="AD353" s="14">
        <f>ROUND(IF(Q353=1,INDEX(新属性投放!$F$14:$F$34,卡牌属性!R353),INDEX(新属性投放!$F$42:$F$62,卡牌属性!R353))*INDEX($G$5:$G$42,L353)*SQRT(INDEX($I$5:$I$42,L353)),2)</f>
        <v>1357.5</v>
      </c>
      <c r="AF353" s="14">
        <f t="shared" si="148"/>
        <v>3017</v>
      </c>
      <c r="AG353" s="14">
        <f t="shared" si="149"/>
        <v>1508</v>
      </c>
      <c r="AH353" s="14">
        <f t="shared" si="150"/>
        <v>13575</v>
      </c>
      <c r="AJ353" s="14">
        <f t="shared" si="154"/>
        <v>17599</v>
      </c>
      <c r="AK353" s="14">
        <f t="shared" si="155"/>
        <v>8796</v>
      </c>
      <c r="AL353" s="14">
        <f t="shared" si="156"/>
        <v>79125</v>
      </c>
    </row>
    <row r="354" spans="11:38" ht="16.5" x14ac:dyDescent="0.2">
      <c r="K354" s="13">
        <v>351</v>
      </c>
      <c r="L354" s="13">
        <f t="shared" si="142"/>
        <v>17</v>
      </c>
      <c r="M354" s="13">
        <f t="shared" si="143"/>
        <v>5</v>
      </c>
      <c r="N354" s="14">
        <f t="shared" si="144"/>
        <v>1102001</v>
      </c>
      <c r="O354" s="14" t="str">
        <f t="shared" si="145"/>
        <v>关羽15突</v>
      </c>
      <c r="P354" s="29" t="s">
        <v>470</v>
      </c>
      <c r="Q354" s="14">
        <f t="shared" si="146"/>
        <v>2</v>
      </c>
      <c r="R354" s="14">
        <f t="shared" si="147"/>
        <v>15</v>
      </c>
      <c r="S354" s="14" t="s">
        <v>39</v>
      </c>
      <c r="T354" s="14">
        <f>ROUND(((IF(Q354=1,INDEX(新属性投放!$J$14:$J$34,卡牌属性!R354),INDEX(新属性投放!$J$42:$J$62,卡牌属性!R354)))*INDEX($G$5:$G$42,L354)+IF(Q354=1,INDEX(新属性投放!R$20:R$23,卡牌属性!M354-1),INDEX(新属性投放!R$25:R$28,卡牌属性!M354-1)))/SQRT(INDEX($I$5:$I$42,L354)),2)</f>
        <v>14801.33</v>
      </c>
      <c r="U354" s="29" t="s">
        <v>178</v>
      </c>
      <c r="V354" s="14">
        <f>ROUND((IF(Q354=1,INDEX(新属性投放!$K$14:$K$34,卡牌属性!R354),INDEX(新属性投放!$K$42:$K$62,卡牌属性!R354))+IF(Q354=1,INDEX(新属性投放!S$20:S$23,卡牌属性!M354-1),INDEX(新属性投放!S$25:S$28,卡牌属性!M354-1)))*INDEX($G$5:$G$42,L354),2)</f>
        <v>7061.66</v>
      </c>
      <c r="W354" s="29" t="s">
        <v>179</v>
      </c>
      <c r="X354" s="14">
        <f>ROUND((IF(Q354=1,INDEX(新属性投放!$L$14:$L$34,卡牌属性!R354),INDEX(新属性投放!$L$42:$L$62,卡牌属性!R354))*INDEX($G$5:$G$42,L354)+IF(Q354=1,INDEX(新属性投放!T$20:T$23,卡牌属性!M354-1),INDEX(新属性投放!T$25:T$28,卡牌属性!M354-1)))*SQRT(INDEX($I$5:$I$42,L354)),2)</f>
        <v>78136</v>
      </c>
      <c r="Y354" s="29" t="s">
        <v>177</v>
      </c>
      <c r="Z354" s="14">
        <f>ROUND(IF(Q354=1,INDEX(新属性投放!$D$14:$D$34,卡牌属性!R354),INDEX(新属性投放!$D$42:$D$62,卡牌属性!R354))*INDEX($G$5:$G$42,L354)/SQRT(INDEX($I$5:$I$42,L354)),2)</f>
        <v>348.84</v>
      </c>
      <c r="AA354" s="29" t="s">
        <v>178</v>
      </c>
      <c r="AB354" s="14">
        <f>ROUND(IF(Q354=1,INDEX(新属性投放!$E$14:$E$34,卡牌属性!R354),INDEX(新属性投放!$E$42:$E$62,卡牌属性!R354))*INDEX($G$5:$G$42,L354),2)</f>
        <v>174.42</v>
      </c>
      <c r="AC354" s="29" t="s">
        <v>179</v>
      </c>
      <c r="AD354" s="14">
        <f>ROUND(IF(Q354=1,INDEX(新属性投放!$F$14:$F$34,卡牌属性!R354),INDEX(新属性投放!$F$42:$F$62,卡牌属性!R354))*INDEX($G$5:$G$42,L354)*SQRT(INDEX($I$5:$I$42,L354)),2)</f>
        <v>1569</v>
      </c>
      <c r="AF354" s="14">
        <f t="shared" si="148"/>
        <v>3488</v>
      </c>
      <c r="AG354" s="14">
        <f t="shared" si="149"/>
        <v>1744</v>
      </c>
      <c r="AH354" s="14">
        <f t="shared" si="150"/>
        <v>15690</v>
      </c>
      <c r="AJ354" s="14">
        <f t="shared" si="154"/>
        <v>21087</v>
      </c>
      <c r="AK354" s="14">
        <f t="shared" si="155"/>
        <v>10540</v>
      </c>
      <c r="AL354" s="14">
        <f t="shared" si="156"/>
        <v>94815</v>
      </c>
    </row>
    <row r="355" spans="11:38" ht="16.5" x14ac:dyDescent="0.2">
      <c r="K355" s="13">
        <v>352</v>
      </c>
      <c r="L355" s="13">
        <f t="shared" si="142"/>
        <v>17</v>
      </c>
      <c r="M355" s="13">
        <f t="shared" si="143"/>
        <v>5</v>
      </c>
      <c r="N355" s="14">
        <f t="shared" si="144"/>
        <v>1102001</v>
      </c>
      <c r="O355" s="14" t="str">
        <f t="shared" si="145"/>
        <v>关羽16突</v>
      </c>
      <c r="P355" s="29" t="s">
        <v>470</v>
      </c>
      <c r="Q355" s="14">
        <f t="shared" si="146"/>
        <v>2</v>
      </c>
      <c r="R355" s="14">
        <f t="shared" si="147"/>
        <v>16</v>
      </c>
      <c r="S355" s="14" t="s">
        <v>39</v>
      </c>
      <c r="T355" s="14">
        <f>ROUND(((IF(Q355=1,INDEX(新属性投放!$J$14:$J$34,卡牌属性!R355),INDEX(新属性投放!$J$42:$J$62,卡牌属性!R355)))*INDEX($G$5:$G$42,L355)+IF(Q355=1,INDEX(新属性投放!R$20:R$23,卡牌属性!M355-1),INDEX(新属性投放!R$25:R$28,卡牌属性!M355-1)))/SQRT(INDEX($I$5:$I$42,L355)),2)</f>
        <v>16982.03</v>
      </c>
      <c r="U355" s="29" t="s">
        <v>178</v>
      </c>
      <c r="V355" s="14">
        <f>ROUND((IF(Q355=1,INDEX(新属性投放!$K$14:$K$34,卡牌属性!R355),INDEX(新属性投放!$K$42:$K$62,卡牌属性!R355))+IF(Q355=1,INDEX(新属性投放!S$20:S$23,卡牌属性!M355-1),INDEX(新属性投放!S$25:S$28,卡牌属性!M355-1)))*INDEX($G$5:$G$42,L355),2)</f>
        <v>8151.26</v>
      </c>
      <c r="W355" s="29" t="s">
        <v>179</v>
      </c>
      <c r="X355" s="14">
        <f>ROUND((IF(Q355=1,INDEX(新属性投放!$L$14:$L$34,卡牌属性!R355),INDEX(新属性投放!$L$42:$L$62,卡牌属性!R355))*INDEX($G$5:$G$42,L355)+IF(Q355=1,INDEX(新属性投放!T$20:T$23,卡牌属性!M355-1),INDEX(新属性投放!T$25:T$28,卡牌属性!M355-1)))*SQRT(INDEX($I$5:$I$42,L355)),2)</f>
        <v>89909.5</v>
      </c>
      <c r="Y355" s="29" t="s">
        <v>177</v>
      </c>
      <c r="Z355" s="14">
        <f>ROUND(IF(Q355=1,INDEX(新属性投放!$D$14:$D$34,卡牌属性!R355),INDEX(新属性投放!$D$42:$D$62,卡牌属性!R355))*INDEX($G$5:$G$42,L355)/SQRT(INDEX($I$5:$I$42,L355)),2)</f>
        <v>403.37</v>
      </c>
      <c r="AA355" s="29" t="s">
        <v>178</v>
      </c>
      <c r="AB355" s="14">
        <f>ROUND(IF(Q355=1,INDEX(新属性投放!$E$14:$E$34,卡牌属性!R355),INDEX(新属性投放!$E$42:$E$62,卡牌属性!R355))*INDEX($G$5:$G$42,L355),2)</f>
        <v>201.68</v>
      </c>
      <c r="AC355" s="29" t="s">
        <v>179</v>
      </c>
      <c r="AD355" s="14">
        <f>ROUND(IF(Q355=1,INDEX(新属性投放!$F$14:$F$34,卡牌属性!R355),INDEX(新属性投放!$F$42:$F$62,卡牌属性!R355))*INDEX($G$5:$G$42,L355)*SQRT(INDEX($I$5:$I$42,L355)),2)</f>
        <v>1815</v>
      </c>
      <c r="AF355" s="14">
        <f t="shared" si="148"/>
        <v>4033</v>
      </c>
      <c r="AG355" s="14">
        <f t="shared" si="149"/>
        <v>2016</v>
      </c>
      <c r="AH355" s="14">
        <f t="shared" si="150"/>
        <v>18150</v>
      </c>
      <c r="AJ355" s="14">
        <f t="shared" si="154"/>
        <v>25120</v>
      </c>
      <c r="AK355" s="14">
        <f t="shared" si="155"/>
        <v>12556</v>
      </c>
      <c r="AL355" s="14">
        <f t="shared" si="156"/>
        <v>112965</v>
      </c>
    </row>
    <row r="356" spans="11:38" ht="16.5" x14ac:dyDescent="0.2">
      <c r="K356" s="13">
        <v>353</v>
      </c>
      <c r="L356" s="13">
        <f t="shared" si="142"/>
        <v>17</v>
      </c>
      <c r="M356" s="13">
        <f t="shared" si="143"/>
        <v>5</v>
      </c>
      <c r="N356" s="14">
        <f t="shared" si="144"/>
        <v>1102001</v>
      </c>
      <c r="O356" s="14" t="str">
        <f t="shared" si="145"/>
        <v>关羽17突</v>
      </c>
      <c r="P356" s="29" t="s">
        <v>470</v>
      </c>
      <c r="Q356" s="14">
        <f t="shared" si="146"/>
        <v>2</v>
      </c>
      <c r="R356" s="14">
        <f t="shared" si="147"/>
        <v>17</v>
      </c>
      <c r="S356" s="14" t="s">
        <v>39</v>
      </c>
      <c r="T356" s="14">
        <f>ROUND(((IF(Q356=1,INDEX(新属性投放!$J$14:$J$34,卡牌属性!R356),INDEX(新属性投放!$J$42:$J$62,卡牌属性!R356)))*INDEX($G$5:$G$42,L356)+IF(Q356=1,INDEX(新属性投放!R$20:R$23,卡牌属性!M356-1),INDEX(新属性投放!R$25:R$28,卡牌属性!M356-1)))/SQRT(INDEX($I$5:$I$42,L356)),2)</f>
        <v>19502.849999999999</v>
      </c>
      <c r="U356" s="29" t="s">
        <v>178</v>
      </c>
      <c r="V356" s="14">
        <f>ROUND((IF(Q356=1,INDEX(新属性投放!$K$14:$K$34,卡牌属性!R356),INDEX(新属性投放!$K$42:$K$62,卡牌属性!R356))+IF(Q356=1,INDEX(新属性投放!S$20:S$23,卡牌属性!M356-1),INDEX(新属性投放!S$25:S$28,卡牌属性!M356-1)))*INDEX($G$5:$G$42,L356),2)</f>
        <v>9411.68</v>
      </c>
      <c r="W356" s="29" t="s">
        <v>179</v>
      </c>
      <c r="X356" s="14">
        <f>ROUND((IF(Q356=1,INDEX(新属性投放!$L$14:$L$34,卡牌属性!R356),INDEX(新属性投放!$L$42:$L$62,卡牌属性!R356))*INDEX($G$5:$G$42,L356)+IF(Q356=1,INDEX(新属性投放!T$20:T$23,卡牌属性!M356-1),INDEX(新属性投放!T$25:T$28,卡牌属性!M356-1)))*SQRT(INDEX($I$5:$I$42,L356)),2)</f>
        <v>103520.5</v>
      </c>
      <c r="Y356" s="29" t="s">
        <v>177</v>
      </c>
      <c r="Z356" s="14">
        <f>ROUND(IF(Q356=1,INDEX(新属性投放!$D$14:$D$34,卡牌属性!R356),INDEX(新属性投放!$D$42:$D$62,卡牌属性!R356))*INDEX($G$5:$G$42,L356)/SQRT(INDEX($I$5:$I$42,L356)),2)</f>
        <v>466.38</v>
      </c>
      <c r="AA356" s="29" t="s">
        <v>178</v>
      </c>
      <c r="AB356" s="14">
        <f>ROUND(IF(Q356=1,INDEX(新属性投放!$E$14:$E$34,卡牌属性!R356),INDEX(新属性投放!$E$42:$E$62,卡牌属性!R356))*INDEX($G$5:$G$42,L356),2)</f>
        <v>233.19</v>
      </c>
      <c r="AC356" s="29" t="s">
        <v>179</v>
      </c>
      <c r="AD356" s="14">
        <f>ROUND(IF(Q356=1,INDEX(新属性投放!$F$14:$F$34,卡牌属性!R356),INDEX(新属性投放!$F$42:$F$62,卡牌属性!R356))*INDEX($G$5:$G$42,L356)*SQRT(INDEX($I$5:$I$42,L356)),2)</f>
        <v>2098.5</v>
      </c>
      <c r="AF356" s="14">
        <f t="shared" si="148"/>
        <v>4663</v>
      </c>
      <c r="AG356" s="14">
        <f t="shared" si="149"/>
        <v>2331</v>
      </c>
      <c r="AH356" s="14">
        <f t="shared" si="150"/>
        <v>20985</v>
      </c>
      <c r="AJ356" s="14">
        <f t="shared" si="154"/>
        <v>29783</v>
      </c>
      <c r="AK356" s="14">
        <f t="shared" si="155"/>
        <v>14887</v>
      </c>
      <c r="AL356" s="14">
        <f t="shared" si="156"/>
        <v>133950</v>
      </c>
    </row>
    <row r="357" spans="11:38" ht="16.5" x14ac:dyDescent="0.2">
      <c r="K357" s="13">
        <v>354</v>
      </c>
      <c r="L357" s="13">
        <f t="shared" si="142"/>
        <v>17</v>
      </c>
      <c r="M357" s="13">
        <f t="shared" si="143"/>
        <v>5</v>
      </c>
      <c r="N357" s="14">
        <f t="shared" si="144"/>
        <v>1102001</v>
      </c>
      <c r="O357" s="14" t="str">
        <f t="shared" si="145"/>
        <v>关羽18突</v>
      </c>
      <c r="P357" s="29" t="s">
        <v>470</v>
      </c>
      <c r="Q357" s="14">
        <f t="shared" si="146"/>
        <v>2</v>
      </c>
      <c r="R357" s="14">
        <f t="shared" si="147"/>
        <v>18</v>
      </c>
      <c r="S357" s="14" t="s">
        <v>39</v>
      </c>
      <c r="T357" s="14">
        <f>ROUND(((IF(Q357=1,INDEX(新属性投放!$J$14:$J$34,卡牌属性!R357),INDEX(新属性投放!$J$42:$J$62,卡牌属性!R357)))*INDEX($G$5:$G$42,L357)+IF(Q357=1,INDEX(新属性投放!R$20:R$23,卡牌属性!M357-1),INDEX(新属性投放!R$25:R$28,卡牌属性!M357-1)))/SQRT(INDEX($I$5:$I$42,L357)),2)</f>
        <v>22418.25</v>
      </c>
      <c r="U357" s="29" t="s">
        <v>178</v>
      </c>
      <c r="V357" s="14">
        <f>ROUND((IF(Q357=1,INDEX(新属性投放!$K$14:$K$34,卡牌属性!R357),INDEX(新属性投放!$K$42:$K$62,卡牌属性!R357))+IF(Q357=1,INDEX(新属性投放!S$20:S$23,卡牌属性!M357-1),INDEX(新属性投放!S$25:S$28,卡牌属性!M357-1)))*INDEX($G$5:$G$42,L357),2)</f>
        <v>10868.63</v>
      </c>
      <c r="W357" s="29" t="s">
        <v>179</v>
      </c>
      <c r="X357" s="14">
        <f>ROUND((IF(Q357=1,INDEX(新属性投放!$L$14:$L$34,卡牌属性!R357),INDEX(新属性投放!$L$42:$L$62,卡牌属性!R357))*INDEX($G$5:$G$42,L357)+IF(Q357=1,INDEX(新属性投放!T$20:T$23,卡牌属性!M357-1),INDEX(新属性投放!T$25:T$28,卡牌属性!M357-1)))*SQRT(INDEX($I$5:$I$42,L357)),2)</f>
        <v>119264.5</v>
      </c>
      <c r="Y357" s="29" t="s">
        <v>177</v>
      </c>
      <c r="Z357" s="14">
        <f>ROUND(IF(Q357=1,INDEX(新属性投放!$D$14:$D$34,卡牌属性!R357),INDEX(新属性投放!$D$42:$D$62,卡牌属性!R357))*INDEX($G$5:$G$42,L357)/SQRT(INDEX($I$5:$I$42,L357)),2)</f>
        <v>539.27</v>
      </c>
      <c r="AA357" s="29" t="s">
        <v>178</v>
      </c>
      <c r="AB357" s="14">
        <f>ROUND(IF(Q357=1,INDEX(新属性投放!$E$14:$E$34,卡牌属性!R357),INDEX(新属性投放!$E$42:$E$62,卡牌属性!R357))*INDEX($G$5:$G$42,L357),2)</f>
        <v>269.63</v>
      </c>
      <c r="AC357" s="29" t="s">
        <v>179</v>
      </c>
      <c r="AD357" s="14">
        <f>ROUND(IF(Q357=1,INDEX(新属性投放!$F$14:$F$34,卡牌属性!R357),INDEX(新属性投放!$F$42:$F$62,卡牌属性!R357))*INDEX($G$5:$G$42,L357)*SQRT(INDEX($I$5:$I$42,L357)),2)</f>
        <v>2425.5</v>
      </c>
      <c r="AF357" s="14">
        <f t="shared" si="148"/>
        <v>5392</v>
      </c>
      <c r="AG357" s="14">
        <f t="shared" si="149"/>
        <v>2696</v>
      </c>
      <c r="AH357" s="14">
        <f t="shared" si="150"/>
        <v>24255</v>
      </c>
      <c r="AJ357" s="14">
        <f t="shared" si="154"/>
        <v>35175</v>
      </c>
      <c r="AK357" s="14">
        <f t="shared" si="155"/>
        <v>17583</v>
      </c>
      <c r="AL357" s="14">
        <f t="shared" si="156"/>
        <v>158205</v>
      </c>
    </row>
    <row r="358" spans="11:38" ht="16.5" x14ac:dyDescent="0.2">
      <c r="K358" s="13">
        <v>355</v>
      </c>
      <c r="L358" s="13">
        <f t="shared" si="142"/>
        <v>17</v>
      </c>
      <c r="M358" s="13">
        <f t="shared" si="143"/>
        <v>5</v>
      </c>
      <c r="N358" s="14">
        <f t="shared" si="144"/>
        <v>1102001</v>
      </c>
      <c r="O358" s="14" t="str">
        <f t="shared" si="145"/>
        <v>关羽19突</v>
      </c>
      <c r="P358" s="29" t="s">
        <v>470</v>
      </c>
      <c r="Q358" s="14">
        <f t="shared" si="146"/>
        <v>2</v>
      </c>
      <c r="R358" s="14">
        <f t="shared" si="147"/>
        <v>19</v>
      </c>
      <c r="S358" s="14" t="s">
        <v>39</v>
      </c>
      <c r="T358" s="14">
        <f>ROUND(((IF(Q358=1,INDEX(新属性投放!$J$14:$J$34,卡牌属性!R358),INDEX(新属性投放!$J$42:$J$62,卡牌属性!R358)))*INDEX($G$5:$G$42,L358)+IF(Q358=1,INDEX(新属性投放!R$20:R$23,卡牌属性!M358-1),INDEX(新属性投放!R$25:R$28,卡牌属性!M358-1)))/SQRT(INDEX($I$5:$I$42,L358)),2)</f>
        <v>25788.080000000002</v>
      </c>
      <c r="U358" s="29" t="s">
        <v>178</v>
      </c>
      <c r="V358" s="14">
        <f>ROUND((IF(Q358=1,INDEX(新属性投放!$K$14:$K$34,卡牌属性!R358),INDEX(新属性投放!$K$42:$K$62,卡牌属性!R358))+IF(Q358=1,INDEX(新属性投放!S$20:S$23,卡牌属性!M358-1),INDEX(新属性投放!S$25:S$28,卡牌属性!M358-1)))*INDEX($G$5:$G$42,L358),2)</f>
        <v>12554.29</v>
      </c>
      <c r="W358" s="29" t="s">
        <v>179</v>
      </c>
      <c r="X358" s="14">
        <f>ROUND((IF(Q358=1,INDEX(新属性投放!$L$14:$L$34,卡牌属性!R358),INDEX(新属性投放!$L$42:$L$62,卡牌属性!R358))*INDEX($G$5:$G$42,L358)+IF(Q358=1,INDEX(新属性投放!T$20:T$23,卡牌属性!M358-1),INDEX(新属性投放!T$25:T$28,卡牌属性!M358-1)))*SQRT(INDEX($I$5:$I$42,L358)),2)</f>
        <v>137453.5</v>
      </c>
      <c r="Y358" s="29" t="s">
        <v>177</v>
      </c>
      <c r="Z358" s="14">
        <f>ROUND(IF(Q358=1,INDEX(新属性投放!$D$14:$D$34,卡牌属性!R358),INDEX(新属性投放!$D$42:$D$62,卡牌属性!R358))*INDEX($G$5:$G$42,L358)/SQRT(INDEX($I$5:$I$42,L358)),2)</f>
        <v>623.52</v>
      </c>
      <c r="AA358" s="29" t="s">
        <v>178</v>
      </c>
      <c r="AB358" s="14">
        <f>ROUND(IF(Q358=1,INDEX(新属性投放!$E$14:$E$34,卡牌属性!R358),INDEX(新属性投放!$E$42:$E$62,卡牌属性!R358))*INDEX($G$5:$G$42,L358),2)</f>
        <v>311.76</v>
      </c>
      <c r="AC358" s="29" t="s">
        <v>179</v>
      </c>
      <c r="AD358" s="14">
        <f>ROUND(IF(Q358=1,INDEX(新属性投放!$F$14:$F$34,卡牌属性!R358),INDEX(新属性投放!$F$42:$F$62,卡牌属性!R358))*INDEX($G$5:$G$42,L358)*SQRT(INDEX($I$5:$I$42,L358)),2)</f>
        <v>2805</v>
      </c>
      <c r="AF358" s="14">
        <f t="shared" si="148"/>
        <v>6235</v>
      </c>
      <c r="AG358" s="14">
        <f t="shared" si="149"/>
        <v>3117</v>
      </c>
      <c r="AH358" s="14">
        <f t="shared" si="150"/>
        <v>28050</v>
      </c>
      <c r="AJ358" s="14">
        <f t="shared" si="154"/>
        <v>41410</v>
      </c>
      <c r="AK358" s="14">
        <f t="shared" si="155"/>
        <v>20700</v>
      </c>
      <c r="AL358" s="14">
        <f t="shared" si="156"/>
        <v>186255</v>
      </c>
    </row>
    <row r="359" spans="11:38" ht="16.5" x14ac:dyDescent="0.2">
      <c r="K359" s="13">
        <v>356</v>
      </c>
      <c r="L359" s="13">
        <f t="shared" si="142"/>
        <v>17</v>
      </c>
      <c r="M359" s="13">
        <f t="shared" si="143"/>
        <v>5</v>
      </c>
      <c r="N359" s="14">
        <f t="shared" si="144"/>
        <v>1102001</v>
      </c>
      <c r="O359" s="14" t="str">
        <f t="shared" si="145"/>
        <v>关羽20突</v>
      </c>
      <c r="P359" s="29" t="s">
        <v>470</v>
      </c>
      <c r="Q359" s="14">
        <f t="shared" si="146"/>
        <v>2</v>
      </c>
      <c r="R359" s="14">
        <f t="shared" si="147"/>
        <v>20</v>
      </c>
      <c r="S359" s="14" t="s">
        <v>39</v>
      </c>
      <c r="T359" s="14">
        <f>ROUND(((IF(Q359=1,INDEX(新属性投放!$J$14:$J$34,卡牌属性!R359),INDEX(新属性投放!$J$42:$J$62,卡牌属性!R359)))*INDEX($G$5:$G$42,L359)+IF(Q359=1,INDEX(新属性投放!R$20:R$23,卡牌属性!M359-1),INDEX(新属性投放!R$25:R$28,卡牌属性!M359-1)))/SQRT(INDEX($I$5:$I$42,L359)),2)</f>
        <v>29685.68</v>
      </c>
      <c r="U359" s="29" t="s">
        <v>178</v>
      </c>
      <c r="V359" s="14">
        <f>ROUND((IF(Q359=1,INDEX(新属性投放!$K$14:$K$34,卡牌属性!R359),INDEX(新属性投放!$K$42:$K$62,卡牌属性!R359))+IF(Q359=1,INDEX(新属性投放!S$20:S$23,卡牌属性!M359-1),INDEX(新属性投放!S$25:S$28,卡牌属性!M359-1)))*INDEX($G$5:$G$42,L359),2)</f>
        <v>14503.09</v>
      </c>
      <c r="W359" s="29" t="s">
        <v>179</v>
      </c>
      <c r="X359" s="14">
        <f>ROUND((IF(Q359=1,INDEX(新属性投放!$L$14:$L$34,卡牌属性!R359),INDEX(新属性投放!$L$42:$L$62,卡牌属性!R359))*INDEX($G$5:$G$42,L359)+IF(Q359=1,INDEX(新属性投放!T$20:T$23,卡牌属性!M359-1),INDEX(新属性投放!T$25:T$28,卡牌属性!M359-1)))*SQRT(INDEX($I$5:$I$42,L359)),2)</f>
        <v>158498.5</v>
      </c>
      <c r="Y359" s="29" t="s">
        <v>177</v>
      </c>
      <c r="Z359" s="14">
        <f>ROUND(IF(Q359=1,INDEX(新属性投放!$D$14:$D$34,卡牌属性!R359),INDEX(新属性投放!$D$42:$D$62,卡牌属性!R359))*INDEX($G$5:$G$42,L359)/SQRT(INDEX($I$5:$I$42,L359)),2)</f>
        <v>720.96</v>
      </c>
      <c r="AA359" s="29" t="s">
        <v>178</v>
      </c>
      <c r="AB359" s="14">
        <f>ROUND(IF(Q359=1,INDEX(新属性投放!$E$14:$E$34,卡牌属性!R359),INDEX(新属性投放!$E$42:$E$62,卡牌属性!R359))*INDEX($G$5:$G$42,L359),2)</f>
        <v>360.48</v>
      </c>
      <c r="AC359" s="29" t="s">
        <v>179</v>
      </c>
      <c r="AD359" s="14">
        <f>ROUND(IF(Q359=1,INDEX(新属性投放!$F$14:$F$34,卡牌属性!R359),INDEX(新属性投放!$F$42:$F$62,卡牌属性!R359))*INDEX($G$5:$G$42,L359)*SQRT(INDEX($I$5:$I$42,L359)),2)</f>
        <v>3243</v>
      </c>
      <c r="AF359" s="14">
        <f t="shared" si="148"/>
        <v>7209</v>
      </c>
      <c r="AG359" s="14">
        <f t="shared" si="149"/>
        <v>3604</v>
      </c>
      <c r="AH359" s="14">
        <f t="shared" si="150"/>
        <v>32430</v>
      </c>
      <c r="AJ359" s="14">
        <f t="shared" si="154"/>
        <v>48619</v>
      </c>
      <c r="AK359" s="14">
        <f t="shared" si="155"/>
        <v>24304</v>
      </c>
      <c r="AL359" s="14">
        <f t="shared" si="156"/>
        <v>218685</v>
      </c>
    </row>
    <row r="360" spans="11:38" ht="16.5" x14ac:dyDescent="0.2">
      <c r="K360" s="13">
        <v>357</v>
      </c>
      <c r="L360" s="13">
        <f t="shared" si="142"/>
        <v>17</v>
      </c>
      <c r="M360" s="13">
        <f t="shared" si="143"/>
        <v>5</v>
      </c>
      <c r="N360" s="14">
        <f t="shared" si="144"/>
        <v>1102001</v>
      </c>
      <c r="O360" s="14" t="str">
        <f t="shared" si="145"/>
        <v>关羽21突</v>
      </c>
      <c r="P360" s="29" t="s">
        <v>470</v>
      </c>
      <c r="Q360" s="14">
        <f t="shared" si="146"/>
        <v>2</v>
      </c>
      <c r="R360" s="14">
        <f t="shared" si="147"/>
        <v>21</v>
      </c>
      <c r="S360" s="14" t="s">
        <v>39</v>
      </c>
      <c r="T360" s="14">
        <f>ROUND(((IF(Q360=1,INDEX(新属性投放!$J$14:$J$34,卡牌属性!R360),INDEX(新属性投放!$J$42:$J$62,卡牌属性!R360)))*INDEX($G$5:$G$42,L360)+IF(Q360=1,INDEX(新属性投放!R$20:R$23,卡牌属性!M360-1),INDEX(新属性投放!R$25:R$28,卡牌属性!M360-1)))/SQRT(INDEX($I$5:$I$42,L360)),2)</f>
        <v>34191.980000000003</v>
      </c>
      <c r="U360" s="29" t="s">
        <v>178</v>
      </c>
      <c r="V360" s="14">
        <f>ROUND((IF(Q360=1,INDEX(新属性投放!$K$14:$K$34,卡牌属性!R360),INDEX(新属性投放!$K$42:$K$62,卡牌属性!R360))+IF(Q360=1,INDEX(新属性投放!S$20:S$23,卡牌属性!M360-1),INDEX(新属性投放!S$25:S$28,卡牌属性!M360-1)))*INDEX($G$5:$G$42,L360),2)</f>
        <v>16755.490000000002</v>
      </c>
      <c r="W360" s="29" t="s">
        <v>179</v>
      </c>
      <c r="X360" s="14">
        <f>ROUND((IF(Q360=1,INDEX(新属性投放!$L$14:$L$34,卡牌属性!R360),INDEX(新属性投放!$L$42:$L$62,卡牌属性!R360))*INDEX($G$5:$G$42,L360)+IF(Q360=1,INDEX(新属性投放!T$20:T$23,卡牌属性!M360-1),INDEX(新属性投放!T$25:T$28,卡牌属性!M360-1)))*SQRT(INDEX($I$5:$I$42,L360)),2)</f>
        <v>182827</v>
      </c>
      <c r="Y360" s="29" t="s">
        <v>177</v>
      </c>
      <c r="Z360" s="14">
        <f>ROUND(IF(Q360=1,INDEX(新属性投放!$D$14:$D$34,卡牌属性!R360),INDEX(新属性投放!$D$42:$D$62,卡牌属性!R360))*INDEX($G$5:$G$42,L360)/SQRT(INDEX($I$5:$I$42,L360)),2)</f>
        <v>833.61</v>
      </c>
      <c r="AA360" s="29" t="s">
        <v>178</v>
      </c>
      <c r="AB360" s="14">
        <f>ROUND(IF(Q360=1,INDEX(新属性投放!$E$14:$E$34,卡牌属性!R360),INDEX(新属性投放!$E$42:$E$62,卡牌属性!R360))*INDEX($G$5:$G$42,L360),2)</f>
        <v>416.81</v>
      </c>
      <c r="AC360" s="29" t="s">
        <v>179</v>
      </c>
      <c r="AD360" s="14">
        <f>ROUND(IF(Q360=1,INDEX(新属性投放!$F$14:$F$34,卡牌属性!R360),INDEX(新属性投放!$F$42:$F$62,卡牌属性!R360))*INDEX($G$5:$G$42,L360)*SQRT(INDEX($I$5:$I$42,L360)),2)</f>
        <v>3750</v>
      </c>
      <c r="AF360" s="14">
        <f t="shared" si="148"/>
        <v>8336</v>
      </c>
      <c r="AG360" s="14">
        <f t="shared" si="149"/>
        <v>4168</v>
      </c>
      <c r="AH360" s="14">
        <f t="shared" si="150"/>
        <v>37500</v>
      </c>
      <c r="AJ360" s="14">
        <f t="shared" si="154"/>
        <v>56955</v>
      </c>
      <c r="AK360" s="14">
        <f t="shared" si="155"/>
        <v>28472</v>
      </c>
      <c r="AL360" s="14">
        <f t="shared" si="156"/>
        <v>256185</v>
      </c>
    </row>
    <row r="361" spans="11:38" ht="16.5" x14ac:dyDescent="0.2">
      <c r="K361" s="13">
        <v>358</v>
      </c>
      <c r="L361" s="13">
        <f t="shared" si="142"/>
        <v>18</v>
      </c>
      <c r="M361" s="13">
        <f t="shared" si="143"/>
        <v>3</v>
      </c>
      <c r="N361" s="14">
        <f t="shared" si="144"/>
        <v>1102002</v>
      </c>
      <c r="O361" s="14" t="str">
        <f t="shared" si="145"/>
        <v>许褚1突</v>
      </c>
      <c r="P361" s="29" t="s">
        <v>470</v>
      </c>
      <c r="Q361" s="14">
        <f t="shared" si="146"/>
        <v>2</v>
      </c>
      <c r="R361" s="14">
        <f t="shared" si="147"/>
        <v>1</v>
      </c>
      <c r="S361" s="14" t="s">
        <v>39</v>
      </c>
      <c r="T361" s="14">
        <f>ROUND(((IF(Q361=1,INDEX(新属性投放!$J$14:$J$34,卡牌属性!R361),INDEX(新属性投放!$J$42:$J$62,卡牌属性!R361)))*INDEX($G$5:$G$42,L361)+IF(Q361=1,INDEX(新属性投放!R$20:R$23,卡牌属性!M361-1),INDEX(新属性投放!R$25:R$28,卡牌属性!M361-1)))/SQRT(INDEX($I$5:$I$42,L361)),2)</f>
        <v>502.5</v>
      </c>
      <c r="U361" s="29" t="s">
        <v>178</v>
      </c>
      <c r="V361" s="14">
        <f>ROUND((IF(Q361=1,INDEX(新属性投放!$K$14:$K$34,卡牌属性!R361),INDEX(新属性投放!$K$42:$K$62,卡牌属性!R361))+IF(Q361=1,INDEX(新属性投放!S$20:S$23,卡牌属性!M361-1),INDEX(新属性投放!S$25:S$28,卡牌属性!M361-1)))*INDEX($G$5:$G$42,L361),2)</f>
        <v>115</v>
      </c>
      <c r="W361" s="29" t="s">
        <v>179</v>
      </c>
      <c r="X361" s="14">
        <f>ROUND((IF(Q361=1,INDEX(新属性投放!$L$14:$L$34,卡牌属性!R361),INDEX(新属性投放!$L$42:$L$62,卡牌属性!R361))*INDEX($G$5:$G$42,L361)+IF(Q361=1,INDEX(新属性投放!T$20:T$23,卡牌属性!M361-1),INDEX(新属性投放!T$25:T$28,卡牌属性!M361-1)))*SQRT(INDEX($I$5:$I$42,L361)),2)</f>
        <v>1362.5</v>
      </c>
      <c r="Y361" s="29" t="s">
        <v>177</v>
      </c>
      <c r="Z361" s="14">
        <f>ROUND(IF(Q361=1,INDEX(新属性投放!$D$14:$D$34,卡牌属性!R361),INDEX(新属性投放!$D$42:$D$62,卡牌属性!R361))*INDEX($G$5:$G$42,L361)/SQRT(INDEX($I$5:$I$42,L361)),2)</f>
        <v>17.25</v>
      </c>
      <c r="AA361" s="29" t="s">
        <v>178</v>
      </c>
      <c r="AB361" s="14">
        <f>ROUND(IF(Q361=1,INDEX(新属性投放!$E$14:$E$34,卡牌属性!R361),INDEX(新属性投放!$E$42:$E$62,卡牌属性!R361))*INDEX($G$5:$G$42,L361),2)</f>
        <v>8.6300000000000008</v>
      </c>
      <c r="AC361" s="29" t="s">
        <v>179</v>
      </c>
      <c r="AD361" s="14">
        <f>ROUND(IF(Q361=1,INDEX(新属性投放!$F$14:$F$34,卡牌属性!R361),INDEX(新属性投放!$F$42:$F$62,卡牌属性!R361))*INDEX($G$5:$G$42,L361)*SQRT(INDEX($I$5:$I$42,L361)),2)</f>
        <v>77.05</v>
      </c>
      <c r="AF361" s="14">
        <f t="shared" si="148"/>
        <v>172</v>
      </c>
      <c r="AG361" s="14">
        <f t="shared" si="149"/>
        <v>86</v>
      </c>
      <c r="AH361" s="14">
        <f t="shared" si="150"/>
        <v>770</v>
      </c>
      <c r="AJ361" s="14">
        <f t="shared" ref="AJ361" si="157">AF361</f>
        <v>172</v>
      </c>
      <c r="AK361" s="14">
        <f t="shared" ref="AK361" si="158">AG361</f>
        <v>86</v>
      </c>
      <c r="AL361" s="14">
        <f t="shared" ref="AL361" si="159">AH361</f>
        <v>770</v>
      </c>
    </row>
    <row r="362" spans="11:38" ht="16.5" x14ac:dyDescent="0.2">
      <c r="K362" s="13">
        <v>359</v>
      </c>
      <c r="L362" s="13">
        <f t="shared" si="142"/>
        <v>18</v>
      </c>
      <c r="M362" s="13">
        <f t="shared" si="143"/>
        <v>3</v>
      </c>
      <c r="N362" s="14">
        <f t="shared" si="144"/>
        <v>1102002</v>
      </c>
      <c r="O362" s="14" t="str">
        <f t="shared" si="145"/>
        <v>许褚2突</v>
      </c>
      <c r="P362" s="29" t="s">
        <v>470</v>
      </c>
      <c r="Q362" s="14">
        <f t="shared" si="146"/>
        <v>2</v>
      </c>
      <c r="R362" s="14">
        <f t="shared" si="147"/>
        <v>2</v>
      </c>
      <c r="S362" s="14" t="s">
        <v>39</v>
      </c>
      <c r="T362" s="14">
        <f>ROUND(((IF(Q362=1,INDEX(新属性投放!$J$14:$J$34,卡牌属性!R362),INDEX(新属性投放!$J$42:$J$62,卡牌属性!R362)))*INDEX($G$5:$G$42,L362)+IF(Q362=1,INDEX(新属性投放!R$20:R$23,卡牌属性!M362-1),INDEX(新属性投放!R$25:R$28,卡牌属性!M362-1)))/SQRT(INDEX($I$5:$I$42,L362)),2)</f>
        <v>686.5</v>
      </c>
      <c r="U362" s="29" t="s">
        <v>178</v>
      </c>
      <c r="V362" s="14">
        <f>ROUND((IF(Q362=1,INDEX(新属性投放!$K$14:$K$34,卡牌属性!R362),INDEX(新属性投放!$K$42:$K$62,卡牌属性!R362))+IF(Q362=1,INDEX(新属性投放!S$20:S$23,卡牌属性!M362-1),INDEX(新属性投放!S$25:S$28,卡牌属性!M362-1)))*INDEX($G$5:$G$42,L362),2)</f>
        <v>204.13</v>
      </c>
      <c r="W362" s="29" t="s">
        <v>179</v>
      </c>
      <c r="X362" s="14">
        <f>ROUND((IF(Q362=1,INDEX(新属性投放!$L$14:$L$34,卡牌属性!R362),INDEX(新属性投放!$L$42:$L$62,卡牌属性!R362))*INDEX($G$5:$G$42,L362)+IF(Q362=1,INDEX(新属性投放!T$20:T$23,卡牌属性!M362-1),INDEX(新属性投放!T$25:T$28,卡牌属性!M362-1)))*SQRT(INDEX($I$5:$I$42,L362)),2)</f>
        <v>2314.6999999999998</v>
      </c>
      <c r="Y362" s="29" t="s">
        <v>177</v>
      </c>
      <c r="Z362" s="14">
        <f>ROUND(IF(Q362=1,INDEX(新属性投放!$D$14:$D$34,卡牌属性!R362),INDEX(新属性投放!$D$42:$D$62,卡牌属性!R362))*INDEX($G$5:$G$42,L362)/SQRT(INDEX($I$5:$I$42,L362)),2)</f>
        <v>15.84</v>
      </c>
      <c r="AA362" s="29" t="s">
        <v>178</v>
      </c>
      <c r="AB362" s="14">
        <f>ROUND(IF(Q362=1,INDEX(新属性投放!$E$14:$E$34,卡牌属性!R362),INDEX(新属性投放!$E$42:$E$62,卡牌属性!R362))*INDEX($G$5:$G$42,L362),2)</f>
        <v>7.92</v>
      </c>
      <c r="AC362" s="29" t="s">
        <v>179</v>
      </c>
      <c r="AD362" s="14">
        <f>ROUND(IF(Q362=1,INDEX(新属性投放!$F$14:$F$34,卡牌属性!R362),INDEX(新属性投放!$F$42:$F$62,卡牌属性!R362))*INDEX($G$5:$G$42,L362)*SQRT(INDEX($I$5:$I$42,L362)),2)</f>
        <v>70.150000000000006</v>
      </c>
      <c r="AF362" s="14">
        <f t="shared" si="148"/>
        <v>158</v>
      </c>
      <c r="AG362" s="14">
        <f t="shared" si="149"/>
        <v>79</v>
      </c>
      <c r="AH362" s="14">
        <f t="shared" si="150"/>
        <v>701</v>
      </c>
      <c r="AJ362" s="14">
        <f t="shared" ref="AJ362:AJ381" si="160">AJ361+AF362</f>
        <v>330</v>
      </c>
      <c r="AK362" s="14">
        <f t="shared" ref="AK362:AK381" si="161">AK361+AG362</f>
        <v>165</v>
      </c>
      <c r="AL362" s="14">
        <f t="shared" ref="AL362:AL381" si="162">AL361+AH362</f>
        <v>1471</v>
      </c>
    </row>
    <row r="363" spans="11:38" ht="16.5" x14ac:dyDescent="0.2">
      <c r="K363" s="13">
        <v>360</v>
      </c>
      <c r="L363" s="13">
        <f t="shared" si="142"/>
        <v>18</v>
      </c>
      <c r="M363" s="13">
        <f t="shared" si="143"/>
        <v>3</v>
      </c>
      <c r="N363" s="14">
        <f t="shared" si="144"/>
        <v>1102002</v>
      </c>
      <c r="O363" s="14" t="str">
        <f t="shared" si="145"/>
        <v>许褚3突</v>
      </c>
      <c r="P363" s="29" t="s">
        <v>470</v>
      </c>
      <c r="Q363" s="14">
        <f t="shared" si="146"/>
        <v>2</v>
      </c>
      <c r="R363" s="14">
        <f t="shared" si="147"/>
        <v>3</v>
      </c>
      <c r="S363" s="14" t="s">
        <v>39</v>
      </c>
      <c r="T363" s="14">
        <f>ROUND(((IF(Q363=1,INDEX(新属性投放!$J$14:$J$34,卡牌属性!R363),INDEX(新属性投放!$J$42:$J$62,卡牌属性!R363)))*INDEX($G$5:$G$42,L363)+IF(Q363=1,INDEX(新属性投放!R$20:R$23,卡牌属性!M363-1),INDEX(新属性投放!R$25:R$28,卡牌属性!M363-1)))/SQRT(INDEX($I$5:$I$42,L363)),2)</f>
        <v>883.96</v>
      </c>
      <c r="U363" s="29" t="s">
        <v>178</v>
      </c>
      <c r="V363" s="14">
        <f>ROUND((IF(Q363=1,INDEX(新属性投放!$K$14:$K$34,卡牌属性!R363),INDEX(新属性投放!$K$42:$K$62,卡牌属性!R363))+IF(Q363=1,INDEX(新属性投放!S$20:S$23,卡牌属性!M363-1),INDEX(新属性投放!S$25:S$28,卡牌属性!M363-1)))*INDEX($G$5:$G$42,L363),2)</f>
        <v>302.85000000000002</v>
      </c>
      <c r="W363" s="29" t="s">
        <v>179</v>
      </c>
      <c r="X363" s="14">
        <f>ROUND((IF(Q363=1,INDEX(新属性投放!$L$14:$L$34,卡牌属性!R363),INDEX(新属性投放!$L$42:$L$62,卡牌属性!R363))*INDEX($G$5:$G$42,L363)+IF(Q363=1,INDEX(新属性投放!T$20:T$23,卡牌属性!M363-1),INDEX(新属性投放!T$25:T$28,卡牌属性!M363-1)))*SQRT(INDEX($I$5:$I$42,L363)),2)</f>
        <v>3368.1</v>
      </c>
      <c r="Y363" s="29" t="s">
        <v>177</v>
      </c>
      <c r="Z363" s="14">
        <f>ROUND(IF(Q363=1,INDEX(新属性投放!$D$14:$D$34,卡牌属性!R363),INDEX(新属性投放!$D$42:$D$62,卡牌属性!R363))*INDEX($G$5:$G$42,L363)/SQRT(INDEX($I$5:$I$42,L363)),2)</f>
        <v>28.95</v>
      </c>
      <c r="AA363" s="29" t="s">
        <v>178</v>
      </c>
      <c r="AB363" s="14">
        <f>ROUND(IF(Q363=1,INDEX(新属性投放!$E$14:$E$34,卡牌属性!R363),INDEX(新属性投放!$E$42:$E$62,卡牌属性!R363))*INDEX($G$5:$G$42,L363),2)</f>
        <v>14.47</v>
      </c>
      <c r="AC363" s="29" t="s">
        <v>179</v>
      </c>
      <c r="AD363" s="14">
        <f>ROUND(IF(Q363=1,INDEX(新属性投放!$F$14:$F$34,卡牌属性!R363),INDEX(新属性投放!$F$42:$F$62,卡牌属性!R363))*INDEX($G$5:$G$42,L363)*SQRT(INDEX($I$5:$I$42,L363)),2)</f>
        <v>129.94999999999999</v>
      </c>
      <c r="AF363" s="14">
        <f t="shared" si="148"/>
        <v>289</v>
      </c>
      <c r="AG363" s="14">
        <f t="shared" si="149"/>
        <v>144</v>
      </c>
      <c r="AH363" s="14">
        <f t="shared" si="150"/>
        <v>1299</v>
      </c>
      <c r="AJ363" s="14">
        <f t="shared" si="160"/>
        <v>619</v>
      </c>
      <c r="AK363" s="14">
        <f t="shared" si="161"/>
        <v>309</v>
      </c>
      <c r="AL363" s="14">
        <f t="shared" si="162"/>
        <v>2770</v>
      </c>
    </row>
    <row r="364" spans="11:38" ht="16.5" x14ac:dyDescent="0.2">
      <c r="K364" s="13">
        <v>361</v>
      </c>
      <c r="L364" s="13">
        <f t="shared" si="142"/>
        <v>18</v>
      </c>
      <c r="M364" s="13">
        <f t="shared" si="143"/>
        <v>3</v>
      </c>
      <c r="N364" s="14">
        <f t="shared" si="144"/>
        <v>1102002</v>
      </c>
      <c r="O364" s="14" t="str">
        <f t="shared" si="145"/>
        <v>许褚4突</v>
      </c>
      <c r="P364" s="29" t="s">
        <v>470</v>
      </c>
      <c r="Q364" s="14">
        <f t="shared" si="146"/>
        <v>2</v>
      </c>
      <c r="R364" s="14">
        <f t="shared" si="147"/>
        <v>4</v>
      </c>
      <c r="S364" s="14" t="s">
        <v>39</v>
      </c>
      <c r="T364" s="14">
        <f>ROUND(((IF(Q364=1,INDEX(新属性投放!$J$14:$J$34,卡牌属性!R364),INDEX(新属性投放!$J$42:$J$62,卡牌属性!R364)))*INDEX($G$5:$G$42,L364)+IF(Q364=1,INDEX(新属性投放!R$20:R$23,卡牌属性!M364-1),INDEX(新属性投放!R$25:R$28,卡牌属性!M364-1)))/SQRT(INDEX($I$5:$I$42,L364)),2)</f>
        <v>1245.8599999999999</v>
      </c>
      <c r="U364" s="29" t="s">
        <v>178</v>
      </c>
      <c r="V364" s="14">
        <f>ROUND((IF(Q364=1,INDEX(新属性投放!$K$14:$K$34,卡牌属性!R364),INDEX(新属性投放!$K$42:$K$62,卡牌属性!R364))+IF(Q364=1,INDEX(新属性投放!S$20:S$23,卡牌属性!M364-1),INDEX(新属性投放!S$25:S$28,卡牌属性!M364-1)))*INDEX($G$5:$G$42,L364),2)</f>
        <v>483.23</v>
      </c>
      <c r="W364" s="29" t="s">
        <v>179</v>
      </c>
      <c r="X364" s="14">
        <f>ROUND((IF(Q364=1,INDEX(新属性投放!$L$14:$L$34,卡牌属性!R364),INDEX(新属性投放!$L$42:$L$62,卡牌属性!R364))*INDEX($G$5:$G$42,L364)+IF(Q364=1,INDEX(新属性投放!T$20:T$23,卡牌属性!M364-1),INDEX(新属性投放!T$25:T$28,卡牌属性!M364-1)))*SQRT(INDEX($I$5:$I$42,L364)),2)</f>
        <v>5319.65</v>
      </c>
      <c r="Y364" s="29" t="s">
        <v>177</v>
      </c>
      <c r="Z364" s="14">
        <f>ROUND(IF(Q364=1,INDEX(新属性投放!$D$14:$D$34,卡牌属性!R364),INDEX(新属性投放!$D$42:$D$62,卡牌属性!R364))*INDEX($G$5:$G$42,L364)/SQRT(INDEX($I$5:$I$42,L364)),2)</f>
        <v>34.65</v>
      </c>
      <c r="AA364" s="29" t="s">
        <v>178</v>
      </c>
      <c r="AB364" s="14">
        <f>ROUND(IF(Q364=1,INDEX(新属性投放!$E$14:$E$34,卡牌属性!R364),INDEX(新属性投放!$E$42:$E$62,卡牌属性!R364))*INDEX($G$5:$G$42,L364),2)</f>
        <v>17.32</v>
      </c>
      <c r="AC364" s="29" t="s">
        <v>179</v>
      </c>
      <c r="AD364" s="14">
        <f>ROUND(IF(Q364=1,INDEX(新属性投放!$F$14:$F$34,卡牌属性!R364),INDEX(新属性投放!$F$42:$F$62,卡牌属性!R364))*INDEX($G$5:$G$42,L364)*SQRT(INDEX($I$5:$I$42,L364)),2)</f>
        <v>155.25</v>
      </c>
      <c r="AF364" s="14">
        <f t="shared" si="148"/>
        <v>346</v>
      </c>
      <c r="AG364" s="14">
        <f t="shared" si="149"/>
        <v>173</v>
      </c>
      <c r="AH364" s="14">
        <f t="shared" si="150"/>
        <v>1552</v>
      </c>
      <c r="AJ364" s="14">
        <f t="shared" si="160"/>
        <v>965</v>
      </c>
      <c r="AK364" s="14">
        <f t="shared" si="161"/>
        <v>482</v>
      </c>
      <c r="AL364" s="14">
        <f t="shared" si="162"/>
        <v>4322</v>
      </c>
    </row>
    <row r="365" spans="11:38" ht="16.5" x14ac:dyDescent="0.2">
      <c r="K365" s="13">
        <v>362</v>
      </c>
      <c r="L365" s="13">
        <f t="shared" si="142"/>
        <v>18</v>
      </c>
      <c r="M365" s="13">
        <f t="shared" si="143"/>
        <v>3</v>
      </c>
      <c r="N365" s="14">
        <f t="shared" si="144"/>
        <v>1102002</v>
      </c>
      <c r="O365" s="14" t="str">
        <f t="shared" si="145"/>
        <v>许褚5突</v>
      </c>
      <c r="P365" s="29" t="s">
        <v>470</v>
      </c>
      <c r="Q365" s="14">
        <f t="shared" si="146"/>
        <v>2</v>
      </c>
      <c r="R365" s="14">
        <f t="shared" si="147"/>
        <v>5</v>
      </c>
      <c r="S365" s="14" t="s">
        <v>39</v>
      </c>
      <c r="T365" s="14">
        <f>ROUND(((IF(Q365=1,INDEX(新属性投放!$J$14:$J$34,卡牌属性!R365),INDEX(新属性投放!$J$42:$J$62,卡牌属性!R365)))*INDEX($G$5:$G$42,L365)+IF(Q365=1,INDEX(新属性投放!R$20:R$23,卡牌属性!M365-1),INDEX(新属性投放!R$25:R$28,卡牌属性!M365-1)))/SQRT(INDEX($I$5:$I$42,L365)),2)</f>
        <v>1678.61</v>
      </c>
      <c r="U365" s="29" t="s">
        <v>178</v>
      </c>
      <c r="V365" s="14">
        <f>ROUND((IF(Q365=1,INDEX(新属性投放!$K$14:$K$34,卡牌属性!R365),INDEX(新属性投放!$K$42:$K$62,卡牌属性!R365))+IF(Q365=1,INDEX(新属性投放!S$20:S$23,卡牌属性!M365-1),INDEX(新属性投放!S$25:S$28,卡牌属性!M365-1)))*INDEX($G$5:$G$42,L365),2)</f>
        <v>700.18</v>
      </c>
      <c r="W365" s="29" t="s">
        <v>179</v>
      </c>
      <c r="X365" s="14">
        <f>ROUND((IF(Q365=1,INDEX(新属性投放!$L$14:$L$34,卡牌属性!R365),INDEX(新属性投放!$L$42:$L$62,卡牌属性!R365))*INDEX($G$5:$G$42,L365)+IF(Q365=1,INDEX(新属性投放!T$20:T$23,卡牌属性!M365-1),INDEX(新属性投放!T$25:T$28,卡牌属性!M365-1)))*SQRT(INDEX($I$5:$I$42,L365)),2)</f>
        <v>7648.4</v>
      </c>
      <c r="Y365" s="29" t="s">
        <v>177</v>
      </c>
      <c r="Z365" s="14">
        <f>ROUND(IF(Q365=1,INDEX(新属性投放!$D$14:$D$34,卡牌属性!R365),INDEX(新属性投放!$D$42:$D$62,卡牌属性!R365))*INDEX($G$5:$G$42,L365)/SQRT(INDEX($I$5:$I$42,L365)),2)</f>
        <v>43.31</v>
      </c>
      <c r="AA365" s="29" t="s">
        <v>178</v>
      </c>
      <c r="AB365" s="14">
        <f>ROUND(IF(Q365=1,INDEX(新属性投放!$E$14:$E$34,卡牌属性!R365),INDEX(新属性投放!$E$42:$E$62,卡牌属性!R365))*INDEX($G$5:$G$42,L365),2)</f>
        <v>21.65</v>
      </c>
      <c r="AC365" s="29" t="s">
        <v>179</v>
      </c>
      <c r="AD365" s="14">
        <f>ROUND(IF(Q365=1,INDEX(新属性投放!$F$14:$F$34,卡牌属性!R365),INDEX(新属性投放!$F$42:$F$62,卡牌属性!R365))*INDEX($G$5:$G$42,L365)*SQRT(INDEX($I$5:$I$42,L365)),2)</f>
        <v>194.35</v>
      </c>
      <c r="AF365" s="14">
        <f t="shared" si="148"/>
        <v>433</v>
      </c>
      <c r="AG365" s="14">
        <f t="shared" si="149"/>
        <v>216</v>
      </c>
      <c r="AH365" s="14">
        <f t="shared" si="150"/>
        <v>1943</v>
      </c>
      <c r="AJ365" s="14">
        <f t="shared" si="160"/>
        <v>1398</v>
      </c>
      <c r="AK365" s="14">
        <f t="shared" si="161"/>
        <v>698</v>
      </c>
      <c r="AL365" s="14">
        <f t="shared" si="162"/>
        <v>6265</v>
      </c>
    </row>
    <row r="366" spans="11:38" ht="16.5" x14ac:dyDescent="0.2">
      <c r="K366" s="13">
        <v>363</v>
      </c>
      <c r="L366" s="13">
        <f t="shared" si="142"/>
        <v>18</v>
      </c>
      <c r="M366" s="13">
        <f t="shared" si="143"/>
        <v>3</v>
      </c>
      <c r="N366" s="14">
        <f t="shared" si="144"/>
        <v>1102002</v>
      </c>
      <c r="O366" s="14" t="str">
        <f t="shared" si="145"/>
        <v>许褚6突</v>
      </c>
      <c r="P366" s="29" t="s">
        <v>470</v>
      </c>
      <c r="Q366" s="14">
        <f t="shared" si="146"/>
        <v>2</v>
      </c>
      <c r="R366" s="14">
        <f t="shared" si="147"/>
        <v>6</v>
      </c>
      <c r="S366" s="14" t="s">
        <v>39</v>
      </c>
      <c r="T366" s="14">
        <f>ROUND(((IF(Q366=1,INDEX(新属性投放!$J$14:$J$34,卡牌属性!R366),INDEX(新属性投放!$J$42:$J$62,卡牌属性!R366)))*INDEX($G$5:$G$42,L366)+IF(Q366=1,INDEX(新属性投放!R$20:R$23,卡牌属性!M366-1),INDEX(新属性投放!R$25:R$28,卡牌属性!M366-1)))/SQRT(INDEX($I$5:$I$42,L366)),2)</f>
        <v>2219.8000000000002</v>
      </c>
      <c r="U366" s="29" t="s">
        <v>178</v>
      </c>
      <c r="V366" s="14">
        <f>ROUND((IF(Q366=1,INDEX(新属性投放!$K$14:$K$34,卡牌属性!R366),INDEX(新属性投放!$K$42:$K$62,卡牌属性!R366))+IF(Q366=1,INDEX(新属性投放!S$20:S$23,卡牌属性!M366-1),INDEX(新属性投放!S$25:S$28,卡牌属性!M366-1)))*INDEX($G$5:$G$42,L366),2)</f>
        <v>970.77</v>
      </c>
      <c r="W366" s="29" t="s">
        <v>179</v>
      </c>
      <c r="X366" s="14">
        <f>ROUND((IF(Q366=1,INDEX(新属性投放!$L$14:$L$34,卡牌属性!R366),INDEX(新属性投放!$L$42:$L$62,卡牌属性!R366))*INDEX($G$5:$G$42,L366)+IF(Q366=1,INDEX(新属性投放!T$20:T$23,卡牌属性!M366-1),INDEX(新属性投放!T$25:T$28,卡牌属性!M366-1)))*SQRT(INDEX($I$5:$I$42,L366)),2)</f>
        <v>10564.8</v>
      </c>
      <c r="Y366" s="29" t="s">
        <v>177</v>
      </c>
      <c r="Z366" s="14">
        <f>ROUND(IF(Q366=1,INDEX(新属性投放!$D$14:$D$34,卡牌属性!R366),INDEX(新属性投放!$D$42:$D$62,卡牌属性!R366))*INDEX($G$5:$G$42,L366)/SQRT(INDEX($I$5:$I$42,L366)),2)</f>
        <v>56.18</v>
      </c>
      <c r="AA366" s="29" t="s">
        <v>178</v>
      </c>
      <c r="AB366" s="14">
        <f>ROUND(IF(Q366=1,INDEX(新属性投放!$E$14:$E$34,卡牌属性!R366),INDEX(新属性投放!$E$42:$E$62,卡牌属性!R366))*INDEX($G$5:$G$42,L366),2)</f>
        <v>28.09</v>
      </c>
      <c r="AC366" s="29" t="s">
        <v>179</v>
      </c>
      <c r="AD366" s="14">
        <f>ROUND(IF(Q366=1,INDEX(新属性投放!$F$14:$F$34,卡牌属性!R366),INDEX(新属性投放!$F$42:$F$62,卡牌属性!R366))*INDEX($G$5:$G$42,L366)*SQRT(INDEX($I$5:$I$42,L366)),2)</f>
        <v>251.85</v>
      </c>
      <c r="AF366" s="14">
        <f t="shared" si="148"/>
        <v>561</v>
      </c>
      <c r="AG366" s="14">
        <f t="shared" si="149"/>
        <v>280</v>
      </c>
      <c r="AH366" s="14">
        <f t="shared" si="150"/>
        <v>2518</v>
      </c>
      <c r="AJ366" s="14">
        <f t="shared" si="160"/>
        <v>1959</v>
      </c>
      <c r="AK366" s="14">
        <f t="shared" si="161"/>
        <v>978</v>
      </c>
      <c r="AL366" s="14">
        <f t="shared" si="162"/>
        <v>8783</v>
      </c>
    </row>
    <row r="367" spans="11:38" ht="16.5" x14ac:dyDescent="0.2">
      <c r="K367" s="13">
        <v>364</v>
      </c>
      <c r="L367" s="13">
        <f t="shared" si="142"/>
        <v>18</v>
      </c>
      <c r="M367" s="13">
        <f t="shared" si="143"/>
        <v>3</v>
      </c>
      <c r="N367" s="14">
        <f t="shared" si="144"/>
        <v>1102002</v>
      </c>
      <c r="O367" s="14" t="str">
        <f t="shared" si="145"/>
        <v>许褚7突</v>
      </c>
      <c r="P367" s="29" t="s">
        <v>470</v>
      </c>
      <c r="Q367" s="14">
        <f t="shared" si="146"/>
        <v>2</v>
      </c>
      <c r="R367" s="14">
        <f t="shared" si="147"/>
        <v>7</v>
      </c>
      <c r="S367" s="14" t="s">
        <v>39</v>
      </c>
      <c r="T367" s="14">
        <f>ROUND(((IF(Q367=1,INDEX(新属性投放!$J$14:$J$34,卡牌属性!R367),INDEX(新属性投放!$J$42:$J$62,卡牌属性!R367)))*INDEX($G$5:$G$42,L367)+IF(Q367=1,INDEX(新属性投放!R$20:R$23,卡牌属性!M367-1),INDEX(新属性投放!R$25:R$28,卡牌属性!M367-1)))/SQRT(INDEX($I$5:$I$42,L367)),2)</f>
        <v>2921.87</v>
      </c>
      <c r="U367" s="29" t="s">
        <v>178</v>
      </c>
      <c r="V367" s="14">
        <f>ROUND((IF(Q367=1,INDEX(新属性投放!$K$14:$K$34,卡牌属性!R367),INDEX(新属性投放!$K$42:$K$62,卡牌属性!R367))+IF(Q367=1,INDEX(新属性投放!S$20:S$23,卡牌属性!M367-1),INDEX(新属性投放!S$25:S$28,卡牌属性!M367-1)))*INDEX($G$5:$G$42,L367),2)</f>
        <v>1321.81</v>
      </c>
      <c r="W367" s="29" t="s">
        <v>179</v>
      </c>
      <c r="X367" s="14">
        <f>ROUND((IF(Q367=1,INDEX(新属性投放!$L$14:$L$34,卡牌属性!R367),INDEX(新属性投放!$L$42:$L$62,卡牌属性!R367))*INDEX($G$5:$G$42,L367)+IF(Q367=1,INDEX(新属性投放!T$20:T$23,卡牌属性!M367-1),INDEX(新属性投放!T$25:T$28,卡牌属性!M367-1)))*SQRT(INDEX($I$5:$I$42,L367)),2)</f>
        <v>14346</v>
      </c>
      <c r="Y367" s="29" t="s">
        <v>177</v>
      </c>
      <c r="Z367" s="14">
        <f>ROUND(IF(Q367=1,INDEX(新属性投放!$D$14:$D$34,卡牌属性!R367),INDEX(新属性投放!$D$42:$D$62,卡牌属性!R367))*INDEX($G$5:$G$42,L367)/SQRT(INDEX($I$5:$I$42,L367)),2)</f>
        <v>69.22</v>
      </c>
      <c r="AA367" s="29" t="s">
        <v>178</v>
      </c>
      <c r="AB367" s="14">
        <f>ROUND(IF(Q367=1,INDEX(新属性投放!$E$14:$E$34,卡牌属性!R367),INDEX(新属性投放!$E$42:$E$62,卡牌属性!R367))*INDEX($G$5:$G$42,L367),2)</f>
        <v>34.61</v>
      </c>
      <c r="AC367" s="29" t="s">
        <v>179</v>
      </c>
      <c r="AD367" s="14">
        <f>ROUND(IF(Q367=1,INDEX(新属性投放!$F$14:$F$34,卡牌属性!R367),INDEX(新属性投放!$F$42:$F$62,卡牌属性!R367))*INDEX($G$5:$G$42,L367)*SQRT(INDEX($I$5:$I$42,L367)),2)</f>
        <v>310.5</v>
      </c>
      <c r="AF367" s="14">
        <f t="shared" si="148"/>
        <v>692</v>
      </c>
      <c r="AG367" s="14">
        <f t="shared" si="149"/>
        <v>346</v>
      </c>
      <c r="AH367" s="14">
        <f t="shared" si="150"/>
        <v>3105</v>
      </c>
      <c r="AJ367" s="14">
        <f t="shared" si="160"/>
        <v>2651</v>
      </c>
      <c r="AK367" s="14">
        <f t="shared" si="161"/>
        <v>1324</v>
      </c>
      <c r="AL367" s="14">
        <f t="shared" si="162"/>
        <v>11888</v>
      </c>
    </row>
    <row r="368" spans="11:38" ht="16.5" x14ac:dyDescent="0.2">
      <c r="K368" s="13">
        <v>365</v>
      </c>
      <c r="L368" s="13">
        <f t="shared" si="142"/>
        <v>18</v>
      </c>
      <c r="M368" s="13">
        <f t="shared" si="143"/>
        <v>3</v>
      </c>
      <c r="N368" s="14">
        <f t="shared" si="144"/>
        <v>1102002</v>
      </c>
      <c r="O368" s="14" t="str">
        <f t="shared" si="145"/>
        <v>许褚8突</v>
      </c>
      <c r="P368" s="29" t="s">
        <v>470</v>
      </c>
      <c r="Q368" s="14">
        <f t="shared" si="146"/>
        <v>2</v>
      </c>
      <c r="R368" s="14">
        <f t="shared" si="147"/>
        <v>8</v>
      </c>
      <c r="S368" s="14" t="s">
        <v>39</v>
      </c>
      <c r="T368" s="14">
        <f>ROUND(((IF(Q368=1,INDEX(新属性投放!$J$14:$J$34,卡牌属性!R368),INDEX(新属性投放!$J$42:$J$62,卡牌属性!R368)))*INDEX($G$5:$G$42,L368)+IF(Q368=1,INDEX(新属性投放!R$20:R$23,卡牌属性!M368-1),INDEX(新属性投放!R$25:R$28,卡牌属性!M368-1)))/SQRT(INDEX($I$5:$I$42,L368)),2)</f>
        <v>3786.56</v>
      </c>
      <c r="U368" s="29" t="s">
        <v>178</v>
      </c>
      <c r="V368" s="14">
        <f>ROUND((IF(Q368=1,INDEX(新属性投放!$K$14:$K$34,卡牌属性!R368),INDEX(新属性投放!$K$42:$K$62,卡牌属性!R368))+IF(Q368=1,INDEX(新属性投放!S$20:S$23,卡牌属性!M368-1),INDEX(新属性投放!S$25:S$28,卡牌属性!M368-1)))*INDEX($G$5:$G$42,L368),2)</f>
        <v>1754.15</v>
      </c>
      <c r="W368" s="29" t="s">
        <v>179</v>
      </c>
      <c r="X368" s="14">
        <f>ROUND((IF(Q368=1,INDEX(新属性投放!$L$14:$L$34,卡牌属性!R368),INDEX(新属性投放!$L$42:$L$62,卡牌属性!R368))*INDEX($G$5:$G$42,L368)+IF(Q368=1,INDEX(新属性投放!T$20:T$23,卡牌属性!M368-1),INDEX(新属性投放!T$25:T$28,卡牌属性!M368-1)))*SQRT(INDEX($I$5:$I$42,L368)),2)</f>
        <v>19003.5</v>
      </c>
      <c r="Y368" s="29" t="s">
        <v>177</v>
      </c>
      <c r="Z368" s="14">
        <f>ROUND(IF(Q368=1,INDEX(新属性投放!$D$14:$D$34,卡牌属性!R368),INDEX(新属性投放!$D$42:$D$62,卡牌属性!R368))*INDEX($G$5:$G$42,L368)/SQRT(INDEX($I$5:$I$42,L368)),2)</f>
        <v>86.47</v>
      </c>
      <c r="AA368" s="29" t="s">
        <v>178</v>
      </c>
      <c r="AB368" s="14">
        <f>ROUND(IF(Q368=1,INDEX(新属性投放!$E$14:$E$34,卡牌属性!R368),INDEX(新属性投放!$E$42:$E$62,卡牌属性!R368))*INDEX($G$5:$G$42,L368),2)</f>
        <v>43.23</v>
      </c>
      <c r="AC368" s="29" t="s">
        <v>179</v>
      </c>
      <c r="AD368" s="14">
        <f>ROUND(IF(Q368=1,INDEX(新属性投放!$F$14:$F$34,卡牌属性!R368),INDEX(新属性投放!$F$42:$F$62,卡牌属性!R368))*INDEX($G$5:$G$42,L368)*SQRT(INDEX($I$5:$I$42,L368)),2)</f>
        <v>388.7</v>
      </c>
      <c r="AF368" s="14">
        <f t="shared" si="148"/>
        <v>864</v>
      </c>
      <c r="AG368" s="14">
        <f t="shared" si="149"/>
        <v>432</v>
      </c>
      <c r="AH368" s="14">
        <f t="shared" si="150"/>
        <v>3887</v>
      </c>
      <c r="AJ368" s="14">
        <f t="shared" si="160"/>
        <v>3515</v>
      </c>
      <c r="AK368" s="14">
        <f t="shared" si="161"/>
        <v>1756</v>
      </c>
      <c r="AL368" s="14">
        <f t="shared" si="162"/>
        <v>15775</v>
      </c>
    </row>
    <row r="369" spans="11:38" ht="16.5" x14ac:dyDescent="0.2">
      <c r="K369" s="13">
        <v>366</v>
      </c>
      <c r="L369" s="13">
        <f t="shared" si="142"/>
        <v>18</v>
      </c>
      <c r="M369" s="13">
        <f t="shared" si="143"/>
        <v>3</v>
      </c>
      <c r="N369" s="14">
        <f t="shared" si="144"/>
        <v>1102002</v>
      </c>
      <c r="O369" s="14" t="str">
        <f t="shared" si="145"/>
        <v>许褚9突</v>
      </c>
      <c r="P369" s="29" t="s">
        <v>470</v>
      </c>
      <c r="Q369" s="14">
        <f t="shared" si="146"/>
        <v>2</v>
      </c>
      <c r="R369" s="14">
        <f t="shared" si="147"/>
        <v>9</v>
      </c>
      <c r="S369" s="14" t="s">
        <v>39</v>
      </c>
      <c r="T369" s="14">
        <f>ROUND(((IF(Q369=1,INDEX(新属性投放!$J$14:$J$34,卡牌属性!R369),INDEX(新属性投放!$J$42:$J$62,卡牌属性!R369)))*INDEX($G$5:$G$42,L369)+IF(Q369=1,INDEX(新属性投放!R$20:R$23,卡牌属性!M369-1),INDEX(新属性投放!R$25:R$28,卡牌属性!M369-1)))/SQRT(INDEX($I$5:$I$42,L369)),2)</f>
        <v>4867.4399999999996</v>
      </c>
      <c r="U369" s="29" t="s">
        <v>178</v>
      </c>
      <c r="V369" s="14">
        <f>ROUND((IF(Q369=1,INDEX(新属性投放!$K$14:$K$34,卡牌属性!R369),INDEX(新属性投放!$K$42:$K$62,卡牌属性!R369))+IF(Q369=1,INDEX(新属性投放!S$20:S$23,卡牌属性!M369-1),INDEX(新属性投放!S$25:S$28,卡牌属性!M369-1)))*INDEX($G$5:$G$42,L369),2)</f>
        <v>2294.6</v>
      </c>
      <c r="W369" s="29" t="s">
        <v>179</v>
      </c>
      <c r="X369" s="14">
        <f>ROUND((IF(Q369=1,INDEX(新属性投放!$L$14:$L$34,卡牌属性!R369),INDEX(新属性投放!$L$42:$L$62,卡牌属性!R369))*INDEX($G$5:$G$42,L369)+IF(Q369=1,INDEX(新属性投放!T$20:T$23,卡牌属性!M369-1),INDEX(新属性投放!T$25:T$28,卡牌属性!M369-1)))*SQRT(INDEX($I$5:$I$42,L369)),2)</f>
        <v>24836.3</v>
      </c>
      <c r="Y369" s="29" t="s">
        <v>177</v>
      </c>
      <c r="Z369" s="14">
        <f>ROUND(IF(Q369=1,INDEX(新属性投放!$D$14:$D$34,卡牌属性!R369),INDEX(新属性投放!$D$42:$D$62,卡牌属性!R369))*INDEX($G$5:$G$42,L369)/SQRT(INDEX($I$5:$I$42,L369)),2)</f>
        <v>112.46</v>
      </c>
      <c r="AA369" s="29" t="s">
        <v>178</v>
      </c>
      <c r="AB369" s="14">
        <f>ROUND(IF(Q369=1,INDEX(新属性投放!$E$14:$E$34,卡牌属性!R369),INDEX(新属性投放!$E$42:$E$62,卡牌属性!R369))*INDEX($G$5:$G$42,L369),2)</f>
        <v>56.23</v>
      </c>
      <c r="AC369" s="29" t="s">
        <v>179</v>
      </c>
      <c r="AD369" s="14">
        <f>ROUND(IF(Q369=1,INDEX(新属性投放!$F$14:$F$34,卡牌属性!R369),INDEX(新属性投放!$F$42:$F$62,卡牌属性!R369))*INDEX($G$5:$G$42,L369)*SQRT(INDEX($I$5:$I$42,L369)),2)</f>
        <v>506</v>
      </c>
      <c r="AF369" s="14">
        <f t="shared" si="148"/>
        <v>1124</v>
      </c>
      <c r="AG369" s="14">
        <f t="shared" si="149"/>
        <v>562</v>
      </c>
      <c r="AH369" s="14">
        <f t="shared" si="150"/>
        <v>5060</v>
      </c>
      <c r="AJ369" s="14">
        <f t="shared" si="160"/>
        <v>4639</v>
      </c>
      <c r="AK369" s="14">
        <f t="shared" si="161"/>
        <v>2318</v>
      </c>
      <c r="AL369" s="14">
        <f t="shared" si="162"/>
        <v>20835</v>
      </c>
    </row>
    <row r="370" spans="11:38" ht="16.5" x14ac:dyDescent="0.2">
      <c r="K370" s="13">
        <v>367</v>
      </c>
      <c r="L370" s="13">
        <f t="shared" si="142"/>
        <v>18</v>
      </c>
      <c r="M370" s="13">
        <f t="shared" si="143"/>
        <v>3</v>
      </c>
      <c r="N370" s="14">
        <f t="shared" si="144"/>
        <v>1102002</v>
      </c>
      <c r="O370" s="14" t="str">
        <f t="shared" si="145"/>
        <v>许褚10突</v>
      </c>
      <c r="P370" s="29" t="s">
        <v>470</v>
      </c>
      <c r="Q370" s="14">
        <f t="shared" si="146"/>
        <v>2</v>
      </c>
      <c r="R370" s="14">
        <f t="shared" si="147"/>
        <v>10</v>
      </c>
      <c r="S370" s="14" t="s">
        <v>39</v>
      </c>
      <c r="T370" s="14">
        <f>ROUND(((IF(Q370=1,INDEX(新属性投放!$J$14:$J$34,卡牌属性!R370),INDEX(新属性投放!$J$42:$J$62,卡牌属性!R370)))*INDEX($G$5:$G$42,L370)+IF(Q370=1,INDEX(新属性投放!R$20:R$23,卡牌属性!M370-1),INDEX(新属性投放!R$25:R$28,卡牌属性!M370-1)))/SQRT(INDEX($I$5:$I$42,L370)),2)</f>
        <v>5570.03</v>
      </c>
      <c r="U370" s="29" t="s">
        <v>178</v>
      </c>
      <c r="V370" s="14">
        <f>ROUND((IF(Q370=1,INDEX(新属性投放!$K$14:$K$34,卡牌属性!R370),INDEX(新属性投放!$K$42:$K$62,卡牌属性!R370))+IF(Q370=1,INDEX(新属性投放!S$20:S$23,卡牌属性!M370-1),INDEX(新属性投放!S$25:S$28,卡牌属性!M370-1)))*INDEX($G$5:$G$42,L370),2)</f>
        <v>2645.89</v>
      </c>
      <c r="W370" s="29" t="s">
        <v>179</v>
      </c>
      <c r="X370" s="14">
        <f>ROUND((IF(Q370=1,INDEX(新属性投放!$L$14:$L$34,卡牌属性!R370),INDEX(新属性投放!$L$42:$L$62,卡牌属性!R370))*INDEX($G$5:$G$42,L370)+IF(Q370=1,INDEX(新属性投放!T$20:T$23,卡牌属性!M370-1),INDEX(新属性投放!T$25:T$28,卡牌属性!M370-1)))*SQRT(INDEX($I$5:$I$42,L370)),2)</f>
        <v>28629</v>
      </c>
      <c r="Y370" s="29" t="s">
        <v>177</v>
      </c>
      <c r="Z370" s="14">
        <f>ROUND(IF(Q370=1,INDEX(新属性投放!$D$14:$D$34,卡牌属性!R370),INDEX(新属性投放!$D$42:$D$62,卡牌属性!R370))*INDEX($G$5:$G$42,L370)/SQRT(INDEX($I$5:$I$42,L370)),2)</f>
        <v>129.75</v>
      </c>
      <c r="AA370" s="29" t="s">
        <v>178</v>
      </c>
      <c r="AB370" s="14">
        <f>ROUND(IF(Q370=1,INDEX(新属性投放!$E$14:$E$34,卡牌属性!R370),INDEX(新属性投放!$E$42:$E$62,卡牌属性!R370))*INDEX($G$5:$G$42,L370),2)</f>
        <v>64.88</v>
      </c>
      <c r="AC370" s="29" t="s">
        <v>179</v>
      </c>
      <c r="AD370" s="14">
        <f>ROUND(IF(Q370=1,INDEX(新属性投放!$F$14:$F$34,卡牌属性!R370),INDEX(新属性投放!$F$42:$F$62,卡牌属性!R370))*INDEX($G$5:$G$42,L370)*SQRT(INDEX($I$5:$I$42,L370)),2)</f>
        <v>583.04999999999995</v>
      </c>
      <c r="AF370" s="14">
        <f t="shared" si="148"/>
        <v>1297</v>
      </c>
      <c r="AG370" s="14">
        <f t="shared" si="149"/>
        <v>648</v>
      </c>
      <c r="AH370" s="14">
        <f t="shared" si="150"/>
        <v>5830</v>
      </c>
      <c r="AJ370" s="14">
        <f t="shared" si="160"/>
        <v>5936</v>
      </c>
      <c r="AK370" s="14">
        <f t="shared" si="161"/>
        <v>2966</v>
      </c>
      <c r="AL370" s="14">
        <f t="shared" si="162"/>
        <v>26665</v>
      </c>
    </row>
    <row r="371" spans="11:38" ht="16.5" x14ac:dyDescent="0.2">
      <c r="K371" s="13">
        <v>368</v>
      </c>
      <c r="L371" s="13">
        <f t="shared" si="142"/>
        <v>18</v>
      </c>
      <c r="M371" s="13">
        <f t="shared" si="143"/>
        <v>3</v>
      </c>
      <c r="N371" s="14">
        <f t="shared" si="144"/>
        <v>1102002</v>
      </c>
      <c r="O371" s="14" t="str">
        <f t="shared" si="145"/>
        <v>许褚11突</v>
      </c>
      <c r="P371" s="29" t="s">
        <v>470</v>
      </c>
      <c r="Q371" s="14">
        <f t="shared" si="146"/>
        <v>2</v>
      </c>
      <c r="R371" s="14">
        <f t="shared" si="147"/>
        <v>11</v>
      </c>
      <c r="S371" s="14" t="s">
        <v>39</v>
      </c>
      <c r="T371" s="14">
        <f>ROUND(((IF(Q371=1,INDEX(新属性投放!$J$14:$J$34,卡牌属性!R371),INDEX(新属性投放!$J$42:$J$62,卡牌属性!R371)))*INDEX($G$5:$G$42,L371)+IF(Q371=1,INDEX(新属性投放!R$20:R$23,卡牌属性!M371-1),INDEX(新属性投放!R$25:R$28,卡牌属性!M371-1)))/SQRT(INDEX($I$5:$I$42,L371)),2)</f>
        <v>6380.96</v>
      </c>
      <c r="U371" s="29" t="s">
        <v>178</v>
      </c>
      <c r="V371" s="14">
        <f>ROUND((IF(Q371=1,INDEX(新属性投放!$K$14:$K$34,卡牌属性!R371),INDEX(新属性投放!$K$42:$K$62,卡牌属性!R371))+IF(Q371=1,INDEX(新属性投放!S$20:S$23,卡牌属性!M371-1),INDEX(新属性投放!S$25:S$28,卡牌属性!M371-1)))*INDEX($G$5:$G$42,L371),2)</f>
        <v>3051.93</v>
      </c>
      <c r="W371" s="29" t="s">
        <v>179</v>
      </c>
      <c r="X371" s="14">
        <f>ROUND((IF(Q371=1,INDEX(新属性投放!$L$14:$L$34,卡牌属性!R371),INDEX(新属性投放!$L$42:$L$62,卡牌属性!R371))*INDEX($G$5:$G$42,L371)+IF(Q371=1,INDEX(新属性投放!T$20:T$23,卡牌属性!M371-1),INDEX(新属性投放!T$25:T$28,卡牌属性!M371-1)))*SQRT(INDEX($I$5:$I$42,L371)),2)</f>
        <v>33003.599999999999</v>
      </c>
      <c r="Y371" s="29" t="s">
        <v>177</v>
      </c>
      <c r="Z371" s="14">
        <f>ROUND(IF(Q371=1,INDEX(新属性投放!$D$14:$D$34,卡牌属性!R371),INDEX(新属性投放!$D$42:$D$62,卡牌属性!R371))*INDEX($G$5:$G$42,L371)/SQRT(INDEX($I$5:$I$42,L371)),2)</f>
        <v>151.32</v>
      </c>
      <c r="AA371" s="29" t="s">
        <v>178</v>
      </c>
      <c r="AB371" s="14">
        <f>ROUND(IF(Q371=1,INDEX(新属性投放!$E$14:$E$34,卡牌属性!R371),INDEX(新属性投放!$E$42:$E$62,卡牌属性!R371))*INDEX($G$5:$G$42,L371),2)</f>
        <v>75.66</v>
      </c>
      <c r="AC371" s="29" t="s">
        <v>179</v>
      </c>
      <c r="AD371" s="14">
        <f>ROUND(IF(Q371=1,INDEX(新属性投放!$F$14:$F$34,卡牌属性!R371),INDEX(新属性投放!$F$42:$F$62,卡牌属性!R371))*INDEX($G$5:$G$42,L371)*SQRT(INDEX($I$5:$I$42,L371)),2)</f>
        <v>680.8</v>
      </c>
      <c r="AF371" s="14">
        <f t="shared" si="148"/>
        <v>1513</v>
      </c>
      <c r="AG371" s="14">
        <f t="shared" si="149"/>
        <v>756</v>
      </c>
      <c r="AH371" s="14">
        <f t="shared" si="150"/>
        <v>6808</v>
      </c>
      <c r="AJ371" s="14">
        <f t="shared" si="160"/>
        <v>7449</v>
      </c>
      <c r="AK371" s="14">
        <f t="shared" si="161"/>
        <v>3722</v>
      </c>
      <c r="AL371" s="14">
        <f t="shared" si="162"/>
        <v>33473</v>
      </c>
    </row>
    <row r="372" spans="11:38" ht="16.5" x14ac:dyDescent="0.2">
      <c r="K372" s="13">
        <v>369</v>
      </c>
      <c r="L372" s="13">
        <f t="shared" si="142"/>
        <v>18</v>
      </c>
      <c r="M372" s="13">
        <f t="shared" si="143"/>
        <v>3</v>
      </c>
      <c r="N372" s="14">
        <f t="shared" si="144"/>
        <v>1102002</v>
      </c>
      <c r="O372" s="14" t="str">
        <f t="shared" si="145"/>
        <v>许褚12突</v>
      </c>
      <c r="P372" s="29" t="s">
        <v>470</v>
      </c>
      <c r="Q372" s="14">
        <f t="shared" si="146"/>
        <v>2</v>
      </c>
      <c r="R372" s="14">
        <f t="shared" si="147"/>
        <v>12</v>
      </c>
      <c r="S372" s="14" t="s">
        <v>39</v>
      </c>
      <c r="T372" s="14">
        <f>ROUND(((IF(Q372=1,INDEX(新属性投放!$J$14:$J$34,卡牌属性!R372),INDEX(新属性投放!$J$42:$J$62,卡牌属性!R372)))*INDEX($G$5:$G$42,L372)+IF(Q372=1,INDEX(新属性投放!R$20:R$23,卡牌属性!M372-1),INDEX(新属性投放!R$25:R$28,卡牌属性!M372-1)))/SQRT(INDEX($I$5:$I$42,L372)),2)</f>
        <v>7326.14</v>
      </c>
      <c r="U372" s="29" t="s">
        <v>178</v>
      </c>
      <c r="V372" s="14">
        <f>ROUND((IF(Q372=1,INDEX(新属性投放!$K$14:$K$34,卡牌属性!R372),INDEX(新属性投放!$K$42:$K$62,卡牌属性!R372))+IF(Q372=1,INDEX(新属性投放!S$20:S$23,卡牌属性!M372-1),INDEX(新属性投放!S$25:S$28,卡牌属性!M372-1)))*INDEX($G$5:$G$42,L372),2)</f>
        <v>3524.52</v>
      </c>
      <c r="W372" s="29" t="s">
        <v>179</v>
      </c>
      <c r="X372" s="14">
        <f>ROUND((IF(Q372=1,INDEX(新属性投放!$L$14:$L$34,卡牌属性!R372),INDEX(新属性投放!$L$42:$L$62,卡牌属性!R372))*INDEX($G$5:$G$42,L372)+IF(Q372=1,INDEX(新属性投放!T$20:T$23,卡牌属性!M372-1),INDEX(新属性投放!T$25:T$28,卡牌属性!M372-1)))*SQRT(INDEX($I$5:$I$42,L372)),2)</f>
        <v>38105</v>
      </c>
      <c r="Y372" s="29" t="s">
        <v>177</v>
      </c>
      <c r="Z372" s="14">
        <f>ROUND(IF(Q372=1,INDEX(新属性投放!$D$14:$D$34,卡牌属性!R372),INDEX(新属性投放!$D$42:$D$62,卡牌属性!R372))*INDEX($G$5:$G$42,L372)/SQRT(INDEX($I$5:$I$42,L372)),2)</f>
        <v>173.04</v>
      </c>
      <c r="AA372" s="29" t="s">
        <v>178</v>
      </c>
      <c r="AB372" s="14">
        <f>ROUND(IF(Q372=1,INDEX(新属性投放!$E$14:$E$34,卡牌属性!R372),INDEX(新属性投放!$E$42:$E$62,卡牌属性!R372))*INDEX($G$5:$G$42,L372),2)</f>
        <v>86.52</v>
      </c>
      <c r="AC372" s="29" t="s">
        <v>179</v>
      </c>
      <c r="AD372" s="14">
        <f>ROUND(IF(Q372=1,INDEX(新属性投放!$F$14:$F$34,卡牌属性!R372),INDEX(新属性投放!$F$42:$F$62,卡牌属性!R372))*INDEX($G$5:$G$42,L372)*SQRT(INDEX($I$5:$I$42,L372)),2)</f>
        <v>778.55</v>
      </c>
      <c r="AF372" s="14">
        <f t="shared" si="148"/>
        <v>1730</v>
      </c>
      <c r="AG372" s="14">
        <f t="shared" si="149"/>
        <v>865</v>
      </c>
      <c r="AH372" s="14">
        <f t="shared" si="150"/>
        <v>7785</v>
      </c>
      <c r="AJ372" s="14">
        <f t="shared" si="160"/>
        <v>9179</v>
      </c>
      <c r="AK372" s="14">
        <f t="shared" si="161"/>
        <v>4587</v>
      </c>
      <c r="AL372" s="14">
        <f t="shared" si="162"/>
        <v>41258</v>
      </c>
    </row>
    <row r="373" spans="11:38" ht="16.5" x14ac:dyDescent="0.2">
      <c r="K373" s="13">
        <v>370</v>
      </c>
      <c r="L373" s="13">
        <f t="shared" si="142"/>
        <v>18</v>
      </c>
      <c r="M373" s="13">
        <f t="shared" si="143"/>
        <v>3</v>
      </c>
      <c r="N373" s="14">
        <f t="shared" si="144"/>
        <v>1102002</v>
      </c>
      <c r="O373" s="14" t="str">
        <f t="shared" si="145"/>
        <v>许褚13突</v>
      </c>
      <c r="P373" s="29" t="s">
        <v>470</v>
      </c>
      <c r="Q373" s="14">
        <f t="shared" si="146"/>
        <v>2</v>
      </c>
      <c r="R373" s="14">
        <f t="shared" si="147"/>
        <v>13</v>
      </c>
      <c r="S373" s="14" t="s">
        <v>39</v>
      </c>
      <c r="T373" s="14">
        <f>ROUND(((IF(Q373=1,INDEX(新属性投放!$J$14:$J$34,卡牌属性!R373),INDEX(新属性投放!$J$42:$J$62,卡牌属性!R373)))*INDEX($G$5:$G$42,L373)+IF(Q373=1,INDEX(新属性投放!R$20:R$23,卡牌属性!M373-1),INDEX(新属性投放!R$25:R$28,卡牌属性!M373-1)))/SQRT(INDEX($I$5:$I$42,L373)),2)</f>
        <v>8407.5400000000009</v>
      </c>
      <c r="U373" s="29" t="s">
        <v>178</v>
      </c>
      <c r="V373" s="14">
        <f>ROUND((IF(Q373=1,INDEX(新属性投放!$K$14:$K$34,卡牌属性!R373),INDEX(新属性投放!$K$42:$K$62,卡牌属性!R373))+IF(Q373=1,INDEX(新属性投放!S$20:S$23,卡牌属性!M373-1),INDEX(新属性投放!S$25:S$28,卡牌属性!M373-1)))*INDEX($G$5:$G$42,L373),2)</f>
        <v>4065.22</v>
      </c>
      <c r="W373" s="29" t="s">
        <v>179</v>
      </c>
      <c r="X373" s="14">
        <f>ROUND((IF(Q373=1,INDEX(新属性投放!$L$14:$L$34,卡牌属性!R373),INDEX(新属性投放!$L$42:$L$62,卡牌属性!R373))*INDEX($G$5:$G$42,L373)+IF(Q373=1,INDEX(新属性投放!T$20:T$23,卡牌属性!M373-1),INDEX(新属性投放!T$25:T$28,卡牌属性!M373-1)))*SQRT(INDEX($I$5:$I$42,L373)),2)</f>
        <v>43943.55</v>
      </c>
      <c r="Y373" s="29" t="s">
        <v>177</v>
      </c>
      <c r="Z373" s="14">
        <f>ROUND(IF(Q373=1,INDEX(新属性投放!$D$14:$D$34,卡牌属性!R373),INDEX(新属性投放!$D$42:$D$62,卡牌属性!R373))*INDEX($G$5:$G$42,L373)/SQRT(INDEX($I$5:$I$42,L373)),2)</f>
        <v>200.07</v>
      </c>
      <c r="AA373" s="29" t="s">
        <v>178</v>
      </c>
      <c r="AB373" s="14">
        <f>ROUND(IF(Q373=1,INDEX(新属性投放!$E$14:$E$34,卡牌属性!R373),INDEX(新属性投放!$E$42:$E$62,卡牌属性!R373))*INDEX($G$5:$G$42,L373),2)</f>
        <v>100.03</v>
      </c>
      <c r="AC373" s="29" t="s">
        <v>179</v>
      </c>
      <c r="AD373" s="14">
        <f>ROUND(IF(Q373=1,INDEX(新属性投放!$F$14:$F$34,卡牌属性!R373),INDEX(新属性投放!$F$42:$F$62,卡牌属性!R373))*INDEX($G$5:$G$42,L373)*SQRT(INDEX($I$5:$I$42,L373)),2)</f>
        <v>899.3</v>
      </c>
      <c r="AF373" s="14">
        <f t="shared" si="148"/>
        <v>2000</v>
      </c>
      <c r="AG373" s="14">
        <f t="shared" si="149"/>
        <v>1000</v>
      </c>
      <c r="AH373" s="14">
        <f t="shared" si="150"/>
        <v>8993</v>
      </c>
      <c r="AJ373" s="14">
        <f t="shared" si="160"/>
        <v>11179</v>
      </c>
      <c r="AK373" s="14">
        <f t="shared" si="161"/>
        <v>5587</v>
      </c>
      <c r="AL373" s="14">
        <f t="shared" si="162"/>
        <v>50251</v>
      </c>
    </row>
    <row r="374" spans="11:38" ht="16.5" x14ac:dyDescent="0.2">
      <c r="K374" s="13">
        <v>371</v>
      </c>
      <c r="L374" s="13">
        <f t="shared" si="142"/>
        <v>18</v>
      </c>
      <c r="M374" s="13">
        <f t="shared" si="143"/>
        <v>3</v>
      </c>
      <c r="N374" s="14">
        <f t="shared" si="144"/>
        <v>1102002</v>
      </c>
      <c r="O374" s="14" t="str">
        <f t="shared" si="145"/>
        <v>许褚14突</v>
      </c>
      <c r="P374" s="29" t="s">
        <v>470</v>
      </c>
      <c r="Q374" s="14">
        <f t="shared" si="146"/>
        <v>2</v>
      </c>
      <c r="R374" s="14">
        <f t="shared" si="147"/>
        <v>14</v>
      </c>
      <c r="S374" s="14" t="s">
        <v>39</v>
      </c>
      <c r="T374" s="14">
        <f>ROUND(((IF(Q374=1,INDEX(新属性投放!$J$14:$J$34,卡牌属性!R374),INDEX(新属性投放!$J$42:$J$62,卡牌属性!R374)))*INDEX($G$5:$G$42,L374)+IF(Q374=1,INDEX(新属性投放!R$20:R$23,卡牌属性!M374-1),INDEX(新属性投放!R$25:R$28,卡牌属性!M374-1)))/SQRT(INDEX($I$5:$I$42,L374)),2)</f>
        <v>9657.42</v>
      </c>
      <c r="U374" s="29" t="s">
        <v>178</v>
      </c>
      <c r="V374" s="14">
        <f>ROUND((IF(Q374=1,INDEX(新属性投放!$K$14:$K$34,卡牌属性!R374),INDEX(新属性投放!$K$42:$K$62,卡牌属性!R374))+IF(Q374=1,INDEX(新属性投放!S$20:S$23,卡牌属性!M374-1),INDEX(新属性投放!S$25:S$28,卡牌属性!M374-1)))*INDEX($G$5:$G$42,L374),2)</f>
        <v>4690.74</v>
      </c>
      <c r="W374" s="29" t="s">
        <v>179</v>
      </c>
      <c r="X374" s="14">
        <f>ROUND((IF(Q374=1,INDEX(新属性投放!$L$14:$L$34,卡牌属性!R374),INDEX(新属性投放!$L$42:$L$62,卡牌属性!R374))*INDEX($G$5:$G$42,L374)+IF(Q374=1,INDEX(新属性投放!T$20:T$23,卡牌属性!M374-1),INDEX(新属性投放!T$25:T$28,卡牌属性!M374-1)))*SQRT(INDEX($I$5:$I$42,L374)),2)</f>
        <v>50686</v>
      </c>
      <c r="Y374" s="29" t="s">
        <v>177</v>
      </c>
      <c r="Z374" s="14">
        <f>ROUND(IF(Q374=1,INDEX(新属性投放!$D$14:$D$34,卡牌属性!R374),INDEX(新属性投放!$D$42:$D$62,卡牌属性!R374))*INDEX($G$5:$G$42,L374)/SQRT(INDEX($I$5:$I$42,L374)),2)</f>
        <v>231.32</v>
      </c>
      <c r="AA374" s="29" t="s">
        <v>178</v>
      </c>
      <c r="AB374" s="14">
        <f>ROUND(IF(Q374=1,INDEX(新属性投放!$E$14:$E$34,卡牌属性!R374),INDEX(新属性投放!$E$42:$E$62,卡牌属性!R374))*INDEX($G$5:$G$42,L374),2)</f>
        <v>115.66</v>
      </c>
      <c r="AC374" s="29" t="s">
        <v>179</v>
      </c>
      <c r="AD374" s="14">
        <f>ROUND(IF(Q374=1,INDEX(新属性投放!$F$14:$F$34,卡牌属性!R374),INDEX(新属性投放!$F$42:$F$62,卡牌属性!R374))*INDEX($G$5:$G$42,L374)*SQRT(INDEX($I$5:$I$42,L374)),2)</f>
        <v>1040.75</v>
      </c>
      <c r="AF374" s="14">
        <f t="shared" si="148"/>
        <v>2313</v>
      </c>
      <c r="AG374" s="14">
        <f t="shared" si="149"/>
        <v>1156</v>
      </c>
      <c r="AH374" s="14">
        <f t="shared" si="150"/>
        <v>10407</v>
      </c>
      <c r="AJ374" s="14">
        <f t="shared" si="160"/>
        <v>13492</v>
      </c>
      <c r="AK374" s="14">
        <f t="shared" si="161"/>
        <v>6743</v>
      </c>
      <c r="AL374" s="14">
        <f t="shared" si="162"/>
        <v>60658</v>
      </c>
    </row>
    <row r="375" spans="11:38" ht="16.5" x14ac:dyDescent="0.2">
      <c r="K375" s="13">
        <v>372</v>
      </c>
      <c r="L375" s="13">
        <f t="shared" si="142"/>
        <v>18</v>
      </c>
      <c r="M375" s="13">
        <f t="shared" si="143"/>
        <v>3</v>
      </c>
      <c r="N375" s="14">
        <f t="shared" si="144"/>
        <v>1102002</v>
      </c>
      <c r="O375" s="14" t="str">
        <f t="shared" si="145"/>
        <v>许褚15突</v>
      </c>
      <c r="P375" s="29" t="s">
        <v>470</v>
      </c>
      <c r="Q375" s="14">
        <f t="shared" si="146"/>
        <v>2</v>
      </c>
      <c r="R375" s="14">
        <f t="shared" si="147"/>
        <v>15</v>
      </c>
      <c r="S375" s="14" t="s">
        <v>39</v>
      </c>
      <c r="T375" s="14">
        <f>ROUND(((IF(Q375=1,INDEX(新属性投放!$J$14:$J$34,卡牌属性!R375),INDEX(新属性投放!$J$42:$J$62,卡牌属性!R375)))*INDEX($G$5:$G$42,L375)+IF(Q375=1,INDEX(新属性投放!R$20:R$23,卡牌属性!M375-1),INDEX(新属性投放!R$25:R$28,卡牌属性!M375-1)))/SQRT(INDEX($I$5:$I$42,L375)),2)</f>
        <v>11102.68</v>
      </c>
      <c r="U375" s="29" t="s">
        <v>178</v>
      </c>
      <c r="V375" s="14">
        <f>ROUND((IF(Q375=1,INDEX(新属性投放!$K$14:$K$34,卡牌属性!R375),INDEX(新属性投放!$K$42:$K$62,卡牌属性!R375))+IF(Q375=1,INDEX(新属性投放!S$20:S$23,卡牌属性!M375-1),INDEX(新属性投放!S$25:S$28,卡牌属性!M375-1)))*INDEX($G$5:$G$42,L375),2)</f>
        <v>5413.94</v>
      </c>
      <c r="W375" s="29" t="s">
        <v>179</v>
      </c>
      <c r="X375" s="14">
        <f>ROUND((IF(Q375=1,INDEX(新属性投放!$L$14:$L$34,卡牌属性!R375),INDEX(新属性投放!$L$42:$L$62,卡牌属性!R375))*INDEX($G$5:$G$42,L375)+IF(Q375=1,INDEX(新属性投放!T$20:T$23,卡牌属性!M375-1),INDEX(新属性投放!T$25:T$28,卡牌属性!M375-1)))*SQRT(INDEX($I$5:$I$42,L375)),2)</f>
        <v>58487.6</v>
      </c>
      <c r="Y375" s="29" t="s">
        <v>177</v>
      </c>
      <c r="Z375" s="14">
        <f>ROUND(IF(Q375=1,INDEX(新属性投放!$D$14:$D$34,卡牌属性!R375),INDEX(新属性投放!$D$42:$D$62,卡牌属性!R375))*INDEX($G$5:$G$42,L375)/SQRT(INDEX($I$5:$I$42,L375)),2)</f>
        <v>267.44</v>
      </c>
      <c r="AA375" s="29" t="s">
        <v>178</v>
      </c>
      <c r="AB375" s="14">
        <f>ROUND(IF(Q375=1,INDEX(新属性投放!$E$14:$E$34,卡牌属性!R375),INDEX(新属性投放!$E$42:$E$62,卡牌属性!R375))*INDEX($G$5:$G$42,L375),2)</f>
        <v>133.72</v>
      </c>
      <c r="AC375" s="29" t="s">
        <v>179</v>
      </c>
      <c r="AD375" s="14">
        <f>ROUND(IF(Q375=1,INDEX(新属性投放!$F$14:$F$34,卡牌属性!R375),INDEX(新属性投放!$F$42:$F$62,卡牌属性!R375))*INDEX($G$5:$G$42,L375)*SQRT(INDEX($I$5:$I$42,L375)),2)</f>
        <v>1202.9000000000001</v>
      </c>
      <c r="AF375" s="14">
        <f t="shared" si="148"/>
        <v>2674</v>
      </c>
      <c r="AG375" s="14">
        <f t="shared" si="149"/>
        <v>1337</v>
      </c>
      <c r="AH375" s="14">
        <f t="shared" si="150"/>
        <v>12029</v>
      </c>
      <c r="AJ375" s="14">
        <f t="shared" si="160"/>
        <v>16166</v>
      </c>
      <c r="AK375" s="14">
        <f t="shared" si="161"/>
        <v>8080</v>
      </c>
      <c r="AL375" s="14">
        <f t="shared" si="162"/>
        <v>72687</v>
      </c>
    </row>
    <row r="376" spans="11:38" ht="16.5" x14ac:dyDescent="0.2">
      <c r="K376" s="13">
        <v>373</v>
      </c>
      <c r="L376" s="13">
        <f t="shared" si="142"/>
        <v>18</v>
      </c>
      <c r="M376" s="13">
        <f t="shared" si="143"/>
        <v>3</v>
      </c>
      <c r="N376" s="14">
        <f t="shared" si="144"/>
        <v>1102002</v>
      </c>
      <c r="O376" s="14" t="str">
        <f t="shared" si="145"/>
        <v>许褚16突</v>
      </c>
      <c r="P376" s="29" t="s">
        <v>470</v>
      </c>
      <c r="Q376" s="14">
        <f t="shared" si="146"/>
        <v>2</v>
      </c>
      <c r="R376" s="14">
        <f t="shared" si="147"/>
        <v>16</v>
      </c>
      <c r="S376" s="14" t="s">
        <v>39</v>
      </c>
      <c r="T376" s="14">
        <f>ROUND(((IF(Q376=1,INDEX(新属性投放!$J$14:$J$34,卡牌属性!R376),INDEX(新属性投放!$J$42:$J$62,卡牌属性!R376)))*INDEX($G$5:$G$42,L376)+IF(Q376=1,INDEX(新属性投放!R$20:R$23,卡牌属性!M376-1),INDEX(新属性投放!R$25:R$28,卡牌属性!M376-1)))/SQRT(INDEX($I$5:$I$42,L376)),2)</f>
        <v>12774.55</v>
      </c>
      <c r="U376" s="29" t="s">
        <v>178</v>
      </c>
      <c r="V376" s="14">
        <f>ROUND((IF(Q376=1,INDEX(新属性投放!$K$14:$K$34,卡牌属性!R376),INDEX(新属性投放!$K$42:$K$62,卡牌属性!R376))+IF(Q376=1,INDEX(新属性投放!S$20:S$23,卡牌属性!M376-1),INDEX(新属性投放!S$25:S$28,卡牌属性!M376-1)))*INDEX($G$5:$G$42,L376),2)</f>
        <v>6249.3</v>
      </c>
      <c r="W376" s="29" t="s">
        <v>179</v>
      </c>
      <c r="X376" s="14">
        <f>ROUND((IF(Q376=1,INDEX(新属性投放!$L$14:$L$34,卡牌属性!R376),INDEX(新属性投放!$L$42:$L$62,卡牌属性!R376))*INDEX($G$5:$G$42,L376)+IF(Q376=1,INDEX(新属性投放!T$20:T$23,卡牌属性!M376-1),INDEX(新属性投放!T$25:T$28,卡牌属性!M376-1)))*SQRT(INDEX($I$5:$I$42,L376)),2)</f>
        <v>67513.95</v>
      </c>
      <c r="Y376" s="29" t="s">
        <v>177</v>
      </c>
      <c r="Z376" s="14">
        <f>ROUND(IF(Q376=1,INDEX(新属性投放!$D$14:$D$34,卡牌属性!R376),INDEX(新属性投放!$D$42:$D$62,卡牌属性!R376))*INDEX($G$5:$G$42,L376)/SQRT(INDEX($I$5:$I$42,L376)),2)</f>
        <v>309.25</v>
      </c>
      <c r="AA376" s="29" t="s">
        <v>178</v>
      </c>
      <c r="AB376" s="14">
        <f>ROUND(IF(Q376=1,INDEX(新属性投放!$E$14:$E$34,卡牌属性!R376),INDEX(新属性投放!$E$42:$E$62,卡牌属性!R376))*INDEX($G$5:$G$42,L376),2)</f>
        <v>154.62</v>
      </c>
      <c r="AC376" s="29" t="s">
        <v>179</v>
      </c>
      <c r="AD376" s="14">
        <f>ROUND(IF(Q376=1,INDEX(新属性投放!$F$14:$F$34,卡牌属性!R376),INDEX(新属性投放!$F$42:$F$62,卡牌属性!R376))*INDEX($G$5:$G$42,L376)*SQRT(INDEX($I$5:$I$42,L376)),2)</f>
        <v>1391.5</v>
      </c>
      <c r="AF376" s="14">
        <f t="shared" si="148"/>
        <v>3092</v>
      </c>
      <c r="AG376" s="14">
        <f t="shared" si="149"/>
        <v>1546</v>
      </c>
      <c r="AH376" s="14">
        <f t="shared" si="150"/>
        <v>13915</v>
      </c>
      <c r="AJ376" s="14">
        <f t="shared" si="160"/>
        <v>19258</v>
      </c>
      <c r="AK376" s="14">
        <f t="shared" si="161"/>
        <v>9626</v>
      </c>
      <c r="AL376" s="14">
        <f t="shared" si="162"/>
        <v>86602</v>
      </c>
    </row>
    <row r="377" spans="11:38" ht="16.5" x14ac:dyDescent="0.2">
      <c r="K377" s="13">
        <v>374</v>
      </c>
      <c r="L377" s="13">
        <f t="shared" si="142"/>
        <v>18</v>
      </c>
      <c r="M377" s="13">
        <f t="shared" si="143"/>
        <v>3</v>
      </c>
      <c r="N377" s="14">
        <f t="shared" si="144"/>
        <v>1102002</v>
      </c>
      <c r="O377" s="14" t="str">
        <f t="shared" si="145"/>
        <v>许褚17突</v>
      </c>
      <c r="P377" s="29" t="s">
        <v>470</v>
      </c>
      <c r="Q377" s="14">
        <f t="shared" si="146"/>
        <v>2</v>
      </c>
      <c r="R377" s="14">
        <f t="shared" si="147"/>
        <v>17</v>
      </c>
      <c r="S377" s="14" t="s">
        <v>39</v>
      </c>
      <c r="T377" s="14">
        <f>ROUND(((IF(Q377=1,INDEX(新属性投放!$J$14:$J$34,卡牌属性!R377),INDEX(新属性投放!$J$42:$J$62,卡牌属性!R377)))*INDEX($G$5:$G$42,L377)+IF(Q377=1,INDEX(新属性投放!R$20:R$23,卡牌属性!M377-1),INDEX(新属性投放!R$25:R$28,卡牌属性!M377-1)))/SQRT(INDEX($I$5:$I$42,L377)),2)</f>
        <v>14707.19</v>
      </c>
      <c r="U377" s="29" t="s">
        <v>178</v>
      </c>
      <c r="V377" s="14">
        <f>ROUND((IF(Q377=1,INDEX(新属性投放!$K$14:$K$34,卡牌属性!R377),INDEX(新属性投放!$K$42:$K$62,卡牌属性!R377))+IF(Q377=1,INDEX(新属性投放!S$20:S$23,卡牌属性!M377-1),INDEX(新属性投放!S$25:S$28,卡牌属性!M377-1)))*INDEX($G$5:$G$42,L377),2)</f>
        <v>7215.62</v>
      </c>
      <c r="W377" s="29" t="s">
        <v>179</v>
      </c>
      <c r="X377" s="14">
        <f>ROUND((IF(Q377=1,INDEX(新属性投放!$L$14:$L$34,卡牌属性!R377),INDEX(新属性投放!$L$42:$L$62,卡牌属性!R377))*INDEX($G$5:$G$42,L377)+IF(Q377=1,INDEX(新属性投放!T$20:T$23,卡牌属性!M377-1),INDEX(新属性投放!T$25:T$28,卡牌属性!M377-1)))*SQRT(INDEX($I$5:$I$42,L377)),2)</f>
        <v>77949.05</v>
      </c>
      <c r="Y377" s="29" t="s">
        <v>177</v>
      </c>
      <c r="Z377" s="14">
        <f>ROUND(IF(Q377=1,INDEX(新属性投放!$D$14:$D$34,卡牌属性!R377),INDEX(新属性投放!$D$42:$D$62,卡牌属性!R377))*INDEX($G$5:$G$42,L377)/SQRT(INDEX($I$5:$I$42,L377)),2)</f>
        <v>357.56</v>
      </c>
      <c r="AA377" s="29" t="s">
        <v>178</v>
      </c>
      <c r="AB377" s="14">
        <f>ROUND(IF(Q377=1,INDEX(新属性投放!$E$14:$E$34,卡牌属性!R377),INDEX(新属性投放!$E$42:$E$62,卡牌属性!R377))*INDEX($G$5:$G$42,L377),2)</f>
        <v>178.78</v>
      </c>
      <c r="AC377" s="29" t="s">
        <v>179</v>
      </c>
      <c r="AD377" s="14">
        <f>ROUND(IF(Q377=1,INDEX(新属性投放!$F$14:$F$34,卡牌属性!R377),INDEX(新属性投放!$F$42:$F$62,卡牌属性!R377))*INDEX($G$5:$G$42,L377)*SQRT(INDEX($I$5:$I$42,L377)),2)</f>
        <v>1608.85</v>
      </c>
      <c r="AF377" s="14">
        <f t="shared" si="148"/>
        <v>3575</v>
      </c>
      <c r="AG377" s="14">
        <f t="shared" si="149"/>
        <v>1787</v>
      </c>
      <c r="AH377" s="14">
        <f t="shared" si="150"/>
        <v>16088</v>
      </c>
      <c r="AJ377" s="14">
        <f t="shared" si="160"/>
        <v>22833</v>
      </c>
      <c r="AK377" s="14">
        <f t="shared" si="161"/>
        <v>11413</v>
      </c>
      <c r="AL377" s="14">
        <f t="shared" si="162"/>
        <v>102690</v>
      </c>
    </row>
    <row r="378" spans="11:38" ht="16.5" x14ac:dyDescent="0.2">
      <c r="K378" s="13">
        <v>375</v>
      </c>
      <c r="L378" s="13">
        <f t="shared" si="142"/>
        <v>18</v>
      </c>
      <c r="M378" s="13">
        <f t="shared" si="143"/>
        <v>3</v>
      </c>
      <c r="N378" s="14">
        <f t="shared" si="144"/>
        <v>1102002</v>
      </c>
      <c r="O378" s="14" t="str">
        <f t="shared" si="145"/>
        <v>许褚18突</v>
      </c>
      <c r="P378" s="29" t="s">
        <v>470</v>
      </c>
      <c r="Q378" s="14">
        <f t="shared" si="146"/>
        <v>2</v>
      </c>
      <c r="R378" s="14">
        <f t="shared" si="147"/>
        <v>18</v>
      </c>
      <c r="S378" s="14" t="s">
        <v>39</v>
      </c>
      <c r="T378" s="14">
        <f>ROUND(((IF(Q378=1,INDEX(新属性投放!$J$14:$J$34,卡牌属性!R378),INDEX(新属性投放!$J$42:$J$62,卡牌属性!R378)))*INDEX($G$5:$G$42,L378)+IF(Q378=1,INDEX(新属性投放!R$20:R$23,卡牌属性!M378-1),INDEX(新属性投放!R$25:R$28,卡牌属性!M378-1)))/SQRT(INDEX($I$5:$I$42,L378)),2)</f>
        <v>16942.330000000002</v>
      </c>
      <c r="U378" s="29" t="s">
        <v>178</v>
      </c>
      <c r="V378" s="14">
        <f>ROUND((IF(Q378=1,INDEX(新属性投放!$K$14:$K$34,卡牌属性!R378),INDEX(新属性投放!$K$42:$K$62,卡牌属性!R378))+IF(Q378=1,INDEX(新属性投放!S$20:S$23,卡牌属性!M378-1),INDEX(新属性投放!S$25:S$28,卡牌属性!M378-1)))*INDEX($G$5:$G$42,L378),2)</f>
        <v>8332.61</v>
      </c>
      <c r="W378" s="29" t="s">
        <v>179</v>
      </c>
      <c r="X378" s="14">
        <f>ROUND((IF(Q378=1,INDEX(新属性投放!$L$14:$L$34,卡牌属性!R378),INDEX(新属性投放!$L$42:$L$62,卡牌属性!R378))*INDEX($G$5:$G$42,L378)+IF(Q378=1,INDEX(新属性投放!T$20:T$23,卡牌属性!M378-1),INDEX(新属性投放!T$25:T$28,卡牌属性!M378-1)))*SQRT(INDEX($I$5:$I$42,L378)),2)</f>
        <v>90019.45</v>
      </c>
      <c r="Y378" s="29" t="s">
        <v>177</v>
      </c>
      <c r="Z378" s="14">
        <f>ROUND(IF(Q378=1,INDEX(新属性投放!$D$14:$D$34,卡牌属性!R378),INDEX(新属性投放!$D$42:$D$62,卡牌属性!R378))*INDEX($G$5:$G$42,L378)/SQRT(INDEX($I$5:$I$42,L378)),2)</f>
        <v>413.44</v>
      </c>
      <c r="AA378" s="29" t="s">
        <v>178</v>
      </c>
      <c r="AB378" s="14">
        <f>ROUND(IF(Q378=1,INDEX(新属性投放!$E$14:$E$34,卡牌属性!R378),INDEX(新属性投放!$E$42:$E$62,卡牌属性!R378))*INDEX($G$5:$G$42,L378),2)</f>
        <v>206.72</v>
      </c>
      <c r="AC378" s="29" t="s">
        <v>179</v>
      </c>
      <c r="AD378" s="14">
        <f>ROUND(IF(Q378=1,INDEX(新属性投放!$F$14:$F$34,卡牌属性!R378),INDEX(新属性投放!$F$42:$F$62,卡牌属性!R378))*INDEX($G$5:$G$42,L378)*SQRT(INDEX($I$5:$I$42,L378)),2)</f>
        <v>1859.55</v>
      </c>
      <c r="AF378" s="14">
        <f t="shared" si="148"/>
        <v>4134</v>
      </c>
      <c r="AG378" s="14">
        <f t="shared" si="149"/>
        <v>2067</v>
      </c>
      <c r="AH378" s="14">
        <f t="shared" si="150"/>
        <v>18595</v>
      </c>
      <c r="AJ378" s="14">
        <f t="shared" si="160"/>
        <v>26967</v>
      </c>
      <c r="AK378" s="14">
        <f t="shared" si="161"/>
        <v>13480</v>
      </c>
      <c r="AL378" s="14">
        <f t="shared" si="162"/>
        <v>121285</v>
      </c>
    </row>
    <row r="379" spans="11:38" ht="16.5" x14ac:dyDescent="0.2">
      <c r="K379" s="13">
        <v>376</v>
      </c>
      <c r="L379" s="13">
        <f t="shared" si="142"/>
        <v>18</v>
      </c>
      <c r="M379" s="13">
        <f t="shared" si="143"/>
        <v>3</v>
      </c>
      <c r="N379" s="14">
        <f t="shared" si="144"/>
        <v>1102002</v>
      </c>
      <c r="O379" s="14" t="str">
        <f t="shared" si="145"/>
        <v>许褚19突</v>
      </c>
      <c r="P379" s="29" t="s">
        <v>470</v>
      </c>
      <c r="Q379" s="14">
        <f t="shared" si="146"/>
        <v>2</v>
      </c>
      <c r="R379" s="14">
        <f t="shared" si="147"/>
        <v>19</v>
      </c>
      <c r="S379" s="14" t="s">
        <v>39</v>
      </c>
      <c r="T379" s="14">
        <f>ROUND(((IF(Q379=1,INDEX(新属性投放!$J$14:$J$34,卡牌属性!R379),INDEX(新属性投放!$J$42:$J$62,卡牌属性!R379)))*INDEX($G$5:$G$42,L379)+IF(Q379=1,INDEX(新属性投放!R$20:R$23,卡牌属性!M379-1),INDEX(新属性投放!R$25:R$28,卡牌属性!M379-1)))/SQRT(INDEX($I$5:$I$42,L379)),2)</f>
        <v>19525.86</v>
      </c>
      <c r="U379" s="29" t="s">
        <v>178</v>
      </c>
      <c r="V379" s="14">
        <f>ROUND((IF(Q379=1,INDEX(新属性投放!$K$14:$K$34,卡牌属性!R379),INDEX(新属性投放!$K$42:$K$62,卡牌属性!R379))+IF(Q379=1,INDEX(新属性投放!S$20:S$23,卡牌属性!M379-1),INDEX(新属性投放!S$25:S$28,卡牌属性!M379-1)))*INDEX($G$5:$G$42,L379),2)</f>
        <v>9624.9500000000007</v>
      </c>
      <c r="W379" s="29" t="s">
        <v>179</v>
      </c>
      <c r="X379" s="14">
        <f>ROUND((IF(Q379=1,INDEX(新属性投放!$L$14:$L$34,卡牌属性!R379),INDEX(新属性投放!$L$42:$L$62,卡牌属性!R379))*INDEX($G$5:$G$42,L379)+IF(Q379=1,INDEX(新属性投放!T$20:T$23,卡牌属性!M379-1),INDEX(新属性投放!T$25:T$28,卡牌属性!M379-1)))*SQRT(INDEX($I$5:$I$42,L379)),2)</f>
        <v>103964.35</v>
      </c>
      <c r="Y379" s="29" t="s">
        <v>177</v>
      </c>
      <c r="Z379" s="14">
        <f>ROUND(IF(Q379=1,INDEX(新属性投放!$D$14:$D$34,卡牌属性!R379),INDEX(新属性投放!$D$42:$D$62,卡牌属性!R379))*INDEX($G$5:$G$42,L379)/SQRT(INDEX($I$5:$I$42,L379)),2)</f>
        <v>478.03</v>
      </c>
      <c r="AA379" s="29" t="s">
        <v>178</v>
      </c>
      <c r="AB379" s="14">
        <f>ROUND(IF(Q379=1,INDEX(新属性投放!$E$14:$E$34,卡牌属性!R379),INDEX(新属性投放!$E$42:$E$62,卡牌属性!R379))*INDEX($G$5:$G$42,L379),2)</f>
        <v>239.02</v>
      </c>
      <c r="AC379" s="29" t="s">
        <v>179</v>
      </c>
      <c r="AD379" s="14">
        <f>ROUND(IF(Q379=1,INDEX(新属性投放!$F$14:$F$34,卡牌属性!R379),INDEX(新属性投放!$F$42:$F$62,卡牌属性!R379))*INDEX($G$5:$G$42,L379)*SQRT(INDEX($I$5:$I$42,L379)),2)</f>
        <v>2150.5</v>
      </c>
      <c r="AF379" s="14">
        <f t="shared" si="148"/>
        <v>4780</v>
      </c>
      <c r="AG379" s="14">
        <f t="shared" si="149"/>
        <v>2390</v>
      </c>
      <c r="AH379" s="14">
        <f t="shared" si="150"/>
        <v>21505</v>
      </c>
      <c r="AJ379" s="14">
        <f t="shared" si="160"/>
        <v>31747</v>
      </c>
      <c r="AK379" s="14">
        <f t="shared" si="161"/>
        <v>15870</v>
      </c>
      <c r="AL379" s="14">
        <f t="shared" si="162"/>
        <v>142790</v>
      </c>
    </row>
    <row r="380" spans="11:38" ht="16.5" x14ac:dyDescent="0.2">
      <c r="K380" s="13">
        <v>377</v>
      </c>
      <c r="L380" s="13">
        <f t="shared" si="142"/>
        <v>18</v>
      </c>
      <c r="M380" s="13">
        <f t="shared" si="143"/>
        <v>3</v>
      </c>
      <c r="N380" s="14">
        <f t="shared" si="144"/>
        <v>1102002</v>
      </c>
      <c r="O380" s="14" t="str">
        <f t="shared" si="145"/>
        <v>许褚20突</v>
      </c>
      <c r="P380" s="29" t="s">
        <v>470</v>
      </c>
      <c r="Q380" s="14">
        <f t="shared" si="146"/>
        <v>2</v>
      </c>
      <c r="R380" s="14">
        <f t="shared" si="147"/>
        <v>20</v>
      </c>
      <c r="S380" s="14" t="s">
        <v>39</v>
      </c>
      <c r="T380" s="14">
        <f>ROUND(((IF(Q380=1,INDEX(新属性投放!$J$14:$J$34,卡牌属性!R380),INDEX(新属性投放!$J$42:$J$62,卡牌属性!R380)))*INDEX($G$5:$G$42,L380)+IF(Q380=1,INDEX(新属性投放!R$20:R$23,卡牌属性!M380-1),INDEX(新属性投放!R$25:R$28,卡牌属性!M380-1)))/SQRT(INDEX($I$5:$I$42,L380)),2)</f>
        <v>22514.02</v>
      </c>
      <c r="U380" s="29" t="s">
        <v>178</v>
      </c>
      <c r="V380" s="14">
        <f>ROUND((IF(Q380=1,INDEX(新属性投放!$K$14:$K$34,卡牌属性!R380),INDEX(新属性投放!$K$42:$K$62,卡牌属性!R380))+IF(Q380=1,INDEX(新属性投放!S$20:S$23,卡牌属性!M380-1),INDEX(新属性投放!S$25:S$28,卡牌属性!M380-1)))*INDEX($G$5:$G$42,L380),2)</f>
        <v>11119.03</v>
      </c>
      <c r="W380" s="29" t="s">
        <v>179</v>
      </c>
      <c r="X380" s="14">
        <f>ROUND((IF(Q380=1,INDEX(新属性投放!$L$14:$L$34,卡牌属性!R380),INDEX(新属性投放!$L$42:$L$62,卡牌属性!R380))*INDEX($G$5:$G$42,L380)+IF(Q380=1,INDEX(新属性投放!T$20:T$23,卡牌属性!M380-1),INDEX(新属性投放!T$25:T$28,卡牌属性!M380-1)))*SQRT(INDEX($I$5:$I$42,L380)),2)</f>
        <v>120098.85</v>
      </c>
      <c r="Y380" s="29" t="s">
        <v>177</v>
      </c>
      <c r="Z380" s="14">
        <f>ROUND(IF(Q380=1,INDEX(新属性投放!$D$14:$D$34,卡牌属性!R380),INDEX(新属性投放!$D$42:$D$62,卡牌属性!R380))*INDEX($G$5:$G$42,L380)/SQRT(INDEX($I$5:$I$42,L380)),2)</f>
        <v>552.74</v>
      </c>
      <c r="AA380" s="29" t="s">
        <v>178</v>
      </c>
      <c r="AB380" s="14">
        <f>ROUND(IF(Q380=1,INDEX(新属性投放!$E$14:$E$34,卡牌属性!R380),INDEX(新属性投放!$E$42:$E$62,卡牌属性!R380))*INDEX($G$5:$G$42,L380),2)</f>
        <v>276.37</v>
      </c>
      <c r="AC380" s="29" t="s">
        <v>179</v>
      </c>
      <c r="AD380" s="14">
        <f>ROUND(IF(Q380=1,INDEX(新属性投放!$F$14:$F$34,卡牌属性!R380),INDEX(新属性投放!$F$42:$F$62,卡牌属性!R380))*INDEX($G$5:$G$42,L380)*SQRT(INDEX($I$5:$I$42,L380)),2)</f>
        <v>2486.3000000000002</v>
      </c>
      <c r="AF380" s="14">
        <f t="shared" si="148"/>
        <v>5527</v>
      </c>
      <c r="AG380" s="14">
        <f t="shared" si="149"/>
        <v>2763</v>
      </c>
      <c r="AH380" s="14">
        <f t="shared" si="150"/>
        <v>24863</v>
      </c>
      <c r="AJ380" s="14">
        <f t="shared" si="160"/>
        <v>37274</v>
      </c>
      <c r="AK380" s="14">
        <f t="shared" si="161"/>
        <v>18633</v>
      </c>
      <c r="AL380" s="14">
        <f t="shared" si="162"/>
        <v>167653</v>
      </c>
    </row>
    <row r="381" spans="11:38" ht="16.5" x14ac:dyDescent="0.2">
      <c r="K381" s="13">
        <v>378</v>
      </c>
      <c r="L381" s="13">
        <f t="shared" si="142"/>
        <v>18</v>
      </c>
      <c r="M381" s="13">
        <f t="shared" si="143"/>
        <v>3</v>
      </c>
      <c r="N381" s="14">
        <f t="shared" si="144"/>
        <v>1102002</v>
      </c>
      <c r="O381" s="14" t="str">
        <f t="shared" si="145"/>
        <v>许褚21突</v>
      </c>
      <c r="P381" s="29" t="s">
        <v>470</v>
      </c>
      <c r="Q381" s="14">
        <f t="shared" si="146"/>
        <v>2</v>
      </c>
      <c r="R381" s="14">
        <f t="shared" si="147"/>
        <v>21</v>
      </c>
      <c r="S381" s="14" t="s">
        <v>39</v>
      </c>
      <c r="T381" s="14">
        <f>ROUND(((IF(Q381=1,INDEX(新属性投放!$J$14:$J$34,卡牌属性!R381),INDEX(新属性投放!$J$42:$J$62,卡牌属性!R381)))*INDEX($G$5:$G$42,L381)+IF(Q381=1,INDEX(新属性投放!R$20:R$23,卡牌属性!M381-1),INDEX(新属性投放!R$25:R$28,卡牌属性!M381-1)))/SQRT(INDEX($I$5:$I$42,L381)),2)</f>
        <v>25968.85</v>
      </c>
      <c r="U381" s="29" t="s">
        <v>178</v>
      </c>
      <c r="V381" s="14">
        <f>ROUND((IF(Q381=1,INDEX(新属性投放!$K$14:$K$34,卡牌属性!R381),INDEX(新属性投放!$K$42:$K$62,卡牌属性!R381))+IF(Q381=1,INDEX(新属性投放!S$20:S$23,卡牌属性!M381-1),INDEX(新属性投放!S$25:S$28,卡牌属性!M381-1)))*INDEX($G$5:$G$42,L381),2)</f>
        <v>12845.87</v>
      </c>
      <c r="W381" s="29" t="s">
        <v>179</v>
      </c>
      <c r="X381" s="14">
        <f>ROUND((IF(Q381=1,INDEX(新属性投放!$L$14:$L$34,卡牌属性!R381),INDEX(新属性投放!$L$42:$L$62,卡牌属性!R381))*INDEX($G$5:$G$42,L381)+IF(Q381=1,INDEX(新属性投放!T$20:T$23,卡牌属性!M381-1),INDEX(新属性投放!T$25:T$28,卡牌属性!M381-1)))*SQRT(INDEX($I$5:$I$42,L381)),2)</f>
        <v>138750.70000000001</v>
      </c>
      <c r="Y381" s="29" t="s">
        <v>177</v>
      </c>
      <c r="Z381" s="14">
        <f>ROUND(IF(Q381=1,INDEX(新属性投放!$D$14:$D$34,卡牌属性!R381),INDEX(新属性投放!$D$42:$D$62,卡牌属性!R381))*INDEX($G$5:$G$42,L381)/SQRT(INDEX($I$5:$I$42,L381)),2)</f>
        <v>639.1</v>
      </c>
      <c r="AA381" s="29" t="s">
        <v>178</v>
      </c>
      <c r="AB381" s="14">
        <f>ROUND(IF(Q381=1,INDEX(新属性投放!$E$14:$E$34,卡牌属性!R381),INDEX(新属性投放!$E$42:$E$62,卡牌属性!R381))*INDEX($G$5:$G$42,L381),2)</f>
        <v>319.55</v>
      </c>
      <c r="AC381" s="29" t="s">
        <v>179</v>
      </c>
      <c r="AD381" s="14">
        <f>ROUND(IF(Q381=1,INDEX(新属性投放!$F$14:$F$34,卡牌属性!R381),INDEX(新属性投放!$F$42:$F$62,卡牌属性!R381))*INDEX($G$5:$G$42,L381)*SQRT(INDEX($I$5:$I$42,L381)),2)</f>
        <v>2875</v>
      </c>
      <c r="AF381" s="14">
        <f t="shared" si="148"/>
        <v>6391</v>
      </c>
      <c r="AG381" s="14">
        <f t="shared" si="149"/>
        <v>3195</v>
      </c>
      <c r="AH381" s="14">
        <f t="shared" si="150"/>
        <v>28750</v>
      </c>
      <c r="AJ381" s="14">
        <f t="shared" si="160"/>
        <v>43665</v>
      </c>
      <c r="AK381" s="14">
        <f t="shared" si="161"/>
        <v>21828</v>
      </c>
      <c r="AL381" s="14">
        <f t="shared" si="162"/>
        <v>196403</v>
      </c>
    </row>
    <row r="382" spans="11:38" ht="16.5" x14ac:dyDescent="0.2">
      <c r="K382" s="13">
        <v>379</v>
      </c>
      <c r="L382" s="13">
        <f t="shared" si="142"/>
        <v>19</v>
      </c>
      <c r="M382" s="13">
        <f t="shared" si="143"/>
        <v>3</v>
      </c>
      <c r="N382" s="14">
        <f t="shared" si="144"/>
        <v>1102003</v>
      </c>
      <c r="O382" s="14" t="str">
        <f t="shared" si="145"/>
        <v>典韦1突</v>
      </c>
      <c r="P382" s="29" t="s">
        <v>470</v>
      </c>
      <c r="Q382" s="14">
        <f t="shared" si="146"/>
        <v>2</v>
      </c>
      <c r="R382" s="14">
        <f t="shared" si="147"/>
        <v>1</v>
      </c>
      <c r="S382" s="14" t="s">
        <v>39</v>
      </c>
      <c r="T382" s="14">
        <f>ROUND(((IF(Q382=1,INDEX(新属性投放!$J$14:$J$34,卡牌属性!R382),INDEX(新属性投放!$J$42:$J$62,卡牌属性!R382)))*INDEX($G$5:$G$42,L382)+IF(Q382=1,INDEX(新属性投放!R$20:R$23,卡牌属性!M382-1),INDEX(新属性投放!R$25:R$28,卡牌属性!M382-1)))/SQRT(INDEX($I$5:$I$42,L382)),2)</f>
        <v>502.5</v>
      </c>
      <c r="U382" s="29" t="s">
        <v>178</v>
      </c>
      <c r="V382" s="14">
        <f>ROUND((IF(Q382=1,INDEX(新属性投放!$K$14:$K$34,卡牌属性!R382),INDEX(新属性投放!$K$42:$K$62,卡牌属性!R382))+IF(Q382=1,INDEX(新属性投放!S$20:S$23,卡牌属性!M382-1),INDEX(新属性投放!S$25:S$28,卡牌属性!M382-1)))*INDEX($G$5:$G$42,L382),2)</f>
        <v>115</v>
      </c>
      <c r="W382" s="29" t="s">
        <v>179</v>
      </c>
      <c r="X382" s="14">
        <f>ROUND((IF(Q382=1,INDEX(新属性投放!$L$14:$L$34,卡牌属性!R382),INDEX(新属性投放!$L$42:$L$62,卡牌属性!R382))*INDEX($G$5:$G$42,L382)+IF(Q382=1,INDEX(新属性投放!T$20:T$23,卡牌属性!M382-1),INDEX(新属性投放!T$25:T$28,卡牌属性!M382-1)))*SQRT(INDEX($I$5:$I$42,L382)),2)</f>
        <v>1362.5</v>
      </c>
      <c r="Y382" s="29" t="s">
        <v>177</v>
      </c>
      <c r="Z382" s="14">
        <f>ROUND(IF(Q382=1,INDEX(新属性投放!$D$14:$D$34,卡牌属性!R382),INDEX(新属性投放!$D$42:$D$62,卡牌属性!R382))*INDEX($G$5:$G$42,L382)/SQRT(INDEX($I$5:$I$42,L382)),2)</f>
        <v>17.25</v>
      </c>
      <c r="AA382" s="29" t="s">
        <v>178</v>
      </c>
      <c r="AB382" s="14">
        <f>ROUND(IF(Q382=1,INDEX(新属性投放!$E$14:$E$34,卡牌属性!R382),INDEX(新属性投放!$E$42:$E$62,卡牌属性!R382))*INDEX($G$5:$G$42,L382),2)</f>
        <v>8.6300000000000008</v>
      </c>
      <c r="AC382" s="29" t="s">
        <v>179</v>
      </c>
      <c r="AD382" s="14">
        <f>ROUND(IF(Q382=1,INDEX(新属性投放!$F$14:$F$34,卡牌属性!R382),INDEX(新属性投放!$F$42:$F$62,卡牌属性!R382))*INDEX($G$5:$G$42,L382)*SQRT(INDEX($I$5:$I$42,L382)),2)</f>
        <v>77.05</v>
      </c>
      <c r="AF382" s="14">
        <f t="shared" si="148"/>
        <v>172</v>
      </c>
      <c r="AG382" s="14">
        <f t="shared" si="149"/>
        <v>86</v>
      </c>
      <c r="AH382" s="14">
        <f t="shared" si="150"/>
        <v>770</v>
      </c>
      <c r="AJ382" s="14">
        <f t="shared" ref="AJ382" si="163">AF382</f>
        <v>172</v>
      </c>
      <c r="AK382" s="14">
        <f t="shared" ref="AK382" si="164">AG382</f>
        <v>86</v>
      </c>
      <c r="AL382" s="14">
        <f t="shared" ref="AL382" si="165">AH382</f>
        <v>770</v>
      </c>
    </row>
    <row r="383" spans="11:38" ht="16.5" x14ac:dyDescent="0.2">
      <c r="K383" s="13">
        <v>380</v>
      </c>
      <c r="L383" s="13">
        <f t="shared" si="142"/>
        <v>19</v>
      </c>
      <c r="M383" s="13">
        <f t="shared" si="143"/>
        <v>3</v>
      </c>
      <c r="N383" s="14">
        <f t="shared" si="144"/>
        <v>1102003</v>
      </c>
      <c r="O383" s="14" t="str">
        <f t="shared" si="145"/>
        <v>典韦2突</v>
      </c>
      <c r="P383" s="29" t="s">
        <v>470</v>
      </c>
      <c r="Q383" s="14">
        <f t="shared" si="146"/>
        <v>2</v>
      </c>
      <c r="R383" s="14">
        <f t="shared" si="147"/>
        <v>2</v>
      </c>
      <c r="S383" s="14" t="s">
        <v>39</v>
      </c>
      <c r="T383" s="14">
        <f>ROUND(((IF(Q383=1,INDEX(新属性投放!$J$14:$J$34,卡牌属性!R383),INDEX(新属性投放!$J$42:$J$62,卡牌属性!R383)))*INDEX($G$5:$G$42,L383)+IF(Q383=1,INDEX(新属性投放!R$20:R$23,卡牌属性!M383-1),INDEX(新属性投放!R$25:R$28,卡牌属性!M383-1)))/SQRT(INDEX($I$5:$I$42,L383)),2)</f>
        <v>686.5</v>
      </c>
      <c r="U383" s="29" t="s">
        <v>178</v>
      </c>
      <c r="V383" s="14">
        <f>ROUND((IF(Q383=1,INDEX(新属性投放!$K$14:$K$34,卡牌属性!R383),INDEX(新属性投放!$K$42:$K$62,卡牌属性!R383))+IF(Q383=1,INDEX(新属性投放!S$20:S$23,卡牌属性!M383-1),INDEX(新属性投放!S$25:S$28,卡牌属性!M383-1)))*INDEX($G$5:$G$42,L383),2)</f>
        <v>204.13</v>
      </c>
      <c r="W383" s="29" t="s">
        <v>179</v>
      </c>
      <c r="X383" s="14">
        <f>ROUND((IF(Q383=1,INDEX(新属性投放!$L$14:$L$34,卡牌属性!R383),INDEX(新属性投放!$L$42:$L$62,卡牌属性!R383))*INDEX($G$5:$G$42,L383)+IF(Q383=1,INDEX(新属性投放!T$20:T$23,卡牌属性!M383-1),INDEX(新属性投放!T$25:T$28,卡牌属性!M383-1)))*SQRT(INDEX($I$5:$I$42,L383)),2)</f>
        <v>2314.6999999999998</v>
      </c>
      <c r="Y383" s="29" t="s">
        <v>177</v>
      </c>
      <c r="Z383" s="14">
        <f>ROUND(IF(Q383=1,INDEX(新属性投放!$D$14:$D$34,卡牌属性!R383),INDEX(新属性投放!$D$42:$D$62,卡牌属性!R383))*INDEX($G$5:$G$42,L383)/SQRT(INDEX($I$5:$I$42,L383)),2)</f>
        <v>15.84</v>
      </c>
      <c r="AA383" s="29" t="s">
        <v>178</v>
      </c>
      <c r="AB383" s="14">
        <f>ROUND(IF(Q383=1,INDEX(新属性投放!$E$14:$E$34,卡牌属性!R383),INDEX(新属性投放!$E$42:$E$62,卡牌属性!R383))*INDEX($G$5:$G$42,L383),2)</f>
        <v>7.92</v>
      </c>
      <c r="AC383" s="29" t="s">
        <v>179</v>
      </c>
      <c r="AD383" s="14">
        <f>ROUND(IF(Q383=1,INDEX(新属性投放!$F$14:$F$34,卡牌属性!R383),INDEX(新属性投放!$F$42:$F$62,卡牌属性!R383))*INDEX($G$5:$G$42,L383)*SQRT(INDEX($I$5:$I$42,L383)),2)</f>
        <v>70.150000000000006</v>
      </c>
      <c r="AF383" s="14">
        <f t="shared" si="148"/>
        <v>158</v>
      </c>
      <c r="AG383" s="14">
        <f t="shared" si="149"/>
        <v>79</v>
      </c>
      <c r="AH383" s="14">
        <f t="shared" si="150"/>
        <v>701</v>
      </c>
      <c r="AJ383" s="14">
        <f t="shared" ref="AJ383:AJ402" si="166">AJ382+AF383</f>
        <v>330</v>
      </c>
      <c r="AK383" s="14">
        <f t="shared" ref="AK383:AK402" si="167">AK382+AG383</f>
        <v>165</v>
      </c>
      <c r="AL383" s="14">
        <f t="shared" ref="AL383:AL402" si="168">AL382+AH383</f>
        <v>1471</v>
      </c>
    </row>
    <row r="384" spans="11:38" ht="16.5" x14ac:dyDescent="0.2">
      <c r="K384" s="13">
        <v>381</v>
      </c>
      <c r="L384" s="13">
        <f t="shared" si="142"/>
        <v>19</v>
      </c>
      <c r="M384" s="13">
        <f t="shared" si="143"/>
        <v>3</v>
      </c>
      <c r="N384" s="14">
        <f t="shared" si="144"/>
        <v>1102003</v>
      </c>
      <c r="O384" s="14" t="str">
        <f t="shared" si="145"/>
        <v>典韦3突</v>
      </c>
      <c r="P384" s="29" t="s">
        <v>470</v>
      </c>
      <c r="Q384" s="14">
        <f t="shared" si="146"/>
        <v>2</v>
      </c>
      <c r="R384" s="14">
        <f t="shared" si="147"/>
        <v>3</v>
      </c>
      <c r="S384" s="14" t="s">
        <v>39</v>
      </c>
      <c r="T384" s="14">
        <f>ROUND(((IF(Q384=1,INDEX(新属性投放!$J$14:$J$34,卡牌属性!R384),INDEX(新属性投放!$J$42:$J$62,卡牌属性!R384)))*INDEX($G$5:$G$42,L384)+IF(Q384=1,INDEX(新属性投放!R$20:R$23,卡牌属性!M384-1),INDEX(新属性投放!R$25:R$28,卡牌属性!M384-1)))/SQRT(INDEX($I$5:$I$42,L384)),2)</f>
        <v>883.96</v>
      </c>
      <c r="U384" s="29" t="s">
        <v>178</v>
      </c>
      <c r="V384" s="14">
        <f>ROUND((IF(Q384=1,INDEX(新属性投放!$K$14:$K$34,卡牌属性!R384),INDEX(新属性投放!$K$42:$K$62,卡牌属性!R384))+IF(Q384=1,INDEX(新属性投放!S$20:S$23,卡牌属性!M384-1),INDEX(新属性投放!S$25:S$28,卡牌属性!M384-1)))*INDEX($G$5:$G$42,L384),2)</f>
        <v>302.85000000000002</v>
      </c>
      <c r="W384" s="29" t="s">
        <v>179</v>
      </c>
      <c r="X384" s="14">
        <f>ROUND((IF(Q384=1,INDEX(新属性投放!$L$14:$L$34,卡牌属性!R384),INDEX(新属性投放!$L$42:$L$62,卡牌属性!R384))*INDEX($G$5:$G$42,L384)+IF(Q384=1,INDEX(新属性投放!T$20:T$23,卡牌属性!M384-1),INDEX(新属性投放!T$25:T$28,卡牌属性!M384-1)))*SQRT(INDEX($I$5:$I$42,L384)),2)</f>
        <v>3368.1</v>
      </c>
      <c r="Y384" s="29" t="s">
        <v>177</v>
      </c>
      <c r="Z384" s="14">
        <f>ROUND(IF(Q384=1,INDEX(新属性投放!$D$14:$D$34,卡牌属性!R384),INDEX(新属性投放!$D$42:$D$62,卡牌属性!R384))*INDEX($G$5:$G$42,L384)/SQRT(INDEX($I$5:$I$42,L384)),2)</f>
        <v>28.95</v>
      </c>
      <c r="AA384" s="29" t="s">
        <v>178</v>
      </c>
      <c r="AB384" s="14">
        <f>ROUND(IF(Q384=1,INDEX(新属性投放!$E$14:$E$34,卡牌属性!R384),INDEX(新属性投放!$E$42:$E$62,卡牌属性!R384))*INDEX($G$5:$G$42,L384),2)</f>
        <v>14.47</v>
      </c>
      <c r="AC384" s="29" t="s">
        <v>179</v>
      </c>
      <c r="AD384" s="14">
        <f>ROUND(IF(Q384=1,INDEX(新属性投放!$F$14:$F$34,卡牌属性!R384),INDEX(新属性投放!$F$42:$F$62,卡牌属性!R384))*INDEX($G$5:$G$42,L384)*SQRT(INDEX($I$5:$I$42,L384)),2)</f>
        <v>129.94999999999999</v>
      </c>
      <c r="AF384" s="14">
        <f t="shared" si="148"/>
        <v>289</v>
      </c>
      <c r="AG384" s="14">
        <f t="shared" si="149"/>
        <v>144</v>
      </c>
      <c r="AH384" s="14">
        <f t="shared" si="150"/>
        <v>1299</v>
      </c>
      <c r="AJ384" s="14">
        <f t="shared" si="166"/>
        <v>619</v>
      </c>
      <c r="AK384" s="14">
        <f t="shared" si="167"/>
        <v>309</v>
      </c>
      <c r="AL384" s="14">
        <f t="shared" si="168"/>
        <v>2770</v>
      </c>
    </row>
    <row r="385" spans="11:38" ht="16.5" x14ac:dyDescent="0.2">
      <c r="K385" s="13">
        <v>382</v>
      </c>
      <c r="L385" s="13">
        <f t="shared" si="142"/>
        <v>19</v>
      </c>
      <c r="M385" s="13">
        <f t="shared" si="143"/>
        <v>3</v>
      </c>
      <c r="N385" s="14">
        <f t="shared" si="144"/>
        <v>1102003</v>
      </c>
      <c r="O385" s="14" t="str">
        <f t="shared" si="145"/>
        <v>典韦4突</v>
      </c>
      <c r="P385" s="29" t="s">
        <v>470</v>
      </c>
      <c r="Q385" s="14">
        <f t="shared" si="146"/>
        <v>2</v>
      </c>
      <c r="R385" s="14">
        <f t="shared" si="147"/>
        <v>4</v>
      </c>
      <c r="S385" s="14" t="s">
        <v>39</v>
      </c>
      <c r="T385" s="14">
        <f>ROUND(((IF(Q385=1,INDEX(新属性投放!$J$14:$J$34,卡牌属性!R385),INDEX(新属性投放!$J$42:$J$62,卡牌属性!R385)))*INDEX($G$5:$G$42,L385)+IF(Q385=1,INDEX(新属性投放!R$20:R$23,卡牌属性!M385-1),INDEX(新属性投放!R$25:R$28,卡牌属性!M385-1)))/SQRT(INDEX($I$5:$I$42,L385)),2)</f>
        <v>1245.8599999999999</v>
      </c>
      <c r="U385" s="29" t="s">
        <v>178</v>
      </c>
      <c r="V385" s="14">
        <f>ROUND((IF(Q385=1,INDEX(新属性投放!$K$14:$K$34,卡牌属性!R385),INDEX(新属性投放!$K$42:$K$62,卡牌属性!R385))+IF(Q385=1,INDEX(新属性投放!S$20:S$23,卡牌属性!M385-1),INDEX(新属性投放!S$25:S$28,卡牌属性!M385-1)))*INDEX($G$5:$G$42,L385),2)</f>
        <v>483.23</v>
      </c>
      <c r="W385" s="29" t="s">
        <v>179</v>
      </c>
      <c r="X385" s="14">
        <f>ROUND((IF(Q385=1,INDEX(新属性投放!$L$14:$L$34,卡牌属性!R385),INDEX(新属性投放!$L$42:$L$62,卡牌属性!R385))*INDEX($G$5:$G$42,L385)+IF(Q385=1,INDEX(新属性投放!T$20:T$23,卡牌属性!M385-1),INDEX(新属性投放!T$25:T$28,卡牌属性!M385-1)))*SQRT(INDEX($I$5:$I$42,L385)),2)</f>
        <v>5319.65</v>
      </c>
      <c r="Y385" s="29" t="s">
        <v>177</v>
      </c>
      <c r="Z385" s="14">
        <f>ROUND(IF(Q385=1,INDEX(新属性投放!$D$14:$D$34,卡牌属性!R385),INDEX(新属性投放!$D$42:$D$62,卡牌属性!R385))*INDEX($G$5:$G$42,L385)/SQRT(INDEX($I$5:$I$42,L385)),2)</f>
        <v>34.65</v>
      </c>
      <c r="AA385" s="29" t="s">
        <v>178</v>
      </c>
      <c r="AB385" s="14">
        <f>ROUND(IF(Q385=1,INDEX(新属性投放!$E$14:$E$34,卡牌属性!R385),INDEX(新属性投放!$E$42:$E$62,卡牌属性!R385))*INDEX($G$5:$G$42,L385),2)</f>
        <v>17.32</v>
      </c>
      <c r="AC385" s="29" t="s">
        <v>179</v>
      </c>
      <c r="AD385" s="14">
        <f>ROUND(IF(Q385=1,INDEX(新属性投放!$F$14:$F$34,卡牌属性!R385),INDEX(新属性投放!$F$42:$F$62,卡牌属性!R385))*INDEX($G$5:$G$42,L385)*SQRT(INDEX($I$5:$I$42,L385)),2)</f>
        <v>155.25</v>
      </c>
      <c r="AF385" s="14">
        <f t="shared" si="148"/>
        <v>346</v>
      </c>
      <c r="AG385" s="14">
        <f t="shared" si="149"/>
        <v>173</v>
      </c>
      <c r="AH385" s="14">
        <f t="shared" si="150"/>
        <v>1552</v>
      </c>
      <c r="AJ385" s="14">
        <f t="shared" si="166"/>
        <v>965</v>
      </c>
      <c r="AK385" s="14">
        <f t="shared" si="167"/>
        <v>482</v>
      </c>
      <c r="AL385" s="14">
        <f t="shared" si="168"/>
        <v>4322</v>
      </c>
    </row>
    <row r="386" spans="11:38" ht="16.5" x14ac:dyDescent="0.2">
      <c r="K386" s="13">
        <v>383</v>
      </c>
      <c r="L386" s="13">
        <f t="shared" si="142"/>
        <v>19</v>
      </c>
      <c r="M386" s="13">
        <f t="shared" si="143"/>
        <v>3</v>
      </c>
      <c r="N386" s="14">
        <f t="shared" si="144"/>
        <v>1102003</v>
      </c>
      <c r="O386" s="14" t="str">
        <f t="shared" si="145"/>
        <v>典韦5突</v>
      </c>
      <c r="P386" s="29" t="s">
        <v>470</v>
      </c>
      <c r="Q386" s="14">
        <f t="shared" si="146"/>
        <v>2</v>
      </c>
      <c r="R386" s="14">
        <f t="shared" si="147"/>
        <v>5</v>
      </c>
      <c r="S386" s="14" t="s">
        <v>39</v>
      </c>
      <c r="T386" s="14">
        <f>ROUND(((IF(Q386=1,INDEX(新属性投放!$J$14:$J$34,卡牌属性!R386),INDEX(新属性投放!$J$42:$J$62,卡牌属性!R386)))*INDEX($G$5:$G$42,L386)+IF(Q386=1,INDEX(新属性投放!R$20:R$23,卡牌属性!M386-1),INDEX(新属性投放!R$25:R$28,卡牌属性!M386-1)))/SQRT(INDEX($I$5:$I$42,L386)),2)</f>
        <v>1678.61</v>
      </c>
      <c r="U386" s="29" t="s">
        <v>178</v>
      </c>
      <c r="V386" s="14">
        <f>ROUND((IF(Q386=1,INDEX(新属性投放!$K$14:$K$34,卡牌属性!R386),INDEX(新属性投放!$K$42:$K$62,卡牌属性!R386))+IF(Q386=1,INDEX(新属性投放!S$20:S$23,卡牌属性!M386-1),INDEX(新属性投放!S$25:S$28,卡牌属性!M386-1)))*INDEX($G$5:$G$42,L386),2)</f>
        <v>700.18</v>
      </c>
      <c r="W386" s="29" t="s">
        <v>179</v>
      </c>
      <c r="X386" s="14">
        <f>ROUND((IF(Q386=1,INDEX(新属性投放!$L$14:$L$34,卡牌属性!R386),INDEX(新属性投放!$L$42:$L$62,卡牌属性!R386))*INDEX($G$5:$G$42,L386)+IF(Q386=1,INDEX(新属性投放!T$20:T$23,卡牌属性!M386-1),INDEX(新属性投放!T$25:T$28,卡牌属性!M386-1)))*SQRT(INDEX($I$5:$I$42,L386)),2)</f>
        <v>7648.4</v>
      </c>
      <c r="Y386" s="29" t="s">
        <v>177</v>
      </c>
      <c r="Z386" s="14">
        <f>ROUND(IF(Q386=1,INDEX(新属性投放!$D$14:$D$34,卡牌属性!R386),INDEX(新属性投放!$D$42:$D$62,卡牌属性!R386))*INDEX($G$5:$G$42,L386)/SQRT(INDEX($I$5:$I$42,L386)),2)</f>
        <v>43.31</v>
      </c>
      <c r="AA386" s="29" t="s">
        <v>178</v>
      </c>
      <c r="AB386" s="14">
        <f>ROUND(IF(Q386=1,INDEX(新属性投放!$E$14:$E$34,卡牌属性!R386),INDEX(新属性投放!$E$42:$E$62,卡牌属性!R386))*INDEX($G$5:$G$42,L386),2)</f>
        <v>21.65</v>
      </c>
      <c r="AC386" s="29" t="s">
        <v>179</v>
      </c>
      <c r="AD386" s="14">
        <f>ROUND(IF(Q386=1,INDEX(新属性投放!$F$14:$F$34,卡牌属性!R386),INDEX(新属性投放!$F$42:$F$62,卡牌属性!R386))*INDEX($G$5:$G$42,L386)*SQRT(INDEX($I$5:$I$42,L386)),2)</f>
        <v>194.35</v>
      </c>
      <c r="AF386" s="14">
        <f t="shared" si="148"/>
        <v>433</v>
      </c>
      <c r="AG386" s="14">
        <f t="shared" si="149"/>
        <v>216</v>
      </c>
      <c r="AH386" s="14">
        <f t="shared" si="150"/>
        <v>1943</v>
      </c>
      <c r="AJ386" s="14">
        <f t="shared" si="166"/>
        <v>1398</v>
      </c>
      <c r="AK386" s="14">
        <f t="shared" si="167"/>
        <v>698</v>
      </c>
      <c r="AL386" s="14">
        <f t="shared" si="168"/>
        <v>6265</v>
      </c>
    </row>
    <row r="387" spans="11:38" ht="16.5" x14ac:dyDescent="0.2">
      <c r="K387" s="13">
        <v>384</v>
      </c>
      <c r="L387" s="13">
        <f t="shared" si="142"/>
        <v>19</v>
      </c>
      <c r="M387" s="13">
        <f t="shared" si="143"/>
        <v>3</v>
      </c>
      <c r="N387" s="14">
        <f t="shared" si="144"/>
        <v>1102003</v>
      </c>
      <c r="O387" s="14" t="str">
        <f t="shared" si="145"/>
        <v>典韦6突</v>
      </c>
      <c r="P387" s="29" t="s">
        <v>470</v>
      </c>
      <c r="Q387" s="14">
        <f t="shared" si="146"/>
        <v>2</v>
      </c>
      <c r="R387" s="14">
        <f t="shared" si="147"/>
        <v>6</v>
      </c>
      <c r="S387" s="14" t="s">
        <v>39</v>
      </c>
      <c r="T387" s="14">
        <f>ROUND(((IF(Q387=1,INDEX(新属性投放!$J$14:$J$34,卡牌属性!R387),INDEX(新属性投放!$J$42:$J$62,卡牌属性!R387)))*INDEX($G$5:$G$42,L387)+IF(Q387=1,INDEX(新属性投放!R$20:R$23,卡牌属性!M387-1),INDEX(新属性投放!R$25:R$28,卡牌属性!M387-1)))/SQRT(INDEX($I$5:$I$42,L387)),2)</f>
        <v>2219.8000000000002</v>
      </c>
      <c r="U387" s="29" t="s">
        <v>178</v>
      </c>
      <c r="V387" s="14">
        <f>ROUND((IF(Q387=1,INDEX(新属性投放!$K$14:$K$34,卡牌属性!R387),INDEX(新属性投放!$K$42:$K$62,卡牌属性!R387))+IF(Q387=1,INDEX(新属性投放!S$20:S$23,卡牌属性!M387-1),INDEX(新属性投放!S$25:S$28,卡牌属性!M387-1)))*INDEX($G$5:$G$42,L387),2)</f>
        <v>970.77</v>
      </c>
      <c r="W387" s="29" t="s">
        <v>179</v>
      </c>
      <c r="X387" s="14">
        <f>ROUND((IF(Q387=1,INDEX(新属性投放!$L$14:$L$34,卡牌属性!R387),INDEX(新属性投放!$L$42:$L$62,卡牌属性!R387))*INDEX($G$5:$G$42,L387)+IF(Q387=1,INDEX(新属性投放!T$20:T$23,卡牌属性!M387-1),INDEX(新属性投放!T$25:T$28,卡牌属性!M387-1)))*SQRT(INDEX($I$5:$I$42,L387)),2)</f>
        <v>10564.8</v>
      </c>
      <c r="Y387" s="29" t="s">
        <v>177</v>
      </c>
      <c r="Z387" s="14">
        <f>ROUND(IF(Q387=1,INDEX(新属性投放!$D$14:$D$34,卡牌属性!R387),INDEX(新属性投放!$D$42:$D$62,卡牌属性!R387))*INDEX($G$5:$G$42,L387)/SQRT(INDEX($I$5:$I$42,L387)),2)</f>
        <v>56.18</v>
      </c>
      <c r="AA387" s="29" t="s">
        <v>178</v>
      </c>
      <c r="AB387" s="14">
        <f>ROUND(IF(Q387=1,INDEX(新属性投放!$E$14:$E$34,卡牌属性!R387),INDEX(新属性投放!$E$42:$E$62,卡牌属性!R387))*INDEX($G$5:$G$42,L387),2)</f>
        <v>28.09</v>
      </c>
      <c r="AC387" s="29" t="s">
        <v>179</v>
      </c>
      <c r="AD387" s="14">
        <f>ROUND(IF(Q387=1,INDEX(新属性投放!$F$14:$F$34,卡牌属性!R387),INDEX(新属性投放!$F$42:$F$62,卡牌属性!R387))*INDEX($G$5:$G$42,L387)*SQRT(INDEX($I$5:$I$42,L387)),2)</f>
        <v>251.85</v>
      </c>
      <c r="AF387" s="14">
        <f t="shared" si="148"/>
        <v>561</v>
      </c>
      <c r="AG387" s="14">
        <f t="shared" si="149"/>
        <v>280</v>
      </c>
      <c r="AH387" s="14">
        <f t="shared" si="150"/>
        <v>2518</v>
      </c>
      <c r="AJ387" s="14">
        <f t="shared" si="166"/>
        <v>1959</v>
      </c>
      <c r="AK387" s="14">
        <f t="shared" si="167"/>
        <v>978</v>
      </c>
      <c r="AL387" s="14">
        <f t="shared" si="168"/>
        <v>8783</v>
      </c>
    </row>
    <row r="388" spans="11:38" ht="16.5" x14ac:dyDescent="0.2">
      <c r="K388" s="13">
        <v>385</v>
      </c>
      <c r="L388" s="13">
        <f t="shared" si="142"/>
        <v>19</v>
      </c>
      <c r="M388" s="13">
        <f t="shared" si="143"/>
        <v>3</v>
      </c>
      <c r="N388" s="14">
        <f t="shared" si="144"/>
        <v>1102003</v>
      </c>
      <c r="O388" s="14" t="str">
        <f t="shared" si="145"/>
        <v>典韦7突</v>
      </c>
      <c r="P388" s="29" t="s">
        <v>470</v>
      </c>
      <c r="Q388" s="14">
        <f t="shared" si="146"/>
        <v>2</v>
      </c>
      <c r="R388" s="14">
        <f t="shared" si="147"/>
        <v>7</v>
      </c>
      <c r="S388" s="14" t="s">
        <v>39</v>
      </c>
      <c r="T388" s="14">
        <f>ROUND(((IF(Q388=1,INDEX(新属性投放!$J$14:$J$34,卡牌属性!R388),INDEX(新属性投放!$J$42:$J$62,卡牌属性!R388)))*INDEX($G$5:$G$42,L388)+IF(Q388=1,INDEX(新属性投放!R$20:R$23,卡牌属性!M388-1),INDEX(新属性投放!R$25:R$28,卡牌属性!M388-1)))/SQRT(INDEX($I$5:$I$42,L388)),2)</f>
        <v>2921.87</v>
      </c>
      <c r="U388" s="29" t="s">
        <v>178</v>
      </c>
      <c r="V388" s="14">
        <f>ROUND((IF(Q388=1,INDEX(新属性投放!$K$14:$K$34,卡牌属性!R388),INDEX(新属性投放!$K$42:$K$62,卡牌属性!R388))+IF(Q388=1,INDEX(新属性投放!S$20:S$23,卡牌属性!M388-1),INDEX(新属性投放!S$25:S$28,卡牌属性!M388-1)))*INDEX($G$5:$G$42,L388),2)</f>
        <v>1321.81</v>
      </c>
      <c r="W388" s="29" t="s">
        <v>179</v>
      </c>
      <c r="X388" s="14">
        <f>ROUND((IF(Q388=1,INDEX(新属性投放!$L$14:$L$34,卡牌属性!R388),INDEX(新属性投放!$L$42:$L$62,卡牌属性!R388))*INDEX($G$5:$G$42,L388)+IF(Q388=1,INDEX(新属性投放!T$20:T$23,卡牌属性!M388-1),INDEX(新属性投放!T$25:T$28,卡牌属性!M388-1)))*SQRT(INDEX($I$5:$I$42,L388)),2)</f>
        <v>14346</v>
      </c>
      <c r="Y388" s="29" t="s">
        <v>177</v>
      </c>
      <c r="Z388" s="14">
        <f>ROUND(IF(Q388=1,INDEX(新属性投放!$D$14:$D$34,卡牌属性!R388),INDEX(新属性投放!$D$42:$D$62,卡牌属性!R388))*INDEX($G$5:$G$42,L388)/SQRT(INDEX($I$5:$I$42,L388)),2)</f>
        <v>69.22</v>
      </c>
      <c r="AA388" s="29" t="s">
        <v>178</v>
      </c>
      <c r="AB388" s="14">
        <f>ROUND(IF(Q388=1,INDEX(新属性投放!$E$14:$E$34,卡牌属性!R388),INDEX(新属性投放!$E$42:$E$62,卡牌属性!R388))*INDEX($G$5:$G$42,L388),2)</f>
        <v>34.61</v>
      </c>
      <c r="AC388" s="29" t="s">
        <v>179</v>
      </c>
      <c r="AD388" s="14">
        <f>ROUND(IF(Q388=1,INDEX(新属性投放!$F$14:$F$34,卡牌属性!R388),INDEX(新属性投放!$F$42:$F$62,卡牌属性!R388))*INDEX($G$5:$G$42,L388)*SQRT(INDEX($I$5:$I$42,L388)),2)</f>
        <v>310.5</v>
      </c>
      <c r="AF388" s="14">
        <f t="shared" si="148"/>
        <v>692</v>
      </c>
      <c r="AG388" s="14">
        <f t="shared" si="149"/>
        <v>346</v>
      </c>
      <c r="AH388" s="14">
        <f t="shared" si="150"/>
        <v>3105</v>
      </c>
      <c r="AJ388" s="14">
        <f t="shared" si="166"/>
        <v>2651</v>
      </c>
      <c r="AK388" s="14">
        <f t="shared" si="167"/>
        <v>1324</v>
      </c>
      <c r="AL388" s="14">
        <f t="shared" si="168"/>
        <v>11888</v>
      </c>
    </row>
    <row r="389" spans="11:38" ht="16.5" x14ac:dyDescent="0.2">
      <c r="K389" s="13">
        <v>386</v>
      </c>
      <c r="L389" s="13">
        <f t="shared" ref="L389:L452" si="169">MATCH(K389-1,$F$4:$F$41,1)</f>
        <v>19</v>
      </c>
      <c r="M389" s="13">
        <f t="shared" ref="M389:M452" si="170">INDEX($D$5:$D$42,L389)</f>
        <v>3</v>
      </c>
      <c r="N389" s="14">
        <f t="shared" ref="N389:N452" si="171">INDEX($A$4:$A$42,L389+1)</f>
        <v>1102003</v>
      </c>
      <c r="O389" s="14" t="str">
        <f t="shared" ref="O389:O452" si="172">INDEX($B$4:$B$42,MATCH(N389,$A$4:$A$42,0))&amp;R389&amp;"突"</f>
        <v>典韦8突</v>
      </c>
      <c r="P389" s="29" t="s">
        <v>470</v>
      </c>
      <c r="Q389" s="14">
        <f t="shared" ref="Q389:Q452" si="173">INDEX($C$4:$C$42,L389+1)</f>
        <v>2</v>
      </c>
      <c r="R389" s="14">
        <f t="shared" ref="R389:R452" si="174">K389-INDEX($F$4:$F$42,L389)</f>
        <v>8</v>
      </c>
      <c r="S389" s="14" t="s">
        <v>39</v>
      </c>
      <c r="T389" s="14">
        <f>ROUND(((IF(Q389=1,INDEX(新属性投放!$J$14:$J$34,卡牌属性!R389),INDEX(新属性投放!$J$42:$J$62,卡牌属性!R389)))*INDEX($G$5:$G$42,L389)+IF(Q389=1,INDEX(新属性投放!R$20:R$23,卡牌属性!M389-1),INDEX(新属性投放!R$25:R$28,卡牌属性!M389-1)))/SQRT(INDEX($I$5:$I$42,L389)),2)</f>
        <v>3786.56</v>
      </c>
      <c r="U389" s="29" t="s">
        <v>178</v>
      </c>
      <c r="V389" s="14">
        <f>ROUND((IF(Q389=1,INDEX(新属性投放!$K$14:$K$34,卡牌属性!R389),INDEX(新属性投放!$K$42:$K$62,卡牌属性!R389))+IF(Q389=1,INDEX(新属性投放!S$20:S$23,卡牌属性!M389-1),INDEX(新属性投放!S$25:S$28,卡牌属性!M389-1)))*INDEX($G$5:$G$42,L389),2)</f>
        <v>1754.15</v>
      </c>
      <c r="W389" s="29" t="s">
        <v>179</v>
      </c>
      <c r="X389" s="14">
        <f>ROUND((IF(Q389=1,INDEX(新属性投放!$L$14:$L$34,卡牌属性!R389),INDEX(新属性投放!$L$42:$L$62,卡牌属性!R389))*INDEX($G$5:$G$42,L389)+IF(Q389=1,INDEX(新属性投放!T$20:T$23,卡牌属性!M389-1),INDEX(新属性投放!T$25:T$28,卡牌属性!M389-1)))*SQRT(INDEX($I$5:$I$42,L389)),2)</f>
        <v>19003.5</v>
      </c>
      <c r="Y389" s="29" t="s">
        <v>177</v>
      </c>
      <c r="Z389" s="14">
        <f>ROUND(IF(Q389=1,INDEX(新属性投放!$D$14:$D$34,卡牌属性!R389),INDEX(新属性投放!$D$42:$D$62,卡牌属性!R389))*INDEX($G$5:$G$42,L389)/SQRT(INDEX($I$5:$I$42,L389)),2)</f>
        <v>86.47</v>
      </c>
      <c r="AA389" s="29" t="s">
        <v>178</v>
      </c>
      <c r="AB389" s="14">
        <f>ROUND(IF(Q389=1,INDEX(新属性投放!$E$14:$E$34,卡牌属性!R389),INDEX(新属性投放!$E$42:$E$62,卡牌属性!R389))*INDEX($G$5:$G$42,L389),2)</f>
        <v>43.23</v>
      </c>
      <c r="AC389" s="29" t="s">
        <v>179</v>
      </c>
      <c r="AD389" s="14">
        <f>ROUND(IF(Q389=1,INDEX(新属性投放!$F$14:$F$34,卡牌属性!R389),INDEX(新属性投放!$F$42:$F$62,卡牌属性!R389))*INDEX($G$5:$G$42,L389)*SQRT(INDEX($I$5:$I$42,L389)),2)</f>
        <v>388.7</v>
      </c>
      <c r="AF389" s="14">
        <f t="shared" ref="AF389:AF452" si="175">INT(Z389*AF$2*10)</f>
        <v>864</v>
      </c>
      <c r="AG389" s="14">
        <f t="shared" ref="AG389:AG452" si="176">INT(AB389*AF$2*10)</f>
        <v>432</v>
      </c>
      <c r="AH389" s="14">
        <f t="shared" ref="AH389:AH452" si="177">INT(AD389*AF$2*10)</f>
        <v>3887</v>
      </c>
      <c r="AJ389" s="14">
        <f t="shared" si="166"/>
        <v>3515</v>
      </c>
      <c r="AK389" s="14">
        <f t="shared" si="167"/>
        <v>1756</v>
      </c>
      <c r="AL389" s="14">
        <f t="shared" si="168"/>
        <v>15775</v>
      </c>
    </row>
    <row r="390" spans="11:38" ht="16.5" x14ac:dyDescent="0.2">
      <c r="K390" s="13">
        <v>387</v>
      </c>
      <c r="L390" s="13">
        <f t="shared" si="169"/>
        <v>19</v>
      </c>
      <c r="M390" s="13">
        <f t="shared" si="170"/>
        <v>3</v>
      </c>
      <c r="N390" s="14">
        <f t="shared" si="171"/>
        <v>1102003</v>
      </c>
      <c r="O390" s="14" t="str">
        <f t="shared" si="172"/>
        <v>典韦9突</v>
      </c>
      <c r="P390" s="29" t="s">
        <v>470</v>
      </c>
      <c r="Q390" s="14">
        <f t="shared" si="173"/>
        <v>2</v>
      </c>
      <c r="R390" s="14">
        <f t="shared" si="174"/>
        <v>9</v>
      </c>
      <c r="S390" s="14" t="s">
        <v>39</v>
      </c>
      <c r="T390" s="14">
        <f>ROUND(((IF(Q390=1,INDEX(新属性投放!$J$14:$J$34,卡牌属性!R390),INDEX(新属性投放!$J$42:$J$62,卡牌属性!R390)))*INDEX($G$5:$G$42,L390)+IF(Q390=1,INDEX(新属性投放!R$20:R$23,卡牌属性!M390-1),INDEX(新属性投放!R$25:R$28,卡牌属性!M390-1)))/SQRT(INDEX($I$5:$I$42,L390)),2)</f>
        <v>4867.4399999999996</v>
      </c>
      <c r="U390" s="29" t="s">
        <v>178</v>
      </c>
      <c r="V390" s="14">
        <f>ROUND((IF(Q390=1,INDEX(新属性投放!$K$14:$K$34,卡牌属性!R390),INDEX(新属性投放!$K$42:$K$62,卡牌属性!R390))+IF(Q390=1,INDEX(新属性投放!S$20:S$23,卡牌属性!M390-1),INDEX(新属性投放!S$25:S$28,卡牌属性!M390-1)))*INDEX($G$5:$G$42,L390),2)</f>
        <v>2294.6</v>
      </c>
      <c r="W390" s="29" t="s">
        <v>179</v>
      </c>
      <c r="X390" s="14">
        <f>ROUND((IF(Q390=1,INDEX(新属性投放!$L$14:$L$34,卡牌属性!R390),INDEX(新属性投放!$L$42:$L$62,卡牌属性!R390))*INDEX($G$5:$G$42,L390)+IF(Q390=1,INDEX(新属性投放!T$20:T$23,卡牌属性!M390-1),INDEX(新属性投放!T$25:T$28,卡牌属性!M390-1)))*SQRT(INDEX($I$5:$I$42,L390)),2)</f>
        <v>24836.3</v>
      </c>
      <c r="Y390" s="29" t="s">
        <v>177</v>
      </c>
      <c r="Z390" s="14">
        <f>ROUND(IF(Q390=1,INDEX(新属性投放!$D$14:$D$34,卡牌属性!R390),INDEX(新属性投放!$D$42:$D$62,卡牌属性!R390))*INDEX($G$5:$G$42,L390)/SQRT(INDEX($I$5:$I$42,L390)),2)</f>
        <v>112.46</v>
      </c>
      <c r="AA390" s="29" t="s">
        <v>178</v>
      </c>
      <c r="AB390" s="14">
        <f>ROUND(IF(Q390=1,INDEX(新属性投放!$E$14:$E$34,卡牌属性!R390),INDEX(新属性投放!$E$42:$E$62,卡牌属性!R390))*INDEX($G$5:$G$42,L390),2)</f>
        <v>56.23</v>
      </c>
      <c r="AC390" s="29" t="s">
        <v>179</v>
      </c>
      <c r="AD390" s="14">
        <f>ROUND(IF(Q390=1,INDEX(新属性投放!$F$14:$F$34,卡牌属性!R390),INDEX(新属性投放!$F$42:$F$62,卡牌属性!R390))*INDEX($G$5:$G$42,L390)*SQRT(INDEX($I$5:$I$42,L390)),2)</f>
        <v>506</v>
      </c>
      <c r="AF390" s="14">
        <f t="shared" si="175"/>
        <v>1124</v>
      </c>
      <c r="AG390" s="14">
        <f t="shared" si="176"/>
        <v>562</v>
      </c>
      <c r="AH390" s="14">
        <f t="shared" si="177"/>
        <v>5060</v>
      </c>
      <c r="AJ390" s="14">
        <f t="shared" si="166"/>
        <v>4639</v>
      </c>
      <c r="AK390" s="14">
        <f t="shared" si="167"/>
        <v>2318</v>
      </c>
      <c r="AL390" s="14">
        <f t="shared" si="168"/>
        <v>20835</v>
      </c>
    </row>
    <row r="391" spans="11:38" ht="16.5" x14ac:dyDescent="0.2">
      <c r="K391" s="13">
        <v>388</v>
      </c>
      <c r="L391" s="13">
        <f t="shared" si="169"/>
        <v>19</v>
      </c>
      <c r="M391" s="13">
        <f t="shared" si="170"/>
        <v>3</v>
      </c>
      <c r="N391" s="14">
        <f t="shared" si="171"/>
        <v>1102003</v>
      </c>
      <c r="O391" s="14" t="str">
        <f t="shared" si="172"/>
        <v>典韦10突</v>
      </c>
      <c r="P391" s="29" t="s">
        <v>470</v>
      </c>
      <c r="Q391" s="14">
        <f t="shared" si="173"/>
        <v>2</v>
      </c>
      <c r="R391" s="14">
        <f t="shared" si="174"/>
        <v>10</v>
      </c>
      <c r="S391" s="14" t="s">
        <v>39</v>
      </c>
      <c r="T391" s="14">
        <f>ROUND(((IF(Q391=1,INDEX(新属性投放!$J$14:$J$34,卡牌属性!R391),INDEX(新属性投放!$J$42:$J$62,卡牌属性!R391)))*INDEX($G$5:$G$42,L391)+IF(Q391=1,INDEX(新属性投放!R$20:R$23,卡牌属性!M391-1),INDEX(新属性投放!R$25:R$28,卡牌属性!M391-1)))/SQRT(INDEX($I$5:$I$42,L391)),2)</f>
        <v>5570.03</v>
      </c>
      <c r="U391" s="29" t="s">
        <v>178</v>
      </c>
      <c r="V391" s="14">
        <f>ROUND((IF(Q391=1,INDEX(新属性投放!$K$14:$K$34,卡牌属性!R391),INDEX(新属性投放!$K$42:$K$62,卡牌属性!R391))+IF(Q391=1,INDEX(新属性投放!S$20:S$23,卡牌属性!M391-1),INDEX(新属性投放!S$25:S$28,卡牌属性!M391-1)))*INDEX($G$5:$G$42,L391),2)</f>
        <v>2645.89</v>
      </c>
      <c r="W391" s="29" t="s">
        <v>179</v>
      </c>
      <c r="X391" s="14">
        <f>ROUND((IF(Q391=1,INDEX(新属性投放!$L$14:$L$34,卡牌属性!R391),INDEX(新属性投放!$L$42:$L$62,卡牌属性!R391))*INDEX($G$5:$G$42,L391)+IF(Q391=1,INDEX(新属性投放!T$20:T$23,卡牌属性!M391-1),INDEX(新属性投放!T$25:T$28,卡牌属性!M391-1)))*SQRT(INDEX($I$5:$I$42,L391)),2)</f>
        <v>28629</v>
      </c>
      <c r="Y391" s="29" t="s">
        <v>177</v>
      </c>
      <c r="Z391" s="14">
        <f>ROUND(IF(Q391=1,INDEX(新属性投放!$D$14:$D$34,卡牌属性!R391),INDEX(新属性投放!$D$42:$D$62,卡牌属性!R391))*INDEX($G$5:$G$42,L391)/SQRT(INDEX($I$5:$I$42,L391)),2)</f>
        <v>129.75</v>
      </c>
      <c r="AA391" s="29" t="s">
        <v>178</v>
      </c>
      <c r="AB391" s="14">
        <f>ROUND(IF(Q391=1,INDEX(新属性投放!$E$14:$E$34,卡牌属性!R391),INDEX(新属性投放!$E$42:$E$62,卡牌属性!R391))*INDEX($G$5:$G$42,L391),2)</f>
        <v>64.88</v>
      </c>
      <c r="AC391" s="29" t="s">
        <v>179</v>
      </c>
      <c r="AD391" s="14">
        <f>ROUND(IF(Q391=1,INDEX(新属性投放!$F$14:$F$34,卡牌属性!R391),INDEX(新属性投放!$F$42:$F$62,卡牌属性!R391))*INDEX($G$5:$G$42,L391)*SQRT(INDEX($I$5:$I$42,L391)),2)</f>
        <v>583.04999999999995</v>
      </c>
      <c r="AF391" s="14">
        <f t="shared" si="175"/>
        <v>1297</v>
      </c>
      <c r="AG391" s="14">
        <f t="shared" si="176"/>
        <v>648</v>
      </c>
      <c r="AH391" s="14">
        <f t="shared" si="177"/>
        <v>5830</v>
      </c>
      <c r="AJ391" s="14">
        <f t="shared" si="166"/>
        <v>5936</v>
      </c>
      <c r="AK391" s="14">
        <f t="shared" si="167"/>
        <v>2966</v>
      </c>
      <c r="AL391" s="14">
        <f t="shared" si="168"/>
        <v>26665</v>
      </c>
    </row>
    <row r="392" spans="11:38" ht="16.5" x14ac:dyDescent="0.2">
      <c r="K392" s="13">
        <v>389</v>
      </c>
      <c r="L392" s="13">
        <f t="shared" si="169"/>
        <v>19</v>
      </c>
      <c r="M392" s="13">
        <f t="shared" si="170"/>
        <v>3</v>
      </c>
      <c r="N392" s="14">
        <f t="shared" si="171"/>
        <v>1102003</v>
      </c>
      <c r="O392" s="14" t="str">
        <f t="shared" si="172"/>
        <v>典韦11突</v>
      </c>
      <c r="P392" s="29" t="s">
        <v>470</v>
      </c>
      <c r="Q392" s="14">
        <f t="shared" si="173"/>
        <v>2</v>
      </c>
      <c r="R392" s="14">
        <f t="shared" si="174"/>
        <v>11</v>
      </c>
      <c r="S392" s="14" t="s">
        <v>39</v>
      </c>
      <c r="T392" s="14">
        <f>ROUND(((IF(Q392=1,INDEX(新属性投放!$J$14:$J$34,卡牌属性!R392),INDEX(新属性投放!$J$42:$J$62,卡牌属性!R392)))*INDEX($G$5:$G$42,L392)+IF(Q392=1,INDEX(新属性投放!R$20:R$23,卡牌属性!M392-1),INDEX(新属性投放!R$25:R$28,卡牌属性!M392-1)))/SQRT(INDEX($I$5:$I$42,L392)),2)</f>
        <v>6380.96</v>
      </c>
      <c r="U392" s="29" t="s">
        <v>178</v>
      </c>
      <c r="V392" s="14">
        <f>ROUND((IF(Q392=1,INDEX(新属性投放!$K$14:$K$34,卡牌属性!R392),INDEX(新属性投放!$K$42:$K$62,卡牌属性!R392))+IF(Q392=1,INDEX(新属性投放!S$20:S$23,卡牌属性!M392-1),INDEX(新属性投放!S$25:S$28,卡牌属性!M392-1)))*INDEX($G$5:$G$42,L392),2)</f>
        <v>3051.93</v>
      </c>
      <c r="W392" s="29" t="s">
        <v>179</v>
      </c>
      <c r="X392" s="14">
        <f>ROUND((IF(Q392=1,INDEX(新属性投放!$L$14:$L$34,卡牌属性!R392),INDEX(新属性投放!$L$42:$L$62,卡牌属性!R392))*INDEX($G$5:$G$42,L392)+IF(Q392=1,INDEX(新属性投放!T$20:T$23,卡牌属性!M392-1),INDEX(新属性投放!T$25:T$28,卡牌属性!M392-1)))*SQRT(INDEX($I$5:$I$42,L392)),2)</f>
        <v>33003.599999999999</v>
      </c>
      <c r="Y392" s="29" t="s">
        <v>177</v>
      </c>
      <c r="Z392" s="14">
        <f>ROUND(IF(Q392=1,INDEX(新属性投放!$D$14:$D$34,卡牌属性!R392),INDEX(新属性投放!$D$42:$D$62,卡牌属性!R392))*INDEX($G$5:$G$42,L392)/SQRT(INDEX($I$5:$I$42,L392)),2)</f>
        <v>151.32</v>
      </c>
      <c r="AA392" s="29" t="s">
        <v>178</v>
      </c>
      <c r="AB392" s="14">
        <f>ROUND(IF(Q392=1,INDEX(新属性投放!$E$14:$E$34,卡牌属性!R392),INDEX(新属性投放!$E$42:$E$62,卡牌属性!R392))*INDEX($G$5:$G$42,L392),2)</f>
        <v>75.66</v>
      </c>
      <c r="AC392" s="29" t="s">
        <v>179</v>
      </c>
      <c r="AD392" s="14">
        <f>ROUND(IF(Q392=1,INDEX(新属性投放!$F$14:$F$34,卡牌属性!R392),INDEX(新属性投放!$F$42:$F$62,卡牌属性!R392))*INDEX($G$5:$G$42,L392)*SQRT(INDEX($I$5:$I$42,L392)),2)</f>
        <v>680.8</v>
      </c>
      <c r="AF392" s="14">
        <f t="shared" si="175"/>
        <v>1513</v>
      </c>
      <c r="AG392" s="14">
        <f t="shared" si="176"/>
        <v>756</v>
      </c>
      <c r="AH392" s="14">
        <f t="shared" si="177"/>
        <v>6808</v>
      </c>
      <c r="AJ392" s="14">
        <f t="shared" si="166"/>
        <v>7449</v>
      </c>
      <c r="AK392" s="14">
        <f t="shared" si="167"/>
        <v>3722</v>
      </c>
      <c r="AL392" s="14">
        <f t="shared" si="168"/>
        <v>33473</v>
      </c>
    </row>
    <row r="393" spans="11:38" ht="16.5" x14ac:dyDescent="0.2">
      <c r="K393" s="13">
        <v>390</v>
      </c>
      <c r="L393" s="13">
        <f t="shared" si="169"/>
        <v>19</v>
      </c>
      <c r="M393" s="13">
        <f t="shared" si="170"/>
        <v>3</v>
      </c>
      <c r="N393" s="14">
        <f t="shared" si="171"/>
        <v>1102003</v>
      </c>
      <c r="O393" s="14" t="str">
        <f t="shared" si="172"/>
        <v>典韦12突</v>
      </c>
      <c r="P393" s="29" t="s">
        <v>470</v>
      </c>
      <c r="Q393" s="14">
        <f t="shared" si="173"/>
        <v>2</v>
      </c>
      <c r="R393" s="14">
        <f t="shared" si="174"/>
        <v>12</v>
      </c>
      <c r="S393" s="14" t="s">
        <v>39</v>
      </c>
      <c r="T393" s="14">
        <f>ROUND(((IF(Q393=1,INDEX(新属性投放!$J$14:$J$34,卡牌属性!R393),INDEX(新属性投放!$J$42:$J$62,卡牌属性!R393)))*INDEX($G$5:$G$42,L393)+IF(Q393=1,INDEX(新属性投放!R$20:R$23,卡牌属性!M393-1),INDEX(新属性投放!R$25:R$28,卡牌属性!M393-1)))/SQRT(INDEX($I$5:$I$42,L393)),2)</f>
        <v>7326.14</v>
      </c>
      <c r="U393" s="29" t="s">
        <v>178</v>
      </c>
      <c r="V393" s="14">
        <f>ROUND((IF(Q393=1,INDEX(新属性投放!$K$14:$K$34,卡牌属性!R393),INDEX(新属性投放!$K$42:$K$62,卡牌属性!R393))+IF(Q393=1,INDEX(新属性投放!S$20:S$23,卡牌属性!M393-1),INDEX(新属性投放!S$25:S$28,卡牌属性!M393-1)))*INDEX($G$5:$G$42,L393),2)</f>
        <v>3524.52</v>
      </c>
      <c r="W393" s="29" t="s">
        <v>179</v>
      </c>
      <c r="X393" s="14">
        <f>ROUND((IF(Q393=1,INDEX(新属性投放!$L$14:$L$34,卡牌属性!R393),INDEX(新属性投放!$L$42:$L$62,卡牌属性!R393))*INDEX($G$5:$G$42,L393)+IF(Q393=1,INDEX(新属性投放!T$20:T$23,卡牌属性!M393-1),INDEX(新属性投放!T$25:T$28,卡牌属性!M393-1)))*SQRT(INDEX($I$5:$I$42,L393)),2)</f>
        <v>38105</v>
      </c>
      <c r="Y393" s="29" t="s">
        <v>177</v>
      </c>
      <c r="Z393" s="14">
        <f>ROUND(IF(Q393=1,INDEX(新属性投放!$D$14:$D$34,卡牌属性!R393),INDEX(新属性投放!$D$42:$D$62,卡牌属性!R393))*INDEX($G$5:$G$42,L393)/SQRT(INDEX($I$5:$I$42,L393)),2)</f>
        <v>173.04</v>
      </c>
      <c r="AA393" s="29" t="s">
        <v>178</v>
      </c>
      <c r="AB393" s="14">
        <f>ROUND(IF(Q393=1,INDEX(新属性投放!$E$14:$E$34,卡牌属性!R393),INDEX(新属性投放!$E$42:$E$62,卡牌属性!R393))*INDEX($G$5:$G$42,L393),2)</f>
        <v>86.52</v>
      </c>
      <c r="AC393" s="29" t="s">
        <v>179</v>
      </c>
      <c r="AD393" s="14">
        <f>ROUND(IF(Q393=1,INDEX(新属性投放!$F$14:$F$34,卡牌属性!R393),INDEX(新属性投放!$F$42:$F$62,卡牌属性!R393))*INDEX($G$5:$G$42,L393)*SQRT(INDEX($I$5:$I$42,L393)),2)</f>
        <v>778.55</v>
      </c>
      <c r="AF393" s="14">
        <f t="shared" si="175"/>
        <v>1730</v>
      </c>
      <c r="AG393" s="14">
        <f t="shared" si="176"/>
        <v>865</v>
      </c>
      <c r="AH393" s="14">
        <f t="shared" si="177"/>
        <v>7785</v>
      </c>
      <c r="AJ393" s="14">
        <f t="shared" si="166"/>
        <v>9179</v>
      </c>
      <c r="AK393" s="14">
        <f t="shared" si="167"/>
        <v>4587</v>
      </c>
      <c r="AL393" s="14">
        <f t="shared" si="168"/>
        <v>41258</v>
      </c>
    </row>
    <row r="394" spans="11:38" ht="16.5" x14ac:dyDescent="0.2">
      <c r="K394" s="13">
        <v>391</v>
      </c>
      <c r="L394" s="13">
        <f t="shared" si="169"/>
        <v>19</v>
      </c>
      <c r="M394" s="13">
        <f t="shared" si="170"/>
        <v>3</v>
      </c>
      <c r="N394" s="14">
        <f t="shared" si="171"/>
        <v>1102003</v>
      </c>
      <c r="O394" s="14" t="str">
        <f t="shared" si="172"/>
        <v>典韦13突</v>
      </c>
      <c r="P394" s="29" t="s">
        <v>470</v>
      </c>
      <c r="Q394" s="14">
        <f t="shared" si="173"/>
        <v>2</v>
      </c>
      <c r="R394" s="14">
        <f t="shared" si="174"/>
        <v>13</v>
      </c>
      <c r="S394" s="14" t="s">
        <v>39</v>
      </c>
      <c r="T394" s="14">
        <f>ROUND(((IF(Q394=1,INDEX(新属性投放!$J$14:$J$34,卡牌属性!R394),INDEX(新属性投放!$J$42:$J$62,卡牌属性!R394)))*INDEX($G$5:$G$42,L394)+IF(Q394=1,INDEX(新属性投放!R$20:R$23,卡牌属性!M394-1),INDEX(新属性投放!R$25:R$28,卡牌属性!M394-1)))/SQRT(INDEX($I$5:$I$42,L394)),2)</f>
        <v>8407.5400000000009</v>
      </c>
      <c r="U394" s="29" t="s">
        <v>178</v>
      </c>
      <c r="V394" s="14">
        <f>ROUND((IF(Q394=1,INDEX(新属性投放!$K$14:$K$34,卡牌属性!R394),INDEX(新属性投放!$K$42:$K$62,卡牌属性!R394))+IF(Q394=1,INDEX(新属性投放!S$20:S$23,卡牌属性!M394-1),INDEX(新属性投放!S$25:S$28,卡牌属性!M394-1)))*INDEX($G$5:$G$42,L394),2)</f>
        <v>4065.22</v>
      </c>
      <c r="W394" s="29" t="s">
        <v>179</v>
      </c>
      <c r="X394" s="14">
        <f>ROUND((IF(Q394=1,INDEX(新属性投放!$L$14:$L$34,卡牌属性!R394),INDEX(新属性投放!$L$42:$L$62,卡牌属性!R394))*INDEX($G$5:$G$42,L394)+IF(Q394=1,INDEX(新属性投放!T$20:T$23,卡牌属性!M394-1),INDEX(新属性投放!T$25:T$28,卡牌属性!M394-1)))*SQRT(INDEX($I$5:$I$42,L394)),2)</f>
        <v>43943.55</v>
      </c>
      <c r="Y394" s="29" t="s">
        <v>177</v>
      </c>
      <c r="Z394" s="14">
        <f>ROUND(IF(Q394=1,INDEX(新属性投放!$D$14:$D$34,卡牌属性!R394),INDEX(新属性投放!$D$42:$D$62,卡牌属性!R394))*INDEX($G$5:$G$42,L394)/SQRT(INDEX($I$5:$I$42,L394)),2)</f>
        <v>200.07</v>
      </c>
      <c r="AA394" s="29" t="s">
        <v>178</v>
      </c>
      <c r="AB394" s="14">
        <f>ROUND(IF(Q394=1,INDEX(新属性投放!$E$14:$E$34,卡牌属性!R394),INDEX(新属性投放!$E$42:$E$62,卡牌属性!R394))*INDEX($G$5:$G$42,L394),2)</f>
        <v>100.03</v>
      </c>
      <c r="AC394" s="29" t="s">
        <v>179</v>
      </c>
      <c r="AD394" s="14">
        <f>ROUND(IF(Q394=1,INDEX(新属性投放!$F$14:$F$34,卡牌属性!R394),INDEX(新属性投放!$F$42:$F$62,卡牌属性!R394))*INDEX($G$5:$G$42,L394)*SQRT(INDEX($I$5:$I$42,L394)),2)</f>
        <v>899.3</v>
      </c>
      <c r="AF394" s="14">
        <f t="shared" si="175"/>
        <v>2000</v>
      </c>
      <c r="AG394" s="14">
        <f t="shared" si="176"/>
        <v>1000</v>
      </c>
      <c r="AH394" s="14">
        <f t="shared" si="177"/>
        <v>8993</v>
      </c>
      <c r="AJ394" s="14">
        <f t="shared" si="166"/>
        <v>11179</v>
      </c>
      <c r="AK394" s="14">
        <f t="shared" si="167"/>
        <v>5587</v>
      </c>
      <c r="AL394" s="14">
        <f t="shared" si="168"/>
        <v>50251</v>
      </c>
    </row>
    <row r="395" spans="11:38" ht="16.5" x14ac:dyDescent="0.2">
      <c r="K395" s="13">
        <v>392</v>
      </c>
      <c r="L395" s="13">
        <f t="shared" si="169"/>
        <v>19</v>
      </c>
      <c r="M395" s="13">
        <f t="shared" si="170"/>
        <v>3</v>
      </c>
      <c r="N395" s="14">
        <f t="shared" si="171"/>
        <v>1102003</v>
      </c>
      <c r="O395" s="14" t="str">
        <f t="shared" si="172"/>
        <v>典韦14突</v>
      </c>
      <c r="P395" s="29" t="s">
        <v>470</v>
      </c>
      <c r="Q395" s="14">
        <f t="shared" si="173"/>
        <v>2</v>
      </c>
      <c r="R395" s="14">
        <f t="shared" si="174"/>
        <v>14</v>
      </c>
      <c r="S395" s="14" t="s">
        <v>39</v>
      </c>
      <c r="T395" s="14">
        <f>ROUND(((IF(Q395=1,INDEX(新属性投放!$J$14:$J$34,卡牌属性!R395),INDEX(新属性投放!$J$42:$J$62,卡牌属性!R395)))*INDEX($G$5:$G$42,L395)+IF(Q395=1,INDEX(新属性投放!R$20:R$23,卡牌属性!M395-1),INDEX(新属性投放!R$25:R$28,卡牌属性!M395-1)))/SQRT(INDEX($I$5:$I$42,L395)),2)</f>
        <v>9657.42</v>
      </c>
      <c r="U395" s="29" t="s">
        <v>178</v>
      </c>
      <c r="V395" s="14">
        <f>ROUND((IF(Q395=1,INDEX(新属性投放!$K$14:$K$34,卡牌属性!R395),INDEX(新属性投放!$K$42:$K$62,卡牌属性!R395))+IF(Q395=1,INDEX(新属性投放!S$20:S$23,卡牌属性!M395-1),INDEX(新属性投放!S$25:S$28,卡牌属性!M395-1)))*INDEX($G$5:$G$42,L395),2)</f>
        <v>4690.74</v>
      </c>
      <c r="W395" s="29" t="s">
        <v>179</v>
      </c>
      <c r="X395" s="14">
        <f>ROUND((IF(Q395=1,INDEX(新属性投放!$L$14:$L$34,卡牌属性!R395),INDEX(新属性投放!$L$42:$L$62,卡牌属性!R395))*INDEX($G$5:$G$42,L395)+IF(Q395=1,INDEX(新属性投放!T$20:T$23,卡牌属性!M395-1),INDEX(新属性投放!T$25:T$28,卡牌属性!M395-1)))*SQRT(INDEX($I$5:$I$42,L395)),2)</f>
        <v>50686</v>
      </c>
      <c r="Y395" s="29" t="s">
        <v>177</v>
      </c>
      <c r="Z395" s="14">
        <f>ROUND(IF(Q395=1,INDEX(新属性投放!$D$14:$D$34,卡牌属性!R395),INDEX(新属性投放!$D$42:$D$62,卡牌属性!R395))*INDEX($G$5:$G$42,L395)/SQRT(INDEX($I$5:$I$42,L395)),2)</f>
        <v>231.32</v>
      </c>
      <c r="AA395" s="29" t="s">
        <v>178</v>
      </c>
      <c r="AB395" s="14">
        <f>ROUND(IF(Q395=1,INDEX(新属性投放!$E$14:$E$34,卡牌属性!R395),INDEX(新属性投放!$E$42:$E$62,卡牌属性!R395))*INDEX($G$5:$G$42,L395),2)</f>
        <v>115.66</v>
      </c>
      <c r="AC395" s="29" t="s">
        <v>179</v>
      </c>
      <c r="AD395" s="14">
        <f>ROUND(IF(Q395=1,INDEX(新属性投放!$F$14:$F$34,卡牌属性!R395),INDEX(新属性投放!$F$42:$F$62,卡牌属性!R395))*INDEX($G$5:$G$42,L395)*SQRT(INDEX($I$5:$I$42,L395)),2)</f>
        <v>1040.75</v>
      </c>
      <c r="AF395" s="14">
        <f t="shared" si="175"/>
        <v>2313</v>
      </c>
      <c r="AG395" s="14">
        <f t="shared" si="176"/>
        <v>1156</v>
      </c>
      <c r="AH395" s="14">
        <f t="shared" si="177"/>
        <v>10407</v>
      </c>
      <c r="AJ395" s="14">
        <f t="shared" si="166"/>
        <v>13492</v>
      </c>
      <c r="AK395" s="14">
        <f t="shared" si="167"/>
        <v>6743</v>
      </c>
      <c r="AL395" s="14">
        <f t="shared" si="168"/>
        <v>60658</v>
      </c>
    </row>
    <row r="396" spans="11:38" ht="16.5" x14ac:dyDescent="0.2">
      <c r="K396" s="13">
        <v>393</v>
      </c>
      <c r="L396" s="13">
        <f t="shared" si="169"/>
        <v>19</v>
      </c>
      <c r="M396" s="13">
        <f t="shared" si="170"/>
        <v>3</v>
      </c>
      <c r="N396" s="14">
        <f t="shared" si="171"/>
        <v>1102003</v>
      </c>
      <c r="O396" s="14" t="str">
        <f t="shared" si="172"/>
        <v>典韦15突</v>
      </c>
      <c r="P396" s="29" t="s">
        <v>470</v>
      </c>
      <c r="Q396" s="14">
        <f t="shared" si="173"/>
        <v>2</v>
      </c>
      <c r="R396" s="14">
        <f t="shared" si="174"/>
        <v>15</v>
      </c>
      <c r="S396" s="14" t="s">
        <v>39</v>
      </c>
      <c r="T396" s="14">
        <f>ROUND(((IF(Q396=1,INDEX(新属性投放!$J$14:$J$34,卡牌属性!R396),INDEX(新属性投放!$J$42:$J$62,卡牌属性!R396)))*INDEX($G$5:$G$42,L396)+IF(Q396=1,INDEX(新属性投放!R$20:R$23,卡牌属性!M396-1),INDEX(新属性投放!R$25:R$28,卡牌属性!M396-1)))/SQRT(INDEX($I$5:$I$42,L396)),2)</f>
        <v>11102.68</v>
      </c>
      <c r="U396" s="29" t="s">
        <v>178</v>
      </c>
      <c r="V396" s="14">
        <f>ROUND((IF(Q396=1,INDEX(新属性投放!$K$14:$K$34,卡牌属性!R396),INDEX(新属性投放!$K$42:$K$62,卡牌属性!R396))+IF(Q396=1,INDEX(新属性投放!S$20:S$23,卡牌属性!M396-1),INDEX(新属性投放!S$25:S$28,卡牌属性!M396-1)))*INDEX($G$5:$G$42,L396),2)</f>
        <v>5413.94</v>
      </c>
      <c r="W396" s="29" t="s">
        <v>179</v>
      </c>
      <c r="X396" s="14">
        <f>ROUND((IF(Q396=1,INDEX(新属性投放!$L$14:$L$34,卡牌属性!R396),INDEX(新属性投放!$L$42:$L$62,卡牌属性!R396))*INDEX($G$5:$G$42,L396)+IF(Q396=1,INDEX(新属性投放!T$20:T$23,卡牌属性!M396-1),INDEX(新属性投放!T$25:T$28,卡牌属性!M396-1)))*SQRT(INDEX($I$5:$I$42,L396)),2)</f>
        <v>58487.6</v>
      </c>
      <c r="Y396" s="29" t="s">
        <v>177</v>
      </c>
      <c r="Z396" s="14">
        <f>ROUND(IF(Q396=1,INDEX(新属性投放!$D$14:$D$34,卡牌属性!R396),INDEX(新属性投放!$D$42:$D$62,卡牌属性!R396))*INDEX($G$5:$G$42,L396)/SQRT(INDEX($I$5:$I$42,L396)),2)</f>
        <v>267.44</v>
      </c>
      <c r="AA396" s="29" t="s">
        <v>178</v>
      </c>
      <c r="AB396" s="14">
        <f>ROUND(IF(Q396=1,INDEX(新属性投放!$E$14:$E$34,卡牌属性!R396),INDEX(新属性投放!$E$42:$E$62,卡牌属性!R396))*INDEX($G$5:$G$42,L396),2)</f>
        <v>133.72</v>
      </c>
      <c r="AC396" s="29" t="s">
        <v>179</v>
      </c>
      <c r="AD396" s="14">
        <f>ROUND(IF(Q396=1,INDEX(新属性投放!$F$14:$F$34,卡牌属性!R396),INDEX(新属性投放!$F$42:$F$62,卡牌属性!R396))*INDEX($G$5:$G$42,L396)*SQRT(INDEX($I$5:$I$42,L396)),2)</f>
        <v>1202.9000000000001</v>
      </c>
      <c r="AF396" s="14">
        <f t="shared" si="175"/>
        <v>2674</v>
      </c>
      <c r="AG396" s="14">
        <f t="shared" si="176"/>
        <v>1337</v>
      </c>
      <c r="AH396" s="14">
        <f t="shared" si="177"/>
        <v>12029</v>
      </c>
      <c r="AJ396" s="14">
        <f t="shared" si="166"/>
        <v>16166</v>
      </c>
      <c r="AK396" s="14">
        <f t="shared" si="167"/>
        <v>8080</v>
      </c>
      <c r="AL396" s="14">
        <f t="shared" si="168"/>
        <v>72687</v>
      </c>
    </row>
    <row r="397" spans="11:38" ht="16.5" x14ac:dyDescent="0.2">
      <c r="K397" s="13">
        <v>394</v>
      </c>
      <c r="L397" s="13">
        <f t="shared" si="169"/>
        <v>19</v>
      </c>
      <c r="M397" s="13">
        <f t="shared" si="170"/>
        <v>3</v>
      </c>
      <c r="N397" s="14">
        <f t="shared" si="171"/>
        <v>1102003</v>
      </c>
      <c r="O397" s="14" t="str">
        <f t="shared" si="172"/>
        <v>典韦16突</v>
      </c>
      <c r="P397" s="29" t="s">
        <v>470</v>
      </c>
      <c r="Q397" s="14">
        <f t="shared" si="173"/>
        <v>2</v>
      </c>
      <c r="R397" s="14">
        <f t="shared" si="174"/>
        <v>16</v>
      </c>
      <c r="S397" s="14" t="s">
        <v>39</v>
      </c>
      <c r="T397" s="14">
        <f>ROUND(((IF(Q397=1,INDEX(新属性投放!$J$14:$J$34,卡牌属性!R397),INDEX(新属性投放!$J$42:$J$62,卡牌属性!R397)))*INDEX($G$5:$G$42,L397)+IF(Q397=1,INDEX(新属性投放!R$20:R$23,卡牌属性!M397-1),INDEX(新属性投放!R$25:R$28,卡牌属性!M397-1)))/SQRT(INDEX($I$5:$I$42,L397)),2)</f>
        <v>12774.55</v>
      </c>
      <c r="U397" s="29" t="s">
        <v>178</v>
      </c>
      <c r="V397" s="14">
        <f>ROUND((IF(Q397=1,INDEX(新属性投放!$K$14:$K$34,卡牌属性!R397),INDEX(新属性投放!$K$42:$K$62,卡牌属性!R397))+IF(Q397=1,INDEX(新属性投放!S$20:S$23,卡牌属性!M397-1),INDEX(新属性投放!S$25:S$28,卡牌属性!M397-1)))*INDEX($G$5:$G$42,L397),2)</f>
        <v>6249.3</v>
      </c>
      <c r="W397" s="29" t="s">
        <v>179</v>
      </c>
      <c r="X397" s="14">
        <f>ROUND((IF(Q397=1,INDEX(新属性投放!$L$14:$L$34,卡牌属性!R397),INDEX(新属性投放!$L$42:$L$62,卡牌属性!R397))*INDEX($G$5:$G$42,L397)+IF(Q397=1,INDEX(新属性投放!T$20:T$23,卡牌属性!M397-1),INDEX(新属性投放!T$25:T$28,卡牌属性!M397-1)))*SQRT(INDEX($I$5:$I$42,L397)),2)</f>
        <v>67513.95</v>
      </c>
      <c r="Y397" s="29" t="s">
        <v>177</v>
      </c>
      <c r="Z397" s="14">
        <f>ROUND(IF(Q397=1,INDEX(新属性投放!$D$14:$D$34,卡牌属性!R397),INDEX(新属性投放!$D$42:$D$62,卡牌属性!R397))*INDEX($G$5:$G$42,L397)/SQRT(INDEX($I$5:$I$42,L397)),2)</f>
        <v>309.25</v>
      </c>
      <c r="AA397" s="29" t="s">
        <v>178</v>
      </c>
      <c r="AB397" s="14">
        <f>ROUND(IF(Q397=1,INDEX(新属性投放!$E$14:$E$34,卡牌属性!R397),INDEX(新属性投放!$E$42:$E$62,卡牌属性!R397))*INDEX($G$5:$G$42,L397),2)</f>
        <v>154.62</v>
      </c>
      <c r="AC397" s="29" t="s">
        <v>179</v>
      </c>
      <c r="AD397" s="14">
        <f>ROUND(IF(Q397=1,INDEX(新属性投放!$F$14:$F$34,卡牌属性!R397),INDEX(新属性投放!$F$42:$F$62,卡牌属性!R397))*INDEX($G$5:$G$42,L397)*SQRT(INDEX($I$5:$I$42,L397)),2)</f>
        <v>1391.5</v>
      </c>
      <c r="AF397" s="14">
        <f t="shared" si="175"/>
        <v>3092</v>
      </c>
      <c r="AG397" s="14">
        <f t="shared" si="176"/>
        <v>1546</v>
      </c>
      <c r="AH397" s="14">
        <f t="shared" si="177"/>
        <v>13915</v>
      </c>
      <c r="AJ397" s="14">
        <f t="shared" si="166"/>
        <v>19258</v>
      </c>
      <c r="AK397" s="14">
        <f t="shared" si="167"/>
        <v>9626</v>
      </c>
      <c r="AL397" s="14">
        <f t="shared" si="168"/>
        <v>86602</v>
      </c>
    </row>
    <row r="398" spans="11:38" ht="16.5" x14ac:dyDescent="0.2">
      <c r="K398" s="13">
        <v>395</v>
      </c>
      <c r="L398" s="13">
        <f t="shared" si="169"/>
        <v>19</v>
      </c>
      <c r="M398" s="13">
        <f t="shared" si="170"/>
        <v>3</v>
      </c>
      <c r="N398" s="14">
        <f t="shared" si="171"/>
        <v>1102003</v>
      </c>
      <c r="O398" s="14" t="str">
        <f t="shared" si="172"/>
        <v>典韦17突</v>
      </c>
      <c r="P398" s="29" t="s">
        <v>470</v>
      </c>
      <c r="Q398" s="14">
        <f t="shared" si="173"/>
        <v>2</v>
      </c>
      <c r="R398" s="14">
        <f t="shared" si="174"/>
        <v>17</v>
      </c>
      <c r="S398" s="14" t="s">
        <v>39</v>
      </c>
      <c r="T398" s="14">
        <f>ROUND(((IF(Q398=1,INDEX(新属性投放!$J$14:$J$34,卡牌属性!R398),INDEX(新属性投放!$J$42:$J$62,卡牌属性!R398)))*INDEX($G$5:$G$42,L398)+IF(Q398=1,INDEX(新属性投放!R$20:R$23,卡牌属性!M398-1),INDEX(新属性投放!R$25:R$28,卡牌属性!M398-1)))/SQRT(INDEX($I$5:$I$42,L398)),2)</f>
        <v>14707.19</v>
      </c>
      <c r="U398" s="29" t="s">
        <v>178</v>
      </c>
      <c r="V398" s="14">
        <f>ROUND((IF(Q398=1,INDEX(新属性投放!$K$14:$K$34,卡牌属性!R398),INDEX(新属性投放!$K$42:$K$62,卡牌属性!R398))+IF(Q398=1,INDEX(新属性投放!S$20:S$23,卡牌属性!M398-1),INDEX(新属性投放!S$25:S$28,卡牌属性!M398-1)))*INDEX($G$5:$G$42,L398),2)</f>
        <v>7215.62</v>
      </c>
      <c r="W398" s="29" t="s">
        <v>179</v>
      </c>
      <c r="X398" s="14">
        <f>ROUND((IF(Q398=1,INDEX(新属性投放!$L$14:$L$34,卡牌属性!R398),INDEX(新属性投放!$L$42:$L$62,卡牌属性!R398))*INDEX($G$5:$G$42,L398)+IF(Q398=1,INDEX(新属性投放!T$20:T$23,卡牌属性!M398-1),INDEX(新属性投放!T$25:T$28,卡牌属性!M398-1)))*SQRT(INDEX($I$5:$I$42,L398)),2)</f>
        <v>77949.05</v>
      </c>
      <c r="Y398" s="29" t="s">
        <v>177</v>
      </c>
      <c r="Z398" s="14">
        <f>ROUND(IF(Q398=1,INDEX(新属性投放!$D$14:$D$34,卡牌属性!R398),INDEX(新属性投放!$D$42:$D$62,卡牌属性!R398))*INDEX($G$5:$G$42,L398)/SQRT(INDEX($I$5:$I$42,L398)),2)</f>
        <v>357.56</v>
      </c>
      <c r="AA398" s="29" t="s">
        <v>178</v>
      </c>
      <c r="AB398" s="14">
        <f>ROUND(IF(Q398=1,INDEX(新属性投放!$E$14:$E$34,卡牌属性!R398),INDEX(新属性投放!$E$42:$E$62,卡牌属性!R398))*INDEX($G$5:$G$42,L398),2)</f>
        <v>178.78</v>
      </c>
      <c r="AC398" s="29" t="s">
        <v>179</v>
      </c>
      <c r="AD398" s="14">
        <f>ROUND(IF(Q398=1,INDEX(新属性投放!$F$14:$F$34,卡牌属性!R398),INDEX(新属性投放!$F$42:$F$62,卡牌属性!R398))*INDEX($G$5:$G$42,L398)*SQRT(INDEX($I$5:$I$42,L398)),2)</f>
        <v>1608.85</v>
      </c>
      <c r="AF398" s="14">
        <f t="shared" si="175"/>
        <v>3575</v>
      </c>
      <c r="AG398" s="14">
        <f t="shared" si="176"/>
        <v>1787</v>
      </c>
      <c r="AH398" s="14">
        <f t="shared" si="177"/>
        <v>16088</v>
      </c>
      <c r="AJ398" s="14">
        <f t="shared" si="166"/>
        <v>22833</v>
      </c>
      <c r="AK398" s="14">
        <f t="shared" si="167"/>
        <v>11413</v>
      </c>
      <c r="AL398" s="14">
        <f t="shared" si="168"/>
        <v>102690</v>
      </c>
    </row>
    <row r="399" spans="11:38" ht="16.5" x14ac:dyDescent="0.2">
      <c r="K399" s="13">
        <v>396</v>
      </c>
      <c r="L399" s="13">
        <f t="shared" si="169"/>
        <v>19</v>
      </c>
      <c r="M399" s="13">
        <f t="shared" si="170"/>
        <v>3</v>
      </c>
      <c r="N399" s="14">
        <f t="shared" si="171"/>
        <v>1102003</v>
      </c>
      <c r="O399" s="14" t="str">
        <f t="shared" si="172"/>
        <v>典韦18突</v>
      </c>
      <c r="P399" s="29" t="s">
        <v>470</v>
      </c>
      <c r="Q399" s="14">
        <f t="shared" si="173"/>
        <v>2</v>
      </c>
      <c r="R399" s="14">
        <f t="shared" si="174"/>
        <v>18</v>
      </c>
      <c r="S399" s="14" t="s">
        <v>39</v>
      </c>
      <c r="T399" s="14">
        <f>ROUND(((IF(Q399=1,INDEX(新属性投放!$J$14:$J$34,卡牌属性!R399),INDEX(新属性投放!$J$42:$J$62,卡牌属性!R399)))*INDEX($G$5:$G$42,L399)+IF(Q399=1,INDEX(新属性投放!R$20:R$23,卡牌属性!M399-1),INDEX(新属性投放!R$25:R$28,卡牌属性!M399-1)))/SQRT(INDEX($I$5:$I$42,L399)),2)</f>
        <v>16942.330000000002</v>
      </c>
      <c r="U399" s="29" t="s">
        <v>178</v>
      </c>
      <c r="V399" s="14">
        <f>ROUND((IF(Q399=1,INDEX(新属性投放!$K$14:$K$34,卡牌属性!R399),INDEX(新属性投放!$K$42:$K$62,卡牌属性!R399))+IF(Q399=1,INDEX(新属性投放!S$20:S$23,卡牌属性!M399-1),INDEX(新属性投放!S$25:S$28,卡牌属性!M399-1)))*INDEX($G$5:$G$42,L399),2)</f>
        <v>8332.61</v>
      </c>
      <c r="W399" s="29" t="s">
        <v>179</v>
      </c>
      <c r="X399" s="14">
        <f>ROUND((IF(Q399=1,INDEX(新属性投放!$L$14:$L$34,卡牌属性!R399),INDEX(新属性投放!$L$42:$L$62,卡牌属性!R399))*INDEX($G$5:$G$42,L399)+IF(Q399=1,INDEX(新属性投放!T$20:T$23,卡牌属性!M399-1),INDEX(新属性投放!T$25:T$28,卡牌属性!M399-1)))*SQRT(INDEX($I$5:$I$42,L399)),2)</f>
        <v>90019.45</v>
      </c>
      <c r="Y399" s="29" t="s">
        <v>177</v>
      </c>
      <c r="Z399" s="14">
        <f>ROUND(IF(Q399=1,INDEX(新属性投放!$D$14:$D$34,卡牌属性!R399),INDEX(新属性投放!$D$42:$D$62,卡牌属性!R399))*INDEX($G$5:$G$42,L399)/SQRT(INDEX($I$5:$I$42,L399)),2)</f>
        <v>413.44</v>
      </c>
      <c r="AA399" s="29" t="s">
        <v>178</v>
      </c>
      <c r="AB399" s="14">
        <f>ROUND(IF(Q399=1,INDEX(新属性投放!$E$14:$E$34,卡牌属性!R399),INDEX(新属性投放!$E$42:$E$62,卡牌属性!R399))*INDEX($G$5:$G$42,L399),2)</f>
        <v>206.72</v>
      </c>
      <c r="AC399" s="29" t="s">
        <v>179</v>
      </c>
      <c r="AD399" s="14">
        <f>ROUND(IF(Q399=1,INDEX(新属性投放!$F$14:$F$34,卡牌属性!R399),INDEX(新属性投放!$F$42:$F$62,卡牌属性!R399))*INDEX($G$5:$G$42,L399)*SQRT(INDEX($I$5:$I$42,L399)),2)</f>
        <v>1859.55</v>
      </c>
      <c r="AF399" s="14">
        <f t="shared" si="175"/>
        <v>4134</v>
      </c>
      <c r="AG399" s="14">
        <f t="shared" si="176"/>
        <v>2067</v>
      </c>
      <c r="AH399" s="14">
        <f t="shared" si="177"/>
        <v>18595</v>
      </c>
      <c r="AJ399" s="14">
        <f t="shared" si="166"/>
        <v>26967</v>
      </c>
      <c r="AK399" s="14">
        <f t="shared" si="167"/>
        <v>13480</v>
      </c>
      <c r="AL399" s="14">
        <f t="shared" si="168"/>
        <v>121285</v>
      </c>
    </row>
    <row r="400" spans="11:38" ht="16.5" x14ac:dyDescent="0.2">
      <c r="K400" s="13">
        <v>397</v>
      </c>
      <c r="L400" s="13">
        <f t="shared" si="169"/>
        <v>19</v>
      </c>
      <c r="M400" s="13">
        <f t="shared" si="170"/>
        <v>3</v>
      </c>
      <c r="N400" s="14">
        <f t="shared" si="171"/>
        <v>1102003</v>
      </c>
      <c r="O400" s="14" t="str">
        <f t="shared" si="172"/>
        <v>典韦19突</v>
      </c>
      <c r="P400" s="29" t="s">
        <v>470</v>
      </c>
      <c r="Q400" s="14">
        <f t="shared" si="173"/>
        <v>2</v>
      </c>
      <c r="R400" s="14">
        <f t="shared" si="174"/>
        <v>19</v>
      </c>
      <c r="S400" s="14" t="s">
        <v>39</v>
      </c>
      <c r="T400" s="14">
        <f>ROUND(((IF(Q400=1,INDEX(新属性投放!$J$14:$J$34,卡牌属性!R400),INDEX(新属性投放!$J$42:$J$62,卡牌属性!R400)))*INDEX($G$5:$G$42,L400)+IF(Q400=1,INDEX(新属性投放!R$20:R$23,卡牌属性!M400-1),INDEX(新属性投放!R$25:R$28,卡牌属性!M400-1)))/SQRT(INDEX($I$5:$I$42,L400)),2)</f>
        <v>19525.86</v>
      </c>
      <c r="U400" s="29" t="s">
        <v>178</v>
      </c>
      <c r="V400" s="14">
        <f>ROUND((IF(Q400=1,INDEX(新属性投放!$K$14:$K$34,卡牌属性!R400),INDEX(新属性投放!$K$42:$K$62,卡牌属性!R400))+IF(Q400=1,INDEX(新属性投放!S$20:S$23,卡牌属性!M400-1),INDEX(新属性投放!S$25:S$28,卡牌属性!M400-1)))*INDEX($G$5:$G$42,L400),2)</f>
        <v>9624.9500000000007</v>
      </c>
      <c r="W400" s="29" t="s">
        <v>179</v>
      </c>
      <c r="X400" s="14">
        <f>ROUND((IF(Q400=1,INDEX(新属性投放!$L$14:$L$34,卡牌属性!R400),INDEX(新属性投放!$L$42:$L$62,卡牌属性!R400))*INDEX($G$5:$G$42,L400)+IF(Q400=1,INDEX(新属性投放!T$20:T$23,卡牌属性!M400-1),INDEX(新属性投放!T$25:T$28,卡牌属性!M400-1)))*SQRT(INDEX($I$5:$I$42,L400)),2)</f>
        <v>103964.35</v>
      </c>
      <c r="Y400" s="29" t="s">
        <v>177</v>
      </c>
      <c r="Z400" s="14">
        <f>ROUND(IF(Q400=1,INDEX(新属性投放!$D$14:$D$34,卡牌属性!R400),INDEX(新属性投放!$D$42:$D$62,卡牌属性!R400))*INDEX($G$5:$G$42,L400)/SQRT(INDEX($I$5:$I$42,L400)),2)</f>
        <v>478.03</v>
      </c>
      <c r="AA400" s="29" t="s">
        <v>178</v>
      </c>
      <c r="AB400" s="14">
        <f>ROUND(IF(Q400=1,INDEX(新属性投放!$E$14:$E$34,卡牌属性!R400),INDEX(新属性投放!$E$42:$E$62,卡牌属性!R400))*INDEX($G$5:$G$42,L400),2)</f>
        <v>239.02</v>
      </c>
      <c r="AC400" s="29" t="s">
        <v>179</v>
      </c>
      <c r="AD400" s="14">
        <f>ROUND(IF(Q400=1,INDEX(新属性投放!$F$14:$F$34,卡牌属性!R400),INDEX(新属性投放!$F$42:$F$62,卡牌属性!R400))*INDEX($G$5:$G$42,L400)*SQRT(INDEX($I$5:$I$42,L400)),2)</f>
        <v>2150.5</v>
      </c>
      <c r="AF400" s="14">
        <f t="shared" si="175"/>
        <v>4780</v>
      </c>
      <c r="AG400" s="14">
        <f t="shared" si="176"/>
        <v>2390</v>
      </c>
      <c r="AH400" s="14">
        <f t="shared" si="177"/>
        <v>21505</v>
      </c>
      <c r="AJ400" s="14">
        <f t="shared" si="166"/>
        <v>31747</v>
      </c>
      <c r="AK400" s="14">
        <f t="shared" si="167"/>
        <v>15870</v>
      </c>
      <c r="AL400" s="14">
        <f t="shared" si="168"/>
        <v>142790</v>
      </c>
    </row>
    <row r="401" spans="11:38" ht="16.5" x14ac:dyDescent="0.2">
      <c r="K401" s="13">
        <v>398</v>
      </c>
      <c r="L401" s="13">
        <f t="shared" si="169"/>
        <v>19</v>
      </c>
      <c r="M401" s="13">
        <f t="shared" si="170"/>
        <v>3</v>
      </c>
      <c r="N401" s="14">
        <f t="shared" si="171"/>
        <v>1102003</v>
      </c>
      <c r="O401" s="14" t="str">
        <f t="shared" si="172"/>
        <v>典韦20突</v>
      </c>
      <c r="P401" s="29" t="s">
        <v>470</v>
      </c>
      <c r="Q401" s="14">
        <f t="shared" si="173"/>
        <v>2</v>
      </c>
      <c r="R401" s="14">
        <f t="shared" si="174"/>
        <v>20</v>
      </c>
      <c r="S401" s="14" t="s">
        <v>39</v>
      </c>
      <c r="T401" s="14">
        <f>ROUND(((IF(Q401=1,INDEX(新属性投放!$J$14:$J$34,卡牌属性!R401),INDEX(新属性投放!$J$42:$J$62,卡牌属性!R401)))*INDEX($G$5:$G$42,L401)+IF(Q401=1,INDEX(新属性投放!R$20:R$23,卡牌属性!M401-1),INDEX(新属性投放!R$25:R$28,卡牌属性!M401-1)))/SQRT(INDEX($I$5:$I$42,L401)),2)</f>
        <v>22514.02</v>
      </c>
      <c r="U401" s="29" t="s">
        <v>178</v>
      </c>
      <c r="V401" s="14">
        <f>ROUND((IF(Q401=1,INDEX(新属性投放!$K$14:$K$34,卡牌属性!R401),INDEX(新属性投放!$K$42:$K$62,卡牌属性!R401))+IF(Q401=1,INDEX(新属性投放!S$20:S$23,卡牌属性!M401-1),INDEX(新属性投放!S$25:S$28,卡牌属性!M401-1)))*INDEX($G$5:$G$42,L401),2)</f>
        <v>11119.03</v>
      </c>
      <c r="W401" s="29" t="s">
        <v>179</v>
      </c>
      <c r="X401" s="14">
        <f>ROUND((IF(Q401=1,INDEX(新属性投放!$L$14:$L$34,卡牌属性!R401),INDEX(新属性投放!$L$42:$L$62,卡牌属性!R401))*INDEX($G$5:$G$42,L401)+IF(Q401=1,INDEX(新属性投放!T$20:T$23,卡牌属性!M401-1),INDEX(新属性投放!T$25:T$28,卡牌属性!M401-1)))*SQRT(INDEX($I$5:$I$42,L401)),2)</f>
        <v>120098.85</v>
      </c>
      <c r="Y401" s="29" t="s">
        <v>177</v>
      </c>
      <c r="Z401" s="14">
        <f>ROUND(IF(Q401=1,INDEX(新属性投放!$D$14:$D$34,卡牌属性!R401),INDEX(新属性投放!$D$42:$D$62,卡牌属性!R401))*INDEX($G$5:$G$42,L401)/SQRT(INDEX($I$5:$I$42,L401)),2)</f>
        <v>552.74</v>
      </c>
      <c r="AA401" s="29" t="s">
        <v>178</v>
      </c>
      <c r="AB401" s="14">
        <f>ROUND(IF(Q401=1,INDEX(新属性投放!$E$14:$E$34,卡牌属性!R401),INDEX(新属性投放!$E$42:$E$62,卡牌属性!R401))*INDEX($G$5:$G$42,L401),2)</f>
        <v>276.37</v>
      </c>
      <c r="AC401" s="29" t="s">
        <v>179</v>
      </c>
      <c r="AD401" s="14">
        <f>ROUND(IF(Q401=1,INDEX(新属性投放!$F$14:$F$34,卡牌属性!R401),INDEX(新属性投放!$F$42:$F$62,卡牌属性!R401))*INDEX($G$5:$G$42,L401)*SQRT(INDEX($I$5:$I$42,L401)),2)</f>
        <v>2486.3000000000002</v>
      </c>
      <c r="AF401" s="14">
        <f t="shared" si="175"/>
        <v>5527</v>
      </c>
      <c r="AG401" s="14">
        <f t="shared" si="176"/>
        <v>2763</v>
      </c>
      <c r="AH401" s="14">
        <f t="shared" si="177"/>
        <v>24863</v>
      </c>
      <c r="AJ401" s="14">
        <f t="shared" si="166"/>
        <v>37274</v>
      </c>
      <c r="AK401" s="14">
        <f t="shared" si="167"/>
        <v>18633</v>
      </c>
      <c r="AL401" s="14">
        <f t="shared" si="168"/>
        <v>167653</v>
      </c>
    </row>
    <row r="402" spans="11:38" ht="16.5" x14ac:dyDescent="0.2">
      <c r="K402" s="13">
        <v>399</v>
      </c>
      <c r="L402" s="13">
        <f t="shared" si="169"/>
        <v>19</v>
      </c>
      <c r="M402" s="13">
        <f t="shared" si="170"/>
        <v>3</v>
      </c>
      <c r="N402" s="14">
        <f t="shared" si="171"/>
        <v>1102003</v>
      </c>
      <c r="O402" s="14" t="str">
        <f t="shared" si="172"/>
        <v>典韦21突</v>
      </c>
      <c r="P402" s="29" t="s">
        <v>470</v>
      </c>
      <c r="Q402" s="14">
        <f t="shared" si="173"/>
        <v>2</v>
      </c>
      <c r="R402" s="14">
        <f t="shared" si="174"/>
        <v>21</v>
      </c>
      <c r="S402" s="14" t="s">
        <v>39</v>
      </c>
      <c r="T402" s="14">
        <f>ROUND(((IF(Q402=1,INDEX(新属性投放!$J$14:$J$34,卡牌属性!R402),INDEX(新属性投放!$J$42:$J$62,卡牌属性!R402)))*INDEX($G$5:$G$42,L402)+IF(Q402=1,INDEX(新属性投放!R$20:R$23,卡牌属性!M402-1),INDEX(新属性投放!R$25:R$28,卡牌属性!M402-1)))/SQRT(INDEX($I$5:$I$42,L402)),2)</f>
        <v>25968.85</v>
      </c>
      <c r="U402" s="29" t="s">
        <v>178</v>
      </c>
      <c r="V402" s="14">
        <f>ROUND((IF(Q402=1,INDEX(新属性投放!$K$14:$K$34,卡牌属性!R402),INDEX(新属性投放!$K$42:$K$62,卡牌属性!R402))+IF(Q402=1,INDEX(新属性投放!S$20:S$23,卡牌属性!M402-1),INDEX(新属性投放!S$25:S$28,卡牌属性!M402-1)))*INDEX($G$5:$G$42,L402),2)</f>
        <v>12845.87</v>
      </c>
      <c r="W402" s="29" t="s">
        <v>179</v>
      </c>
      <c r="X402" s="14">
        <f>ROUND((IF(Q402=1,INDEX(新属性投放!$L$14:$L$34,卡牌属性!R402),INDEX(新属性投放!$L$42:$L$62,卡牌属性!R402))*INDEX($G$5:$G$42,L402)+IF(Q402=1,INDEX(新属性投放!T$20:T$23,卡牌属性!M402-1),INDEX(新属性投放!T$25:T$28,卡牌属性!M402-1)))*SQRT(INDEX($I$5:$I$42,L402)),2)</f>
        <v>138750.70000000001</v>
      </c>
      <c r="Y402" s="29" t="s">
        <v>177</v>
      </c>
      <c r="Z402" s="14">
        <f>ROUND(IF(Q402=1,INDEX(新属性投放!$D$14:$D$34,卡牌属性!R402),INDEX(新属性投放!$D$42:$D$62,卡牌属性!R402))*INDEX($G$5:$G$42,L402)/SQRT(INDEX($I$5:$I$42,L402)),2)</f>
        <v>639.1</v>
      </c>
      <c r="AA402" s="29" t="s">
        <v>178</v>
      </c>
      <c r="AB402" s="14">
        <f>ROUND(IF(Q402=1,INDEX(新属性投放!$E$14:$E$34,卡牌属性!R402),INDEX(新属性投放!$E$42:$E$62,卡牌属性!R402))*INDEX($G$5:$G$42,L402),2)</f>
        <v>319.55</v>
      </c>
      <c r="AC402" s="29" t="s">
        <v>179</v>
      </c>
      <c r="AD402" s="14">
        <f>ROUND(IF(Q402=1,INDEX(新属性投放!$F$14:$F$34,卡牌属性!R402),INDEX(新属性投放!$F$42:$F$62,卡牌属性!R402))*INDEX($G$5:$G$42,L402)*SQRT(INDEX($I$5:$I$42,L402)),2)</f>
        <v>2875</v>
      </c>
      <c r="AF402" s="14">
        <f t="shared" si="175"/>
        <v>6391</v>
      </c>
      <c r="AG402" s="14">
        <f t="shared" si="176"/>
        <v>3195</v>
      </c>
      <c r="AH402" s="14">
        <f t="shared" si="177"/>
        <v>28750</v>
      </c>
      <c r="AJ402" s="14">
        <f t="shared" si="166"/>
        <v>43665</v>
      </c>
      <c r="AK402" s="14">
        <f t="shared" si="167"/>
        <v>21828</v>
      </c>
      <c r="AL402" s="14">
        <f t="shared" si="168"/>
        <v>196403</v>
      </c>
    </row>
    <row r="403" spans="11:38" ht="16.5" x14ac:dyDescent="0.2">
      <c r="K403" s="13">
        <v>400</v>
      </c>
      <c r="L403" s="13">
        <f t="shared" si="169"/>
        <v>20</v>
      </c>
      <c r="M403" s="13">
        <f t="shared" si="170"/>
        <v>2</v>
      </c>
      <c r="N403" s="14">
        <f t="shared" si="171"/>
        <v>1102004</v>
      </c>
      <c r="O403" s="14" t="str">
        <f t="shared" si="172"/>
        <v>唐流雨1突</v>
      </c>
      <c r="P403" s="29" t="s">
        <v>470</v>
      </c>
      <c r="Q403" s="14">
        <f t="shared" si="173"/>
        <v>2</v>
      </c>
      <c r="R403" s="14">
        <f t="shared" si="174"/>
        <v>1</v>
      </c>
      <c r="S403" s="14" t="s">
        <v>39</v>
      </c>
      <c r="T403" s="14">
        <f>ROUND(((IF(Q403=1,INDEX(新属性投放!$J$14:$J$34,卡牌属性!R403),INDEX(新属性投放!$J$42:$J$62,卡牌属性!R403)))*INDEX($G$5:$G$42,L403)+IF(Q403=1,INDEX(新属性投放!R$20:R$23,卡牌属性!M403-1),INDEX(新属性投放!R$25:R$28,卡牌属性!M403-1)))/SQRT(INDEX($I$5:$I$42,L403)),2)</f>
        <v>350</v>
      </c>
      <c r="U403" s="29" t="s">
        <v>178</v>
      </c>
      <c r="V403" s="14">
        <f>ROUND((IF(Q403=1,INDEX(新属性投放!$K$14:$K$34,卡牌属性!R403),INDEX(新属性投放!$K$42:$K$62,卡牌属性!R403))+IF(Q403=1,INDEX(新属性投放!S$20:S$23,卡牌属性!M403-1),INDEX(新属性投放!S$25:S$28,卡牌属性!M403-1)))*INDEX($G$5:$G$42,L403),2)</f>
        <v>100</v>
      </c>
      <c r="W403" s="29" t="s">
        <v>179</v>
      </c>
      <c r="X403" s="14">
        <f>ROUND((IF(Q403=1,INDEX(新属性投放!$L$14:$L$34,卡牌属性!R403),INDEX(新属性投放!$L$42:$L$62,卡牌属性!R403))*INDEX($G$5:$G$42,L403)+IF(Q403=1,INDEX(新属性投放!T$20:T$23,卡牌属性!M403-1),INDEX(新属性投放!T$25:T$28,卡牌属性!M403-1)))*SQRT(INDEX($I$5:$I$42,L403)),2)</f>
        <v>750</v>
      </c>
      <c r="Y403" s="29" t="s">
        <v>177</v>
      </c>
      <c r="Z403" s="14">
        <f>ROUND(IF(Q403=1,INDEX(新属性投放!$D$14:$D$34,卡牌属性!R403),INDEX(新属性投放!$D$42:$D$62,卡牌属性!R403))*INDEX($G$5:$G$42,L403)/SQRT(INDEX($I$5:$I$42,L403)),2)</f>
        <v>15</v>
      </c>
      <c r="AA403" s="29" t="s">
        <v>178</v>
      </c>
      <c r="AB403" s="14">
        <f>ROUND(IF(Q403=1,INDEX(新属性投放!$E$14:$E$34,卡牌属性!R403),INDEX(新属性投放!$E$42:$E$62,卡牌属性!R403))*INDEX($G$5:$G$42,L403),2)</f>
        <v>7.5</v>
      </c>
      <c r="AC403" s="29" t="s">
        <v>179</v>
      </c>
      <c r="AD403" s="14">
        <f>ROUND(IF(Q403=1,INDEX(新属性投放!$F$14:$F$34,卡牌属性!R403),INDEX(新属性投放!$F$42:$F$62,卡牌属性!R403))*INDEX($G$5:$G$42,L403)*SQRT(INDEX($I$5:$I$42,L403)),2)</f>
        <v>67</v>
      </c>
      <c r="AF403" s="14">
        <f t="shared" si="175"/>
        <v>150</v>
      </c>
      <c r="AG403" s="14">
        <f t="shared" si="176"/>
        <v>75</v>
      </c>
      <c r="AH403" s="14">
        <f t="shared" si="177"/>
        <v>670</v>
      </c>
      <c r="AJ403" s="14">
        <f t="shared" ref="AJ403" si="178">AF403</f>
        <v>150</v>
      </c>
      <c r="AK403" s="14">
        <f t="shared" ref="AK403" si="179">AG403</f>
        <v>75</v>
      </c>
      <c r="AL403" s="14">
        <f t="shared" ref="AL403" si="180">AH403</f>
        <v>670</v>
      </c>
    </row>
    <row r="404" spans="11:38" ht="16.5" x14ac:dyDescent="0.2">
      <c r="K404" s="13">
        <v>401</v>
      </c>
      <c r="L404" s="13">
        <f t="shared" si="169"/>
        <v>20</v>
      </c>
      <c r="M404" s="13">
        <f t="shared" si="170"/>
        <v>2</v>
      </c>
      <c r="N404" s="14">
        <f t="shared" si="171"/>
        <v>1102004</v>
      </c>
      <c r="O404" s="14" t="str">
        <f t="shared" si="172"/>
        <v>唐流雨2突</v>
      </c>
      <c r="P404" s="29" t="s">
        <v>470</v>
      </c>
      <c r="Q404" s="14">
        <f t="shared" si="173"/>
        <v>2</v>
      </c>
      <c r="R404" s="14">
        <f t="shared" si="174"/>
        <v>2</v>
      </c>
      <c r="S404" s="14" t="s">
        <v>39</v>
      </c>
      <c r="T404" s="14">
        <f>ROUND(((IF(Q404=1,INDEX(新属性投放!$J$14:$J$34,卡牌属性!R404),INDEX(新属性投放!$J$42:$J$62,卡牌属性!R404)))*INDEX($G$5:$G$42,L404)+IF(Q404=1,INDEX(新属性投放!R$20:R$23,卡牌属性!M404-1),INDEX(新属性投放!R$25:R$28,卡牌属性!M404-1)))/SQRT(INDEX($I$5:$I$42,L404)),2)</f>
        <v>510</v>
      </c>
      <c r="U404" s="29" t="s">
        <v>178</v>
      </c>
      <c r="V404" s="14">
        <f>ROUND((IF(Q404=1,INDEX(新属性投放!$K$14:$K$34,卡牌属性!R404),INDEX(新属性投放!$K$42:$K$62,卡牌属性!R404))+IF(Q404=1,INDEX(新属性投放!S$20:S$23,卡牌属性!M404-1),INDEX(新属性投放!S$25:S$28,卡牌属性!M404-1)))*INDEX($G$5:$G$42,L404),2)</f>
        <v>177.5</v>
      </c>
      <c r="W404" s="29" t="s">
        <v>179</v>
      </c>
      <c r="X404" s="14">
        <f>ROUND((IF(Q404=1,INDEX(新属性投放!$L$14:$L$34,卡牌属性!R404),INDEX(新属性投放!$L$42:$L$62,卡牌属性!R404))*INDEX($G$5:$G$42,L404)+IF(Q404=1,INDEX(新属性投放!T$20:T$23,卡牌属性!M404-1),INDEX(新属性投放!T$25:T$28,卡牌属性!M404-1)))*SQRT(INDEX($I$5:$I$42,L404)),2)</f>
        <v>1578</v>
      </c>
      <c r="Y404" s="29" t="s">
        <v>177</v>
      </c>
      <c r="Z404" s="14">
        <f>ROUND(IF(Q404=1,INDEX(新属性投放!$D$14:$D$34,卡牌属性!R404),INDEX(新属性投放!$D$42:$D$62,卡牌属性!R404))*INDEX($G$5:$G$42,L404)/SQRT(INDEX($I$5:$I$42,L404)),2)</f>
        <v>13.77</v>
      </c>
      <c r="AA404" s="29" t="s">
        <v>178</v>
      </c>
      <c r="AB404" s="14">
        <f>ROUND(IF(Q404=1,INDEX(新属性投放!$E$14:$E$34,卡牌属性!R404),INDEX(新属性投放!$E$42:$E$62,卡牌属性!R404))*INDEX($G$5:$G$42,L404),2)</f>
        <v>6.89</v>
      </c>
      <c r="AC404" s="29" t="s">
        <v>179</v>
      </c>
      <c r="AD404" s="14">
        <f>ROUND(IF(Q404=1,INDEX(新属性投放!$F$14:$F$34,卡牌属性!R404),INDEX(新属性投放!$F$42:$F$62,卡牌属性!R404))*INDEX($G$5:$G$42,L404)*SQRT(INDEX($I$5:$I$42,L404)),2)</f>
        <v>61</v>
      </c>
      <c r="AF404" s="14">
        <f t="shared" si="175"/>
        <v>137</v>
      </c>
      <c r="AG404" s="14">
        <f t="shared" si="176"/>
        <v>68</v>
      </c>
      <c r="AH404" s="14">
        <f t="shared" si="177"/>
        <v>610</v>
      </c>
      <c r="AJ404" s="14">
        <f t="shared" ref="AJ404:AJ423" si="181">AJ403+AF404</f>
        <v>287</v>
      </c>
      <c r="AK404" s="14">
        <f t="shared" ref="AK404:AK423" si="182">AK403+AG404</f>
        <v>143</v>
      </c>
      <c r="AL404" s="14">
        <f t="shared" ref="AL404:AL423" si="183">AL403+AH404</f>
        <v>1280</v>
      </c>
    </row>
    <row r="405" spans="11:38" ht="16.5" x14ac:dyDescent="0.2">
      <c r="K405" s="13">
        <v>402</v>
      </c>
      <c r="L405" s="13">
        <f t="shared" si="169"/>
        <v>20</v>
      </c>
      <c r="M405" s="13">
        <f t="shared" si="170"/>
        <v>2</v>
      </c>
      <c r="N405" s="14">
        <f t="shared" si="171"/>
        <v>1102004</v>
      </c>
      <c r="O405" s="14" t="str">
        <f t="shared" si="172"/>
        <v>唐流雨3突</v>
      </c>
      <c r="P405" s="29" t="s">
        <v>470</v>
      </c>
      <c r="Q405" s="14">
        <f t="shared" si="173"/>
        <v>2</v>
      </c>
      <c r="R405" s="14">
        <f t="shared" si="174"/>
        <v>3</v>
      </c>
      <c r="S405" s="14" t="s">
        <v>39</v>
      </c>
      <c r="T405" s="14">
        <f>ROUND(((IF(Q405=1,INDEX(新属性投放!$J$14:$J$34,卡牌属性!R405),INDEX(新属性投放!$J$42:$J$62,卡牌属性!R405)))*INDEX($G$5:$G$42,L405)+IF(Q405=1,INDEX(新属性投放!R$20:R$23,卡牌属性!M405-1),INDEX(新属性投放!R$25:R$28,卡牌属性!M405-1)))/SQRT(INDEX($I$5:$I$42,L405)),2)</f>
        <v>681.7</v>
      </c>
      <c r="U405" s="29" t="s">
        <v>178</v>
      </c>
      <c r="V405" s="14">
        <f>ROUND((IF(Q405=1,INDEX(新属性投放!$K$14:$K$34,卡牌属性!R405),INDEX(新属性投放!$K$42:$K$62,卡牌属性!R405))+IF(Q405=1,INDEX(新属性投放!S$20:S$23,卡牌属性!M405-1),INDEX(新属性投放!S$25:S$28,卡牌属性!M405-1)))*INDEX($G$5:$G$42,L405),2)</f>
        <v>263.35000000000002</v>
      </c>
      <c r="W405" s="29" t="s">
        <v>179</v>
      </c>
      <c r="X405" s="14">
        <f>ROUND((IF(Q405=1,INDEX(新属性投放!$L$14:$L$34,卡牌属性!R405),INDEX(新属性投放!$L$42:$L$62,卡牌属性!R405))*INDEX($G$5:$G$42,L405)+IF(Q405=1,INDEX(新属性投放!T$20:T$23,卡牌属性!M405-1),INDEX(新属性投放!T$25:T$28,卡牌属性!M405-1)))*SQRT(INDEX($I$5:$I$42,L405)),2)</f>
        <v>2494</v>
      </c>
      <c r="Y405" s="29" t="s">
        <v>177</v>
      </c>
      <c r="Z405" s="14">
        <f>ROUND(IF(Q405=1,INDEX(新属性投放!$D$14:$D$34,卡牌属性!R405),INDEX(新属性投放!$D$42:$D$62,卡牌属性!R405))*INDEX($G$5:$G$42,L405)/SQRT(INDEX($I$5:$I$42,L405)),2)</f>
        <v>25.17</v>
      </c>
      <c r="AA405" s="29" t="s">
        <v>178</v>
      </c>
      <c r="AB405" s="14">
        <f>ROUND(IF(Q405=1,INDEX(新属性投放!$E$14:$E$34,卡牌属性!R405),INDEX(新属性投放!$E$42:$E$62,卡牌属性!R405))*INDEX($G$5:$G$42,L405),2)</f>
        <v>12.59</v>
      </c>
      <c r="AC405" s="29" t="s">
        <v>179</v>
      </c>
      <c r="AD405" s="14">
        <f>ROUND(IF(Q405=1,INDEX(新属性投放!$F$14:$F$34,卡牌属性!R405),INDEX(新属性投放!$F$42:$F$62,卡牌属性!R405))*INDEX($G$5:$G$42,L405)*SQRT(INDEX($I$5:$I$42,L405)),2)</f>
        <v>113</v>
      </c>
      <c r="AF405" s="14">
        <f t="shared" si="175"/>
        <v>251</v>
      </c>
      <c r="AG405" s="14">
        <f t="shared" si="176"/>
        <v>125</v>
      </c>
      <c r="AH405" s="14">
        <f t="shared" si="177"/>
        <v>1130</v>
      </c>
      <c r="AJ405" s="14">
        <f t="shared" si="181"/>
        <v>538</v>
      </c>
      <c r="AK405" s="14">
        <f t="shared" si="182"/>
        <v>268</v>
      </c>
      <c r="AL405" s="14">
        <f t="shared" si="183"/>
        <v>2410</v>
      </c>
    </row>
    <row r="406" spans="11:38" ht="16.5" x14ac:dyDescent="0.2">
      <c r="K406" s="13">
        <v>403</v>
      </c>
      <c r="L406" s="13">
        <f t="shared" si="169"/>
        <v>20</v>
      </c>
      <c r="M406" s="13">
        <f t="shared" si="170"/>
        <v>2</v>
      </c>
      <c r="N406" s="14">
        <f t="shared" si="171"/>
        <v>1102004</v>
      </c>
      <c r="O406" s="14" t="str">
        <f t="shared" si="172"/>
        <v>唐流雨4突</v>
      </c>
      <c r="P406" s="29" t="s">
        <v>470</v>
      </c>
      <c r="Q406" s="14">
        <f t="shared" si="173"/>
        <v>2</v>
      </c>
      <c r="R406" s="14">
        <f t="shared" si="174"/>
        <v>4</v>
      </c>
      <c r="S406" s="14" t="s">
        <v>39</v>
      </c>
      <c r="T406" s="14">
        <f>ROUND(((IF(Q406=1,INDEX(新属性投放!$J$14:$J$34,卡牌属性!R406),INDEX(新属性投放!$J$42:$J$62,卡牌属性!R406)))*INDEX($G$5:$G$42,L406)+IF(Q406=1,INDEX(新属性投放!R$20:R$23,卡牌属性!M406-1),INDEX(新属性投放!R$25:R$28,卡牌属性!M406-1)))/SQRT(INDEX($I$5:$I$42,L406)),2)</f>
        <v>996.4</v>
      </c>
      <c r="U406" s="29" t="s">
        <v>178</v>
      </c>
      <c r="V406" s="14">
        <f>ROUND((IF(Q406=1,INDEX(新属性投放!$K$14:$K$34,卡牌属性!R406),INDEX(新属性投放!$K$42:$K$62,卡牌属性!R406))+IF(Q406=1,INDEX(新属性投放!S$20:S$23,卡牌属性!M406-1),INDEX(新属性投放!S$25:S$28,卡牌属性!M406-1)))*INDEX($G$5:$G$42,L406),2)</f>
        <v>420.2</v>
      </c>
      <c r="W406" s="29" t="s">
        <v>179</v>
      </c>
      <c r="X406" s="14">
        <f>ROUND((IF(Q406=1,INDEX(新属性投放!$L$14:$L$34,卡牌属性!R406),INDEX(新属性投放!$L$42:$L$62,卡牌属性!R406))*INDEX($G$5:$G$42,L406)+IF(Q406=1,INDEX(新属性投放!T$20:T$23,卡牌属性!M406-1),INDEX(新属性投放!T$25:T$28,卡牌属性!M406-1)))*SQRT(INDEX($I$5:$I$42,L406)),2)</f>
        <v>4191</v>
      </c>
      <c r="Y406" s="29" t="s">
        <v>177</v>
      </c>
      <c r="Z406" s="14">
        <f>ROUND(IF(Q406=1,INDEX(新属性投放!$D$14:$D$34,卡牌属性!R406),INDEX(新属性投放!$D$42:$D$62,卡牌属性!R406))*INDEX($G$5:$G$42,L406)/SQRT(INDEX($I$5:$I$42,L406)),2)</f>
        <v>30.13</v>
      </c>
      <c r="AA406" s="29" t="s">
        <v>178</v>
      </c>
      <c r="AB406" s="14">
        <f>ROUND(IF(Q406=1,INDEX(新属性投放!$E$14:$E$34,卡牌属性!R406),INDEX(新属性投放!$E$42:$E$62,卡牌属性!R406))*INDEX($G$5:$G$42,L406),2)</f>
        <v>15.07</v>
      </c>
      <c r="AC406" s="29" t="s">
        <v>179</v>
      </c>
      <c r="AD406" s="14">
        <f>ROUND(IF(Q406=1,INDEX(新属性投放!$F$14:$F$34,卡牌属性!R406),INDEX(新属性投放!$F$42:$F$62,卡牌属性!R406))*INDEX($G$5:$G$42,L406)*SQRT(INDEX($I$5:$I$42,L406)),2)</f>
        <v>135</v>
      </c>
      <c r="AF406" s="14">
        <f t="shared" si="175"/>
        <v>301</v>
      </c>
      <c r="AG406" s="14">
        <f t="shared" si="176"/>
        <v>150</v>
      </c>
      <c r="AH406" s="14">
        <f t="shared" si="177"/>
        <v>1350</v>
      </c>
      <c r="AJ406" s="14">
        <f t="shared" si="181"/>
        <v>839</v>
      </c>
      <c r="AK406" s="14">
        <f t="shared" si="182"/>
        <v>418</v>
      </c>
      <c r="AL406" s="14">
        <f t="shared" si="183"/>
        <v>3760</v>
      </c>
    </row>
    <row r="407" spans="11:38" ht="16.5" x14ac:dyDescent="0.2">
      <c r="K407" s="13">
        <v>404</v>
      </c>
      <c r="L407" s="13">
        <f t="shared" si="169"/>
        <v>20</v>
      </c>
      <c r="M407" s="13">
        <f t="shared" si="170"/>
        <v>2</v>
      </c>
      <c r="N407" s="14">
        <f t="shared" si="171"/>
        <v>1102004</v>
      </c>
      <c r="O407" s="14" t="str">
        <f t="shared" si="172"/>
        <v>唐流雨5突</v>
      </c>
      <c r="P407" s="29" t="s">
        <v>470</v>
      </c>
      <c r="Q407" s="14">
        <f t="shared" si="173"/>
        <v>2</v>
      </c>
      <c r="R407" s="14">
        <f t="shared" si="174"/>
        <v>5</v>
      </c>
      <c r="S407" s="14" t="s">
        <v>39</v>
      </c>
      <c r="T407" s="14">
        <f>ROUND(((IF(Q407=1,INDEX(新属性投放!$J$14:$J$34,卡牌属性!R407),INDEX(新属性投放!$J$42:$J$62,卡牌属性!R407)))*INDEX($G$5:$G$42,L407)+IF(Q407=1,INDEX(新属性投放!R$20:R$23,卡牌属性!M407-1),INDEX(新属性投放!R$25:R$28,卡牌属性!M407-1)))/SQRT(INDEX($I$5:$I$42,L407)),2)</f>
        <v>1372.7</v>
      </c>
      <c r="U407" s="29" t="s">
        <v>178</v>
      </c>
      <c r="V407" s="14">
        <f>ROUND((IF(Q407=1,INDEX(新属性投放!$K$14:$K$34,卡牌属性!R407),INDEX(新属性投放!$K$42:$K$62,卡牌属性!R407))+IF(Q407=1,INDEX(新属性投放!S$20:S$23,卡牌属性!M407-1),INDEX(新属性投放!S$25:S$28,卡牌属性!M407-1)))*INDEX($G$5:$G$42,L407),2)</f>
        <v>608.85</v>
      </c>
      <c r="W407" s="29" t="s">
        <v>179</v>
      </c>
      <c r="X407" s="14">
        <f>ROUND((IF(Q407=1,INDEX(新属性投放!$L$14:$L$34,卡牌属性!R407),INDEX(新属性投放!$L$42:$L$62,卡牌属性!R407))*INDEX($G$5:$G$42,L407)+IF(Q407=1,INDEX(新属性投放!T$20:T$23,卡牌属性!M407-1),INDEX(新属性投放!T$25:T$28,卡牌属性!M407-1)))*SQRT(INDEX($I$5:$I$42,L407)),2)</f>
        <v>6216</v>
      </c>
      <c r="Y407" s="29" t="s">
        <v>177</v>
      </c>
      <c r="Z407" s="14">
        <f>ROUND(IF(Q407=1,INDEX(新属性投放!$D$14:$D$34,卡牌属性!R407),INDEX(新属性投放!$D$42:$D$62,卡牌属性!R407))*INDEX($G$5:$G$42,L407)/SQRT(INDEX($I$5:$I$42,L407)),2)</f>
        <v>37.659999999999997</v>
      </c>
      <c r="AA407" s="29" t="s">
        <v>178</v>
      </c>
      <c r="AB407" s="14">
        <f>ROUND(IF(Q407=1,INDEX(新属性投放!$E$14:$E$34,卡牌属性!R407),INDEX(新属性投放!$E$42:$E$62,卡牌属性!R407))*INDEX($G$5:$G$42,L407),2)</f>
        <v>18.829999999999998</v>
      </c>
      <c r="AC407" s="29" t="s">
        <v>179</v>
      </c>
      <c r="AD407" s="14">
        <f>ROUND(IF(Q407=1,INDEX(新属性投放!$F$14:$F$34,卡牌属性!R407),INDEX(新属性投放!$F$42:$F$62,卡牌属性!R407))*INDEX($G$5:$G$42,L407)*SQRT(INDEX($I$5:$I$42,L407)),2)</f>
        <v>169</v>
      </c>
      <c r="AF407" s="14">
        <f t="shared" si="175"/>
        <v>376</v>
      </c>
      <c r="AG407" s="14">
        <f t="shared" si="176"/>
        <v>188</v>
      </c>
      <c r="AH407" s="14">
        <f t="shared" si="177"/>
        <v>1690</v>
      </c>
      <c r="AJ407" s="14">
        <f t="shared" si="181"/>
        <v>1215</v>
      </c>
      <c r="AK407" s="14">
        <f t="shared" si="182"/>
        <v>606</v>
      </c>
      <c r="AL407" s="14">
        <f t="shared" si="183"/>
        <v>5450</v>
      </c>
    </row>
    <row r="408" spans="11:38" ht="16.5" x14ac:dyDescent="0.2">
      <c r="K408" s="13">
        <v>405</v>
      </c>
      <c r="L408" s="13">
        <f t="shared" si="169"/>
        <v>20</v>
      </c>
      <c r="M408" s="13">
        <f t="shared" si="170"/>
        <v>2</v>
      </c>
      <c r="N408" s="14">
        <f t="shared" si="171"/>
        <v>1102004</v>
      </c>
      <c r="O408" s="14" t="str">
        <f t="shared" si="172"/>
        <v>唐流雨6突</v>
      </c>
      <c r="P408" s="29" t="s">
        <v>470</v>
      </c>
      <c r="Q408" s="14">
        <f t="shared" si="173"/>
        <v>2</v>
      </c>
      <c r="R408" s="14">
        <f t="shared" si="174"/>
        <v>6</v>
      </c>
      <c r="S408" s="14" t="s">
        <v>39</v>
      </c>
      <c r="T408" s="14">
        <f>ROUND(((IF(Q408=1,INDEX(新属性投放!$J$14:$J$34,卡牌属性!R408),INDEX(新属性投放!$J$42:$J$62,卡牌属性!R408)))*INDEX($G$5:$G$42,L408)+IF(Q408=1,INDEX(新属性投放!R$20:R$23,卡牌属性!M408-1),INDEX(新属性投放!R$25:R$28,卡牌属性!M408-1)))/SQRT(INDEX($I$5:$I$42,L408)),2)</f>
        <v>1843.3</v>
      </c>
      <c r="U408" s="29" t="s">
        <v>178</v>
      </c>
      <c r="V408" s="14">
        <f>ROUND((IF(Q408=1,INDEX(新属性投放!$K$14:$K$34,卡牌属性!R408),INDEX(新属性投放!$K$42:$K$62,卡牌属性!R408))+IF(Q408=1,INDEX(新属性投放!S$20:S$23,卡牌属性!M408-1),INDEX(新属性投放!S$25:S$28,卡牌属性!M408-1)))*INDEX($G$5:$G$42,L408),2)</f>
        <v>844.15</v>
      </c>
      <c r="W408" s="29" t="s">
        <v>179</v>
      </c>
      <c r="X408" s="14">
        <f>ROUND((IF(Q408=1,INDEX(新属性投放!$L$14:$L$34,卡牌属性!R408),INDEX(新属性投放!$L$42:$L$62,卡牌属性!R408))*INDEX($G$5:$G$42,L408)+IF(Q408=1,INDEX(新属性投放!T$20:T$23,卡牌属性!M408-1),INDEX(新属性投放!T$25:T$28,卡牌属性!M408-1)))*SQRT(INDEX($I$5:$I$42,L408)),2)</f>
        <v>8752</v>
      </c>
      <c r="Y408" s="29" t="s">
        <v>177</v>
      </c>
      <c r="Z408" s="14">
        <f>ROUND(IF(Q408=1,INDEX(新属性投放!$D$14:$D$34,卡牌属性!R408),INDEX(新属性投放!$D$42:$D$62,卡牌属性!R408))*INDEX($G$5:$G$42,L408)/SQRT(INDEX($I$5:$I$42,L408)),2)</f>
        <v>48.85</v>
      </c>
      <c r="AA408" s="29" t="s">
        <v>178</v>
      </c>
      <c r="AB408" s="14">
        <f>ROUND(IF(Q408=1,INDEX(新属性投放!$E$14:$E$34,卡牌属性!R408),INDEX(新属性投放!$E$42:$E$62,卡牌属性!R408))*INDEX($G$5:$G$42,L408),2)</f>
        <v>24.43</v>
      </c>
      <c r="AC408" s="29" t="s">
        <v>179</v>
      </c>
      <c r="AD408" s="14">
        <f>ROUND(IF(Q408=1,INDEX(新属性投放!$F$14:$F$34,卡牌属性!R408),INDEX(新属性投放!$F$42:$F$62,卡牌属性!R408))*INDEX($G$5:$G$42,L408)*SQRT(INDEX($I$5:$I$42,L408)),2)</f>
        <v>219</v>
      </c>
      <c r="AF408" s="14">
        <f t="shared" si="175"/>
        <v>488</v>
      </c>
      <c r="AG408" s="14">
        <f t="shared" si="176"/>
        <v>244</v>
      </c>
      <c r="AH408" s="14">
        <f t="shared" si="177"/>
        <v>2190</v>
      </c>
      <c r="AJ408" s="14">
        <f t="shared" si="181"/>
        <v>1703</v>
      </c>
      <c r="AK408" s="14">
        <f t="shared" si="182"/>
        <v>850</v>
      </c>
      <c r="AL408" s="14">
        <f t="shared" si="183"/>
        <v>7640</v>
      </c>
    </row>
    <row r="409" spans="11:38" ht="16.5" x14ac:dyDescent="0.2">
      <c r="K409" s="13">
        <v>406</v>
      </c>
      <c r="L409" s="13">
        <f t="shared" si="169"/>
        <v>20</v>
      </c>
      <c r="M409" s="13">
        <f t="shared" si="170"/>
        <v>2</v>
      </c>
      <c r="N409" s="14">
        <f t="shared" si="171"/>
        <v>1102004</v>
      </c>
      <c r="O409" s="14" t="str">
        <f t="shared" si="172"/>
        <v>唐流雨7突</v>
      </c>
      <c r="P409" s="29" t="s">
        <v>470</v>
      </c>
      <c r="Q409" s="14">
        <f t="shared" si="173"/>
        <v>2</v>
      </c>
      <c r="R409" s="14">
        <f t="shared" si="174"/>
        <v>7</v>
      </c>
      <c r="S409" s="14" t="s">
        <v>39</v>
      </c>
      <c r="T409" s="14">
        <f>ROUND(((IF(Q409=1,INDEX(新属性投放!$J$14:$J$34,卡牌属性!R409),INDEX(新属性投放!$J$42:$J$62,卡牌属性!R409)))*INDEX($G$5:$G$42,L409)+IF(Q409=1,INDEX(新属性投放!R$20:R$23,卡牌属性!M409-1),INDEX(新属性投放!R$25:R$28,卡牌属性!M409-1)))/SQRT(INDEX($I$5:$I$42,L409)),2)</f>
        <v>2453.8000000000002</v>
      </c>
      <c r="U409" s="29" t="s">
        <v>178</v>
      </c>
      <c r="V409" s="14">
        <f>ROUND((IF(Q409=1,INDEX(新属性投放!$K$14:$K$34,卡牌属性!R409),INDEX(新属性投放!$K$42:$K$62,卡牌属性!R409))+IF(Q409=1,INDEX(新属性投放!S$20:S$23,卡牌属性!M409-1),INDEX(新属性投放!S$25:S$28,卡牌属性!M409-1)))*INDEX($G$5:$G$42,L409),2)</f>
        <v>1149.4000000000001</v>
      </c>
      <c r="W409" s="29" t="s">
        <v>179</v>
      </c>
      <c r="X409" s="14">
        <f>ROUND((IF(Q409=1,INDEX(新属性投放!$L$14:$L$34,卡牌属性!R409),INDEX(新属性投放!$L$42:$L$62,卡牌属性!R409))*INDEX($G$5:$G$42,L409)+IF(Q409=1,INDEX(新属性投放!T$20:T$23,卡牌属性!M409-1),INDEX(新属性投放!T$25:T$28,卡牌属性!M409-1)))*SQRT(INDEX($I$5:$I$42,L409)),2)</f>
        <v>12040</v>
      </c>
      <c r="Y409" s="29" t="s">
        <v>177</v>
      </c>
      <c r="Z409" s="14">
        <f>ROUND(IF(Q409=1,INDEX(新属性投放!$D$14:$D$34,卡牌属性!R409),INDEX(新属性投放!$D$42:$D$62,卡牌属性!R409))*INDEX($G$5:$G$42,L409)/SQRT(INDEX($I$5:$I$42,L409)),2)</f>
        <v>60.19</v>
      </c>
      <c r="AA409" s="29" t="s">
        <v>178</v>
      </c>
      <c r="AB409" s="14">
        <f>ROUND(IF(Q409=1,INDEX(新属性投放!$E$14:$E$34,卡牌属性!R409),INDEX(新属性投放!$E$42:$E$62,卡牌属性!R409))*INDEX($G$5:$G$42,L409),2)</f>
        <v>30.1</v>
      </c>
      <c r="AC409" s="29" t="s">
        <v>179</v>
      </c>
      <c r="AD409" s="14">
        <f>ROUND(IF(Q409=1,INDEX(新属性投放!$F$14:$F$34,卡牌属性!R409),INDEX(新属性投放!$F$42:$F$62,卡牌属性!R409))*INDEX($G$5:$G$42,L409)*SQRT(INDEX($I$5:$I$42,L409)),2)</f>
        <v>270</v>
      </c>
      <c r="AF409" s="14">
        <f t="shared" si="175"/>
        <v>601</v>
      </c>
      <c r="AG409" s="14">
        <f t="shared" si="176"/>
        <v>301</v>
      </c>
      <c r="AH409" s="14">
        <f t="shared" si="177"/>
        <v>2700</v>
      </c>
      <c r="AJ409" s="14">
        <f t="shared" si="181"/>
        <v>2304</v>
      </c>
      <c r="AK409" s="14">
        <f t="shared" si="182"/>
        <v>1151</v>
      </c>
      <c r="AL409" s="14">
        <f t="shared" si="183"/>
        <v>10340</v>
      </c>
    </row>
    <row r="410" spans="11:38" ht="16.5" x14ac:dyDescent="0.2">
      <c r="K410" s="13">
        <v>407</v>
      </c>
      <c r="L410" s="13">
        <f t="shared" si="169"/>
        <v>20</v>
      </c>
      <c r="M410" s="13">
        <f t="shared" si="170"/>
        <v>2</v>
      </c>
      <c r="N410" s="14">
        <f t="shared" si="171"/>
        <v>1102004</v>
      </c>
      <c r="O410" s="14" t="str">
        <f t="shared" si="172"/>
        <v>唐流雨8突</v>
      </c>
      <c r="P410" s="29" t="s">
        <v>470</v>
      </c>
      <c r="Q410" s="14">
        <f t="shared" si="173"/>
        <v>2</v>
      </c>
      <c r="R410" s="14">
        <f t="shared" si="174"/>
        <v>8</v>
      </c>
      <c r="S410" s="14" t="s">
        <v>39</v>
      </c>
      <c r="T410" s="14">
        <f>ROUND(((IF(Q410=1,INDEX(新属性投放!$J$14:$J$34,卡牌属性!R410),INDEX(新属性投放!$J$42:$J$62,卡牌属性!R410)))*INDEX($G$5:$G$42,L410)+IF(Q410=1,INDEX(新属性投放!R$20:R$23,卡牌属性!M410-1),INDEX(新属性投放!R$25:R$28,卡牌属性!M410-1)))/SQRT(INDEX($I$5:$I$42,L410)),2)</f>
        <v>3205.7</v>
      </c>
      <c r="U410" s="29" t="s">
        <v>178</v>
      </c>
      <c r="V410" s="14">
        <f>ROUND((IF(Q410=1,INDEX(新属性投放!$K$14:$K$34,卡牌属性!R410),INDEX(新属性投放!$K$42:$K$62,卡牌属性!R410))+IF(Q410=1,INDEX(新属性投放!S$20:S$23,卡牌属性!M410-1),INDEX(新属性投放!S$25:S$28,卡牌属性!M410-1)))*INDEX($G$5:$G$42,L410),2)</f>
        <v>1525.35</v>
      </c>
      <c r="W410" s="29" t="s">
        <v>179</v>
      </c>
      <c r="X410" s="14">
        <f>ROUND((IF(Q410=1,INDEX(新属性投放!$L$14:$L$34,卡牌属性!R410),INDEX(新属性投放!$L$42:$L$62,卡牌属性!R410))*INDEX($G$5:$G$42,L410)+IF(Q410=1,INDEX(新属性投放!T$20:T$23,卡牌属性!M410-1),INDEX(新属性投放!T$25:T$28,卡牌属性!M410-1)))*SQRT(INDEX($I$5:$I$42,L410)),2)</f>
        <v>16090</v>
      </c>
      <c r="Y410" s="29" t="s">
        <v>177</v>
      </c>
      <c r="Z410" s="14">
        <f>ROUND(IF(Q410=1,INDEX(新属性投放!$D$14:$D$34,卡牌属性!R410),INDEX(新属性投放!$D$42:$D$62,卡牌属性!R410))*INDEX($G$5:$G$42,L410)/SQRT(INDEX($I$5:$I$42,L410)),2)</f>
        <v>75.19</v>
      </c>
      <c r="AA410" s="29" t="s">
        <v>178</v>
      </c>
      <c r="AB410" s="14">
        <f>ROUND(IF(Q410=1,INDEX(新属性投放!$E$14:$E$34,卡牌属性!R410),INDEX(新属性投放!$E$42:$E$62,卡牌属性!R410))*INDEX($G$5:$G$42,L410),2)</f>
        <v>37.6</v>
      </c>
      <c r="AC410" s="29" t="s">
        <v>179</v>
      </c>
      <c r="AD410" s="14">
        <f>ROUND(IF(Q410=1,INDEX(新属性投放!$F$14:$F$34,卡牌属性!R410),INDEX(新属性投放!$F$42:$F$62,卡牌属性!R410))*INDEX($G$5:$G$42,L410)*SQRT(INDEX($I$5:$I$42,L410)),2)</f>
        <v>338</v>
      </c>
      <c r="AF410" s="14">
        <f t="shared" si="175"/>
        <v>751</v>
      </c>
      <c r="AG410" s="14">
        <f t="shared" si="176"/>
        <v>376</v>
      </c>
      <c r="AH410" s="14">
        <f t="shared" si="177"/>
        <v>3380</v>
      </c>
      <c r="AJ410" s="14">
        <f t="shared" si="181"/>
        <v>3055</v>
      </c>
      <c r="AK410" s="14">
        <f t="shared" si="182"/>
        <v>1527</v>
      </c>
      <c r="AL410" s="14">
        <f t="shared" si="183"/>
        <v>13720</v>
      </c>
    </row>
    <row r="411" spans="11:38" ht="16.5" x14ac:dyDescent="0.2">
      <c r="K411" s="13">
        <v>408</v>
      </c>
      <c r="L411" s="13">
        <f t="shared" si="169"/>
        <v>20</v>
      </c>
      <c r="M411" s="13">
        <f t="shared" si="170"/>
        <v>2</v>
      </c>
      <c r="N411" s="14">
        <f t="shared" si="171"/>
        <v>1102004</v>
      </c>
      <c r="O411" s="14" t="str">
        <f t="shared" si="172"/>
        <v>唐流雨9突</v>
      </c>
      <c r="P411" s="29" t="s">
        <v>470</v>
      </c>
      <c r="Q411" s="14">
        <f t="shared" si="173"/>
        <v>2</v>
      </c>
      <c r="R411" s="14">
        <f t="shared" si="174"/>
        <v>9</v>
      </c>
      <c r="S411" s="14" t="s">
        <v>39</v>
      </c>
      <c r="T411" s="14">
        <f>ROUND(((IF(Q411=1,INDEX(新属性投放!$J$14:$J$34,卡牌属性!R411),INDEX(新属性投放!$J$42:$J$62,卡牌属性!R411)))*INDEX($G$5:$G$42,L411)+IF(Q411=1,INDEX(新属性投放!R$20:R$23,卡牌属性!M411-1),INDEX(新属性投放!R$25:R$28,卡牌属性!M411-1)))/SQRT(INDEX($I$5:$I$42,L411)),2)</f>
        <v>4145.6000000000004</v>
      </c>
      <c r="U411" s="29" t="s">
        <v>178</v>
      </c>
      <c r="V411" s="14">
        <f>ROUND((IF(Q411=1,INDEX(新属性投放!$K$14:$K$34,卡牌属性!R411),INDEX(新属性投放!$K$42:$K$62,卡牌属性!R411))+IF(Q411=1,INDEX(新属性投放!S$20:S$23,卡牌属性!M411-1),INDEX(新属性投放!S$25:S$28,卡牌属性!M411-1)))*INDEX($G$5:$G$42,L411),2)</f>
        <v>1995.3</v>
      </c>
      <c r="W411" s="29" t="s">
        <v>179</v>
      </c>
      <c r="X411" s="14">
        <f>ROUND((IF(Q411=1,INDEX(新属性投放!$L$14:$L$34,卡牌属性!R411),INDEX(新属性投放!$L$42:$L$62,卡牌属性!R411))*INDEX($G$5:$G$42,L411)+IF(Q411=1,INDEX(新属性投放!T$20:T$23,卡牌属性!M411-1),INDEX(新属性投放!T$25:T$28,卡牌属性!M411-1)))*SQRT(INDEX($I$5:$I$42,L411)),2)</f>
        <v>21162</v>
      </c>
      <c r="Y411" s="29" t="s">
        <v>177</v>
      </c>
      <c r="Z411" s="14">
        <f>ROUND(IF(Q411=1,INDEX(新属性投放!$D$14:$D$34,卡牌属性!R411),INDEX(新属性投放!$D$42:$D$62,卡牌属性!R411))*INDEX($G$5:$G$42,L411)/SQRT(INDEX($I$5:$I$42,L411)),2)</f>
        <v>97.79</v>
      </c>
      <c r="AA411" s="29" t="s">
        <v>178</v>
      </c>
      <c r="AB411" s="14">
        <f>ROUND(IF(Q411=1,INDEX(新属性投放!$E$14:$E$34,卡牌属性!R411),INDEX(新属性投放!$E$42:$E$62,卡牌属性!R411))*INDEX($G$5:$G$42,L411),2)</f>
        <v>48.9</v>
      </c>
      <c r="AC411" s="29" t="s">
        <v>179</v>
      </c>
      <c r="AD411" s="14">
        <f>ROUND(IF(Q411=1,INDEX(新属性投放!$F$14:$F$34,卡牌属性!R411),INDEX(新属性投放!$F$42:$F$62,卡牌属性!R411))*INDEX($G$5:$G$42,L411)*SQRT(INDEX($I$5:$I$42,L411)),2)</f>
        <v>440</v>
      </c>
      <c r="AF411" s="14">
        <f t="shared" si="175"/>
        <v>977</v>
      </c>
      <c r="AG411" s="14">
        <f t="shared" si="176"/>
        <v>489</v>
      </c>
      <c r="AH411" s="14">
        <f t="shared" si="177"/>
        <v>4400</v>
      </c>
      <c r="AJ411" s="14">
        <f t="shared" si="181"/>
        <v>4032</v>
      </c>
      <c r="AK411" s="14">
        <f t="shared" si="182"/>
        <v>2016</v>
      </c>
      <c r="AL411" s="14">
        <f t="shared" si="183"/>
        <v>18120</v>
      </c>
    </row>
    <row r="412" spans="11:38" ht="16.5" x14ac:dyDescent="0.2">
      <c r="K412" s="13">
        <v>409</v>
      </c>
      <c r="L412" s="13">
        <f t="shared" si="169"/>
        <v>20</v>
      </c>
      <c r="M412" s="13">
        <f t="shared" si="170"/>
        <v>2</v>
      </c>
      <c r="N412" s="14">
        <f t="shared" si="171"/>
        <v>1102004</v>
      </c>
      <c r="O412" s="14" t="str">
        <f t="shared" si="172"/>
        <v>唐流雨10突</v>
      </c>
      <c r="P412" s="29" t="s">
        <v>470</v>
      </c>
      <c r="Q412" s="14">
        <f t="shared" si="173"/>
        <v>2</v>
      </c>
      <c r="R412" s="14">
        <f t="shared" si="174"/>
        <v>10</v>
      </c>
      <c r="S412" s="14" t="s">
        <v>39</v>
      </c>
      <c r="T412" s="14">
        <f>ROUND(((IF(Q412=1,INDEX(新属性投放!$J$14:$J$34,卡牌属性!R412),INDEX(新属性投放!$J$42:$J$62,卡牌属性!R412)))*INDEX($G$5:$G$42,L412)+IF(Q412=1,INDEX(新属性投放!R$20:R$23,卡牌属性!M412-1),INDEX(新属性投放!R$25:R$28,卡牌属性!M412-1)))/SQRT(INDEX($I$5:$I$42,L412)),2)</f>
        <v>4756.55</v>
      </c>
      <c r="U412" s="29" t="s">
        <v>178</v>
      </c>
      <c r="V412" s="14">
        <f>ROUND((IF(Q412=1,INDEX(新属性投放!$K$14:$K$34,卡牌属性!R412),INDEX(新属性投放!$K$42:$K$62,卡牌属性!R412))+IF(Q412=1,INDEX(新属性投放!S$20:S$23,卡牌属性!M412-1),INDEX(新属性投放!S$25:S$28,卡牌属性!M412-1)))*INDEX($G$5:$G$42,L412),2)</f>
        <v>2300.7800000000002</v>
      </c>
      <c r="W412" s="29" t="s">
        <v>179</v>
      </c>
      <c r="X412" s="14">
        <f>ROUND((IF(Q412=1,INDEX(新属性投放!$L$14:$L$34,卡牌属性!R412),INDEX(新属性投放!$L$42:$L$62,卡牌属性!R412))*INDEX($G$5:$G$42,L412)+IF(Q412=1,INDEX(新属性投放!T$20:T$23,卡牌属性!M412-1),INDEX(新属性投放!T$25:T$28,卡牌属性!M412-1)))*SQRT(INDEX($I$5:$I$42,L412)),2)</f>
        <v>24460</v>
      </c>
      <c r="Y412" s="29" t="s">
        <v>177</v>
      </c>
      <c r="Z412" s="14">
        <f>ROUND(IF(Q412=1,INDEX(新属性投放!$D$14:$D$34,卡牌属性!R412),INDEX(新属性投放!$D$42:$D$62,卡牌属性!R412))*INDEX($G$5:$G$42,L412)/SQRT(INDEX($I$5:$I$42,L412)),2)</f>
        <v>112.83</v>
      </c>
      <c r="AA412" s="29" t="s">
        <v>178</v>
      </c>
      <c r="AB412" s="14">
        <f>ROUND(IF(Q412=1,INDEX(新属性投放!$E$14:$E$34,卡牌属性!R412),INDEX(新属性投放!$E$42:$E$62,卡牌属性!R412))*INDEX($G$5:$G$42,L412),2)</f>
        <v>56.42</v>
      </c>
      <c r="AC412" s="29" t="s">
        <v>179</v>
      </c>
      <c r="AD412" s="14">
        <f>ROUND(IF(Q412=1,INDEX(新属性投放!$F$14:$F$34,卡牌属性!R412),INDEX(新属性投放!$F$42:$F$62,卡牌属性!R412))*INDEX($G$5:$G$42,L412)*SQRT(INDEX($I$5:$I$42,L412)),2)</f>
        <v>507</v>
      </c>
      <c r="AF412" s="14">
        <f t="shared" si="175"/>
        <v>1128</v>
      </c>
      <c r="AG412" s="14">
        <f t="shared" si="176"/>
        <v>564</v>
      </c>
      <c r="AH412" s="14">
        <f t="shared" si="177"/>
        <v>5070</v>
      </c>
      <c r="AJ412" s="14">
        <f t="shared" si="181"/>
        <v>5160</v>
      </c>
      <c r="AK412" s="14">
        <f t="shared" si="182"/>
        <v>2580</v>
      </c>
      <c r="AL412" s="14">
        <f t="shared" si="183"/>
        <v>23190</v>
      </c>
    </row>
    <row r="413" spans="11:38" ht="16.5" x14ac:dyDescent="0.2">
      <c r="K413" s="13">
        <v>410</v>
      </c>
      <c r="L413" s="13">
        <f t="shared" si="169"/>
        <v>20</v>
      </c>
      <c r="M413" s="13">
        <f t="shared" si="170"/>
        <v>2</v>
      </c>
      <c r="N413" s="14">
        <f t="shared" si="171"/>
        <v>1102004</v>
      </c>
      <c r="O413" s="14" t="str">
        <f t="shared" si="172"/>
        <v>唐流雨11突</v>
      </c>
      <c r="P413" s="29" t="s">
        <v>470</v>
      </c>
      <c r="Q413" s="14">
        <f t="shared" si="173"/>
        <v>2</v>
      </c>
      <c r="R413" s="14">
        <f t="shared" si="174"/>
        <v>11</v>
      </c>
      <c r="S413" s="14" t="s">
        <v>39</v>
      </c>
      <c r="T413" s="14">
        <f>ROUND(((IF(Q413=1,INDEX(新属性投放!$J$14:$J$34,卡牌属性!R413),INDEX(新属性投放!$J$42:$J$62,卡牌属性!R413)))*INDEX($G$5:$G$42,L413)+IF(Q413=1,INDEX(新属性投放!R$20:R$23,卡牌属性!M413-1),INDEX(新属性投放!R$25:R$28,卡牌属性!M413-1)))/SQRT(INDEX($I$5:$I$42,L413)),2)</f>
        <v>5461.7</v>
      </c>
      <c r="U413" s="29" t="s">
        <v>178</v>
      </c>
      <c r="V413" s="14">
        <f>ROUND((IF(Q413=1,INDEX(新属性投放!$K$14:$K$34,卡牌属性!R413),INDEX(新属性投放!$K$42:$K$62,卡牌属性!R413))+IF(Q413=1,INDEX(新属性投放!S$20:S$23,卡牌属性!M413-1),INDEX(新属性投放!S$25:S$28,卡牌属性!M413-1)))*INDEX($G$5:$G$42,L413),2)</f>
        <v>2653.85</v>
      </c>
      <c r="W413" s="29" t="s">
        <v>179</v>
      </c>
      <c r="X413" s="14">
        <f>ROUND((IF(Q413=1,INDEX(新属性投放!$L$14:$L$34,卡牌属性!R413),INDEX(新属性投放!$L$42:$L$62,卡牌属性!R413))*INDEX($G$5:$G$42,L413)+IF(Q413=1,INDEX(新属性投放!T$20:T$23,卡牌属性!M413-1),INDEX(新属性投放!T$25:T$28,卡牌属性!M413-1)))*SQRT(INDEX($I$5:$I$42,L413)),2)</f>
        <v>28264</v>
      </c>
      <c r="Y413" s="29" t="s">
        <v>177</v>
      </c>
      <c r="Z413" s="14">
        <f>ROUND(IF(Q413=1,INDEX(新属性投放!$D$14:$D$34,卡牌属性!R413),INDEX(新属性投放!$D$42:$D$62,卡牌属性!R413))*INDEX($G$5:$G$42,L413)/SQRT(INDEX($I$5:$I$42,L413)),2)</f>
        <v>131.58000000000001</v>
      </c>
      <c r="AA413" s="29" t="s">
        <v>178</v>
      </c>
      <c r="AB413" s="14">
        <f>ROUND(IF(Q413=1,INDEX(新属性投放!$E$14:$E$34,卡牌属性!R413),INDEX(新属性投放!$E$42:$E$62,卡牌属性!R413))*INDEX($G$5:$G$42,L413),2)</f>
        <v>65.790000000000006</v>
      </c>
      <c r="AC413" s="29" t="s">
        <v>179</v>
      </c>
      <c r="AD413" s="14">
        <f>ROUND(IF(Q413=1,INDEX(新属性投放!$F$14:$F$34,卡牌属性!R413),INDEX(新属性投放!$F$42:$F$62,卡牌属性!R413))*INDEX($G$5:$G$42,L413)*SQRT(INDEX($I$5:$I$42,L413)),2)</f>
        <v>592</v>
      </c>
      <c r="AF413" s="14">
        <f t="shared" si="175"/>
        <v>1315</v>
      </c>
      <c r="AG413" s="14">
        <f t="shared" si="176"/>
        <v>657</v>
      </c>
      <c r="AH413" s="14">
        <f t="shared" si="177"/>
        <v>5920</v>
      </c>
      <c r="AJ413" s="14">
        <f t="shared" si="181"/>
        <v>6475</v>
      </c>
      <c r="AK413" s="14">
        <f t="shared" si="182"/>
        <v>3237</v>
      </c>
      <c r="AL413" s="14">
        <f t="shared" si="183"/>
        <v>29110</v>
      </c>
    </row>
    <row r="414" spans="11:38" ht="16.5" x14ac:dyDescent="0.2">
      <c r="K414" s="13">
        <v>411</v>
      </c>
      <c r="L414" s="13">
        <f t="shared" si="169"/>
        <v>20</v>
      </c>
      <c r="M414" s="13">
        <f t="shared" si="170"/>
        <v>2</v>
      </c>
      <c r="N414" s="14">
        <f t="shared" si="171"/>
        <v>1102004</v>
      </c>
      <c r="O414" s="14" t="str">
        <f t="shared" si="172"/>
        <v>唐流雨12突</v>
      </c>
      <c r="P414" s="29" t="s">
        <v>470</v>
      </c>
      <c r="Q414" s="14">
        <f t="shared" si="173"/>
        <v>2</v>
      </c>
      <c r="R414" s="14">
        <f t="shared" si="174"/>
        <v>12</v>
      </c>
      <c r="S414" s="14" t="s">
        <v>39</v>
      </c>
      <c r="T414" s="14">
        <f>ROUND(((IF(Q414=1,INDEX(新属性投放!$J$14:$J$34,卡牌属性!R414),INDEX(新属性投放!$J$42:$J$62,卡牌属性!R414)))*INDEX($G$5:$G$42,L414)+IF(Q414=1,INDEX(新属性投放!R$20:R$23,卡牌属性!M414-1),INDEX(新属性投放!R$25:R$28,卡牌属性!M414-1)))/SQRT(INDEX($I$5:$I$42,L414)),2)</f>
        <v>6283.6</v>
      </c>
      <c r="U414" s="29" t="s">
        <v>178</v>
      </c>
      <c r="V414" s="14">
        <f>ROUND((IF(Q414=1,INDEX(新属性投放!$K$14:$K$34,卡牌属性!R414),INDEX(新属性投放!$K$42:$K$62,卡牌属性!R414))+IF(Q414=1,INDEX(新属性投放!S$20:S$23,卡牌属性!M414-1),INDEX(新属性投放!S$25:S$28,卡牌属性!M414-1)))*INDEX($G$5:$G$42,L414),2)</f>
        <v>3064.8</v>
      </c>
      <c r="W414" s="29" t="s">
        <v>179</v>
      </c>
      <c r="X414" s="14">
        <f>ROUND((IF(Q414=1,INDEX(新属性投放!$L$14:$L$34,卡牌属性!R414),INDEX(新属性投放!$L$42:$L$62,卡牌属性!R414))*INDEX($G$5:$G$42,L414)+IF(Q414=1,INDEX(新属性投放!T$20:T$23,卡牌属性!M414-1),INDEX(新属性投放!T$25:T$28,卡牌属性!M414-1)))*SQRT(INDEX($I$5:$I$42,L414)),2)</f>
        <v>32700</v>
      </c>
      <c r="Y414" s="29" t="s">
        <v>177</v>
      </c>
      <c r="Z414" s="14">
        <f>ROUND(IF(Q414=1,INDEX(新属性投放!$D$14:$D$34,卡牌属性!R414),INDEX(新属性投放!$D$42:$D$62,卡牌属性!R414))*INDEX($G$5:$G$42,L414)/SQRT(INDEX($I$5:$I$42,L414)),2)</f>
        <v>150.47</v>
      </c>
      <c r="AA414" s="29" t="s">
        <v>178</v>
      </c>
      <c r="AB414" s="14">
        <f>ROUND(IF(Q414=1,INDEX(新属性投放!$E$14:$E$34,卡牌属性!R414),INDEX(新属性投放!$E$42:$E$62,卡牌属性!R414))*INDEX($G$5:$G$42,L414),2)</f>
        <v>75.239999999999995</v>
      </c>
      <c r="AC414" s="29" t="s">
        <v>179</v>
      </c>
      <c r="AD414" s="14">
        <f>ROUND(IF(Q414=1,INDEX(新属性投放!$F$14:$F$34,卡牌属性!R414),INDEX(新属性投放!$F$42:$F$62,卡牌属性!R414))*INDEX($G$5:$G$42,L414)*SQRT(INDEX($I$5:$I$42,L414)),2)</f>
        <v>677</v>
      </c>
      <c r="AF414" s="14">
        <f t="shared" si="175"/>
        <v>1504</v>
      </c>
      <c r="AG414" s="14">
        <f t="shared" si="176"/>
        <v>752</v>
      </c>
      <c r="AH414" s="14">
        <f t="shared" si="177"/>
        <v>6770</v>
      </c>
      <c r="AJ414" s="14">
        <f t="shared" si="181"/>
        <v>7979</v>
      </c>
      <c r="AK414" s="14">
        <f t="shared" si="182"/>
        <v>3989</v>
      </c>
      <c r="AL414" s="14">
        <f t="shared" si="183"/>
        <v>35880</v>
      </c>
    </row>
    <row r="415" spans="11:38" ht="16.5" x14ac:dyDescent="0.2">
      <c r="K415" s="13">
        <v>412</v>
      </c>
      <c r="L415" s="13">
        <f t="shared" si="169"/>
        <v>20</v>
      </c>
      <c r="M415" s="13">
        <f t="shared" si="170"/>
        <v>2</v>
      </c>
      <c r="N415" s="14">
        <f t="shared" si="171"/>
        <v>1102004</v>
      </c>
      <c r="O415" s="14" t="str">
        <f t="shared" si="172"/>
        <v>唐流雨13突</v>
      </c>
      <c r="P415" s="29" t="s">
        <v>470</v>
      </c>
      <c r="Q415" s="14">
        <f t="shared" si="173"/>
        <v>2</v>
      </c>
      <c r="R415" s="14">
        <f t="shared" si="174"/>
        <v>13</v>
      </c>
      <c r="S415" s="14" t="s">
        <v>39</v>
      </c>
      <c r="T415" s="14">
        <f>ROUND(((IF(Q415=1,INDEX(新属性投放!$J$14:$J$34,卡牌属性!R415),INDEX(新属性投放!$J$42:$J$62,卡牌属性!R415)))*INDEX($G$5:$G$42,L415)+IF(Q415=1,INDEX(新属性投放!R$20:R$23,卡牌属性!M415-1),INDEX(新属性投放!R$25:R$28,卡牌属性!M415-1)))/SQRT(INDEX($I$5:$I$42,L415)),2)</f>
        <v>7223.95</v>
      </c>
      <c r="U415" s="29" t="s">
        <v>178</v>
      </c>
      <c r="V415" s="14">
        <f>ROUND((IF(Q415=1,INDEX(新属性投放!$K$14:$K$34,卡牌属性!R415),INDEX(新属性投放!$K$42:$K$62,卡牌属性!R415))+IF(Q415=1,INDEX(新属性投放!S$20:S$23,卡牌属性!M415-1),INDEX(新属性投放!S$25:S$28,卡牌属性!M415-1)))*INDEX($G$5:$G$42,L415),2)</f>
        <v>3534.98</v>
      </c>
      <c r="W415" s="29" t="s">
        <v>179</v>
      </c>
      <c r="X415" s="14">
        <f>ROUND((IF(Q415=1,INDEX(新属性投放!$L$14:$L$34,卡牌属性!R415),INDEX(新属性投放!$L$42:$L$62,卡牌属性!R415))*INDEX($G$5:$G$42,L415)+IF(Q415=1,INDEX(新属性投放!T$20:T$23,卡牌属性!M415-1),INDEX(新属性投放!T$25:T$28,卡牌属性!M415-1)))*SQRT(INDEX($I$5:$I$42,L415)),2)</f>
        <v>37777</v>
      </c>
      <c r="Y415" s="29" t="s">
        <v>177</v>
      </c>
      <c r="Z415" s="14">
        <f>ROUND(IF(Q415=1,INDEX(新属性投放!$D$14:$D$34,卡牌属性!R415),INDEX(新属性投放!$D$42:$D$62,卡牌属性!R415))*INDEX($G$5:$G$42,L415)/SQRT(INDEX($I$5:$I$42,L415)),2)</f>
        <v>173.97</v>
      </c>
      <c r="AA415" s="29" t="s">
        <v>178</v>
      </c>
      <c r="AB415" s="14">
        <f>ROUND(IF(Q415=1,INDEX(新属性投放!$E$14:$E$34,卡牌属性!R415),INDEX(新属性投放!$E$42:$E$62,卡牌属性!R415))*INDEX($G$5:$G$42,L415),2)</f>
        <v>86.99</v>
      </c>
      <c r="AC415" s="29" t="s">
        <v>179</v>
      </c>
      <c r="AD415" s="14">
        <f>ROUND(IF(Q415=1,INDEX(新属性投放!$F$14:$F$34,卡牌属性!R415),INDEX(新属性投放!$F$42:$F$62,卡牌属性!R415))*INDEX($G$5:$G$42,L415)*SQRT(INDEX($I$5:$I$42,L415)),2)</f>
        <v>782</v>
      </c>
      <c r="AF415" s="14">
        <f t="shared" si="175"/>
        <v>1739</v>
      </c>
      <c r="AG415" s="14">
        <f t="shared" si="176"/>
        <v>869</v>
      </c>
      <c r="AH415" s="14">
        <f t="shared" si="177"/>
        <v>7820</v>
      </c>
      <c r="AJ415" s="14">
        <f t="shared" si="181"/>
        <v>9718</v>
      </c>
      <c r="AK415" s="14">
        <f t="shared" si="182"/>
        <v>4858</v>
      </c>
      <c r="AL415" s="14">
        <f t="shared" si="183"/>
        <v>43700</v>
      </c>
    </row>
    <row r="416" spans="11:38" ht="16.5" x14ac:dyDescent="0.2">
      <c r="K416" s="13">
        <v>413</v>
      </c>
      <c r="L416" s="13">
        <f t="shared" si="169"/>
        <v>20</v>
      </c>
      <c r="M416" s="13">
        <f t="shared" si="170"/>
        <v>2</v>
      </c>
      <c r="N416" s="14">
        <f t="shared" si="171"/>
        <v>1102004</v>
      </c>
      <c r="O416" s="14" t="str">
        <f t="shared" si="172"/>
        <v>唐流雨14突</v>
      </c>
      <c r="P416" s="29" t="s">
        <v>470</v>
      </c>
      <c r="Q416" s="14">
        <f t="shared" si="173"/>
        <v>2</v>
      </c>
      <c r="R416" s="14">
        <f t="shared" si="174"/>
        <v>14</v>
      </c>
      <c r="S416" s="14" t="s">
        <v>39</v>
      </c>
      <c r="T416" s="14">
        <f>ROUND(((IF(Q416=1,INDEX(新属性投放!$J$14:$J$34,卡牌属性!R416),INDEX(新属性投放!$J$42:$J$62,卡牌属性!R416)))*INDEX($G$5:$G$42,L416)+IF(Q416=1,INDEX(新属性投放!R$20:R$23,卡牌属性!M416-1),INDEX(新属性投放!R$25:R$28,卡牌属性!M416-1)))/SQRT(INDEX($I$5:$I$42,L416)),2)</f>
        <v>8310.7999999999993</v>
      </c>
      <c r="U416" s="29" t="s">
        <v>178</v>
      </c>
      <c r="V416" s="14">
        <f>ROUND((IF(Q416=1,INDEX(新属性投放!$K$14:$K$34,卡牌属性!R416),INDEX(新属性投放!$K$42:$K$62,卡牌属性!R416))+IF(Q416=1,INDEX(新属性投放!S$20:S$23,卡牌属性!M416-1),INDEX(新属性投放!S$25:S$28,卡牌属性!M416-1)))*INDEX($G$5:$G$42,L416),2)</f>
        <v>4078.9</v>
      </c>
      <c r="W416" s="29" t="s">
        <v>179</v>
      </c>
      <c r="X416" s="14">
        <f>ROUND((IF(Q416=1,INDEX(新属性投放!$L$14:$L$34,卡牌属性!R416),INDEX(新属性投放!$L$42:$L$62,卡牌属性!R416))*INDEX($G$5:$G$42,L416)+IF(Q416=1,INDEX(新属性投放!T$20:T$23,卡牌属性!M416-1),INDEX(新属性投放!T$25:T$28,卡牌属性!M416-1)))*SQRT(INDEX($I$5:$I$42,L416)),2)</f>
        <v>43640</v>
      </c>
      <c r="Y416" s="29" t="s">
        <v>177</v>
      </c>
      <c r="Z416" s="14">
        <f>ROUND(IF(Q416=1,INDEX(新属性投放!$D$14:$D$34,卡牌属性!R416),INDEX(新属性投放!$D$42:$D$62,卡牌属性!R416))*INDEX($G$5:$G$42,L416)/SQRT(INDEX($I$5:$I$42,L416)),2)</f>
        <v>201.15</v>
      </c>
      <c r="AA416" s="29" t="s">
        <v>178</v>
      </c>
      <c r="AB416" s="14">
        <f>ROUND(IF(Q416=1,INDEX(新属性投放!$E$14:$E$34,卡牌属性!R416),INDEX(新属性投放!$E$42:$E$62,卡牌属性!R416))*INDEX($G$5:$G$42,L416),2)</f>
        <v>100.58</v>
      </c>
      <c r="AC416" s="29" t="s">
        <v>179</v>
      </c>
      <c r="AD416" s="14">
        <f>ROUND(IF(Q416=1,INDEX(新属性投放!$F$14:$F$34,卡牌属性!R416),INDEX(新属性投放!$F$42:$F$62,卡牌属性!R416))*INDEX($G$5:$G$42,L416)*SQRT(INDEX($I$5:$I$42,L416)),2)</f>
        <v>905</v>
      </c>
      <c r="AF416" s="14">
        <f t="shared" si="175"/>
        <v>2011</v>
      </c>
      <c r="AG416" s="14">
        <f t="shared" si="176"/>
        <v>1005</v>
      </c>
      <c r="AH416" s="14">
        <f t="shared" si="177"/>
        <v>9050</v>
      </c>
      <c r="AJ416" s="14">
        <f t="shared" si="181"/>
        <v>11729</v>
      </c>
      <c r="AK416" s="14">
        <f t="shared" si="182"/>
        <v>5863</v>
      </c>
      <c r="AL416" s="14">
        <f t="shared" si="183"/>
        <v>52750</v>
      </c>
    </row>
    <row r="417" spans="11:38" ht="16.5" x14ac:dyDescent="0.2">
      <c r="K417" s="13">
        <v>414</v>
      </c>
      <c r="L417" s="13">
        <f t="shared" si="169"/>
        <v>20</v>
      </c>
      <c r="M417" s="13">
        <f t="shared" si="170"/>
        <v>2</v>
      </c>
      <c r="N417" s="14">
        <f t="shared" si="171"/>
        <v>1102004</v>
      </c>
      <c r="O417" s="14" t="str">
        <f t="shared" si="172"/>
        <v>唐流雨15突</v>
      </c>
      <c r="P417" s="29" t="s">
        <v>470</v>
      </c>
      <c r="Q417" s="14">
        <f t="shared" si="173"/>
        <v>2</v>
      </c>
      <c r="R417" s="14">
        <f t="shared" si="174"/>
        <v>15</v>
      </c>
      <c r="S417" s="14" t="s">
        <v>39</v>
      </c>
      <c r="T417" s="14">
        <f>ROUND(((IF(Q417=1,INDEX(新属性投放!$J$14:$J$34,卡牌属性!R417),INDEX(新属性投放!$J$42:$J$62,卡牌属性!R417)))*INDEX($G$5:$G$42,L417)+IF(Q417=1,INDEX(新属性投放!R$20:R$23,卡牌属性!M417-1),INDEX(新属性投放!R$25:R$28,卡牌属性!M417-1)))/SQRT(INDEX($I$5:$I$42,L417)),2)</f>
        <v>9567.5499999999993</v>
      </c>
      <c r="U417" s="29" t="s">
        <v>178</v>
      </c>
      <c r="V417" s="14">
        <f>ROUND((IF(Q417=1,INDEX(新属性投放!$K$14:$K$34,卡牌属性!R417),INDEX(新属性投放!$K$42:$K$62,卡牌属性!R417))+IF(Q417=1,INDEX(新属性投放!S$20:S$23,卡牌属性!M417-1),INDEX(新属性投放!S$25:S$28,卡牌属性!M417-1)))*INDEX($G$5:$G$42,L417),2)</f>
        <v>4707.78</v>
      </c>
      <c r="W417" s="29" t="s">
        <v>179</v>
      </c>
      <c r="X417" s="14">
        <f>ROUND((IF(Q417=1,INDEX(新属性投放!$L$14:$L$34,卡牌属性!R417),INDEX(新属性投放!$L$42:$L$62,卡牌属性!R417))*INDEX($G$5:$G$42,L417)+IF(Q417=1,INDEX(新属性投放!T$20:T$23,卡牌属性!M417-1),INDEX(新属性投放!T$25:T$28,卡牌属性!M417-1)))*SQRT(INDEX($I$5:$I$42,L417)),2)</f>
        <v>50424</v>
      </c>
      <c r="Y417" s="29" t="s">
        <v>177</v>
      </c>
      <c r="Z417" s="14">
        <f>ROUND(IF(Q417=1,INDEX(新属性投放!$D$14:$D$34,卡牌属性!R417),INDEX(新属性投放!$D$42:$D$62,卡牌属性!R417))*INDEX($G$5:$G$42,L417)/SQRT(INDEX($I$5:$I$42,L417)),2)</f>
        <v>232.56</v>
      </c>
      <c r="AA417" s="29" t="s">
        <v>178</v>
      </c>
      <c r="AB417" s="14">
        <f>ROUND(IF(Q417=1,INDEX(新属性投放!$E$14:$E$34,卡牌属性!R417),INDEX(新属性投放!$E$42:$E$62,卡牌属性!R417))*INDEX($G$5:$G$42,L417),2)</f>
        <v>116.28</v>
      </c>
      <c r="AC417" s="29" t="s">
        <v>179</v>
      </c>
      <c r="AD417" s="14">
        <f>ROUND(IF(Q417=1,INDEX(新属性投放!$F$14:$F$34,卡牌属性!R417),INDEX(新属性投放!$F$42:$F$62,卡牌属性!R417))*INDEX($G$5:$G$42,L417)*SQRT(INDEX($I$5:$I$42,L417)),2)</f>
        <v>1046</v>
      </c>
      <c r="AF417" s="14">
        <f t="shared" si="175"/>
        <v>2325</v>
      </c>
      <c r="AG417" s="14">
        <f t="shared" si="176"/>
        <v>1162</v>
      </c>
      <c r="AH417" s="14">
        <f t="shared" si="177"/>
        <v>10460</v>
      </c>
      <c r="AJ417" s="14">
        <f t="shared" si="181"/>
        <v>14054</v>
      </c>
      <c r="AK417" s="14">
        <f t="shared" si="182"/>
        <v>7025</v>
      </c>
      <c r="AL417" s="14">
        <f t="shared" si="183"/>
        <v>63210</v>
      </c>
    </row>
    <row r="418" spans="11:38" ht="16.5" x14ac:dyDescent="0.2">
      <c r="K418" s="13">
        <v>415</v>
      </c>
      <c r="L418" s="13">
        <f t="shared" si="169"/>
        <v>20</v>
      </c>
      <c r="M418" s="13">
        <f t="shared" si="170"/>
        <v>2</v>
      </c>
      <c r="N418" s="14">
        <f t="shared" si="171"/>
        <v>1102004</v>
      </c>
      <c r="O418" s="14" t="str">
        <f t="shared" si="172"/>
        <v>唐流雨16突</v>
      </c>
      <c r="P418" s="29" t="s">
        <v>470</v>
      </c>
      <c r="Q418" s="14">
        <f t="shared" si="173"/>
        <v>2</v>
      </c>
      <c r="R418" s="14">
        <f t="shared" si="174"/>
        <v>16</v>
      </c>
      <c r="S418" s="14" t="s">
        <v>39</v>
      </c>
      <c r="T418" s="14">
        <f>ROUND(((IF(Q418=1,INDEX(新属性投放!$J$14:$J$34,卡牌属性!R418),INDEX(新属性投放!$J$42:$J$62,卡牌属性!R418)))*INDEX($G$5:$G$42,L418)+IF(Q418=1,INDEX(新属性投放!R$20:R$23,卡牌属性!M418-1),INDEX(新属性投放!R$25:R$28,卡牌属性!M418-1)))/SQRT(INDEX($I$5:$I$42,L418)),2)</f>
        <v>11021.35</v>
      </c>
      <c r="U418" s="29" t="s">
        <v>178</v>
      </c>
      <c r="V418" s="14">
        <f>ROUND((IF(Q418=1,INDEX(新属性投放!$K$14:$K$34,卡牌属性!R418),INDEX(新属性投放!$K$42:$K$62,卡牌属性!R418))+IF(Q418=1,INDEX(新属性投放!S$20:S$23,卡牌属性!M418-1),INDEX(新属性投放!S$25:S$28,卡牌属性!M418-1)))*INDEX($G$5:$G$42,L418),2)</f>
        <v>5434.18</v>
      </c>
      <c r="W418" s="29" t="s">
        <v>179</v>
      </c>
      <c r="X418" s="14">
        <f>ROUND((IF(Q418=1,INDEX(新属性投放!$L$14:$L$34,卡牌属性!R418),INDEX(新属性投放!$L$42:$L$62,卡牌属性!R418))*INDEX($G$5:$G$42,L418)+IF(Q418=1,INDEX(新属性投放!T$20:T$23,卡牌属性!M418-1),INDEX(新属性投放!T$25:T$28,卡牌属性!M418-1)))*SQRT(INDEX($I$5:$I$42,L418)),2)</f>
        <v>58273</v>
      </c>
      <c r="Y418" s="29" t="s">
        <v>177</v>
      </c>
      <c r="Z418" s="14">
        <f>ROUND(IF(Q418=1,INDEX(新属性投放!$D$14:$D$34,卡牌属性!R418),INDEX(新属性投放!$D$42:$D$62,卡牌属性!R418))*INDEX($G$5:$G$42,L418)/SQRT(INDEX($I$5:$I$42,L418)),2)</f>
        <v>268.91000000000003</v>
      </c>
      <c r="AA418" s="29" t="s">
        <v>178</v>
      </c>
      <c r="AB418" s="14">
        <f>ROUND(IF(Q418=1,INDEX(新属性投放!$E$14:$E$34,卡牌属性!R418),INDEX(新属性投放!$E$42:$E$62,卡牌属性!R418))*INDEX($G$5:$G$42,L418),2)</f>
        <v>134.46</v>
      </c>
      <c r="AC418" s="29" t="s">
        <v>179</v>
      </c>
      <c r="AD418" s="14">
        <f>ROUND(IF(Q418=1,INDEX(新属性投放!$F$14:$F$34,卡牌属性!R418),INDEX(新属性投放!$F$42:$F$62,卡牌属性!R418))*INDEX($G$5:$G$42,L418)*SQRT(INDEX($I$5:$I$42,L418)),2)</f>
        <v>1210</v>
      </c>
      <c r="AF418" s="14">
        <f t="shared" si="175"/>
        <v>2689</v>
      </c>
      <c r="AG418" s="14">
        <f t="shared" si="176"/>
        <v>1344</v>
      </c>
      <c r="AH418" s="14">
        <f t="shared" si="177"/>
        <v>12100</v>
      </c>
      <c r="AJ418" s="14">
        <f t="shared" si="181"/>
        <v>16743</v>
      </c>
      <c r="AK418" s="14">
        <f t="shared" si="182"/>
        <v>8369</v>
      </c>
      <c r="AL418" s="14">
        <f t="shared" si="183"/>
        <v>75310</v>
      </c>
    </row>
    <row r="419" spans="11:38" ht="16.5" x14ac:dyDescent="0.2">
      <c r="K419" s="13">
        <v>416</v>
      </c>
      <c r="L419" s="13">
        <f t="shared" si="169"/>
        <v>20</v>
      </c>
      <c r="M419" s="13">
        <f t="shared" si="170"/>
        <v>2</v>
      </c>
      <c r="N419" s="14">
        <f t="shared" si="171"/>
        <v>1102004</v>
      </c>
      <c r="O419" s="14" t="str">
        <f t="shared" si="172"/>
        <v>唐流雨17突</v>
      </c>
      <c r="P419" s="29" t="s">
        <v>470</v>
      </c>
      <c r="Q419" s="14">
        <f t="shared" si="173"/>
        <v>2</v>
      </c>
      <c r="R419" s="14">
        <f t="shared" si="174"/>
        <v>17</v>
      </c>
      <c r="S419" s="14" t="s">
        <v>39</v>
      </c>
      <c r="T419" s="14">
        <f>ROUND(((IF(Q419=1,INDEX(新属性投放!$J$14:$J$34,卡牌属性!R419),INDEX(新属性投放!$J$42:$J$62,卡牌属性!R419)))*INDEX($G$5:$G$42,L419)+IF(Q419=1,INDEX(新属性投放!R$20:R$23,卡牌属性!M419-1),INDEX(新属性投放!R$25:R$28,卡牌属性!M419-1)))/SQRT(INDEX($I$5:$I$42,L419)),2)</f>
        <v>12701.9</v>
      </c>
      <c r="U419" s="29" t="s">
        <v>178</v>
      </c>
      <c r="V419" s="14">
        <f>ROUND((IF(Q419=1,INDEX(新属性投放!$K$14:$K$34,卡牌属性!R419),INDEX(新属性投放!$K$42:$K$62,卡牌属性!R419))+IF(Q419=1,INDEX(新属性投放!S$20:S$23,卡牌属性!M419-1),INDEX(新属性投放!S$25:S$28,卡牌属性!M419-1)))*INDEX($G$5:$G$42,L419),2)</f>
        <v>6274.45</v>
      </c>
      <c r="W419" s="29" t="s">
        <v>179</v>
      </c>
      <c r="X419" s="14">
        <f>ROUND((IF(Q419=1,INDEX(新属性投放!$L$14:$L$34,卡牌属性!R419),INDEX(新属性投放!$L$42:$L$62,卡牌属性!R419))*INDEX($G$5:$G$42,L419)+IF(Q419=1,INDEX(新属性投放!T$20:T$23,卡牌属性!M419-1),INDEX(新属性投放!T$25:T$28,卡牌属性!M419-1)))*SQRT(INDEX($I$5:$I$42,L419)),2)</f>
        <v>67347</v>
      </c>
      <c r="Y419" s="29" t="s">
        <v>177</v>
      </c>
      <c r="Z419" s="14">
        <f>ROUND(IF(Q419=1,INDEX(新属性投放!$D$14:$D$34,卡牌属性!R419),INDEX(新属性投放!$D$42:$D$62,卡牌属性!R419))*INDEX($G$5:$G$42,L419)/SQRT(INDEX($I$5:$I$42,L419)),2)</f>
        <v>310.92</v>
      </c>
      <c r="AA419" s="29" t="s">
        <v>178</v>
      </c>
      <c r="AB419" s="14">
        <f>ROUND(IF(Q419=1,INDEX(新属性投放!$E$14:$E$34,卡牌属性!R419),INDEX(新属性投放!$E$42:$E$62,卡牌属性!R419))*INDEX($G$5:$G$42,L419),2)</f>
        <v>155.46</v>
      </c>
      <c r="AC419" s="29" t="s">
        <v>179</v>
      </c>
      <c r="AD419" s="14">
        <f>ROUND(IF(Q419=1,INDEX(新属性投放!$F$14:$F$34,卡牌属性!R419),INDEX(新属性投放!$F$42:$F$62,卡牌属性!R419))*INDEX($G$5:$G$42,L419)*SQRT(INDEX($I$5:$I$42,L419)),2)</f>
        <v>1399</v>
      </c>
      <c r="AF419" s="14">
        <f t="shared" si="175"/>
        <v>3109</v>
      </c>
      <c r="AG419" s="14">
        <f t="shared" si="176"/>
        <v>1554</v>
      </c>
      <c r="AH419" s="14">
        <f t="shared" si="177"/>
        <v>13990</v>
      </c>
      <c r="AJ419" s="14">
        <f t="shared" si="181"/>
        <v>19852</v>
      </c>
      <c r="AK419" s="14">
        <f t="shared" si="182"/>
        <v>9923</v>
      </c>
      <c r="AL419" s="14">
        <f t="shared" si="183"/>
        <v>89300</v>
      </c>
    </row>
    <row r="420" spans="11:38" ht="16.5" x14ac:dyDescent="0.2">
      <c r="K420" s="13">
        <v>417</v>
      </c>
      <c r="L420" s="13">
        <f t="shared" si="169"/>
        <v>20</v>
      </c>
      <c r="M420" s="13">
        <f t="shared" si="170"/>
        <v>2</v>
      </c>
      <c r="N420" s="14">
        <f t="shared" si="171"/>
        <v>1102004</v>
      </c>
      <c r="O420" s="14" t="str">
        <f t="shared" si="172"/>
        <v>唐流雨18突</v>
      </c>
      <c r="P420" s="29" t="s">
        <v>470</v>
      </c>
      <c r="Q420" s="14">
        <f t="shared" si="173"/>
        <v>2</v>
      </c>
      <c r="R420" s="14">
        <f t="shared" si="174"/>
        <v>18</v>
      </c>
      <c r="S420" s="14" t="s">
        <v>39</v>
      </c>
      <c r="T420" s="14">
        <f>ROUND(((IF(Q420=1,INDEX(新属性投放!$J$14:$J$34,卡牌属性!R420),INDEX(新属性投放!$J$42:$J$62,卡牌属性!R420)))*INDEX($G$5:$G$42,L420)+IF(Q420=1,INDEX(新属性投放!R$20:R$23,卡牌属性!M420-1),INDEX(新属性投放!R$25:R$28,卡牌属性!M420-1)))/SQRT(INDEX($I$5:$I$42,L420)),2)</f>
        <v>14645.5</v>
      </c>
      <c r="U420" s="29" t="s">
        <v>178</v>
      </c>
      <c r="V420" s="14">
        <f>ROUND((IF(Q420=1,INDEX(新属性投放!$K$14:$K$34,卡牌属性!R420),INDEX(新属性投放!$K$42:$K$62,卡牌属性!R420))+IF(Q420=1,INDEX(新属性投放!S$20:S$23,卡牌属性!M420-1),INDEX(新属性投放!S$25:S$28,卡牌属性!M420-1)))*INDEX($G$5:$G$42,L420),2)</f>
        <v>7245.75</v>
      </c>
      <c r="W420" s="29" t="s">
        <v>179</v>
      </c>
      <c r="X420" s="14">
        <f>ROUND((IF(Q420=1,INDEX(新属性投放!$L$14:$L$34,卡牌属性!R420),INDEX(新属性投放!$L$42:$L$62,卡牌属性!R420))*INDEX($G$5:$G$42,L420)+IF(Q420=1,INDEX(新属性投放!T$20:T$23,卡牌属性!M420-1),INDEX(新属性投放!T$25:T$28,卡牌属性!M420-1)))*SQRT(INDEX($I$5:$I$42,L420)),2)</f>
        <v>77843</v>
      </c>
      <c r="Y420" s="29" t="s">
        <v>177</v>
      </c>
      <c r="Z420" s="14">
        <f>ROUND(IF(Q420=1,INDEX(新属性投放!$D$14:$D$34,卡牌属性!R420),INDEX(新属性投放!$D$42:$D$62,卡牌属性!R420))*INDEX($G$5:$G$42,L420)/SQRT(INDEX($I$5:$I$42,L420)),2)</f>
        <v>359.51</v>
      </c>
      <c r="AA420" s="29" t="s">
        <v>178</v>
      </c>
      <c r="AB420" s="14">
        <f>ROUND(IF(Q420=1,INDEX(新属性投放!$E$14:$E$34,卡牌属性!R420),INDEX(新属性投放!$E$42:$E$62,卡牌属性!R420))*INDEX($G$5:$G$42,L420),2)</f>
        <v>179.76</v>
      </c>
      <c r="AC420" s="29" t="s">
        <v>179</v>
      </c>
      <c r="AD420" s="14">
        <f>ROUND(IF(Q420=1,INDEX(新属性投放!$F$14:$F$34,卡牌属性!R420),INDEX(新属性投放!$F$42:$F$62,卡牌属性!R420))*INDEX($G$5:$G$42,L420)*SQRT(INDEX($I$5:$I$42,L420)),2)</f>
        <v>1617</v>
      </c>
      <c r="AF420" s="14">
        <f t="shared" si="175"/>
        <v>3595</v>
      </c>
      <c r="AG420" s="14">
        <f t="shared" si="176"/>
        <v>1797</v>
      </c>
      <c r="AH420" s="14">
        <f t="shared" si="177"/>
        <v>16170</v>
      </c>
      <c r="AJ420" s="14">
        <f t="shared" si="181"/>
        <v>23447</v>
      </c>
      <c r="AK420" s="14">
        <f t="shared" si="182"/>
        <v>11720</v>
      </c>
      <c r="AL420" s="14">
        <f t="shared" si="183"/>
        <v>105470</v>
      </c>
    </row>
    <row r="421" spans="11:38" ht="16.5" x14ac:dyDescent="0.2">
      <c r="K421" s="13">
        <v>418</v>
      </c>
      <c r="L421" s="13">
        <f t="shared" si="169"/>
        <v>20</v>
      </c>
      <c r="M421" s="13">
        <f t="shared" si="170"/>
        <v>2</v>
      </c>
      <c r="N421" s="14">
        <f t="shared" si="171"/>
        <v>1102004</v>
      </c>
      <c r="O421" s="14" t="str">
        <f t="shared" si="172"/>
        <v>唐流雨19突</v>
      </c>
      <c r="P421" s="29" t="s">
        <v>470</v>
      </c>
      <c r="Q421" s="14">
        <f t="shared" si="173"/>
        <v>2</v>
      </c>
      <c r="R421" s="14">
        <f t="shared" si="174"/>
        <v>19</v>
      </c>
      <c r="S421" s="14" t="s">
        <v>39</v>
      </c>
      <c r="T421" s="14">
        <f>ROUND(((IF(Q421=1,INDEX(新属性投放!$J$14:$J$34,卡牌属性!R421),INDEX(新属性投放!$J$42:$J$62,卡牌属性!R421)))*INDEX($G$5:$G$42,L421)+IF(Q421=1,INDEX(新属性投放!R$20:R$23,卡牌属性!M421-1),INDEX(新属性投放!R$25:R$28,卡牌属性!M421-1)))/SQRT(INDEX($I$5:$I$42,L421)),2)</f>
        <v>16892.05</v>
      </c>
      <c r="U421" s="29" t="s">
        <v>178</v>
      </c>
      <c r="V421" s="14">
        <f>ROUND((IF(Q421=1,INDEX(新属性投放!$K$14:$K$34,卡牌属性!R421),INDEX(新属性投放!$K$42:$K$62,卡牌属性!R421))+IF(Q421=1,INDEX(新属性投放!S$20:S$23,卡牌属性!M421-1),INDEX(新属性投放!S$25:S$28,卡牌属性!M421-1)))*INDEX($G$5:$G$42,L421),2)</f>
        <v>8369.5300000000007</v>
      </c>
      <c r="W421" s="29" t="s">
        <v>179</v>
      </c>
      <c r="X421" s="14">
        <f>ROUND((IF(Q421=1,INDEX(新属性投放!$L$14:$L$34,卡牌属性!R421),INDEX(新属性投放!$L$42:$L$62,卡牌属性!R421))*INDEX($G$5:$G$42,L421)+IF(Q421=1,INDEX(新属性投放!T$20:T$23,卡牌属性!M421-1),INDEX(新属性投放!T$25:T$28,卡牌属性!M421-1)))*SQRT(INDEX($I$5:$I$42,L421)),2)</f>
        <v>89969</v>
      </c>
      <c r="Y421" s="29" t="s">
        <v>177</v>
      </c>
      <c r="Z421" s="14">
        <f>ROUND(IF(Q421=1,INDEX(新属性投放!$D$14:$D$34,卡牌属性!R421),INDEX(新属性投放!$D$42:$D$62,卡牌属性!R421))*INDEX($G$5:$G$42,L421)/SQRT(INDEX($I$5:$I$42,L421)),2)</f>
        <v>415.68</v>
      </c>
      <c r="AA421" s="29" t="s">
        <v>178</v>
      </c>
      <c r="AB421" s="14">
        <f>ROUND(IF(Q421=1,INDEX(新属性投放!$E$14:$E$34,卡牌属性!R421),INDEX(新属性投放!$E$42:$E$62,卡牌属性!R421))*INDEX($G$5:$G$42,L421),2)</f>
        <v>207.84</v>
      </c>
      <c r="AC421" s="29" t="s">
        <v>179</v>
      </c>
      <c r="AD421" s="14">
        <f>ROUND(IF(Q421=1,INDEX(新属性投放!$F$14:$F$34,卡牌属性!R421),INDEX(新属性投放!$F$42:$F$62,卡牌属性!R421))*INDEX($G$5:$G$42,L421)*SQRT(INDEX($I$5:$I$42,L421)),2)</f>
        <v>1870</v>
      </c>
      <c r="AF421" s="14">
        <f t="shared" si="175"/>
        <v>4156</v>
      </c>
      <c r="AG421" s="14">
        <f t="shared" si="176"/>
        <v>2078</v>
      </c>
      <c r="AH421" s="14">
        <f t="shared" si="177"/>
        <v>18700</v>
      </c>
      <c r="AJ421" s="14">
        <f t="shared" si="181"/>
        <v>27603</v>
      </c>
      <c r="AK421" s="14">
        <f t="shared" si="182"/>
        <v>13798</v>
      </c>
      <c r="AL421" s="14">
        <f t="shared" si="183"/>
        <v>124170</v>
      </c>
    </row>
    <row r="422" spans="11:38" ht="16.5" x14ac:dyDescent="0.2">
      <c r="K422" s="13">
        <v>419</v>
      </c>
      <c r="L422" s="13">
        <f t="shared" si="169"/>
        <v>20</v>
      </c>
      <c r="M422" s="13">
        <f t="shared" si="170"/>
        <v>2</v>
      </c>
      <c r="N422" s="14">
        <f t="shared" si="171"/>
        <v>1102004</v>
      </c>
      <c r="O422" s="14" t="str">
        <f t="shared" si="172"/>
        <v>唐流雨20突</v>
      </c>
      <c r="P422" s="29" t="s">
        <v>470</v>
      </c>
      <c r="Q422" s="14">
        <f t="shared" si="173"/>
        <v>2</v>
      </c>
      <c r="R422" s="14">
        <f t="shared" si="174"/>
        <v>20</v>
      </c>
      <c r="S422" s="14" t="s">
        <v>39</v>
      </c>
      <c r="T422" s="14">
        <f>ROUND(((IF(Q422=1,INDEX(新属性投放!$J$14:$J$34,卡牌属性!R422),INDEX(新属性投放!$J$42:$J$62,卡牌属性!R422)))*INDEX($G$5:$G$42,L422)+IF(Q422=1,INDEX(新属性投放!R$20:R$23,卡牌属性!M422-1),INDEX(新属性投放!R$25:R$28,卡牌属性!M422-1)))/SQRT(INDEX($I$5:$I$42,L422)),2)</f>
        <v>19490.45</v>
      </c>
      <c r="U422" s="29" t="s">
        <v>178</v>
      </c>
      <c r="V422" s="14">
        <f>ROUND((IF(Q422=1,INDEX(新属性投放!$K$14:$K$34,卡牌属性!R422),INDEX(新属性投放!$K$42:$K$62,卡牌属性!R422))+IF(Q422=1,INDEX(新属性投放!S$20:S$23,卡牌属性!M422-1),INDEX(新属性投放!S$25:S$28,卡牌属性!M422-1)))*INDEX($G$5:$G$42,L422),2)</f>
        <v>9668.73</v>
      </c>
      <c r="W422" s="29" t="s">
        <v>179</v>
      </c>
      <c r="X422" s="14">
        <f>ROUND((IF(Q422=1,INDEX(新属性投放!$L$14:$L$34,卡牌属性!R422),INDEX(新属性投放!$L$42:$L$62,卡牌属性!R422))*INDEX($G$5:$G$42,L422)+IF(Q422=1,INDEX(新属性投放!T$20:T$23,卡牌属性!M422-1),INDEX(新属性投放!T$25:T$28,卡牌属性!M422-1)))*SQRT(INDEX($I$5:$I$42,L422)),2)</f>
        <v>103999</v>
      </c>
      <c r="Y422" s="29" t="s">
        <v>177</v>
      </c>
      <c r="Z422" s="14">
        <f>ROUND(IF(Q422=1,INDEX(新属性投放!$D$14:$D$34,卡牌属性!R422),INDEX(新属性投放!$D$42:$D$62,卡牌属性!R422))*INDEX($G$5:$G$42,L422)/SQRT(INDEX($I$5:$I$42,L422)),2)</f>
        <v>480.64</v>
      </c>
      <c r="AA422" s="29" t="s">
        <v>178</v>
      </c>
      <c r="AB422" s="14">
        <f>ROUND(IF(Q422=1,INDEX(新属性投放!$E$14:$E$34,卡牌属性!R422),INDEX(新属性投放!$E$42:$E$62,卡牌属性!R422))*INDEX($G$5:$G$42,L422),2)</f>
        <v>240.32</v>
      </c>
      <c r="AC422" s="29" t="s">
        <v>179</v>
      </c>
      <c r="AD422" s="14">
        <f>ROUND(IF(Q422=1,INDEX(新属性投放!$F$14:$F$34,卡牌属性!R422),INDEX(新属性投放!$F$42:$F$62,卡牌属性!R422))*INDEX($G$5:$G$42,L422)*SQRT(INDEX($I$5:$I$42,L422)),2)</f>
        <v>2162</v>
      </c>
      <c r="AF422" s="14">
        <f t="shared" si="175"/>
        <v>4806</v>
      </c>
      <c r="AG422" s="14">
        <f t="shared" si="176"/>
        <v>2403</v>
      </c>
      <c r="AH422" s="14">
        <f t="shared" si="177"/>
        <v>21620</v>
      </c>
      <c r="AJ422" s="14">
        <f t="shared" si="181"/>
        <v>32409</v>
      </c>
      <c r="AK422" s="14">
        <f t="shared" si="182"/>
        <v>16201</v>
      </c>
      <c r="AL422" s="14">
        <f t="shared" si="183"/>
        <v>145790</v>
      </c>
    </row>
    <row r="423" spans="11:38" ht="16.5" x14ac:dyDescent="0.2">
      <c r="K423" s="13">
        <v>420</v>
      </c>
      <c r="L423" s="13">
        <f t="shared" si="169"/>
        <v>20</v>
      </c>
      <c r="M423" s="13">
        <f t="shared" si="170"/>
        <v>2</v>
      </c>
      <c r="N423" s="14">
        <f t="shared" si="171"/>
        <v>1102004</v>
      </c>
      <c r="O423" s="14" t="str">
        <f t="shared" si="172"/>
        <v>唐流雨21突</v>
      </c>
      <c r="P423" s="29" t="s">
        <v>470</v>
      </c>
      <c r="Q423" s="14">
        <f t="shared" si="173"/>
        <v>2</v>
      </c>
      <c r="R423" s="14">
        <f t="shared" si="174"/>
        <v>21</v>
      </c>
      <c r="S423" s="14" t="s">
        <v>39</v>
      </c>
      <c r="T423" s="14">
        <f>ROUND(((IF(Q423=1,INDEX(新属性投放!$J$14:$J$34,卡牌属性!R423),INDEX(新属性投放!$J$42:$J$62,卡牌属性!R423)))*INDEX($G$5:$G$42,L423)+IF(Q423=1,INDEX(新属性投放!R$20:R$23,卡牌属性!M423-1),INDEX(新属性投放!R$25:R$28,卡牌属性!M423-1)))/SQRT(INDEX($I$5:$I$42,L423)),2)</f>
        <v>22494.65</v>
      </c>
      <c r="U423" s="29" t="s">
        <v>178</v>
      </c>
      <c r="V423" s="14">
        <f>ROUND((IF(Q423=1,INDEX(新属性投放!$K$14:$K$34,卡牌属性!R423),INDEX(新属性投放!$K$42:$K$62,卡牌属性!R423))+IF(Q423=1,INDEX(新属性投放!S$20:S$23,卡牌属性!M423-1),INDEX(新属性投放!S$25:S$28,卡牌属性!M423-1)))*INDEX($G$5:$G$42,L423),2)</f>
        <v>11170.33</v>
      </c>
      <c r="W423" s="29" t="s">
        <v>179</v>
      </c>
      <c r="X423" s="14">
        <f>ROUND((IF(Q423=1,INDEX(新属性投放!$L$14:$L$34,卡牌属性!R423),INDEX(新属性投放!$L$42:$L$62,卡牌属性!R423))*INDEX($G$5:$G$42,L423)+IF(Q423=1,INDEX(新属性投放!T$20:T$23,卡牌属性!M423-1),INDEX(新属性投放!T$25:T$28,卡牌属性!M423-1)))*SQRT(INDEX($I$5:$I$42,L423)),2)</f>
        <v>120218</v>
      </c>
      <c r="Y423" s="29" t="s">
        <v>177</v>
      </c>
      <c r="Z423" s="14">
        <f>ROUND(IF(Q423=1,INDEX(新属性投放!$D$14:$D$34,卡牌属性!R423),INDEX(新属性投放!$D$42:$D$62,卡牌属性!R423))*INDEX($G$5:$G$42,L423)/SQRT(INDEX($I$5:$I$42,L423)),2)</f>
        <v>555.74</v>
      </c>
      <c r="AA423" s="29" t="s">
        <v>178</v>
      </c>
      <c r="AB423" s="14">
        <f>ROUND(IF(Q423=1,INDEX(新属性投放!$E$14:$E$34,卡牌属性!R423),INDEX(新属性投放!$E$42:$E$62,卡牌属性!R423))*INDEX($G$5:$G$42,L423),2)</f>
        <v>277.87</v>
      </c>
      <c r="AC423" s="29" t="s">
        <v>179</v>
      </c>
      <c r="AD423" s="14">
        <f>ROUND(IF(Q423=1,INDEX(新属性投放!$F$14:$F$34,卡牌属性!R423),INDEX(新属性投放!$F$42:$F$62,卡牌属性!R423))*INDEX($G$5:$G$42,L423)*SQRT(INDEX($I$5:$I$42,L423)),2)</f>
        <v>2500</v>
      </c>
      <c r="AF423" s="14">
        <f t="shared" si="175"/>
        <v>5557</v>
      </c>
      <c r="AG423" s="14">
        <f t="shared" si="176"/>
        <v>2778</v>
      </c>
      <c r="AH423" s="14">
        <f t="shared" si="177"/>
        <v>25000</v>
      </c>
      <c r="AJ423" s="14">
        <f t="shared" si="181"/>
        <v>37966</v>
      </c>
      <c r="AK423" s="14">
        <f t="shared" si="182"/>
        <v>18979</v>
      </c>
      <c r="AL423" s="14">
        <f t="shared" si="183"/>
        <v>170790</v>
      </c>
    </row>
    <row r="424" spans="11:38" ht="16.5" x14ac:dyDescent="0.2">
      <c r="K424" s="13">
        <v>421</v>
      </c>
      <c r="L424" s="13">
        <f t="shared" si="169"/>
        <v>21</v>
      </c>
      <c r="M424" s="13">
        <f t="shared" si="170"/>
        <v>3</v>
      </c>
      <c r="N424" s="14">
        <f t="shared" si="171"/>
        <v>1102005</v>
      </c>
      <c r="O424" s="14" t="str">
        <f t="shared" si="172"/>
        <v>李轩辕1突</v>
      </c>
      <c r="P424" s="29" t="s">
        <v>470</v>
      </c>
      <c r="Q424" s="14">
        <f t="shared" si="173"/>
        <v>2</v>
      </c>
      <c r="R424" s="14">
        <f t="shared" si="174"/>
        <v>1</v>
      </c>
      <c r="S424" s="14" t="s">
        <v>39</v>
      </c>
      <c r="T424" s="14">
        <f>ROUND(((IF(Q424=1,INDEX(新属性投放!$J$14:$J$34,卡牌属性!R424),INDEX(新属性投放!$J$42:$J$62,卡牌属性!R424)))*INDEX($G$5:$G$42,L424)+IF(Q424=1,INDEX(新属性投放!R$20:R$23,卡牌属性!M424-1),INDEX(新属性投放!R$25:R$28,卡牌属性!M424-1)))/SQRT(INDEX($I$5:$I$42,L424)),2)</f>
        <v>502.5</v>
      </c>
      <c r="U424" s="29" t="s">
        <v>178</v>
      </c>
      <c r="V424" s="14">
        <f>ROUND((IF(Q424=1,INDEX(新属性投放!$K$14:$K$34,卡牌属性!R424),INDEX(新属性投放!$K$42:$K$62,卡牌属性!R424))+IF(Q424=1,INDEX(新属性投放!S$20:S$23,卡牌属性!M424-1),INDEX(新属性投放!S$25:S$28,卡牌属性!M424-1)))*INDEX($G$5:$G$42,L424),2)</f>
        <v>115</v>
      </c>
      <c r="W424" s="29" t="s">
        <v>179</v>
      </c>
      <c r="X424" s="14">
        <f>ROUND((IF(Q424=1,INDEX(新属性投放!$L$14:$L$34,卡牌属性!R424),INDEX(新属性投放!$L$42:$L$62,卡牌属性!R424))*INDEX($G$5:$G$42,L424)+IF(Q424=1,INDEX(新属性投放!T$20:T$23,卡牌属性!M424-1),INDEX(新属性投放!T$25:T$28,卡牌属性!M424-1)))*SQRT(INDEX($I$5:$I$42,L424)),2)</f>
        <v>1362.5</v>
      </c>
      <c r="Y424" s="29" t="s">
        <v>177</v>
      </c>
      <c r="Z424" s="14">
        <f>ROUND(IF(Q424=1,INDEX(新属性投放!$D$14:$D$34,卡牌属性!R424),INDEX(新属性投放!$D$42:$D$62,卡牌属性!R424))*INDEX($G$5:$G$42,L424)/SQRT(INDEX($I$5:$I$42,L424)),2)</f>
        <v>17.25</v>
      </c>
      <c r="AA424" s="29" t="s">
        <v>178</v>
      </c>
      <c r="AB424" s="14">
        <f>ROUND(IF(Q424=1,INDEX(新属性投放!$E$14:$E$34,卡牌属性!R424),INDEX(新属性投放!$E$42:$E$62,卡牌属性!R424))*INDEX($G$5:$G$42,L424),2)</f>
        <v>8.6300000000000008</v>
      </c>
      <c r="AC424" s="29" t="s">
        <v>179</v>
      </c>
      <c r="AD424" s="14">
        <f>ROUND(IF(Q424=1,INDEX(新属性投放!$F$14:$F$34,卡牌属性!R424),INDEX(新属性投放!$F$42:$F$62,卡牌属性!R424))*INDEX($G$5:$G$42,L424)*SQRT(INDEX($I$5:$I$42,L424)),2)</f>
        <v>77.05</v>
      </c>
      <c r="AF424" s="14">
        <f t="shared" si="175"/>
        <v>172</v>
      </c>
      <c r="AG424" s="14">
        <f t="shared" si="176"/>
        <v>86</v>
      </c>
      <c r="AH424" s="14">
        <f t="shared" si="177"/>
        <v>770</v>
      </c>
      <c r="AJ424" s="14">
        <f t="shared" ref="AJ424" si="184">AF424</f>
        <v>172</v>
      </c>
      <c r="AK424" s="14">
        <f t="shared" ref="AK424" si="185">AG424</f>
        <v>86</v>
      </c>
      <c r="AL424" s="14">
        <f t="shared" ref="AL424" si="186">AH424</f>
        <v>770</v>
      </c>
    </row>
    <row r="425" spans="11:38" ht="16.5" x14ac:dyDescent="0.2">
      <c r="K425" s="13">
        <v>422</v>
      </c>
      <c r="L425" s="13">
        <f t="shared" si="169"/>
        <v>21</v>
      </c>
      <c r="M425" s="13">
        <f t="shared" si="170"/>
        <v>3</v>
      </c>
      <c r="N425" s="14">
        <f t="shared" si="171"/>
        <v>1102005</v>
      </c>
      <c r="O425" s="14" t="str">
        <f t="shared" si="172"/>
        <v>李轩辕2突</v>
      </c>
      <c r="P425" s="29" t="s">
        <v>470</v>
      </c>
      <c r="Q425" s="14">
        <f t="shared" si="173"/>
        <v>2</v>
      </c>
      <c r="R425" s="14">
        <f t="shared" si="174"/>
        <v>2</v>
      </c>
      <c r="S425" s="14" t="s">
        <v>39</v>
      </c>
      <c r="T425" s="14">
        <f>ROUND(((IF(Q425=1,INDEX(新属性投放!$J$14:$J$34,卡牌属性!R425),INDEX(新属性投放!$J$42:$J$62,卡牌属性!R425)))*INDEX($G$5:$G$42,L425)+IF(Q425=1,INDEX(新属性投放!R$20:R$23,卡牌属性!M425-1),INDEX(新属性投放!R$25:R$28,卡牌属性!M425-1)))/SQRT(INDEX($I$5:$I$42,L425)),2)</f>
        <v>686.5</v>
      </c>
      <c r="U425" s="29" t="s">
        <v>178</v>
      </c>
      <c r="V425" s="14">
        <f>ROUND((IF(Q425=1,INDEX(新属性投放!$K$14:$K$34,卡牌属性!R425),INDEX(新属性投放!$K$42:$K$62,卡牌属性!R425))+IF(Q425=1,INDEX(新属性投放!S$20:S$23,卡牌属性!M425-1),INDEX(新属性投放!S$25:S$28,卡牌属性!M425-1)))*INDEX($G$5:$G$42,L425),2)</f>
        <v>204.13</v>
      </c>
      <c r="W425" s="29" t="s">
        <v>179</v>
      </c>
      <c r="X425" s="14">
        <f>ROUND((IF(Q425=1,INDEX(新属性投放!$L$14:$L$34,卡牌属性!R425),INDEX(新属性投放!$L$42:$L$62,卡牌属性!R425))*INDEX($G$5:$G$42,L425)+IF(Q425=1,INDEX(新属性投放!T$20:T$23,卡牌属性!M425-1),INDEX(新属性投放!T$25:T$28,卡牌属性!M425-1)))*SQRT(INDEX($I$5:$I$42,L425)),2)</f>
        <v>2314.6999999999998</v>
      </c>
      <c r="Y425" s="29" t="s">
        <v>177</v>
      </c>
      <c r="Z425" s="14">
        <f>ROUND(IF(Q425=1,INDEX(新属性投放!$D$14:$D$34,卡牌属性!R425),INDEX(新属性投放!$D$42:$D$62,卡牌属性!R425))*INDEX($G$5:$G$42,L425)/SQRT(INDEX($I$5:$I$42,L425)),2)</f>
        <v>15.84</v>
      </c>
      <c r="AA425" s="29" t="s">
        <v>178</v>
      </c>
      <c r="AB425" s="14">
        <f>ROUND(IF(Q425=1,INDEX(新属性投放!$E$14:$E$34,卡牌属性!R425),INDEX(新属性投放!$E$42:$E$62,卡牌属性!R425))*INDEX($G$5:$G$42,L425),2)</f>
        <v>7.92</v>
      </c>
      <c r="AC425" s="29" t="s">
        <v>179</v>
      </c>
      <c r="AD425" s="14">
        <f>ROUND(IF(Q425=1,INDEX(新属性投放!$F$14:$F$34,卡牌属性!R425),INDEX(新属性投放!$F$42:$F$62,卡牌属性!R425))*INDEX($G$5:$G$42,L425)*SQRT(INDEX($I$5:$I$42,L425)),2)</f>
        <v>70.150000000000006</v>
      </c>
      <c r="AF425" s="14">
        <f t="shared" si="175"/>
        <v>158</v>
      </c>
      <c r="AG425" s="14">
        <f t="shared" si="176"/>
        <v>79</v>
      </c>
      <c r="AH425" s="14">
        <f t="shared" si="177"/>
        <v>701</v>
      </c>
      <c r="AJ425" s="14">
        <f t="shared" ref="AJ425:AJ444" si="187">AJ424+AF425</f>
        <v>330</v>
      </c>
      <c r="AK425" s="14">
        <f t="shared" ref="AK425:AK444" si="188">AK424+AG425</f>
        <v>165</v>
      </c>
      <c r="AL425" s="14">
        <f t="shared" ref="AL425:AL444" si="189">AL424+AH425</f>
        <v>1471</v>
      </c>
    </row>
    <row r="426" spans="11:38" ht="16.5" x14ac:dyDescent="0.2">
      <c r="K426" s="13">
        <v>423</v>
      </c>
      <c r="L426" s="13">
        <f t="shared" si="169"/>
        <v>21</v>
      </c>
      <c r="M426" s="13">
        <f t="shared" si="170"/>
        <v>3</v>
      </c>
      <c r="N426" s="14">
        <f t="shared" si="171"/>
        <v>1102005</v>
      </c>
      <c r="O426" s="14" t="str">
        <f t="shared" si="172"/>
        <v>李轩辕3突</v>
      </c>
      <c r="P426" s="29" t="s">
        <v>470</v>
      </c>
      <c r="Q426" s="14">
        <f t="shared" si="173"/>
        <v>2</v>
      </c>
      <c r="R426" s="14">
        <f t="shared" si="174"/>
        <v>3</v>
      </c>
      <c r="S426" s="14" t="s">
        <v>39</v>
      </c>
      <c r="T426" s="14">
        <f>ROUND(((IF(Q426=1,INDEX(新属性投放!$J$14:$J$34,卡牌属性!R426),INDEX(新属性投放!$J$42:$J$62,卡牌属性!R426)))*INDEX($G$5:$G$42,L426)+IF(Q426=1,INDEX(新属性投放!R$20:R$23,卡牌属性!M426-1),INDEX(新属性投放!R$25:R$28,卡牌属性!M426-1)))/SQRT(INDEX($I$5:$I$42,L426)),2)</f>
        <v>883.96</v>
      </c>
      <c r="U426" s="29" t="s">
        <v>178</v>
      </c>
      <c r="V426" s="14">
        <f>ROUND((IF(Q426=1,INDEX(新属性投放!$K$14:$K$34,卡牌属性!R426),INDEX(新属性投放!$K$42:$K$62,卡牌属性!R426))+IF(Q426=1,INDEX(新属性投放!S$20:S$23,卡牌属性!M426-1),INDEX(新属性投放!S$25:S$28,卡牌属性!M426-1)))*INDEX($G$5:$G$42,L426),2)</f>
        <v>302.85000000000002</v>
      </c>
      <c r="W426" s="29" t="s">
        <v>179</v>
      </c>
      <c r="X426" s="14">
        <f>ROUND((IF(Q426=1,INDEX(新属性投放!$L$14:$L$34,卡牌属性!R426),INDEX(新属性投放!$L$42:$L$62,卡牌属性!R426))*INDEX($G$5:$G$42,L426)+IF(Q426=1,INDEX(新属性投放!T$20:T$23,卡牌属性!M426-1),INDEX(新属性投放!T$25:T$28,卡牌属性!M426-1)))*SQRT(INDEX($I$5:$I$42,L426)),2)</f>
        <v>3368.1</v>
      </c>
      <c r="Y426" s="29" t="s">
        <v>177</v>
      </c>
      <c r="Z426" s="14">
        <f>ROUND(IF(Q426=1,INDEX(新属性投放!$D$14:$D$34,卡牌属性!R426),INDEX(新属性投放!$D$42:$D$62,卡牌属性!R426))*INDEX($G$5:$G$42,L426)/SQRT(INDEX($I$5:$I$42,L426)),2)</f>
        <v>28.95</v>
      </c>
      <c r="AA426" s="29" t="s">
        <v>178</v>
      </c>
      <c r="AB426" s="14">
        <f>ROUND(IF(Q426=1,INDEX(新属性投放!$E$14:$E$34,卡牌属性!R426),INDEX(新属性投放!$E$42:$E$62,卡牌属性!R426))*INDEX($G$5:$G$42,L426),2)</f>
        <v>14.47</v>
      </c>
      <c r="AC426" s="29" t="s">
        <v>179</v>
      </c>
      <c r="AD426" s="14">
        <f>ROUND(IF(Q426=1,INDEX(新属性投放!$F$14:$F$34,卡牌属性!R426),INDEX(新属性投放!$F$42:$F$62,卡牌属性!R426))*INDEX($G$5:$G$42,L426)*SQRT(INDEX($I$5:$I$42,L426)),2)</f>
        <v>129.94999999999999</v>
      </c>
      <c r="AF426" s="14">
        <f t="shared" si="175"/>
        <v>289</v>
      </c>
      <c r="AG426" s="14">
        <f t="shared" si="176"/>
        <v>144</v>
      </c>
      <c r="AH426" s="14">
        <f t="shared" si="177"/>
        <v>1299</v>
      </c>
      <c r="AJ426" s="14">
        <f t="shared" si="187"/>
        <v>619</v>
      </c>
      <c r="AK426" s="14">
        <f t="shared" si="188"/>
        <v>309</v>
      </c>
      <c r="AL426" s="14">
        <f t="shared" si="189"/>
        <v>2770</v>
      </c>
    </row>
    <row r="427" spans="11:38" ht="16.5" x14ac:dyDescent="0.2">
      <c r="K427" s="13">
        <v>424</v>
      </c>
      <c r="L427" s="13">
        <f t="shared" si="169"/>
        <v>21</v>
      </c>
      <c r="M427" s="13">
        <f t="shared" si="170"/>
        <v>3</v>
      </c>
      <c r="N427" s="14">
        <f t="shared" si="171"/>
        <v>1102005</v>
      </c>
      <c r="O427" s="14" t="str">
        <f t="shared" si="172"/>
        <v>李轩辕4突</v>
      </c>
      <c r="P427" s="29" t="s">
        <v>470</v>
      </c>
      <c r="Q427" s="14">
        <f t="shared" si="173"/>
        <v>2</v>
      </c>
      <c r="R427" s="14">
        <f t="shared" si="174"/>
        <v>4</v>
      </c>
      <c r="S427" s="14" t="s">
        <v>39</v>
      </c>
      <c r="T427" s="14">
        <f>ROUND(((IF(Q427=1,INDEX(新属性投放!$J$14:$J$34,卡牌属性!R427),INDEX(新属性投放!$J$42:$J$62,卡牌属性!R427)))*INDEX($G$5:$G$42,L427)+IF(Q427=1,INDEX(新属性投放!R$20:R$23,卡牌属性!M427-1),INDEX(新属性投放!R$25:R$28,卡牌属性!M427-1)))/SQRT(INDEX($I$5:$I$42,L427)),2)</f>
        <v>1245.8599999999999</v>
      </c>
      <c r="U427" s="29" t="s">
        <v>178</v>
      </c>
      <c r="V427" s="14">
        <f>ROUND((IF(Q427=1,INDEX(新属性投放!$K$14:$K$34,卡牌属性!R427),INDEX(新属性投放!$K$42:$K$62,卡牌属性!R427))+IF(Q427=1,INDEX(新属性投放!S$20:S$23,卡牌属性!M427-1),INDEX(新属性投放!S$25:S$28,卡牌属性!M427-1)))*INDEX($G$5:$G$42,L427),2)</f>
        <v>483.23</v>
      </c>
      <c r="W427" s="29" t="s">
        <v>179</v>
      </c>
      <c r="X427" s="14">
        <f>ROUND((IF(Q427=1,INDEX(新属性投放!$L$14:$L$34,卡牌属性!R427),INDEX(新属性投放!$L$42:$L$62,卡牌属性!R427))*INDEX($G$5:$G$42,L427)+IF(Q427=1,INDEX(新属性投放!T$20:T$23,卡牌属性!M427-1),INDEX(新属性投放!T$25:T$28,卡牌属性!M427-1)))*SQRT(INDEX($I$5:$I$42,L427)),2)</f>
        <v>5319.65</v>
      </c>
      <c r="Y427" s="29" t="s">
        <v>177</v>
      </c>
      <c r="Z427" s="14">
        <f>ROUND(IF(Q427=1,INDEX(新属性投放!$D$14:$D$34,卡牌属性!R427),INDEX(新属性投放!$D$42:$D$62,卡牌属性!R427))*INDEX($G$5:$G$42,L427)/SQRT(INDEX($I$5:$I$42,L427)),2)</f>
        <v>34.65</v>
      </c>
      <c r="AA427" s="29" t="s">
        <v>178</v>
      </c>
      <c r="AB427" s="14">
        <f>ROUND(IF(Q427=1,INDEX(新属性投放!$E$14:$E$34,卡牌属性!R427),INDEX(新属性投放!$E$42:$E$62,卡牌属性!R427))*INDEX($G$5:$G$42,L427),2)</f>
        <v>17.32</v>
      </c>
      <c r="AC427" s="29" t="s">
        <v>179</v>
      </c>
      <c r="AD427" s="14">
        <f>ROUND(IF(Q427=1,INDEX(新属性投放!$F$14:$F$34,卡牌属性!R427),INDEX(新属性投放!$F$42:$F$62,卡牌属性!R427))*INDEX($G$5:$G$42,L427)*SQRT(INDEX($I$5:$I$42,L427)),2)</f>
        <v>155.25</v>
      </c>
      <c r="AF427" s="14">
        <f t="shared" si="175"/>
        <v>346</v>
      </c>
      <c r="AG427" s="14">
        <f t="shared" si="176"/>
        <v>173</v>
      </c>
      <c r="AH427" s="14">
        <f t="shared" si="177"/>
        <v>1552</v>
      </c>
      <c r="AJ427" s="14">
        <f t="shared" si="187"/>
        <v>965</v>
      </c>
      <c r="AK427" s="14">
        <f t="shared" si="188"/>
        <v>482</v>
      </c>
      <c r="AL427" s="14">
        <f t="shared" si="189"/>
        <v>4322</v>
      </c>
    </row>
    <row r="428" spans="11:38" ht="16.5" x14ac:dyDescent="0.2">
      <c r="K428" s="13">
        <v>425</v>
      </c>
      <c r="L428" s="13">
        <f t="shared" si="169"/>
        <v>21</v>
      </c>
      <c r="M428" s="13">
        <f t="shared" si="170"/>
        <v>3</v>
      </c>
      <c r="N428" s="14">
        <f t="shared" si="171"/>
        <v>1102005</v>
      </c>
      <c r="O428" s="14" t="str">
        <f t="shared" si="172"/>
        <v>李轩辕5突</v>
      </c>
      <c r="P428" s="29" t="s">
        <v>470</v>
      </c>
      <c r="Q428" s="14">
        <f t="shared" si="173"/>
        <v>2</v>
      </c>
      <c r="R428" s="14">
        <f t="shared" si="174"/>
        <v>5</v>
      </c>
      <c r="S428" s="14" t="s">
        <v>39</v>
      </c>
      <c r="T428" s="14">
        <f>ROUND(((IF(Q428=1,INDEX(新属性投放!$J$14:$J$34,卡牌属性!R428),INDEX(新属性投放!$J$42:$J$62,卡牌属性!R428)))*INDEX($G$5:$G$42,L428)+IF(Q428=1,INDEX(新属性投放!R$20:R$23,卡牌属性!M428-1),INDEX(新属性投放!R$25:R$28,卡牌属性!M428-1)))/SQRT(INDEX($I$5:$I$42,L428)),2)</f>
        <v>1678.61</v>
      </c>
      <c r="U428" s="29" t="s">
        <v>178</v>
      </c>
      <c r="V428" s="14">
        <f>ROUND((IF(Q428=1,INDEX(新属性投放!$K$14:$K$34,卡牌属性!R428),INDEX(新属性投放!$K$42:$K$62,卡牌属性!R428))+IF(Q428=1,INDEX(新属性投放!S$20:S$23,卡牌属性!M428-1),INDEX(新属性投放!S$25:S$28,卡牌属性!M428-1)))*INDEX($G$5:$G$42,L428),2)</f>
        <v>700.18</v>
      </c>
      <c r="W428" s="29" t="s">
        <v>179</v>
      </c>
      <c r="X428" s="14">
        <f>ROUND((IF(Q428=1,INDEX(新属性投放!$L$14:$L$34,卡牌属性!R428),INDEX(新属性投放!$L$42:$L$62,卡牌属性!R428))*INDEX($G$5:$G$42,L428)+IF(Q428=1,INDEX(新属性投放!T$20:T$23,卡牌属性!M428-1),INDEX(新属性投放!T$25:T$28,卡牌属性!M428-1)))*SQRT(INDEX($I$5:$I$42,L428)),2)</f>
        <v>7648.4</v>
      </c>
      <c r="Y428" s="29" t="s">
        <v>177</v>
      </c>
      <c r="Z428" s="14">
        <f>ROUND(IF(Q428=1,INDEX(新属性投放!$D$14:$D$34,卡牌属性!R428),INDEX(新属性投放!$D$42:$D$62,卡牌属性!R428))*INDEX($G$5:$G$42,L428)/SQRT(INDEX($I$5:$I$42,L428)),2)</f>
        <v>43.31</v>
      </c>
      <c r="AA428" s="29" t="s">
        <v>178</v>
      </c>
      <c r="AB428" s="14">
        <f>ROUND(IF(Q428=1,INDEX(新属性投放!$E$14:$E$34,卡牌属性!R428),INDEX(新属性投放!$E$42:$E$62,卡牌属性!R428))*INDEX($G$5:$G$42,L428),2)</f>
        <v>21.65</v>
      </c>
      <c r="AC428" s="29" t="s">
        <v>179</v>
      </c>
      <c r="AD428" s="14">
        <f>ROUND(IF(Q428=1,INDEX(新属性投放!$F$14:$F$34,卡牌属性!R428),INDEX(新属性投放!$F$42:$F$62,卡牌属性!R428))*INDEX($G$5:$G$42,L428)*SQRT(INDEX($I$5:$I$42,L428)),2)</f>
        <v>194.35</v>
      </c>
      <c r="AF428" s="14">
        <f t="shared" si="175"/>
        <v>433</v>
      </c>
      <c r="AG428" s="14">
        <f t="shared" si="176"/>
        <v>216</v>
      </c>
      <c r="AH428" s="14">
        <f t="shared" si="177"/>
        <v>1943</v>
      </c>
      <c r="AJ428" s="14">
        <f t="shared" si="187"/>
        <v>1398</v>
      </c>
      <c r="AK428" s="14">
        <f t="shared" si="188"/>
        <v>698</v>
      </c>
      <c r="AL428" s="14">
        <f t="shared" si="189"/>
        <v>6265</v>
      </c>
    </row>
    <row r="429" spans="11:38" ht="16.5" x14ac:dyDescent="0.2">
      <c r="K429" s="13">
        <v>426</v>
      </c>
      <c r="L429" s="13">
        <f t="shared" si="169"/>
        <v>21</v>
      </c>
      <c r="M429" s="13">
        <f t="shared" si="170"/>
        <v>3</v>
      </c>
      <c r="N429" s="14">
        <f t="shared" si="171"/>
        <v>1102005</v>
      </c>
      <c r="O429" s="14" t="str">
        <f t="shared" si="172"/>
        <v>李轩辕6突</v>
      </c>
      <c r="P429" s="29" t="s">
        <v>470</v>
      </c>
      <c r="Q429" s="14">
        <f t="shared" si="173"/>
        <v>2</v>
      </c>
      <c r="R429" s="14">
        <f t="shared" si="174"/>
        <v>6</v>
      </c>
      <c r="S429" s="14" t="s">
        <v>39</v>
      </c>
      <c r="T429" s="14">
        <f>ROUND(((IF(Q429=1,INDEX(新属性投放!$J$14:$J$34,卡牌属性!R429),INDEX(新属性投放!$J$42:$J$62,卡牌属性!R429)))*INDEX($G$5:$G$42,L429)+IF(Q429=1,INDEX(新属性投放!R$20:R$23,卡牌属性!M429-1),INDEX(新属性投放!R$25:R$28,卡牌属性!M429-1)))/SQRT(INDEX($I$5:$I$42,L429)),2)</f>
        <v>2219.8000000000002</v>
      </c>
      <c r="U429" s="29" t="s">
        <v>178</v>
      </c>
      <c r="V429" s="14">
        <f>ROUND((IF(Q429=1,INDEX(新属性投放!$K$14:$K$34,卡牌属性!R429),INDEX(新属性投放!$K$42:$K$62,卡牌属性!R429))+IF(Q429=1,INDEX(新属性投放!S$20:S$23,卡牌属性!M429-1),INDEX(新属性投放!S$25:S$28,卡牌属性!M429-1)))*INDEX($G$5:$G$42,L429),2)</f>
        <v>970.77</v>
      </c>
      <c r="W429" s="29" t="s">
        <v>179</v>
      </c>
      <c r="X429" s="14">
        <f>ROUND((IF(Q429=1,INDEX(新属性投放!$L$14:$L$34,卡牌属性!R429),INDEX(新属性投放!$L$42:$L$62,卡牌属性!R429))*INDEX($G$5:$G$42,L429)+IF(Q429=1,INDEX(新属性投放!T$20:T$23,卡牌属性!M429-1),INDEX(新属性投放!T$25:T$28,卡牌属性!M429-1)))*SQRT(INDEX($I$5:$I$42,L429)),2)</f>
        <v>10564.8</v>
      </c>
      <c r="Y429" s="29" t="s">
        <v>177</v>
      </c>
      <c r="Z429" s="14">
        <f>ROUND(IF(Q429=1,INDEX(新属性投放!$D$14:$D$34,卡牌属性!R429),INDEX(新属性投放!$D$42:$D$62,卡牌属性!R429))*INDEX($G$5:$G$42,L429)/SQRT(INDEX($I$5:$I$42,L429)),2)</f>
        <v>56.18</v>
      </c>
      <c r="AA429" s="29" t="s">
        <v>178</v>
      </c>
      <c r="AB429" s="14">
        <f>ROUND(IF(Q429=1,INDEX(新属性投放!$E$14:$E$34,卡牌属性!R429),INDEX(新属性投放!$E$42:$E$62,卡牌属性!R429))*INDEX($G$5:$G$42,L429),2)</f>
        <v>28.09</v>
      </c>
      <c r="AC429" s="29" t="s">
        <v>179</v>
      </c>
      <c r="AD429" s="14">
        <f>ROUND(IF(Q429=1,INDEX(新属性投放!$F$14:$F$34,卡牌属性!R429),INDEX(新属性投放!$F$42:$F$62,卡牌属性!R429))*INDEX($G$5:$G$42,L429)*SQRT(INDEX($I$5:$I$42,L429)),2)</f>
        <v>251.85</v>
      </c>
      <c r="AF429" s="14">
        <f t="shared" si="175"/>
        <v>561</v>
      </c>
      <c r="AG429" s="14">
        <f t="shared" si="176"/>
        <v>280</v>
      </c>
      <c r="AH429" s="14">
        <f t="shared" si="177"/>
        <v>2518</v>
      </c>
      <c r="AJ429" s="14">
        <f t="shared" si="187"/>
        <v>1959</v>
      </c>
      <c r="AK429" s="14">
        <f t="shared" si="188"/>
        <v>978</v>
      </c>
      <c r="AL429" s="14">
        <f t="shared" si="189"/>
        <v>8783</v>
      </c>
    </row>
    <row r="430" spans="11:38" ht="16.5" x14ac:dyDescent="0.2">
      <c r="K430" s="13">
        <v>427</v>
      </c>
      <c r="L430" s="13">
        <f t="shared" si="169"/>
        <v>21</v>
      </c>
      <c r="M430" s="13">
        <f t="shared" si="170"/>
        <v>3</v>
      </c>
      <c r="N430" s="14">
        <f t="shared" si="171"/>
        <v>1102005</v>
      </c>
      <c r="O430" s="14" t="str">
        <f t="shared" si="172"/>
        <v>李轩辕7突</v>
      </c>
      <c r="P430" s="29" t="s">
        <v>470</v>
      </c>
      <c r="Q430" s="14">
        <f t="shared" si="173"/>
        <v>2</v>
      </c>
      <c r="R430" s="14">
        <f t="shared" si="174"/>
        <v>7</v>
      </c>
      <c r="S430" s="14" t="s">
        <v>39</v>
      </c>
      <c r="T430" s="14">
        <f>ROUND(((IF(Q430=1,INDEX(新属性投放!$J$14:$J$34,卡牌属性!R430),INDEX(新属性投放!$J$42:$J$62,卡牌属性!R430)))*INDEX($G$5:$G$42,L430)+IF(Q430=1,INDEX(新属性投放!R$20:R$23,卡牌属性!M430-1),INDEX(新属性投放!R$25:R$28,卡牌属性!M430-1)))/SQRT(INDEX($I$5:$I$42,L430)),2)</f>
        <v>2921.87</v>
      </c>
      <c r="U430" s="29" t="s">
        <v>178</v>
      </c>
      <c r="V430" s="14">
        <f>ROUND((IF(Q430=1,INDEX(新属性投放!$K$14:$K$34,卡牌属性!R430),INDEX(新属性投放!$K$42:$K$62,卡牌属性!R430))+IF(Q430=1,INDEX(新属性投放!S$20:S$23,卡牌属性!M430-1),INDEX(新属性投放!S$25:S$28,卡牌属性!M430-1)))*INDEX($G$5:$G$42,L430),2)</f>
        <v>1321.81</v>
      </c>
      <c r="W430" s="29" t="s">
        <v>179</v>
      </c>
      <c r="X430" s="14">
        <f>ROUND((IF(Q430=1,INDEX(新属性投放!$L$14:$L$34,卡牌属性!R430),INDEX(新属性投放!$L$42:$L$62,卡牌属性!R430))*INDEX($G$5:$G$42,L430)+IF(Q430=1,INDEX(新属性投放!T$20:T$23,卡牌属性!M430-1),INDEX(新属性投放!T$25:T$28,卡牌属性!M430-1)))*SQRT(INDEX($I$5:$I$42,L430)),2)</f>
        <v>14346</v>
      </c>
      <c r="Y430" s="29" t="s">
        <v>177</v>
      </c>
      <c r="Z430" s="14">
        <f>ROUND(IF(Q430=1,INDEX(新属性投放!$D$14:$D$34,卡牌属性!R430),INDEX(新属性投放!$D$42:$D$62,卡牌属性!R430))*INDEX($G$5:$G$42,L430)/SQRT(INDEX($I$5:$I$42,L430)),2)</f>
        <v>69.22</v>
      </c>
      <c r="AA430" s="29" t="s">
        <v>178</v>
      </c>
      <c r="AB430" s="14">
        <f>ROUND(IF(Q430=1,INDEX(新属性投放!$E$14:$E$34,卡牌属性!R430),INDEX(新属性投放!$E$42:$E$62,卡牌属性!R430))*INDEX($G$5:$G$42,L430),2)</f>
        <v>34.61</v>
      </c>
      <c r="AC430" s="29" t="s">
        <v>179</v>
      </c>
      <c r="AD430" s="14">
        <f>ROUND(IF(Q430=1,INDEX(新属性投放!$F$14:$F$34,卡牌属性!R430),INDEX(新属性投放!$F$42:$F$62,卡牌属性!R430))*INDEX($G$5:$G$42,L430)*SQRT(INDEX($I$5:$I$42,L430)),2)</f>
        <v>310.5</v>
      </c>
      <c r="AF430" s="14">
        <f t="shared" si="175"/>
        <v>692</v>
      </c>
      <c r="AG430" s="14">
        <f t="shared" si="176"/>
        <v>346</v>
      </c>
      <c r="AH430" s="14">
        <f t="shared" si="177"/>
        <v>3105</v>
      </c>
      <c r="AJ430" s="14">
        <f t="shared" si="187"/>
        <v>2651</v>
      </c>
      <c r="AK430" s="14">
        <f t="shared" si="188"/>
        <v>1324</v>
      </c>
      <c r="AL430" s="14">
        <f t="shared" si="189"/>
        <v>11888</v>
      </c>
    </row>
    <row r="431" spans="11:38" ht="16.5" x14ac:dyDescent="0.2">
      <c r="K431" s="13">
        <v>428</v>
      </c>
      <c r="L431" s="13">
        <f t="shared" si="169"/>
        <v>21</v>
      </c>
      <c r="M431" s="13">
        <f t="shared" si="170"/>
        <v>3</v>
      </c>
      <c r="N431" s="14">
        <f t="shared" si="171"/>
        <v>1102005</v>
      </c>
      <c r="O431" s="14" t="str">
        <f t="shared" si="172"/>
        <v>李轩辕8突</v>
      </c>
      <c r="P431" s="29" t="s">
        <v>470</v>
      </c>
      <c r="Q431" s="14">
        <f t="shared" si="173"/>
        <v>2</v>
      </c>
      <c r="R431" s="14">
        <f t="shared" si="174"/>
        <v>8</v>
      </c>
      <c r="S431" s="14" t="s">
        <v>39</v>
      </c>
      <c r="T431" s="14">
        <f>ROUND(((IF(Q431=1,INDEX(新属性投放!$J$14:$J$34,卡牌属性!R431),INDEX(新属性投放!$J$42:$J$62,卡牌属性!R431)))*INDEX($G$5:$G$42,L431)+IF(Q431=1,INDEX(新属性投放!R$20:R$23,卡牌属性!M431-1),INDEX(新属性投放!R$25:R$28,卡牌属性!M431-1)))/SQRT(INDEX($I$5:$I$42,L431)),2)</f>
        <v>3786.56</v>
      </c>
      <c r="U431" s="29" t="s">
        <v>178</v>
      </c>
      <c r="V431" s="14">
        <f>ROUND((IF(Q431=1,INDEX(新属性投放!$K$14:$K$34,卡牌属性!R431),INDEX(新属性投放!$K$42:$K$62,卡牌属性!R431))+IF(Q431=1,INDEX(新属性投放!S$20:S$23,卡牌属性!M431-1),INDEX(新属性投放!S$25:S$28,卡牌属性!M431-1)))*INDEX($G$5:$G$42,L431),2)</f>
        <v>1754.15</v>
      </c>
      <c r="W431" s="29" t="s">
        <v>179</v>
      </c>
      <c r="X431" s="14">
        <f>ROUND((IF(Q431=1,INDEX(新属性投放!$L$14:$L$34,卡牌属性!R431),INDEX(新属性投放!$L$42:$L$62,卡牌属性!R431))*INDEX($G$5:$G$42,L431)+IF(Q431=1,INDEX(新属性投放!T$20:T$23,卡牌属性!M431-1),INDEX(新属性投放!T$25:T$28,卡牌属性!M431-1)))*SQRT(INDEX($I$5:$I$42,L431)),2)</f>
        <v>19003.5</v>
      </c>
      <c r="Y431" s="29" t="s">
        <v>177</v>
      </c>
      <c r="Z431" s="14">
        <f>ROUND(IF(Q431=1,INDEX(新属性投放!$D$14:$D$34,卡牌属性!R431),INDEX(新属性投放!$D$42:$D$62,卡牌属性!R431))*INDEX($G$5:$G$42,L431)/SQRT(INDEX($I$5:$I$42,L431)),2)</f>
        <v>86.47</v>
      </c>
      <c r="AA431" s="29" t="s">
        <v>178</v>
      </c>
      <c r="AB431" s="14">
        <f>ROUND(IF(Q431=1,INDEX(新属性投放!$E$14:$E$34,卡牌属性!R431),INDEX(新属性投放!$E$42:$E$62,卡牌属性!R431))*INDEX($G$5:$G$42,L431),2)</f>
        <v>43.23</v>
      </c>
      <c r="AC431" s="29" t="s">
        <v>179</v>
      </c>
      <c r="AD431" s="14">
        <f>ROUND(IF(Q431=1,INDEX(新属性投放!$F$14:$F$34,卡牌属性!R431),INDEX(新属性投放!$F$42:$F$62,卡牌属性!R431))*INDEX($G$5:$G$42,L431)*SQRT(INDEX($I$5:$I$42,L431)),2)</f>
        <v>388.7</v>
      </c>
      <c r="AF431" s="14">
        <f t="shared" si="175"/>
        <v>864</v>
      </c>
      <c r="AG431" s="14">
        <f t="shared" si="176"/>
        <v>432</v>
      </c>
      <c r="AH431" s="14">
        <f t="shared" si="177"/>
        <v>3887</v>
      </c>
      <c r="AJ431" s="14">
        <f t="shared" si="187"/>
        <v>3515</v>
      </c>
      <c r="AK431" s="14">
        <f t="shared" si="188"/>
        <v>1756</v>
      </c>
      <c r="AL431" s="14">
        <f t="shared" si="189"/>
        <v>15775</v>
      </c>
    </row>
    <row r="432" spans="11:38" ht="16.5" x14ac:dyDescent="0.2">
      <c r="K432" s="13">
        <v>429</v>
      </c>
      <c r="L432" s="13">
        <f t="shared" si="169"/>
        <v>21</v>
      </c>
      <c r="M432" s="13">
        <f t="shared" si="170"/>
        <v>3</v>
      </c>
      <c r="N432" s="14">
        <f t="shared" si="171"/>
        <v>1102005</v>
      </c>
      <c r="O432" s="14" t="str">
        <f t="shared" si="172"/>
        <v>李轩辕9突</v>
      </c>
      <c r="P432" s="29" t="s">
        <v>470</v>
      </c>
      <c r="Q432" s="14">
        <f t="shared" si="173"/>
        <v>2</v>
      </c>
      <c r="R432" s="14">
        <f t="shared" si="174"/>
        <v>9</v>
      </c>
      <c r="S432" s="14" t="s">
        <v>39</v>
      </c>
      <c r="T432" s="14">
        <f>ROUND(((IF(Q432=1,INDEX(新属性投放!$J$14:$J$34,卡牌属性!R432),INDEX(新属性投放!$J$42:$J$62,卡牌属性!R432)))*INDEX($G$5:$G$42,L432)+IF(Q432=1,INDEX(新属性投放!R$20:R$23,卡牌属性!M432-1),INDEX(新属性投放!R$25:R$28,卡牌属性!M432-1)))/SQRT(INDEX($I$5:$I$42,L432)),2)</f>
        <v>4867.4399999999996</v>
      </c>
      <c r="U432" s="29" t="s">
        <v>178</v>
      </c>
      <c r="V432" s="14">
        <f>ROUND((IF(Q432=1,INDEX(新属性投放!$K$14:$K$34,卡牌属性!R432),INDEX(新属性投放!$K$42:$K$62,卡牌属性!R432))+IF(Q432=1,INDEX(新属性投放!S$20:S$23,卡牌属性!M432-1),INDEX(新属性投放!S$25:S$28,卡牌属性!M432-1)))*INDEX($G$5:$G$42,L432),2)</f>
        <v>2294.6</v>
      </c>
      <c r="W432" s="29" t="s">
        <v>179</v>
      </c>
      <c r="X432" s="14">
        <f>ROUND((IF(Q432=1,INDEX(新属性投放!$L$14:$L$34,卡牌属性!R432),INDEX(新属性投放!$L$42:$L$62,卡牌属性!R432))*INDEX($G$5:$G$42,L432)+IF(Q432=1,INDEX(新属性投放!T$20:T$23,卡牌属性!M432-1),INDEX(新属性投放!T$25:T$28,卡牌属性!M432-1)))*SQRT(INDEX($I$5:$I$42,L432)),2)</f>
        <v>24836.3</v>
      </c>
      <c r="Y432" s="29" t="s">
        <v>177</v>
      </c>
      <c r="Z432" s="14">
        <f>ROUND(IF(Q432=1,INDEX(新属性投放!$D$14:$D$34,卡牌属性!R432),INDEX(新属性投放!$D$42:$D$62,卡牌属性!R432))*INDEX($G$5:$G$42,L432)/SQRT(INDEX($I$5:$I$42,L432)),2)</f>
        <v>112.46</v>
      </c>
      <c r="AA432" s="29" t="s">
        <v>178</v>
      </c>
      <c r="AB432" s="14">
        <f>ROUND(IF(Q432=1,INDEX(新属性投放!$E$14:$E$34,卡牌属性!R432),INDEX(新属性投放!$E$42:$E$62,卡牌属性!R432))*INDEX($G$5:$G$42,L432),2)</f>
        <v>56.23</v>
      </c>
      <c r="AC432" s="29" t="s">
        <v>179</v>
      </c>
      <c r="AD432" s="14">
        <f>ROUND(IF(Q432=1,INDEX(新属性投放!$F$14:$F$34,卡牌属性!R432),INDEX(新属性投放!$F$42:$F$62,卡牌属性!R432))*INDEX($G$5:$G$42,L432)*SQRT(INDEX($I$5:$I$42,L432)),2)</f>
        <v>506</v>
      </c>
      <c r="AF432" s="14">
        <f t="shared" si="175"/>
        <v>1124</v>
      </c>
      <c r="AG432" s="14">
        <f t="shared" si="176"/>
        <v>562</v>
      </c>
      <c r="AH432" s="14">
        <f t="shared" si="177"/>
        <v>5060</v>
      </c>
      <c r="AJ432" s="14">
        <f t="shared" si="187"/>
        <v>4639</v>
      </c>
      <c r="AK432" s="14">
        <f t="shared" si="188"/>
        <v>2318</v>
      </c>
      <c r="AL432" s="14">
        <f t="shared" si="189"/>
        <v>20835</v>
      </c>
    </row>
    <row r="433" spans="11:38" ht="16.5" x14ac:dyDescent="0.2">
      <c r="K433" s="13">
        <v>430</v>
      </c>
      <c r="L433" s="13">
        <f t="shared" si="169"/>
        <v>21</v>
      </c>
      <c r="M433" s="13">
        <f t="shared" si="170"/>
        <v>3</v>
      </c>
      <c r="N433" s="14">
        <f t="shared" si="171"/>
        <v>1102005</v>
      </c>
      <c r="O433" s="14" t="str">
        <f t="shared" si="172"/>
        <v>李轩辕10突</v>
      </c>
      <c r="P433" s="29" t="s">
        <v>470</v>
      </c>
      <c r="Q433" s="14">
        <f t="shared" si="173"/>
        <v>2</v>
      </c>
      <c r="R433" s="14">
        <f t="shared" si="174"/>
        <v>10</v>
      </c>
      <c r="S433" s="14" t="s">
        <v>39</v>
      </c>
      <c r="T433" s="14">
        <f>ROUND(((IF(Q433=1,INDEX(新属性投放!$J$14:$J$34,卡牌属性!R433),INDEX(新属性投放!$J$42:$J$62,卡牌属性!R433)))*INDEX($G$5:$G$42,L433)+IF(Q433=1,INDEX(新属性投放!R$20:R$23,卡牌属性!M433-1),INDEX(新属性投放!R$25:R$28,卡牌属性!M433-1)))/SQRT(INDEX($I$5:$I$42,L433)),2)</f>
        <v>5570.03</v>
      </c>
      <c r="U433" s="29" t="s">
        <v>178</v>
      </c>
      <c r="V433" s="14">
        <f>ROUND((IF(Q433=1,INDEX(新属性投放!$K$14:$K$34,卡牌属性!R433),INDEX(新属性投放!$K$42:$K$62,卡牌属性!R433))+IF(Q433=1,INDEX(新属性投放!S$20:S$23,卡牌属性!M433-1),INDEX(新属性投放!S$25:S$28,卡牌属性!M433-1)))*INDEX($G$5:$G$42,L433),2)</f>
        <v>2645.89</v>
      </c>
      <c r="W433" s="29" t="s">
        <v>179</v>
      </c>
      <c r="X433" s="14">
        <f>ROUND((IF(Q433=1,INDEX(新属性投放!$L$14:$L$34,卡牌属性!R433),INDEX(新属性投放!$L$42:$L$62,卡牌属性!R433))*INDEX($G$5:$G$42,L433)+IF(Q433=1,INDEX(新属性投放!T$20:T$23,卡牌属性!M433-1),INDEX(新属性投放!T$25:T$28,卡牌属性!M433-1)))*SQRT(INDEX($I$5:$I$42,L433)),2)</f>
        <v>28629</v>
      </c>
      <c r="Y433" s="29" t="s">
        <v>177</v>
      </c>
      <c r="Z433" s="14">
        <f>ROUND(IF(Q433=1,INDEX(新属性投放!$D$14:$D$34,卡牌属性!R433),INDEX(新属性投放!$D$42:$D$62,卡牌属性!R433))*INDEX($G$5:$G$42,L433)/SQRT(INDEX($I$5:$I$42,L433)),2)</f>
        <v>129.75</v>
      </c>
      <c r="AA433" s="29" t="s">
        <v>178</v>
      </c>
      <c r="AB433" s="14">
        <f>ROUND(IF(Q433=1,INDEX(新属性投放!$E$14:$E$34,卡牌属性!R433),INDEX(新属性投放!$E$42:$E$62,卡牌属性!R433))*INDEX($G$5:$G$42,L433),2)</f>
        <v>64.88</v>
      </c>
      <c r="AC433" s="29" t="s">
        <v>179</v>
      </c>
      <c r="AD433" s="14">
        <f>ROUND(IF(Q433=1,INDEX(新属性投放!$F$14:$F$34,卡牌属性!R433),INDEX(新属性投放!$F$42:$F$62,卡牌属性!R433))*INDEX($G$5:$G$42,L433)*SQRT(INDEX($I$5:$I$42,L433)),2)</f>
        <v>583.04999999999995</v>
      </c>
      <c r="AF433" s="14">
        <f t="shared" si="175"/>
        <v>1297</v>
      </c>
      <c r="AG433" s="14">
        <f t="shared" si="176"/>
        <v>648</v>
      </c>
      <c r="AH433" s="14">
        <f t="shared" si="177"/>
        <v>5830</v>
      </c>
      <c r="AJ433" s="14">
        <f t="shared" si="187"/>
        <v>5936</v>
      </c>
      <c r="AK433" s="14">
        <f t="shared" si="188"/>
        <v>2966</v>
      </c>
      <c r="AL433" s="14">
        <f t="shared" si="189"/>
        <v>26665</v>
      </c>
    </row>
    <row r="434" spans="11:38" ht="16.5" x14ac:dyDescent="0.2">
      <c r="K434" s="13">
        <v>431</v>
      </c>
      <c r="L434" s="13">
        <f t="shared" si="169"/>
        <v>21</v>
      </c>
      <c r="M434" s="13">
        <f t="shared" si="170"/>
        <v>3</v>
      </c>
      <c r="N434" s="14">
        <f t="shared" si="171"/>
        <v>1102005</v>
      </c>
      <c r="O434" s="14" t="str">
        <f t="shared" si="172"/>
        <v>李轩辕11突</v>
      </c>
      <c r="P434" s="29" t="s">
        <v>470</v>
      </c>
      <c r="Q434" s="14">
        <f t="shared" si="173"/>
        <v>2</v>
      </c>
      <c r="R434" s="14">
        <f t="shared" si="174"/>
        <v>11</v>
      </c>
      <c r="S434" s="14" t="s">
        <v>39</v>
      </c>
      <c r="T434" s="14">
        <f>ROUND(((IF(Q434=1,INDEX(新属性投放!$J$14:$J$34,卡牌属性!R434),INDEX(新属性投放!$J$42:$J$62,卡牌属性!R434)))*INDEX($G$5:$G$42,L434)+IF(Q434=1,INDEX(新属性投放!R$20:R$23,卡牌属性!M434-1),INDEX(新属性投放!R$25:R$28,卡牌属性!M434-1)))/SQRT(INDEX($I$5:$I$42,L434)),2)</f>
        <v>6380.96</v>
      </c>
      <c r="U434" s="29" t="s">
        <v>178</v>
      </c>
      <c r="V434" s="14">
        <f>ROUND((IF(Q434=1,INDEX(新属性投放!$K$14:$K$34,卡牌属性!R434),INDEX(新属性投放!$K$42:$K$62,卡牌属性!R434))+IF(Q434=1,INDEX(新属性投放!S$20:S$23,卡牌属性!M434-1),INDEX(新属性投放!S$25:S$28,卡牌属性!M434-1)))*INDEX($G$5:$G$42,L434),2)</f>
        <v>3051.93</v>
      </c>
      <c r="W434" s="29" t="s">
        <v>179</v>
      </c>
      <c r="X434" s="14">
        <f>ROUND((IF(Q434=1,INDEX(新属性投放!$L$14:$L$34,卡牌属性!R434),INDEX(新属性投放!$L$42:$L$62,卡牌属性!R434))*INDEX($G$5:$G$42,L434)+IF(Q434=1,INDEX(新属性投放!T$20:T$23,卡牌属性!M434-1),INDEX(新属性投放!T$25:T$28,卡牌属性!M434-1)))*SQRT(INDEX($I$5:$I$42,L434)),2)</f>
        <v>33003.599999999999</v>
      </c>
      <c r="Y434" s="29" t="s">
        <v>177</v>
      </c>
      <c r="Z434" s="14">
        <f>ROUND(IF(Q434=1,INDEX(新属性投放!$D$14:$D$34,卡牌属性!R434),INDEX(新属性投放!$D$42:$D$62,卡牌属性!R434))*INDEX($G$5:$G$42,L434)/SQRT(INDEX($I$5:$I$42,L434)),2)</f>
        <v>151.32</v>
      </c>
      <c r="AA434" s="29" t="s">
        <v>178</v>
      </c>
      <c r="AB434" s="14">
        <f>ROUND(IF(Q434=1,INDEX(新属性投放!$E$14:$E$34,卡牌属性!R434),INDEX(新属性投放!$E$42:$E$62,卡牌属性!R434))*INDEX($G$5:$G$42,L434),2)</f>
        <v>75.66</v>
      </c>
      <c r="AC434" s="29" t="s">
        <v>179</v>
      </c>
      <c r="AD434" s="14">
        <f>ROUND(IF(Q434=1,INDEX(新属性投放!$F$14:$F$34,卡牌属性!R434),INDEX(新属性投放!$F$42:$F$62,卡牌属性!R434))*INDEX($G$5:$G$42,L434)*SQRT(INDEX($I$5:$I$42,L434)),2)</f>
        <v>680.8</v>
      </c>
      <c r="AF434" s="14">
        <f t="shared" si="175"/>
        <v>1513</v>
      </c>
      <c r="AG434" s="14">
        <f t="shared" si="176"/>
        <v>756</v>
      </c>
      <c r="AH434" s="14">
        <f t="shared" si="177"/>
        <v>6808</v>
      </c>
      <c r="AJ434" s="14">
        <f t="shared" si="187"/>
        <v>7449</v>
      </c>
      <c r="AK434" s="14">
        <f t="shared" si="188"/>
        <v>3722</v>
      </c>
      <c r="AL434" s="14">
        <f t="shared" si="189"/>
        <v>33473</v>
      </c>
    </row>
    <row r="435" spans="11:38" ht="16.5" x14ac:dyDescent="0.2">
      <c r="K435" s="13">
        <v>432</v>
      </c>
      <c r="L435" s="13">
        <f t="shared" si="169"/>
        <v>21</v>
      </c>
      <c r="M435" s="13">
        <f t="shared" si="170"/>
        <v>3</v>
      </c>
      <c r="N435" s="14">
        <f t="shared" si="171"/>
        <v>1102005</v>
      </c>
      <c r="O435" s="14" t="str">
        <f t="shared" si="172"/>
        <v>李轩辕12突</v>
      </c>
      <c r="P435" s="29" t="s">
        <v>470</v>
      </c>
      <c r="Q435" s="14">
        <f t="shared" si="173"/>
        <v>2</v>
      </c>
      <c r="R435" s="14">
        <f t="shared" si="174"/>
        <v>12</v>
      </c>
      <c r="S435" s="14" t="s">
        <v>39</v>
      </c>
      <c r="T435" s="14">
        <f>ROUND(((IF(Q435=1,INDEX(新属性投放!$J$14:$J$34,卡牌属性!R435),INDEX(新属性投放!$J$42:$J$62,卡牌属性!R435)))*INDEX($G$5:$G$42,L435)+IF(Q435=1,INDEX(新属性投放!R$20:R$23,卡牌属性!M435-1),INDEX(新属性投放!R$25:R$28,卡牌属性!M435-1)))/SQRT(INDEX($I$5:$I$42,L435)),2)</f>
        <v>7326.14</v>
      </c>
      <c r="U435" s="29" t="s">
        <v>178</v>
      </c>
      <c r="V435" s="14">
        <f>ROUND((IF(Q435=1,INDEX(新属性投放!$K$14:$K$34,卡牌属性!R435),INDEX(新属性投放!$K$42:$K$62,卡牌属性!R435))+IF(Q435=1,INDEX(新属性投放!S$20:S$23,卡牌属性!M435-1),INDEX(新属性投放!S$25:S$28,卡牌属性!M435-1)))*INDEX($G$5:$G$42,L435),2)</f>
        <v>3524.52</v>
      </c>
      <c r="W435" s="29" t="s">
        <v>179</v>
      </c>
      <c r="X435" s="14">
        <f>ROUND((IF(Q435=1,INDEX(新属性投放!$L$14:$L$34,卡牌属性!R435),INDEX(新属性投放!$L$42:$L$62,卡牌属性!R435))*INDEX($G$5:$G$42,L435)+IF(Q435=1,INDEX(新属性投放!T$20:T$23,卡牌属性!M435-1),INDEX(新属性投放!T$25:T$28,卡牌属性!M435-1)))*SQRT(INDEX($I$5:$I$42,L435)),2)</f>
        <v>38105</v>
      </c>
      <c r="Y435" s="29" t="s">
        <v>177</v>
      </c>
      <c r="Z435" s="14">
        <f>ROUND(IF(Q435=1,INDEX(新属性投放!$D$14:$D$34,卡牌属性!R435),INDEX(新属性投放!$D$42:$D$62,卡牌属性!R435))*INDEX($G$5:$G$42,L435)/SQRT(INDEX($I$5:$I$42,L435)),2)</f>
        <v>173.04</v>
      </c>
      <c r="AA435" s="29" t="s">
        <v>178</v>
      </c>
      <c r="AB435" s="14">
        <f>ROUND(IF(Q435=1,INDEX(新属性投放!$E$14:$E$34,卡牌属性!R435),INDEX(新属性投放!$E$42:$E$62,卡牌属性!R435))*INDEX($G$5:$G$42,L435),2)</f>
        <v>86.52</v>
      </c>
      <c r="AC435" s="29" t="s">
        <v>179</v>
      </c>
      <c r="AD435" s="14">
        <f>ROUND(IF(Q435=1,INDEX(新属性投放!$F$14:$F$34,卡牌属性!R435),INDEX(新属性投放!$F$42:$F$62,卡牌属性!R435))*INDEX($G$5:$G$42,L435)*SQRT(INDEX($I$5:$I$42,L435)),2)</f>
        <v>778.55</v>
      </c>
      <c r="AF435" s="14">
        <f t="shared" si="175"/>
        <v>1730</v>
      </c>
      <c r="AG435" s="14">
        <f t="shared" si="176"/>
        <v>865</v>
      </c>
      <c r="AH435" s="14">
        <f t="shared" si="177"/>
        <v>7785</v>
      </c>
      <c r="AJ435" s="14">
        <f t="shared" si="187"/>
        <v>9179</v>
      </c>
      <c r="AK435" s="14">
        <f t="shared" si="188"/>
        <v>4587</v>
      </c>
      <c r="AL435" s="14">
        <f t="shared" si="189"/>
        <v>41258</v>
      </c>
    </row>
    <row r="436" spans="11:38" ht="16.5" x14ac:dyDescent="0.2">
      <c r="K436" s="13">
        <v>433</v>
      </c>
      <c r="L436" s="13">
        <f t="shared" si="169"/>
        <v>21</v>
      </c>
      <c r="M436" s="13">
        <f t="shared" si="170"/>
        <v>3</v>
      </c>
      <c r="N436" s="14">
        <f t="shared" si="171"/>
        <v>1102005</v>
      </c>
      <c r="O436" s="14" t="str">
        <f t="shared" si="172"/>
        <v>李轩辕13突</v>
      </c>
      <c r="P436" s="29" t="s">
        <v>470</v>
      </c>
      <c r="Q436" s="14">
        <f t="shared" si="173"/>
        <v>2</v>
      </c>
      <c r="R436" s="14">
        <f t="shared" si="174"/>
        <v>13</v>
      </c>
      <c r="S436" s="14" t="s">
        <v>39</v>
      </c>
      <c r="T436" s="14">
        <f>ROUND(((IF(Q436=1,INDEX(新属性投放!$J$14:$J$34,卡牌属性!R436),INDEX(新属性投放!$J$42:$J$62,卡牌属性!R436)))*INDEX($G$5:$G$42,L436)+IF(Q436=1,INDEX(新属性投放!R$20:R$23,卡牌属性!M436-1),INDEX(新属性投放!R$25:R$28,卡牌属性!M436-1)))/SQRT(INDEX($I$5:$I$42,L436)),2)</f>
        <v>8407.5400000000009</v>
      </c>
      <c r="U436" s="29" t="s">
        <v>178</v>
      </c>
      <c r="V436" s="14">
        <f>ROUND((IF(Q436=1,INDEX(新属性投放!$K$14:$K$34,卡牌属性!R436),INDEX(新属性投放!$K$42:$K$62,卡牌属性!R436))+IF(Q436=1,INDEX(新属性投放!S$20:S$23,卡牌属性!M436-1),INDEX(新属性投放!S$25:S$28,卡牌属性!M436-1)))*INDEX($G$5:$G$42,L436),2)</f>
        <v>4065.22</v>
      </c>
      <c r="W436" s="29" t="s">
        <v>179</v>
      </c>
      <c r="X436" s="14">
        <f>ROUND((IF(Q436=1,INDEX(新属性投放!$L$14:$L$34,卡牌属性!R436),INDEX(新属性投放!$L$42:$L$62,卡牌属性!R436))*INDEX($G$5:$G$42,L436)+IF(Q436=1,INDEX(新属性投放!T$20:T$23,卡牌属性!M436-1),INDEX(新属性投放!T$25:T$28,卡牌属性!M436-1)))*SQRT(INDEX($I$5:$I$42,L436)),2)</f>
        <v>43943.55</v>
      </c>
      <c r="Y436" s="29" t="s">
        <v>177</v>
      </c>
      <c r="Z436" s="14">
        <f>ROUND(IF(Q436=1,INDEX(新属性投放!$D$14:$D$34,卡牌属性!R436),INDEX(新属性投放!$D$42:$D$62,卡牌属性!R436))*INDEX($G$5:$G$42,L436)/SQRT(INDEX($I$5:$I$42,L436)),2)</f>
        <v>200.07</v>
      </c>
      <c r="AA436" s="29" t="s">
        <v>178</v>
      </c>
      <c r="AB436" s="14">
        <f>ROUND(IF(Q436=1,INDEX(新属性投放!$E$14:$E$34,卡牌属性!R436),INDEX(新属性投放!$E$42:$E$62,卡牌属性!R436))*INDEX($G$5:$G$42,L436),2)</f>
        <v>100.03</v>
      </c>
      <c r="AC436" s="29" t="s">
        <v>179</v>
      </c>
      <c r="AD436" s="14">
        <f>ROUND(IF(Q436=1,INDEX(新属性投放!$F$14:$F$34,卡牌属性!R436),INDEX(新属性投放!$F$42:$F$62,卡牌属性!R436))*INDEX($G$5:$G$42,L436)*SQRT(INDEX($I$5:$I$42,L436)),2)</f>
        <v>899.3</v>
      </c>
      <c r="AF436" s="14">
        <f t="shared" si="175"/>
        <v>2000</v>
      </c>
      <c r="AG436" s="14">
        <f t="shared" si="176"/>
        <v>1000</v>
      </c>
      <c r="AH436" s="14">
        <f t="shared" si="177"/>
        <v>8993</v>
      </c>
      <c r="AJ436" s="14">
        <f t="shared" si="187"/>
        <v>11179</v>
      </c>
      <c r="AK436" s="14">
        <f t="shared" si="188"/>
        <v>5587</v>
      </c>
      <c r="AL436" s="14">
        <f t="shared" si="189"/>
        <v>50251</v>
      </c>
    </row>
    <row r="437" spans="11:38" ht="16.5" x14ac:dyDescent="0.2">
      <c r="K437" s="13">
        <v>434</v>
      </c>
      <c r="L437" s="13">
        <f t="shared" si="169"/>
        <v>21</v>
      </c>
      <c r="M437" s="13">
        <f t="shared" si="170"/>
        <v>3</v>
      </c>
      <c r="N437" s="14">
        <f t="shared" si="171"/>
        <v>1102005</v>
      </c>
      <c r="O437" s="14" t="str">
        <f t="shared" si="172"/>
        <v>李轩辕14突</v>
      </c>
      <c r="P437" s="29" t="s">
        <v>470</v>
      </c>
      <c r="Q437" s="14">
        <f t="shared" si="173"/>
        <v>2</v>
      </c>
      <c r="R437" s="14">
        <f t="shared" si="174"/>
        <v>14</v>
      </c>
      <c r="S437" s="14" t="s">
        <v>39</v>
      </c>
      <c r="T437" s="14">
        <f>ROUND(((IF(Q437=1,INDEX(新属性投放!$J$14:$J$34,卡牌属性!R437),INDEX(新属性投放!$J$42:$J$62,卡牌属性!R437)))*INDEX($G$5:$G$42,L437)+IF(Q437=1,INDEX(新属性投放!R$20:R$23,卡牌属性!M437-1),INDEX(新属性投放!R$25:R$28,卡牌属性!M437-1)))/SQRT(INDEX($I$5:$I$42,L437)),2)</f>
        <v>9657.42</v>
      </c>
      <c r="U437" s="29" t="s">
        <v>178</v>
      </c>
      <c r="V437" s="14">
        <f>ROUND((IF(Q437=1,INDEX(新属性投放!$K$14:$K$34,卡牌属性!R437),INDEX(新属性投放!$K$42:$K$62,卡牌属性!R437))+IF(Q437=1,INDEX(新属性投放!S$20:S$23,卡牌属性!M437-1),INDEX(新属性投放!S$25:S$28,卡牌属性!M437-1)))*INDEX($G$5:$G$42,L437),2)</f>
        <v>4690.74</v>
      </c>
      <c r="W437" s="29" t="s">
        <v>179</v>
      </c>
      <c r="X437" s="14">
        <f>ROUND((IF(Q437=1,INDEX(新属性投放!$L$14:$L$34,卡牌属性!R437),INDEX(新属性投放!$L$42:$L$62,卡牌属性!R437))*INDEX($G$5:$G$42,L437)+IF(Q437=1,INDEX(新属性投放!T$20:T$23,卡牌属性!M437-1),INDEX(新属性投放!T$25:T$28,卡牌属性!M437-1)))*SQRT(INDEX($I$5:$I$42,L437)),2)</f>
        <v>50686</v>
      </c>
      <c r="Y437" s="29" t="s">
        <v>177</v>
      </c>
      <c r="Z437" s="14">
        <f>ROUND(IF(Q437=1,INDEX(新属性投放!$D$14:$D$34,卡牌属性!R437),INDEX(新属性投放!$D$42:$D$62,卡牌属性!R437))*INDEX($G$5:$G$42,L437)/SQRT(INDEX($I$5:$I$42,L437)),2)</f>
        <v>231.32</v>
      </c>
      <c r="AA437" s="29" t="s">
        <v>178</v>
      </c>
      <c r="AB437" s="14">
        <f>ROUND(IF(Q437=1,INDEX(新属性投放!$E$14:$E$34,卡牌属性!R437),INDEX(新属性投放!$E$42:$E$62,卡牌属性!R437))*INDEX($G$5:$G$42,L437),2)</f>
        <v>115.66</v>
      </c>
      <c r="AC437" s="29" t="s">
        <v>179</v>
      </c>
      <c r="AD437" s="14">
        <f>ROUND(IF(Q437=1,INDEX(新属性投放!$F$14:$F$34,卡牌属性!R437),INDEX(新属性投放!$F$42:$F$62,卡牌属性!R437))*INDEX($G$5:$G$42,L437)*SQRT(INDEX($I$5:$I$42,L437)),2)</f>
        <v>1040.75</v>
      </c>
      <c r="AF437" s="14">
        <f t="shared" si="175"/>
        <v>2313</v>
      </c>
      <c r="AG437" s="14">
        <f t="shared" si="176"/>
        <v>1156</v>
      </c>
      <c r="AH437" s="14">
        <f t="shared" si="177"/>
        <v>10407</v>
      </c>
      <c r="AJ437" s="14">
        <f t="shared" si="187"/>
        <v>13492</v>
      </c>
      <c r="AK437" s="14">
        <f t="shared" si="188"/>
        <v>6743</v>
      </c>
      <c r="AL437" s="14">
        <f t="shared" si="189"/>
        <v>60658</v>
      </c>
    </row>
    <row r="438" spans="11:38" ht="16.5" x14ac:dyDescent="0.2">
      <c r="K438" s="13">
        <v>435</v>
      </c>
      <c r="L438" s="13">
        <f t="shared" si="169"/>
        <v>21</v>
      </c>
      <c r="M438" s="13">
        <f t="shared" si="170"/>
        <v>3</v>
      </c>
      <c r="N438" s="14">
        <f t="shared" si="171"/>
        <v>1102005</v>
      </c>
      <c r="O438" s="14" t="str">
        <f t="shared" si="172"/>
        <v>李轩辕15突</v>
      </c>
      <c r="P438" s="29" t="s">
        <v>470</v>
      </c>
      <c r="Q438" s="14">
        <f t="shared" si="173"/>
        <v>2</v>
      </c>
      <c r="R438" s="14">
        <f t="shared" si="174"/>
        <v>15</v>
      </c>
      <c r="S438" s="14" t="s">
        <v>39</v>
      </c>
      <c r="T438" s="14">
        <f>ROUND(((IF(Q438=1,INDEX(新属性投放!$J$14:$J$34,卡牌属性!R438),INDEX(新属性投放!$J$42:$J$62,卡牌属性!R438)))*INDEX($G$5:$G$42,L438)+IF(Q438=1,INDEX(新属性投放!R$20:R$23,卡牌属性!M438-1),INDEX(新属性投放!R$25:R$28,卡牌属性!M438-1)))/SQRT(INDEX($I$5:$I$42,L438)),2)</f>
        <v>11102.68</v>
      </c>
      <c r="U438" s="29" t="s">
        <v>178</v>
      </c>
      <c r="V438" s="14">
        <f>ROUND((IF(Q438=1,INDEX(新属性投放!$K$14:$K$34,卡牌属性!R438),INDEX(新属性投放!$K$42:$K$62,卡牌属性!R438))+IF(Q438=1,INDEX(新属性投放!S$20:S$23,卡牌属性!M438-1),INDEX(新属性投放!S$25:S$28,卡牌属性!M438-1)))*INDEX($G$5:$G$42,L438),2)</f>
        <v>5413.94</v>
      </c>
      <c r="W438" s="29" t="s">
        <v>179</v>
      </c>
      <c r="X438" s="14">
        <f>ROUND((IF(Q438=1,INDEX(新属性投放!$L$14:$L$34,卡牌属性!R438),INDEX(新属性投放!$L$42:$L$62,卡牌属性!R438))*INDEX($G$5:$G$42,L438)+IF(Q438=1,INDEX(新属性投放!T$20:T$23,卡牌属性!M438-1),INDEX(新属性投放!T$25:T$28,卡牌属性!M438-1)))*SQRT(INDEX($I$5:$I$42,L438)),2)</f>
        <v>58487.6</v>
      </c>
      <c r="Y438" s="29" t="s">
        <v>177</v>
      </c>
      <c r="Z438" s="14">
        <f>ROUND(IF(Q438=1,INDEX(新属性投放!$D$14:$D$34,卡牌属性!R438),INDEX(新属性投放!$D$42:$D$62,卡牌属性!R438))*INDEX($G$5:$G$42,L438)/SQRT(INDEX($I$5:$I$42,L438)),2)</f>
        <v>267.44</v>
      </c>
      <c r="AA438" s="29" t="s">
        <v>178</v>
      </c>
      <c r="AB438" s="14">
        <f>ROUND(IF(Q438=1,INDEX(新属性投放!$E$14:$E$34,卡牌属性!R438),INDEX(新属性投放!$E$42:$E$62,卡牌属性!R438))*INDEX($G$5:$G$42,L438),2)</f>
        <v>133.72</v>
      </c>
      <c r="AC438" s="29" t="s">
        <v>179</v>
      </c>
      <c r="AD438" s="14">
        <f>ROUND(IF(Q438=1,INDEX(新属性投放!$F$14:$F$34,卡牌属性!R438),INDEX(新属性投放!$F$42:$F$62,卡牌属性!R438))*INDEX($G$5:$G$42,L438)*SQRT(INDEX($I$5:$I$42,L438)),2)</f>
        <v>1202.9000000000001</v>
      </c>
      <c r="AF438" s="14">
        <f t="shared" si="175"/>
        <v>2674</v>
      </c>
      <c r="AG438" s="14">
        <f t="shared" si="176"/>
        <v>1337</v>
      </c>
      <c r="AH438" s="14">
        <f t="shared" si="177"/>
        <v>12029</v>
      </c>
      <c r="AJ438" s="14">
        <f t="shared" si="187"/>
        <v>16166</v>
      </c>
      <c r="AK438" s="14">
        <f t="shared" si="188"/>
        <v>8080</v>
      </c>
      <c r="AL438" s="14">
        <f t="shared" si="189"/>
        <v>72687</v>
      </c>
    </row>
    <row r="439" spans="11:38" ht="16.5" x14ac:dyDescent="0.2">
      <c r="K439" s="13">
        <v>436</v>
      </c>
      <c r="L439" s="13">
        <f t="shared" si="169"/>
        <v>21</v>
      </c>
      <c r="M439" s="13">
        <f t="shared" si="170"/>
        <v>3</v>
      </c>
      <c r="N439" s="14">
        <f t="shared" si="171"/>
        <v>1102005</v>
      </c>
      <c r="O439" s="14" t="str">
        <f t="shared" si="172"/>
        <v>李轩辕16突</v>
      </c>
      <c r="P439" s="29" t="s">
        <v>470</v>
      </c>
      <c r="Q439" s="14">
        <f t="shared" si="173"/>
        <v>2</v>
      </c>
      <c r="R439" s="14">
        <f t="shared" si="174"/>
        <v>16</v>
      </c>
      <c r="S439" s="14" t="s">
        <v>39</v>
      </c>
      <c r="T439" s="14">
        <f>ROUND(((IF(Q439=1,INDEX(新属性投放!$J$14:$J$34,卡牌属性!R439),INDEX(新属性投放!$J$42:$J$62,卡牌属性!R439)))*INDEX($G$5:$G$42,L439)+IF(Q439=1,INDEX(新属性投放!R$20:R$23,卡牌属性!M439-1),INDEX(新属性投放!R$25:R$28,卡牌属性!M439-1)))/SQRT(INDEX($I$5:$I$42,L439)),2)</f>
        <v>12774.55</v>
      </c>
      <c r="U439" s="29" t="s">
        <v>178</v>
      </c>
      <c r="V439" s="14">
        <f>ROUND((IF(Q439=1,INDEX(新属性投放!$K$14:$K$34,卡牌属性!R439),INDEX(新属性投放!$K$42:$K$62,卡牌属性!R439))+IF(Q439=1,INDEX(新属性投放!S$20:S$23,卡牌属性!M439-1),INDEX(新属性投放!S$25:S$28,卡牌属性!M439-1)))*INDEX($G$5:$G$42,L439),2)</f>
        <v>6249.3</v>
      </c>
      <c r="W439" s="29" t="s">
        <v>179</v>
      </c>
      <c r="X439" s="14">
        <f>ROUND((IF(Q439=1,INDEX(新属性投放!$L$14:$L$34,卡牌属性!R439),INDEX(新属性投放!$L$42:$L$62,卡牌属性!R439))*INDEX($G$5:$G$42,L439)+IF(Q439=1,INDEX(新属性投放!T$20:T$23,卡牌属性!M439-1),INDEX(新属性投放!T$25:T$28,卡牌属性!M439-1)))*SQRT(INDEX($I$5:$I$42,L439)),2)</f>
        <v>67513.95</v>
      </c>
      <c r="Y439" s="29" t="s">
        <v>177</v>
      </c>
      <c r="Z439" s="14">
        <f>ROUND(IF(Q439=1,INDEX(新属性投放!$D$14:$D$34,卡牌属性!R439),INDEX(新属性投放!$D$42:$D$62,卡牌属性!R439))*INDEX($G$5:$G$42,L439)/SQRT(INDEX($I$5:$I$42,L439)),2)</f>
        <v>309.25</v>
      </c>
      <c r="AA439" s="29" t="s">
        <v>178</v>
      </c>
      <c r="AB439" s="14">
        <f>ROUND(IF(Q439=1,INDEX(新属性投放!$E$14:$E$34,卡牌属性!R439),INDEX(新属性投放!$E$42:$E$62,卡牌属性!R439))*INDEX($G$5:$G$42,L439),2)</f>
        <v>154.62</v>
      </c>
      <c r="AC439" s="29" t="s">
        <v>179</v>
      </c>
      <c r="AD439" s="14">
        <f>ROUND(IF(Q439=1,INDEX(新属性投放!$F$14:$F$34,卡牌属性!R439),INDEX(新属性投放!$F$42:$F$62,卡牌属性!R439))*INDEX($G$5:$G$42,L439)*SQRT(INDEX($I$5:$I$42,L439)),2)</f>
        <v>1391.5</v>
      </c>
      <c r="AF439" s="14">
        <f t="shared" si="175"/>
        <v>3092</v>
      </c>
      <c r="AG439" s="14">
        <f t="shared" si="176"/>
        <v>1546</v>
      </c>
      <c r="AH439" s="14">
        <f t="shared" si="177"/>
        <v>13915</v>
      </c>
      <c r="AJ439" s="14">
        <f t="shared" si="187"/>
        <v>19258</v>
      </c>
      <c r="AK439" s="14">
        <f t="shared" si="188"/>
        <v>9626</v>
      </c>
      <c r="AL439" s="14">
        <f t="shared" si="189"/>
        <v>86602</v>
      </c>
    </row>
    <row r="440" spans="11:38" ht="16.5" x14ac:dyDescent="0.2">
      <c r="K440" s="13">
        <v>437</v>
      </c>
      <c r="L440" s="13">
        <f t="shared" si="169"/>
        <v>21</v>
      </c>
      <c r="M440" s="13">
        <f t="shared" si="170"/>
        <v>3</v>
      </c>
      <c r="N440" s="14">
        <f t="shared" si="171"/>
        <v>1102005</v>
      </c>
      <c r="O440" s="14" t="str">
        <f t="shared" si="172"/>
        <v>李轩辕17突</v>
      </c>
      <c r="P440" s="29" t="s">
        <v>470</v>
      </c>
      <c r="Q440" s="14">
        <f t="shared" si="173"/>
        <v>2</v>
      </c>
      <c r="R440" s="14">
        <f t="shared" si="174"/>
        <v>17</v>
      </c>
      <c r="S440" s="14" t="s">
        <v>39</v>
      </c>
      <c r="T440" s="14">
        <f>ROUND(((IF(Q440=1,INDEX(新属性投放!$J$14:$J$34,卡牌属性!R440),INDEX(新属性投放!$J$42:$J$62,卡牌属性!R440)))*INDEX($G$5:$G$42,L440)+IF(Q440=1,INDEX(新属性投放!R$20:R$23,卡牌属性!M440-1),INDEX(新属性投放!R$25:R$28,卡牌属性!M440-1)))/SQRT(INDEX($I$5:$I$42,L440)),2)</f>
        <v>14707.19</v>
      </c>
      <c r="U440" s="29" t="s">
        <v>178</v>
      </c>
      <c r="V440" s="14">
        <f>ROUND((IF(Q440=1,INDEX(新属性投放!$K$14:$K$34,卡牌属性!R440),INDEX(新属性投放!$K$42:$K$62,卡牌属性!R440))+IF(Q440=1,INDEX(新属性投放!S$20:S$23,卡牌属性!M440-1),INDEX(新属性投放!S$25:S$28,卡牌属性!M440-1)))*INDEX($G$5:$G$42,L440),2)</f>
        <v>7215.62</v>
      </c>
      <c r="W440" s="29" t="s">
        <v>179</v>
      </c>
      <c r="X440" s="14">
        <f>ROUND((IF(Q440=1,INDEX(新属性投放!$L$14:$L$34,卡牌属性!R440),INDEX(新属性投放!$L$42:$L$62,卡牌属性!R440))*INDEX($G$5:$G$42,L440)+IF(Q440=1,INDEX(新属性投放!T$20:T$23,卡牌属性!M440-1),INDEX(新属性投放!T$25:T$28,卡牌属性!M440-1)))*SQRT(INDEX($I$5:$I$42,L440)),2)</f>
        <v>77949.05</v>
      </c>
      <c r="Y440" s="29" t="s">
        <v>177</v>
      </c>
      <c r="Z440" s="14">
        <f>ROUND(IF(Q440=1,INDEX(新属性投放!$D$14:$D$34,卡牌属性!R440),INDEX(新属性投放!$D$42:$D$62,卡牌属性!R440))*INDEX($G$5:$G$42,L440)/SQRT(INDEX($I$5:$I$42,L440)),2)</f>
        <v>357.56</v>
      </c>
      <c r="AA440" s="29" t="s">
        <v>178</v>
      </c>
      <c r="AB440" s="14">
        <f>ROUND(IF(Q440=1,INDEX(新属性投放!$E$14:$E$34,卡牌属性!R440),INDEX(新属性投放!$E$42:$E$62,卡牌属性!R440))*INDEX($G$5:$G$42,L440),2)</f>
        <v>178.78</v>
      </c>
      <c r="AC440" s="29" t="s">
        <v>179</v>
      </c>
      <c r="AD440" s="14">
        <f>ROUND(IF(Q440=1,INDEX(新属性投放!$F$14:$F$34,卡牌属性!R440),INDEX(新属性投放!$F$42:$F$62,卡牌属性!R440))*INDEX($G$5:$G$42,L440)*SQRT(INDEX($I$5:$I$42,L440)),2)</f>
        <v>1608.85</v>
      </c>
      <c r="AF440" s="14">
        <f t="shared" si="175"/>
        <v>3575</v>
      </c>
      <c r="AG440" s="14">
        <f t="shared" si="176"/>
        <v>1787</v>
      </c>
      <c r="AH440" s="14">
        <f t="shared" si="177"/>
        <v>16088</v>
      </c>
      <c r="AJ440" s="14">
        <f t="shared" si="187"/>
        <v>22833</v>
      </c>
      <c r="AK440" s="14">
        <f t="shared" si="188"/>
        <v>11413</v>
      </c>
      <c r="AL440" s="14">
        <f t="shared" si="189"/>
        <v>102690</v>
      </c>
    </row>
    <row r="441" spans="11:38" ht="16.5" x14ac:dyDescent="0.2">
      <c r="K441" s="13">
        <v>438</v>
      </c>
      <c r="L441" s="13">
        <f t="shared" si="169"/>
        <v>21</v>
      </c>
      <c r="M441" s="13">
        <f t="shared" si="170"/>
        <v>3</v>
      </c>
      <c r="N441" s="14">
        <f t="shared" si="171"/>
        <v>1102005</v>
      </c>
      <c r="O441" s="14" t="str">
        <f t="shared" si="172"/>
        <v>李轩辕18突</v>
      </c>
      <c r="P441" s="29" t="s">
        <v>470</v>
      </c>
      <c r="Q441" s="14">
        <f t="shared" si="173"/>
        <v>2</v>
      </c>
      <c r="R441" s="14">
        <f t="shared" si="174"/>
        <v>18</v>
      </c>
      <c r="S441" s="14" t="s">
        <v>39</v>
      </c>
      <c r="T441" s="14">
        <f>ROUND(((IF(Q441=1,INDEX(新属性投放!$J$14:$J$34,卡牌属性!R441),INDEX(新属性投放!$J$42:$J$62,卡牌属性!R441)))*INDEX($G$5:$G$42,L441)+IF(Q441=1,INDEX(新属性投放!R$20:R$23,卡牌属性!M441-1),INDEX(新属性投放!R$25:R$28,卡牌属性!M441-1)))/SQRT(INDEX($I$5:$I$42,L441)),2)</f>
        <v>16942.330000000002</v>
      </c>
      <c r="U441" s="29" t="s">
        <v>178</v>
      </c>
      <c r="V441" s="14">
        <f>ROUND((IF(Q441=1,INDEX(新属性投放!$K$14:$K$34,卡牌属性!R441),INDEX(新属性投放!$K$42:$K$62,卡牌属性!R441))+IF(Q441=1,INDEX(新属性投放!S$20:S$23,卡牌属性!M441-1),INDEX(新属性投放!S$25:S$28,卡牌属性!M441-1)))*INDEX($G$5:$G$42,L441),2)</f>
        <v>8332.61</v>
      </c>
      <c r="W441" s="29" t="s">
        <v>179</v>
      </c>
      <c r="X441" s="14">
        <f>ROUND((IF(Q441=1,INDEX(新属性投放!$L$14:$L$34,卡牌属性!R441),INDEX(新属性投放!$L$42:$L$62,卡牌属性!R441))*INDEX($G$5:$G$42,L441)+IF(Q441=1,INDEX(新属性投放!T$20:T$23,卡牌属性!M441-1),INDEX(新属性投放!T$25:T$28,卡牌属性!M441-1)))*SQRT(INDEX($I$5:$I$42,L441)),2)</f>
        <v>90019.45</v>
      </c>
      <c r="Y441" s="29" t="s">
        <v>177</v>
      </c>
      <c r="Z441" s="14">
        <f>ROUND(IF(Q441=1,INDEX(新属性投放!$D$14:$D$34,卡牌属性!R441),INDEX(新属性投放!$D$42:$D$62,卡牌属性!R441))*INDEX($G$5:$G$42,L441)/SQRT(INDEX($I$5:$I$42,L441)),2)</f>
        <v>413.44</v>
      </c>
      <c r="AA441" s="29" t="s">
        <v>178</v>
      </c>
      <c r="AB441" s="14">
        <f>ROUND(IF(Q441=1,INDEX(新属性投放!$E$14:$E$34,卡牌属性!R441),INDEX(新属性投放!$E$42:$E$62,卡牌属性!R441))*INDEX($G$5:$G$42,L441),2)</f>
        <v>206.72</v>
      </c>
      <c r="AC441" s="29" t="s">
        <v>179</v>
      </c>
      <c r="AD441" s="14">
        <f>ROUND(IF(Q441=1,INDEX(新属性投放!$F$14:$F$34,卡牌属性!R441),INDEX(新属性投放!$F$42:$F$62,卡牌属性!R441))*INDEX($G$5:$G$42,L441)*SQRT(INDEX($I$5:$I$42,L441)),2)</f>
        <v>1859.55</v>
      </c>
      <c r="AF441" s="14">
        <f t="shared" si="175"/>
        <v>4134</v>
      </c>
      <c r="AG441" s="14">
        <f t="shared" si="176"/>
        <v>2067</v>
      </c>
      <c r="AH441" s="14">
        <f t="shared" si="177"/>
        <v>18595</v>
      </c>
      <c r="AJ441" s="14">
        <f t="shared" si="187"/>
        <v>26967</v>
      </c>
      <c r="AK441" s="14">
        <f t="shared" si="188"/>
        <v>13480</v>
      </c>
      <c r="AL441" s="14">
        <f t="shared" si="189"/>
        <v>121285</v>
      </c>
    </row>
    <row r="442" spans="11:38" ht="16.5" x14ac:dyDescent="0.2">
      <c r="K442" s="13">
        <v>439</v>
      </c>
      <c r="L442" s="13">
        <f t="shared" si="169"/>
        <v>21</v>
      </c>
      <c r="M442" s="13">
        <f t="shared" si="170"/>
        <v>3</v>
      </c>
      <c r="N442" s="14">
        <f t="shared" si="171"/>
        <v>1102005</v>
      </c>
      <c r="O442" s="14" t="str">
        <f t="shared" si="172"/>
        <v>李轩辕19突</v>
      </c>
      <c r="P442" s="29" t="s">
        <v>470</v>
      </c>
      <c r="Q442" s="14">
        <f t="shared" si="173"/>
        <v>2</v>
      </c>
      <c r="R442" s="14">
        <f t="shared" si="174"/>
        <v>19</v>
      </c>
      <c r="S442" s="14" t="s">
        <v>39</v>
      </c>
      <c r="T442" s="14">
        <f>ROUND(((IF(Q442=1,INDEX(新属性投放!$J$14:$J$34,卡牌属性!R442),INDEX(新属性投放!$J$42:$J$62,卡牌属性!R442)))*INDEX($G$5:$G$42,L442)+IF(Q442=1,INDEX(新属性投放!R$20:R$23,卡牌属性!M442-1),INDEX(新属性投放!R$25:R$28,卡牌属性!M442-1)))/SQRT(INDEX($I$5:$I$42,L442)),2)</f>
        <v>19525.86</v>
      </c>
      <c r="U442" s="29" t="s">
        <v>178</v>
      </c>
      <c r="V442" s="14">
        <f>ROUND((IF(Q442=1,INDEX(新属性投放!$K$14:$K$34,卡牌属性!R442),INDEX(新属性投放!$K$42:$K$62,卡牌属性!R442))+IF(Q442=1,INDEX(新属性投放!S$20:S$23,卡牌属性!M442-1),INDEX(新属性投放!S$25:S$28,卡牌属性!M442-1)))*INDEX($G$5:$G$42,L442),2)</f>
        <v>9624.9500000000007</v>
      </c>
      <c r="W442" s="29" t="s">
        <v>179</v>
      </c>
      <c r="X442" s="14">
        <f>ROUND((IF(Q442=1,INDEX(新属性投放!$L$14:$L$34,卡牌属性!R442),INDEX(新属性投放!$L$42:$L$62,卡牌属性!R442))*INDEX($G$5:$G$42,L442)+IF(Q442=1,INDEX(新属性投放!T$20:T$23,卡牌属性!M442-1),INDEX(新属性投放!T$25:T$28,卡牌属性!M442-1)))*SQRT(INDEX($I$5:$I$42,L442)),2)</f>
        <v>103964.35</v>
      </c>
      <c r="Y442" s="29" t="s">
        <v>177</v>
      </c>
      <c r="Z442" s="14">
        <f>ROUND(IF(Q442=1,INDEX(新属性投放!$D$14:$D$34,卡牌属性!R442),INDEX(新属性投放!$D$42:$D$62,卡牌属性!R442))*INDEX($G$5:$G$42,L442)/SQRT(INDEX($I$5:$I$42,L442)),2)</f>
        <v>478.03</v>
      </c>
      <c r="AA442" s="29" t="s">
        <v>178</v>
      </c>
      <c r="AB442" s="14">
        <f>ROUND(IF(Q442=1,INDEX(新属性投放!$E$14:$E$34,卡牌属性!R442),INDEX(新属性投放!$E$42:$E$62,卡牌属性!R442))*INDEX($G$5:$G$42,L442),2)</f>
        <v>239.02</v>
      </c>
      <c r="AC442" s="29" t="s">
        <v>179</v>
      </c>
      <c r="AD442" s="14">
        <f>ROUND(IF(Q442=1,INDEX(新属性投放!$F$14:$F$34,卡牌属性!R442),INDEX(新属性投放!$F$42:$F$62,卡牌属性!R442))*INDEX($G$5:$G$42,L442)*SQRT(INDEX($I$5:$I$42,L442)),2)</f>
        <v>2150.5</v>
      </c>
      <c r="AF442" s="14">
        <f t="shared" si="175"/>
        <v>4780</v>
      </c>
      <c r="AG442" s="14">
        <f t="shared" si="176"/>
        <v>2390</v>
      </c>
      <c r="AH442" s="14">
        <f t="shared" si="177"/>
        <v>21505</v>
      </c>
      <c r="AJ442" s="14">
        <f t="shared" si="187"/>
        <v>31747</v>
      </c>
      <c r="AK442" s="14">
        <f t="shared" si="188"/>
        <v>15870</v>
      </c>
      <c r="AL442" s="14">
        <f t="shared" si="189"/>
        <v>142790</v>
      </c>
    </row>
    <row r="443" spans="11:38" ht="16.5" x14ac:dyDescent="0.2">
      <c r="K443" s="13">
        <v>440</v>
      </c>
      <c r="L443" s="13">
        <f t="shared" si="169"/>
        <v>21</v>
      </c>
      <c r="M443" s="13">
        <f t="shared" si="170"/>
        <v>3</v>
      </c>
      <c r="N443" s="14">
        <f t="shared" si="171"/>
        <v>1102005</v>
      </c>
      <c r="O443" s="14" t="str">
        <f t="shared" si="172"/>
        <v>李轩辕20突</v>
      </c>
      <c r="P443" s="29" t="s">
        <v>470</v>
      </c>
      <c r="Q443" s="14">
        <f t="shared" si="173"/>
        <v>2</v>
      </c>
      <c r="R443" s="14">
        <f t="shared" si="174"/>
        <v>20</v>
      </c>
      <c r="S443" s="14" t="s">
        <v>39</v>
      </c>
      <c r="T443" s="14">
        <f>ROUND(((IF(Q443=1,INDEX(新属性投放!$J$14:$J$34,卡牌属性!R443),INDEX(新属性投放!$J$42:$J$62,卡牌属性!R443)))*INDEX($G$5:$G$42,L443)+IF(Q443=1,INDEX(新属性投放!R$20:R$23,卡牌属性!M443-1),INDEX(新属性投放!R$25:R$28,卡牌属性!M443-1)))/SQRT(INDEX($I$5:$I$42,L443)),2)</f>
        <v>22514.02</v>
      </c>
      <c r="U443" s="29" t="s">
        <v>178</v>
      </c>
      <c r="V443" s="14">
        <f>ROUND((IF(Q443=1,INDEX(新属性投放!$K$14:$K$34,卡牌属性!R443),INDEX(新属性投放!$K$42:$K$62,卡牌属性!R443))+IF(Q443=1,INDEX(新属性投放!S$20:S$23,卡牌属性!M443-1),INDEX(新属性投放!S$25:S$28,卡牌属性!M443-1)))*INDEX($G$5:$G$42,L443),2)</f>
        <v>11119.03</v>
      </c>
      <c r="W443" s="29" t="s">
        <v>179</v>
      </c>
      <c r="X443" s="14">
        <f>ROUND((IF(Q443=1,INDEX(新属性投放!$L$14:$L$34,卡牌属性!R443),INDEX(新属性投放!$L$42:$L$62,卡牌属性!R443))*INDEX($G$5:$G$42,L443)+IF(Q443=1,INDEX(新属性投放!T$20:T$23,卡牌属性!M443-1),INDEX(新属性投放!T$25:T$28,卡牌属性!M443-1)))*SQRT(INDEX($I$5:$I$42,L443)),2)</f>
        <v>120098.85</v>
      </c>
      <c r="Y443" s="29" t="s">
        <v>177</v>
      </c>
      <c r="Z443" s="14">
        <f>ROUND(IF(Q443=1,INDEX(新属性投放!$D$14:$D$34,卡牌属性!R443),INDEX(新属性投放!$D$42:$D$62,卡牌属性!R443))*INDEX($G$5:$G$42,L443)/SQRT(INDEX($I$5:$I$42,L443)),2)</f>
        <v>552.74</v>
      </c>
      <c r="AA443" s="29" t="s">
        <v>178</v>
      </c>
      <c r="AB443" s="14">
        <f>ROUND(IF(Q443=1,INDEX(新属性投放!$E$14:$E$34,卡牌属性!R443),INDEX(新属性投放!$E$42:$E$62,卡牌属性!R443))*INDEX($G$5:$G$42,L443),2)</f>
        <v>276.37</v>
      </c>
      <c r="AC443" s="29" t="s">
        <v>179</v>
      </c>
      <c r="AD443" s="14">
        <f>ROUND(IF(Q443=1,INDEX(新属性投放!$F$14:$F$34,卡牌属性!R443),INDEX(新属性投放!$F$42:$F$62,卡牌属性!R443))*INDEX($G$5:$G$42,L443)*SQRT(INDEX($I$5:$I$42,L443)),2)</f>
        <v>2486.3000000000002</v>
      </c>
      <c r="AF443" s="14">
        <f t="shared" si="175"/>
        <v>5527</v>
      </c>
      <c r="AG443" s="14">
        <f t="shared" si="176"/>
        <v>2763</v>
      </c>
      <c r="AH443" s="14">
        <f t="shared" si="177"/>
        <v>24863</v>
      </c>
      <c r="AJ443" s="14">
        <f t="shared" si="187"/>
        <v>37274</v>
      </c>
      <c r="AK443" s="14">
        <f t="shared" si="188"/>
        <v>18633</v>
      </c>
      <c r="AL443" s="14">
        <f t="shared" si="189"/>
        <v>167653</v>
      </c>
    </row>
    <row r="444" spans="11:38" ht="16.5" x14ac:dyDescent="0.2">
      <c r="K444" s="13">
        <v>441</v>
      </c>
      <c r="L444" s="13">
        <f t="shared" si="169"/>
        <v>21</v>
      </c>
      <c r="M444" s="13">
        <f t="shared" si="170"/>
        <v>3</v>
      </c>
      <c r="N444" s="14">
        <f t="shared" si="171"/>
        <v>1102005</v>
      </c>
      <c r="O444" s="14" t="str">
        <f t="shared" si="172"/>
        <v>李轩辕21突</v>
      </c>
      <c r="P444" s="29" t="s">
        <v>470</v>
      </c>
      <c r="Q444" s="14">
        <f t="shared" si="173"/>
        <v>2</v>
      </c>
      <c r="R444" s="14">
        <f t="shared" si="174"/>
        <v>21</v>
      </c>
      <c r="S444" s="14" t="s">
        <v>39</v>
      </c>
      <c r="T444" s="14">
        <f>ROUND(((IF(Q444=1,INDEX(新属性投放!$J$14:$J$34,卡牌属性!R444),INDEX(新属性投放!$J$42:$J$62,卡牌属性!R444)))*INDEX($G$5:$G$42,L444)+IF(Q444=1,INDEX(新属性投放!R$20:R$23,卡牌属性!M444-1),INDEX(新属性投放!R$25:R$28,卡牌属性!M444-1)))/SQRT(INDEX($I$5:$I$42,L444)),2)</f>
        <v>25968.85</v>
      </c>
      <c r="U444" s="29" t="s">
        <v>178</v>
      </c>
      <c r="V444" s="14">
        <f>ROUND((IF(Q444=1,INDEX(新属性投放!$K$14:$K$34,卡牌属性!R444),INDEX(新属性投放!$K$42:$K$62,卡牌属性!R444))+IF(Q444=1,INDEX(新属性投放!S$20:S$23,卡牌属性!M444-1),INDEX(新属性投放!S$25:S$28,卡牌属性!M444-1)))*INDEX($G$5:$G$42,L444),2)</f>
        <v>12845.87</v>
      </c>
      <c r="W444" s="29" t="s">
        <v>179</v>
      </c>
      <c r="X444" s="14">
        <f>ROUND((IF(Q444=1,INDEX(新属性投放!$L$14:$L$34,卡牌属性!R444),INDEX(新属性投放!$L$42:$L$62,卡牌属性!R444))*INDEX($G$5:$G$42,L444)+IF(Q444=1,INDEX(新属性投放!T$20:T$23,卡牌属性!M444-1),INDEX(新属性投放!T$25:T$28,卡牌属性!M444-1)))*SQRT(INDEX($I$5:$I$42,L444)),2)</f>
        <v>138750.70000000001</v>
      </c>
      <c r="Y444" s="29" t="s">
        <v>177</v>
      </c>
      <c r="Z444" s="14">
        <f>ROUND(IF(Q444=1,INDEX(新属性投放!$D$14:$D$34,卡牌属性!R444),INDEX(新属性投放!$D$42:$D$62,卡牌属性!R444))*INDEX($G$5:$G$42,L444)/SQRT(INDEX($I$5:$I$42,L444)),2)</f>
        <v>639.1</v>
      </c>
      <c r="AA444" s="29" t="s">
        <v>178</v>
      </c>
      <c r="AB444" s="14">
        <f>ROUND(IF(Q444=1,INDEX(新属性投放!$E$14:$E$34,卡牌属性!R444),INDEX(新属性投放!$E$42:$E$62,卡牌属性!R444))*INDEX($G$5:$G$42,L444),2)</f>
        <v>319.55</v>
      </c>
      <c r="AC444" s="29" t="s">
        <v>179</v>
      </c>
      <c r="AD444" s="14">
        <f>ROUND(IF(Q444=1,INDEX(新属性投放!$F$14:$F$34,卡牌属性!R444),INDEX(新属性投放!$F$42:$F$62,卡牌属性!R444))*INDEX($G$5:$G$42,L444)*SQRT(INDEX($I$5:$I$42,L444)),2)</f>
        <v>2875</v>
      </c>
      <c r="AF444" s="14">
        <f t="shared" si="175"/>
        <v>6391</v>
      </c>
      <c r="AG444" s="14">
        <f t="shared" si="176"/>
        <v>3195</v>
      </c>
      <c r="AH444" s="14">
        <f t="shared" si="177"/>
        <v>28750</v>
      </c>
      <c r="AJ444" s="14">
        <f t="shared" si="187"/>
        <v>43665</v>
      </c>
      <c r="AK444" s="14">
        <f t="shared" si="188"/>
        <v>21828</v>
      </c>
      <c r="AL444" s="14">
        <f t="shared" si="189"/>
        <v>196403</v>
      </c>
    </row>
    <row r="445" spans="11:38" ht="16.5" x14ac:dyDescent="0.2">
      <c r="K445" s="13">
        <v>442</v>
      </c>
      <c r="L445" s="13">
        <f t="shared" si="169"/>
        <v>22</v>
      </c>
      <c r="M445" s="13">
        <f t="shared" si="170"/>
        <v>5</v>
      </c>
      <c r="N445" s="14">
        <f t="shared" si="171"/>
        <v>1102006</v>
      </c>
      <c r="O445" s="14" t="str">
        <f t="shared" si="172"/>
        <v>项羽1突</v>
      </c>
      <c r="P445" s="29" t="s">
        <v>470</v>
      </c>
      <c r="Q445" s="14">
        <f t="shared" si="173"/>
        <v>2</v>
      </c>
      <c r="R445" s="14">
        <f t="shared" si="174"/>
        <v>1</v>
      </c>
      <c r="S445" s="14" t="s">
        <v>39</v>
      </c>
      <c r="T445" s="14">
        <f>ROUND(((IF(Q445=1,INDEX(新属性投放!$J$14:$J$34,卡牌属性!R445),INDEX(新属性投放!$J$42:$J$62,卡牌属性!R445)))*INDEX($G$5:$G$42,L445)+IF(Q445=1,INDEX(新属性投放!R$20:R$23,卡牌属性!M445-1),INDEX(新属性投放!R$25:R$28,卡牌属性!M445-1)))/SQRT(INDEX($I$5:$I$42,L445)),2)</f>
        <v>975</v>
      </c>
      <c r="U445" s="29" t="s">
        <v>178</v>
      </c>
      <c r="V445" s="14">
        <f>ROUND((IF(Q445=1,INDEX(新属性投放!$K$14:$K$34,卡牌属性!R445),INDEX(新属性投放!$K$42:$K$62,卡牌属性!R445))+IF(Q445=1,INDEX(新属性投放!S$20:S$23,卡牌属性!M445-1),INDEX(新属性投放!S$25:S$28,卡牌属性!M445-1)))*INDEX($G$5:$G$42,L445),2)</f>
        <v>150</v>
      </c>
      <c r="W445" s="29" t="s">
        <v>179</v>
      </c>
      <c r="X445" s="14">
        <f>ROUND((IF(Q445=1,INDEX(新属性投放!$L$14:$L$34,卡牌属性!R445),INDEX(新属性投放!$L$42:$L$62,卡牌属性!R445))*INDEX($G$5:$G$42,L445)+IF(Q445=1,INDEX(新属性投放!T$20:T$23,卡牌属性!M445-1),INDEX(新属性投放!T$25:T$28,卡牌属性!M445-1)))*SQRT(INDEX($I$5:$I$42,L445)),2)</f>
        <v>3625</v>
      </c>
      <c r="Y445" s="29" t="s">
        <v>177</v>
      </c>
      <c r="Z445" s="14">
        <f>ROUND(IF(Q445=1,INDEX(新属性投放!$D$14:$D$34,卡牌属性!R445),INDEX(新属性投放!$D$42:$D$62,卡牌属性!R445))*INDEX($G$5:$G$42,L445)/SQRT(INDEX($I$5:$I$42,L445)),2)</f>
        <v>22.5</v>
      </c>
      <c r="AA445" s="29" t="s">
        <v>178</v>
      </c>
      <c r="AB445" s="14">
        <f>ROUND(IF(Q445=1,INDEX(新属性投放!$E$14:$E$34,卡牌属性!R445),INDEX(新属性投放!$E$42:$E$62,卡牌属性!R445))*INDEX($G$5:$G$42,L445),2)</f>
        <v>11.25</v>
      </c>
      <c r="AC445" s="29" t="s">
        <v>179</v>
      </c>
      <c r="AD445" s="14">
        <f>ROUND(IF(Q445=1,INDEX(新属性投放!$F$14:$F$34,卡牌属性!R445),INDEX(新属性投放!$F$42:$F$62,卡牌属性!R445))*INDEX($G$5:$G$42,L445)*SQRT(INDEX($I$5:$I$42,L445)),2)</f>
        <v>100.5</v>
      </c>
      <c r="AF445" s="14">
        <f t="shared" si="175"/>
        <v>225</v>
      </c>
      <c r="AG445" s="14">
        <f t="shared" si="176"/>
        <v>112</v>
      </c>
      <c r="AH445" s="14">
        <f t="shared" si="177"/>
        <v>1005</v>
      </c>
      <c r="AJ445" s="14">
        <f t="shared" ref="AJ445" si="190">AF445</f>
        <v>225</v>
      </c>
      <c r="AK445" s="14">
        <f t="shared" ref="AK445" si="191">AG445</f>
        <v>112</v>
      </c>
      <c r="AL445" s="14">
        <f t="shared" ref="AL445" si="192">AH445</f>
        <v>1005</v>
      </c>
    </row>
    <row r="446" spans="11:38" ht="16.5" x14ac:dyDescent="0.2">
      <c r="K446" s="13">
        <v>443</v>
      </c>
      <c r="L446" s="13">
        <f t="shared" si="169"/>
        <v>22</v>
      </c>
      <c r="M446" s="13">
        <f t="shared" si="170"/>
        <v>5</v>
      </c>
      <c r="N446" s="14">
        <f t="shared" si="171"/>
        <v>1102006</v>
      </c>
      <c r="O446" s="14" t="str">
        <f t="shared" si="172"/>
        <v>项羽2突</v>
      </c>
      <c r="P446" s="29" t="s">
        <v>470</v>
      </c>
      <c r="Q446" s="14">
        <f t="shared" si="173"/>
        <v>2</v>
      </c>
      <c r="R446" s="14">
        <f t="shared" si="174"/>
        <v>2</v>
      </c>
      <c r="S446" s="14" t="s">
        <v>39</v>
      </c>
      <c r="T446" s="14">
        <f>ROUND(((IF(Q446=1,INDEX(新属性投放!$J$14:$J$34,卡牌属性!R446),INDEX(新属性投放!$J$42:$J$62,卡牌属性!R446)))*INDEX($G$5:$G$42,L446)+IF(Q446=1,INDEX(新属性投放!R$20:R$23,卡牌属性!M446-1),INDEX(新属性投放!R$25:R$28,卡牌属性!M446-1)))/SQRT(INDEX($I$5:$I$42,L446)),2)</f>
        <v>1215</v>
      </c>
      <c r="U446" s="29" t="s">
        <v>178</v>
      </c>
      <c r="V446" s="14">
        <f>ROUND((IF(Q446=1,INDEX(新属性投放!$K$14:$K$34,卡牌属性!R446),INDEX(新属性投放!$K$42:$K$62,卡牌属性!R446))+IF(Q446=1,INDEX(新属性投放!S$20:S$23,卡牌属性!M446-1),INDEX(新属性投放!S$25:S$28,卡牌属性!M446-1)))*INDEX($G$5:$G$42,L446),2)</f>
        <v>266.25</v>
      </c>
      <c r="W446" s="29" t="s">
        <v>179</v>
      </c>
      <c r="X446" s="14">
        <f>ROUND((IF(Q446=1,INDEX(新属性投放!$L$14:$L$34,卡牌属性!R446),INDEX(新属性投放!$L$42:$L$62,卡牌属性!R446))*INDEX($G$5:$G$42,L446)+IF(Q446=1,INDEX(新属性投放!T$20:T$23,卡牌属性!M446-1),INDEX(新属性投放!T$25:T$28,卡牌属性!M446-1)))*SQRT(INDEX($I$5:$I$42,L446)),2)</f>
        <v>4867</v>
      </c>
      <c r="Y446" s="29" t="s">
        <v>177</v>
      </c>
      <c r="Z446" s="14">
        <f>ROUND(IF(Q446=1,INDEX(新属性投放!$D$14:$D$34,卡牌属性!R446),INDEX(新属性投放!$D$42:$D$62,卡牌属性!R446))*INDEX($G$5:$G$42,L446)/SQRT(INDEX($I$5:$I$42,L446)),2)</f>
        <v>20.66</v>
      </c>
      <c r="AA446" s="29" t="s">
        <v>178</v>
      </c>
      <c r="AB446" s="14">
        <f>ROUND(IF(Q446=1,INDEX(新属性投放!$E$14:$E$34,卡牌属性!R446),INDEX(新属性投放!$E$42:$E$62,卡牌属性!R446))*INDEX($G$5:$G$42,L446),2)</f>
        <v>10.33</v>
      </c>
      <c r="AC446" s="29" t="s">
        <v>179</v>
      </c>
      <c r="AD446" s="14">
        <f>ROUND(IF(Q446=1,INDEX(新属性投放!$F$14:$F$34,卡牌属性!R446),INDEX(新属性投放!$F$42:$F$62,卡牌属性!R446))*INDEX($G$5:$G$42,L446)*SQRT(INDEX($I$5:$I$42,L446)),2)</f>
        <v>91.5</v>
      </c>
      <c r="AF446" s="14">
        <f t="shared" si="175"/>
        <v>206</v>
      </c>
      <c r="AG446" s="14">
        <f t="shared" si="176"/>
        <v>103</v>
      </c>
      <c r="AH446" s="14">
        <f t="shared" si="177"/>
        <v>915</v>
      </c>
      <c r="AJ446" s="14">
        <f t="shared" ref="AJ446:AJ465" si="193">AJ445+AF446</f>
        <v>431</v>
      </c>
      <c r="AK446" s="14">
        <f t="shared" ref="AK446:AK465" si="194">AK445+AG446</f>
        <v>215</v>
      </c>
      <c r="AL446" s="14">
        <f t="shared" ref="AL446:AL465" si="195">AL445+AH446</f>
        <v>1920</v>
      </c>
    </row>
    <row r="447" spans="11:38" ht="16.5" x14ac:dyDescent="0.2">
      <c r="K447" s="13">
        <v>444</v>
      </c>
      <c r="L447" s="13">
        <f t="shared" si="169"/>
        <v>22</v>
      </c>
      <c r="M447" s="13">
        <f t="shared" si="170"/>
        <v>5</v>
      </c>
      <c r="N447" s="14">
        <f t="shared" si="171"/>
        <v>1102006</v>
      </c>
      <c r="O447" s="14" t="str">
        <f t="shared" si="172"/>
        <v>项羽3突</v>
      </c>
      <c r="P447" s="29" t="s">
        <v>470</v>
      </c>
      <c r="Q447" s="14">
        <f t="shared" si="173"/>
        <v>2</v>
      </c>
      <c r="R447" s="14">
        <f t="shared" si="174"/>
        <v>3</v>
      </c>
      <c r="S447" s="14" t="s">
        <v>39</v>
      </c>
      <c r="T447" s="14">
        <f>ROUND(((IF(Q447=1,INDEX(新属性投放!$J$14:$J$34,卡牌属性!R447),INDEX(新属性投放!$J$42:$J$62,卡牌属性!R447)))*INDEX($G$5:$G$42,L447)+IF(Q447=1,INDEX(新属性投放!R$20:R$23,卡牌属性!M447-1),INDEX(新属性投放!R$25:R$28,卡牌属性!M447-1)))/SQRT(INDEX($I$5:$I$42,L447)),2)</f>
        <v>1472.55</v>
      </c>
      <c r="U447" s="29" t="s">
        <v>178</v>
      </c>
      <c r="V447" s="14">
        <f>ROUND((IF(Q447=1,INDEX(新属性投放!$K$14:$K$34,卡牌属性!R447),INDEX(新属性投放!$K$42:$K$62,卡牌属性!R447))+IF(Q447=1,INDEX(新属性投放!S$20:S$23,卡牌属性!M447-1),INDEX(新属性投放!S$25:S$28,卡牌属性!M447-1)))*INDEX($G$5:$G$42,L447),2)</f>
        <v>395.03</v>
      </c>
      <c r="W447" s="29" t="s">
        <v>179</v>
      </c>
      <c r="X447" s="14">
        <f>ROUND((IF(Q447=1,INDEX(新属性投放!$L$14:$L$34,卡牌属性!R447),INDEX(新属性投放!$L$42:$L$62,卡牌属性!R447))*INDEX($G$5:$G$42,L447)+IF(Q447=1,INDEX(新属性投放!T$20:T$23,卡牌属性!M447-1),INDEX(新属性投放!T$25:T$28,卡牌属性!M447-1)))*SQRT(INDEX($I$5:$I$42,L447)),2)</f>
        <v>6241</v>
      </c>
      <c r="Y447" s="29" t="s">
        <v>177</v>
      </c>
      <c r="Z447" s="14">
        <f>ROUND(IF(Q447=1,INDEX(新属性投放!$D$14:$D$34,卡牌属性!R447),INDEX(新属性投放!$D$42:$D$62,卡牌属性!R447))*INDEX($G$5:$G$42,L447)/SQRT(INDEX($I$5:$I$42,L447)),2)</f>
        <v>37.76</v>
      </c>
      <c r="AA447" s="29" t="s">
        <v>178</v>
      </c>
      <c r="AB447" s="14">
        <f>ROUND(IF(Q447=1,INDEX(新属性投放!$E$14:$E$34,卡牌属性!R447),INDEX(新属性投放!$E$42:$E$62,卡牌属性!R447))*INDEX($G$5:$G$42,L447),2)</f>
        <v>18.88</v>
      </c>
      <c r="AC447" s="29" t="s">
        <v>179</v>
      </c>
      <c r="AD447" s="14">
        <f>ROUND(IF(Q447=1,INDEX(新属性投放!$F$14:$F$34,卡牌属性!R447),INDEX(新属性投放!$F$42:$F$62,卡牌属性!R447))*INDEX($G$5:$G$42,L447)*SQRT(INDEX($I$5:$I$42,L447)),2)</f>
        <v>169.5</v>
      </c>
      <c r="AF447" s="14">
        <f t="shared" si="175"/>
        <v>377</v>
      </c>
      <c r="AG447" s="14">
        <f t="shared" si="176"/>
        <v>188</v>
      </c>
      <c r="AH447" s="14">
        <f t="shared" si="177"/>
        <v>1695</v>
      </c>
      <c r="AJ447" s="14">
        <f t="shared" si="193"/>
        <v>808</v>
      </c>
      <c r="AK447" s="14">
        <f t="shared" si="194"/>
        <v>403</v>
      </c>
      <c r="AL447" s="14">
        <f t="shared" si="195"/>
        <v>3615</v>
      </c>
    </row>
    <row r="448" spans="11:38" ht="16.5" x14ac:dyDescent="0.2">
      <c r="K448" s="13">
        <v>445</v>
      </c>
      <c r="L448" s="13">
        <f t="shared" si="169"/>
        <v>22</v>
      </c>
      <c r="M448" s="13">
        <f t="shared" si="170"/>
        <v>5</v>
      </c>
      <c r="N448" s="14">
        <f t="shared" si="171"/>
        <v>1102006</v>
      </c>
      <c r="O448" s="14" t="str">
        <f t="shared" si="172"/>
        <v>项羽4突</v>
      </c>
      <c r="P448" s="29" t="s">
        <v>470</v>
      </c>
      <c r="Q448" s="14">
        <f t="shared" si="173"/>
        <v>2</v>
      </c>
      <c r="R448" s="14">
        <f t="shared" si="174"/>
        <v>4</v>
      </c>
      <c r="S448" s="14" t="s">
        <v>39</v>
      </c>
      <c r="T448" s="14">
        <f>ROUND(((IF(Q448=1,INDEX(新属性投放!$J$14:$J$34,卡牌属性!R448),INDEX(新属性投放!$J$42:$J$62,卡牌属性!R448)))*INDEX($G$5:$G$42,L448)+IF(Q448=1,INDEX(新属性投放!R$20:R$23,卡牌属性!M448-1),INDEX(新属性投放!R$25:R$28,卡牌属性!M448-1)))/SQRT(INDEX($I$5:$I$42,L448)),2)</f>
        <v>1944.6</v>
      </c>
      <c r="U448" s="29" t="s">
        <v>178</v>
      </c>
      <c r="V448" s="14">
        <f>ROUND((IF(Q448=1,INDEX(新属性投放!$K$14:$K$34,卡牌属性!R448),INDEX(新属性投放!$K$42:$K$62,卡牌属性!R448))+IF(Q448=1,INDEX(新属性投放!S$20:S$23,卡牌属性!M448-1),INDEX(新属性投放!S$25:S$28,卡牌属性!M448-1)))*INDEX($G$5:$G$42,L448),2)</f>
        <v>630.29999999999995</v>
      </c>
      <c r="W448" s="29" t="s">
        <v>179</v>
      </c>
      <c r="X448" s="14">
        <f>ROUND((IF(Q448=1,INDEX(新属性投放!$L$14:$L$34,卡牌属性!R448),INDEX(新属性投放!$L$42:$L$62,卡牌属性!R448))*INDEX($G$5:$G$42,L448)+IF(Q448=1,INDEX(新属性投放!T$20:T$23,卡牌属性!M448-1),INDEX(新属性投放!T$25:T$28,卡牌属性!M448-1)))*SQRT(INDEX($I$5:$I$42,L448)),2)</f>
        <v>8786.5</v>
      </c>
      <c r="Y448" s="29" t="s">
        <v>177</v>
      </c>
      <c r="Z448" s="14">
        <f>ROUND(IF(Q448=1,INDEX(新属性投放!$D$14:$D$34,卡牌属性!R448),INDEX(新属性投放!$D$42:$D$62,卡牌属性!R448))*INDEX($G$5:$G$42,L448)/SQRT(INDEX($I$5:$I$42,L448)),2)</f>
        <v>45.2</v>
      </c>
      <c r="AA448" s="29" t="s">
        <v>178</v>
      </c>
      <c r="AB448" s="14">
        <f>ROUND(IF(Q448=1,INDEX(新属性投放!$E$14:$E$34,卡牌属性!R448),INDEX(新属性投放!$E$42:$E$62,卡牌属性!R448))*INDEX($G$5:$G$42,L448),2)</f>
        <v>22.6</v>
      </c>
      <c r="AC448" s="29" t="s">
        <v>179</v>
      </c>
      <c r="AD448" s="14">
        <f>ROUND(IF(Q448=1,INDEX(新属性投放!$F$14:$F$34,卡牌属性!R448),INDEX(新属性投放!$F$42:$F$62,卡牌属性!R448))*INDEX($G$5:$G$42,L448)*SQRT(INDEX($I$5:$I$42,L448)),2)</f>
        <v>202.5</v>
      </c>
      <c r="AF448" s="14">
        <f t="shared" si="175"/>
        <v>452</v>
      </c>
      <c r="AG448" s="14">
        <f t="shared" si="176"/>
        <v>226</v>
      </c>
      <c r="AH448" s="14">
        <f t="shared" si="177"/>
        <v>2025</v>
      </c>
      <c r="AJ448" s="14">
        <f t="shared" si="193"/>
        <v>1260</v>
      </c>
      <c r="AK448" s="14">
        <f t="shared" si="194"/>
        <v>629</v>
      </c>
      <c r="AL448" s="14">
        <f t="shared" si="195"/>
        <v>5640</v>
      </c>
    </row>
    <row r="449" spans="11:38" ht="16.5" x14ac:dyDescent="0.2">
      <c r="K449" s="13">
        <v>446</v>
      </c>
      <c r="L449" s="13">
        <f t="shared" si="169"/>
        <v>22</v>
      </c>
      <c r="M449" s="13">
        <f t="shared" si="170"/>
        <v>5</v>
      </c>
      <c r="N449" s="14">
        <f t="shared" si="171"/>
        <v>1102006</v>
      </c>
      <c r="O449" s="14" t="str">
        <f t="shared" si="172"/>
        <v>项羽5突</v>
      </c>
      <c r="P449" s="29" t="s">
        <v>470</v>
      </c>
      <c r="Q449" s="14">
        <f t="shared" si="173"/>
        <v>2</v>
      </c>
      <c r="R449" s="14">
        <f t="shared" si="174"/>
        <v>5</v>
      </c>
      <c r="S449" s="14" t="s">
        <v>39</v>
      </c>
      <c r="T449" s="14">
        <f>ROUND(((IF(Q449=1,INDEX(新属性投放!$J$14:$J$34,卡牌属性!R449),INDEX(新属性投放!$J$42:$J$62,卡牌属性!R449)))*INDEX($G$5:$G$42,L449)+IF(Q449=1,INDEX(新属性投放!R$20:R$23,卡牌属性!M449-1),INDEX(新属性投放!R$25:R$28,卡牌属性!M449-1)))/SQRT(INDEX($I$5:$I$42,L449)),2)</f>
        <v>2509.0500000000002</v>
      </c>
      <c r="U449" s="29" t="s">
        <v>178</v>
      </c>
      <c r="V449" s="14">
        <f>ROUND((IF(Q449=1,INDEX(新属性投放!$K$14:$K$34,卡牌属性!R449),INDEX(新属性投放!$K$42:$K$62,卡牌属性!R449))+IF(Q449=1,INDEX(新属性投放!S$20:S$23,卡牌属性!M449-1),INDEX(新属性投放!S$25:S$28,卡牌属性!M449-1)))*INDEX($G$5:$G$42,L449),2)</f>
        <v>913.28</v>
      </c>
      <c r="W449" s="29" t="s">
        <v>179</v>
      </c>
      <c r="X449" s="14">
        <f>ROUND((IF(Q449=1,INDEX(新属性投放!$L$14:$L$34,卡牌属性!R449),INDEX(新属性投放!$L$42:$L$62,卡牌属性!R449))*INDEX($G$5:$G$42,L449)+IF(Q449=1,INDEX(新属性投放!T$20:T$23,卡牌属性!M449-1),INDEX(新属性投放!T$25:T$28,卡牌属性!M449-1)))*SQRT(INDEX($I$5:$I$42,L449)),2)</f>
        <v>11824</v>
      </c>
      <c r="Y449" s="29" t="s">
        <v>177</v>
      </c>
      <c r="Z449" s="14">
        <f>ROUND(IF(Q449=1,INDEX(新属性投放!$D$14:$D$34,卡牌属性!R449),INDEX(新属性投放!$D$42:$D$62,卡牌属性!R449))*INDEX($G$5:$G$42,L449)/SQRT(INDEX($I$5:$I$42,L449)),2)</f>
        <v>56.49</v>
      </c>
      <c r="AA449" s="29" t="s">
        <v>178</v>
      </c>
      <c r="AB449" s="14">
        <f>ROUND(IF(Q449=1,INDEX(新属性投放!$E$14:$E$34,卡牌属性!R449),INDEX(新属性投放!$E$42:$E$62,卡牌属性!R449))*INDEX($G$5:$G$42,L449),2)</f>
        <v>28.25</v>
      </c>
      <c r="AC449" s="29" t="s">
        <v>179</v>
      </c>
      <c r="AD449" s="14">
        <f>ROUND(IF(Q449=1,INDEX(新属性投放!$F$14:$F$34,卡牌属性!R449),INDEX(新属性投放!$F$42:$F$62,卡牌属性!R449))*INDEX($G$5:$G$42,L449)*SQRT(INDEX($I$5:$I$42,L449)),2)</f>
        <v>253.5</v>
      </c>
      <c r="AF449" s="14">
        <f t="shared" si="175"/>
        <v>564</v>
      </c>
      <c r="AG449" s="14">
        <f t="shared" si="176"/>
        <v>282</v>
      </c>
      <c r="AH449" s="14">
        <f t="shared" si="177"/>
        <v>2535</v>
      </c>
      <c r="AJ449" s="14">
        <f t="shared" si="193"/>
        <v>1824</v>
      </c>
      <c r="AK449" s="14">
        <f t="shared" si="194"/>
        <v>911</v>
      </c>
      <c r="AL449" s="14">
        <f t="shared" si="195"/>
        <v>8175</v>
      </c>
    </row>
    <row r="450" spans="11:38" ht="16.5" x14ac:dyDescent="0.2">
      <c r="K450" s="13">
        <v>447</v>
      </c>
      <c r="L450" s="13">
        <f t="shared" si="169"/>
        <v>22</v>
      </c>
      <c r="M450" s="13">
        <f t="shared" si="170"/>
        <v>5</v>
      </c>
      <c r="N450" s="14">
        <f t="shared" si="171"/>
        <v>1102006</v>
      </c>
      <c r="O450" s="14" t="str">
        <f t="shared" si="172"/>
        <v>项羽6突</v>
      </c>
      <c r="P450" s="29" t="s">
        <v>470</v>
      </c>
      <c r="Q450" s="14">
        <f t="shared" si="173"/>
        <v>2</v>
      </c>
      <c r="R450" s="14">
        <f t="shared" si="174"/>
        <v>6</v>
      </c>
      <c r="S450" s="14" t="s">
        <v>39</v>
      </c>
      <c r="T450" s="14">
        <f>ROUND(((IF(Q450=1,INDEX(新属性投放!$J$14:$J$34,卡牌属性!R450),INDEX(新属性投放!$J$42:$J$62,卡牌属性!R450)))*INDEX($G$5:$G$42,L450)+IF(Q450=1,INDEX(新属性投放!R$20:R$23,卡牌属性!M450-1),INDEX(新属性投放!R$25:R$28,卡牌属性!M450-1)))/SQRT(INDEX($I$5:$I$42,L450)),2)</f>
        <v>3214.95</v>
      </c>
      <c r="U450" s="29" t="s">
        <v>178</v>
      </c>
      <c r="V450" s="14">
        <f>ROUND((IF(Q450=1,INDEX(新属性投放!$K$14:$K$34,卡牌属性!R450),INDEX(新属性投放!$K$42:$K$62,卡牌属性!R450))+IF(Q450=1,INDEX(新属性投放!S$20:S$23,卡牌属性!M450-1),INDEX(新属性投放!S$25:S$28,卡牌属性!M450-1)))*INDEX($G$5:$G$42,L450),2)</f>
        <v>1266.23</v>
      </c>
      <c r="W450" s="29" t="s">
        <v>179</v>
      </c>
      <c r="X450" s="14">
        <f>ROUND((IF(Q450=1,INDEX(新属性投放!$L$14:$L$34,卡牌属性!R450),INDEX(新属性投放!$L$42:$L$62,卡牌属性!R450))*INDEX($G$5:$G$42,L450)+IF(Q450=1,INDEX(新属性投放!T$20:T$23,卡牌属性!M450-1),INDEX(新属性投放!T$25:T$28,卡牌属性!M450-1)))*SQRT(INDEX($I$5:$I$42,L450)),2)</f>
        <v>15628</v>
      </c>
      <c r="Y450" s="29" t="s">
        <v>177</v>
      </c>
      <c r="Z450" s="14">
        <f>ROUND(IF(Q450=1,INDEX(新属性投放!$D$14:$D$34,卡牌属性!R450),INDEX(新属性投放!$D$42:$D$62,卡牌属性!R450))*INDEX($G$5:$G$42,L450)/SQRT(INDEX($I$5:$I$42,L450)),2)</f>
        <v>73.28</v>
      </c>
      <c r="AA450" s="29" t="s">
        <v>178</v>
      </c>
      <c r="AB450" s="14">
        <f>ROUND(IF(Q450=1,INDEX(新属性投放!$E$14:$E$34,卡牌属性!R450),INDEX(新属性投放!$E$42:$E$62,卡牌属性!R450))*INDEX($G$5:$G$42,L450),2)</f>
        <v>36.64</v>
      </c>
      <c r="AC450" s="29" t="s">
        <v>179</v>
      </c>
      <c r="AD450" s="14">
        <f>ROUND(IF(Q450=1,INDEX(新属性投放!$F$14:$F$34,卡牌属性!R450),INDEX(新属性投放!$F$42:$F$62,卡牌属性!R450))*INDEX($G$5:$G$42,L450)*SQRT(INDEX($I$5:$I$42,L450)),2)</f>
        <v>328.5</v>
      </c>
      <c r="AF450" s="14">
        <f t="shared" si="175"/>
        <v>732</v>
      </c>
      <c r="AG450" s="14">
        <f t="shared" si="176"/>
        <v>366</v>
      </c>
      <c r="AH450" s="14">
        <f t="shared" si="177"/>
        <v>3285</v>
      </c>
      <c r="AJ450" s="14">
        <f t="shared" si="193"/>
        <v>2556</v>
      </c>
      <c r="AK450" s="14">
        <f t="shared" si="194"/>
        <v>1277</v>
      </c>
      <c r="AL450" s="14">
        <f t="shared" si="195"/>
        <v>11460</v>
      </c>
    </row>
    <row r="451" spans="11:38" ht="16.5" x14ac:dyDescent="0.2">
      <c r="K451" s="13">
        <v>448</v>
      </c>
      <c r="L451" s="13">
        <f t="shared" si="169"/>
        <v>22</v>
      </c>
      <c r="M451" s="13">
        <f t="shared" si="170"/>
        <v>5</v>
      </c>
      <c r="N451" s="14">
        <f t="shared" si="171"/>
        <v>1102006</v>
      </c>
      <c r="O451" s="14" t="str">
        <f t="shared" si="172"/>
        <v>项羽7突</v>
      </c>
      <c r="P451" s="29" t="s">
        <v>470</v>
      </c>
      <c r="Q451" s="14">
        <f t="shared" si="173"/>
        <v>2</v>
      </c>
      <c r="R451" s="14">
        <f t="shared" si="174"/>
        <v>7</v>
      </c>
      <c r="S451" s="14" t="s">
        <v>39</v>
      </c>
      <c r="T451" s="14">
        <f>ROUND(((IF(Q451=1,INDEX(新属性投放!$J$14:$J$34,卡牌属性!R451),INDEX(新属性投放!$J$42:$J$62,卡牌属性!R451)))*INDEX($G$5:$G$42,L451)+IF(Q451=1,INDEX(新属性投放!R$20:R$23,卡牌属性!M451-1),INDEX(新属性投放!R$25:R$28,卡牌属性!M451-1)))/SQRT(INDEX($I$5:$I$42,L451)),2)</f>
        <v>4130.7</v>
      </c>
      <c r="U451" s="29" t="s">
        <v>178</v>
      </c>
      <c r="V451" s="14">
        <f>ROUND((IF(Q451=1,INDEX(新属性投放!$K$14:$K$34,卡牌属性!R451),INDEX(新属性投放!$K$42:$K$62,卡牌属性!R451))+IF(Q451=1,INDEX(新属性投放!S$20:S$23,卡牌属性!M451-1),INDEX(新属性投放!S$25:S$28,卡牌属性!M451-1)))*INDEX($G$5:$G$42,L451),2)</f>
        <v>1724.1</v>
      </c>
      <c r="W451" s="29" t="s">
        <v>179</v>
      </c>
      <c r="X451" s="14">
        <f>ROUND((IF(Q451=1,INDEX(新属性投放!$L$14:$L$34,卡牌属性!R451),INDEX(新属性投放!$L$42:$L$62,卡牌属性!R451))*INDEX($G$5:$G$42,L451)+IF(Q451=1,INDEX(新属性投放!T$20:T$23,卡牌属性!M451-1),INDEX(新属性投放!T$25:T$28,卡牌属性!M451-1)))*SQRT(INDEX($I$5:$I$42,L451)),2)</f>
        <v>20560</v>
      </c>
      <c r="Y451" s="29" t="s">
        <v>177</v>
      </c>
      <c r="Z451" s="14">
        <f>ROUND(IF(Q451=1,INDEX(新属性投放!$D$14:$D$34,卡牌属性!R451),INDEX(新属性投放!$D$42:$D$62,卡牌属性!R451))*INDEX($G$5:$G$42,L451)/SQRT(INDEX($I$5:$I$42,L451)),2)</f>
        <v>90.29</v>
      </c>
      <c r="AA451" s="29" t="s">
        <v>178</v>
      </c>
      <c r="AB451" s="14">
        <f>ROUND(IF(Q451=1,INDEX(新属性投放!$E$14:$E$34,卡牌属性!R451),INDEX(新属性投放!$E$42:$E$62,卡牌属性!R451))*INDEX($G$5:$G$42,L451),2)</f>
        <v>45.14</v>
      </c>
      <c r="AC451" s="29" t="s">
        <v>179</v>
      </c>
      <c r="AD451" s="14">
        <f>ROUND(IF(Q451=1,INDEX(新属性投放!$F$14:$F$34,卡牌属性!R451),INDEX(新属性投放!$F$42:$F$62,卡牌属性!R451))*INDEX($G$5:$G$42,L451)*SQRT(INDEX($I$5:$I$42,L451)),2)</f>
        <v>405</v>
      </c>
      <c r="AF451" s="14">
        <f t="shared" si="175"/>
        <v>902</v>
      </c>
      <c r="AG451" s="14">
        <f t="shared" si="176"/>
        <v>451</v>
      </c>
      <c r="AH451" s="14">
        <f t="shared" si="177"/>
        <v>4050</v>
      </c>
      <c r="AJ451" s="14">
        <f t="shared" si="193"/>
        <v>3458</v>
      </c>
      <c r="AK451" s="14">
        <f t="shared" si="194"/>
        <v>1728</v>
      </c>
      <c r="AL451" s="14">
        <f t="shared" si="195"/>
        <v>15510</v>
      </c>
    </row>
    <row r="452" spans="11:38" ht="16.5" x14ac:dyDescent="0.2">
      <c r="K452" s="13">
        <v>449</v>
      </c>
      <c r="L452" s="13">
        <f t="shared" si="169"/>
        <v>22</v>
      </c>
      <c r="M452" s="13">
        <f t="shared" si="170"/>
        <v>5</v>
      </c>
      <c r="N452" s="14">
        <f t="shared" si="171"/>
        <v>1102006</v>
      </c>
      <c r="O452" s="14" t="str">
        <f t="shared" si="172"/>
        <v>项羽8突</v>
      </c>
      <c r="P452" s="29" t="s">
        <v>470</v>
      </c>
      <c r="Q452" s="14">
        <f t="shared" si="173"/>
        <v>2</v>
      </c>
      <c r="R452" s="14">
        <f t="shared" si="174"/>
        <v>8</v>
      </c>
      <c r="S452" s="14" t="s">
        <v>39</v>
      </c>
      <c r="T452" s="14">
        <f>ROUND(((IF(Q452=1,INDEX(新属性投放!$J$14:$J$34,卡牌属性!R452),INDEX(新属性投放!$J$42:$J$62,卡牌属性!R452)))*INDEX($G$5:$G$42,L452)+IF(Q452=1,INDEX(新属性投放!R$20:R$23,卡牌属性!M452-1),INDEX(新属性投放!R$25:R$28,卡牌属性!M452-1)))/SQRT(INDEX($I$5:$I$42,L452)),2)</f>
        <v>5258.55</v>
      </c>
      <c r="U452" s="29" t="s">
        <v>178</v>
      </c>
      <c r="V452" s="14">
        <f>ROUND((IF(Q452=1,INDEX(新属性投放!$K$14:$K$34,卡牌属性!R452),INDEX(新属性投放!$K$42:$K$62,卡牌属性!R452))+IF(Q452=1,INDEX(新属性投放!S$20:S$23,卡牌属性!M452-1),INDEX(新属性投放!S$25:S$28,卡牌属性!M452-1)))*INDEX($G$5:$G$42,L452),2)</f>
        <v>2288.0300000000002</v>
      </c>
      <c r="W452" s="29" t="s">
        <v>179</v>
      </c>
      <c r="X452" s="14">
        <f>ROUND((IF(Q452=1,INDEX(新属性投放!$L$14:$L$34,卡牌属性!R452),INDEX(新属性投放!$L$42:$L$62,卡牌属性!R452))*INDEX($G$5:$G$42,L452)+IF(Q452=1,INDEX(新属性投放!T$20:T$23,卡牌属性!M452-1),INDEX(新属性投放!T$25:T$28,卡牌属性!M452-1)))*SQRT(INDEX($I$5:$I$42,L452)),2)</f>
        <v>26635</v>
      </c>
      <c r="Y452" s="29" t="s">
        <v>177</v>
      </c>
      <c r="Z452" s="14">
        <f>ROUND(IF(Q452=1,INDEX(新属性投放!$D$14:$D$34,卡牌属性!R452),INDEX(新属性投放!$D$42:$D$62,卡牌属性!R452))*INDEX($G$5:$G$42,L452)/SQRT(INDEX($I$5:$I$42,L452)),2)</f>
        <v>112.79</v>
      </c>
      <c r="AA452" s="29" t="s">
        <v>178</v>
      </c>
      <c r="AB452" s="14">
        <f>ROUND(IF(Q452=1,INDEX(新属性投放!$E$14:$E$34,卡牌属性!R452),INDEX(新属性投放!$E$42:$E$62,卡牌属性!R452))*INDEX($G$5:$G$42,L452),2)</f>
        <v>56.39</v>
      </c>
      <c r="AC452" s="29" t="s">
        <v>179</v>
      </c>
      <c r="AD452" s="14">
        <f>ROUND(IF(Q452=1,INDEX(新属性投放!$F$14:$F$34,卡牌属性!R452),INDEX(新属性投放!$F$42:$F$62,卡牌属性!R452))*INDEX($G$5:$G$42,L452)*SQRT(INDEX($I$5:$I$42,L452)),2)</f>
        <v>507</v>
      </c>
      <c r="AF452" s="14">
        <f t="shared" si="175"/>
        <v>1127</v>
      </c>
      <c r="AG452" s="14">
        <f t="shared" si="176"/>
        <v>563</v>
      </c>
      <c r="AH452" s="14">
        <f t="shared" si="177"/>
        <v>5070</v>
      </c>
      <c r="AJ452" s="14">
        <f t="shared" si="193"/>
        <v>4585</v>
      </c>
      <c r="AK452" s="14">
        <f t="shared" si="194"/>
        <v>2291</v>
      </c>
      <c r="AL452" s="14">
        <f t="shared" si="195"/>
        <v>20580</v>
      </c>
    </row>
    <row r="453" spans="11:38" ht="16.5" x14ac:dyDescent="0.2">
      <c r="K453" s="13">
        <v>450</v>
      </c>
      <c r="L453" s="13">
        <f t="shared" ref="L453:L516" si="196">MATCH(K453-1,$F$4:$F$41,1)</f>
        <v>22</v>
      </c>
      <c r="M453" s="13">
        <f t="shared" ref="M453:M516" si="197">INDEX($D$5:$D$42,L453)</f>
        <v>5</v>
      </c>
      <c r="N453" s="14">
        <f t="shared" ref="N453:N516" si="198">INDEX($A$4:$A$42,L453+1)</f>
        <v>1102006</v>
      </c>
      <c r="O453" s="14" t="str">
        <f t="shared" ref="O453:O516" si="199">INDEX($B$4:$B$42,MATCH(N453,$A$4:$A$42,0))&amp;R453&amp;"突"</f>
        <v>项羽9突</v>
      </c>
      <c r="P453" s="29" t="s">
        <v>470</v>
      </c>
      <c r="Q453" s="14">
        <f t="shared" ref="Q453:Q516" si="200">INDEX($C$4:$C$42,L453+1)</f>
        <v>2</v>
      </c>
      <c r="R453" s="14">
        <f t="shared" ref="R453:R516" si="201">K453-INDEX($F$4:$F$42,L453)</f>
        <v>9</v>
      </c>
      <c r="S453" s="14" t="s">
        <v>39</v>
      </c>
      <c r="T453" s="14">
        <f>ROUND(((IF(Q453=1,INDEX(新属性投放!$J$14:$J$34,卡牌属性!R453),INDEX(新属性投放!$J$42:$J$62,卡牌属性!R453)))*INDEX($G$5:$G$42,L453)+IF(Q453=1,INDEX(新属性投放!R$20:R$23,卡牌属性!M453-1),INDEX(新属性投放!R$25:R$28,卡牌属性!M453-1)))/SQRT(INDEX($I$5:$I$42,L453)),2)</f>
        <v>6668.4</v>
      </c>
      <c r="U453" s="29" t="s">
        <v>178</v>
      </c>
      <c r="V453" s="14">
        <f>ROUND((IF(Q453=1,INDEX(新属性投放!$K$14:$K$34,卡牌属性!R453),INDEX(新属性投放!$K$42:$K$62,卡牌属性!R453))+IF(Q453=1,INDEX(新属性投放!S$20:S$23,卡牌属性!M453-1),INDEX(新属性投放!S$25:S$28,卡牌属性!M453-1)))*INDEX($G$5:$G$42,L453),2)</f>
        <v>2992.95</v>
      </c>
      <c r="W453" s="29" t="s">
        <v>179</v>
      </c>
      <c r="X453" s="14">
        <f>ROUND((IF(Q453=1,INDEX(新属性投放!$L$14:$L$34,卡牌属性!R453),INDEX(新属性投放!$L$42:$L$62,卡牌属性!R453))*INDEX($G$5:$G$42,L453)+IF(Q453=1,INDEX(新属性投放!T$20:T$23,卡牌属性!M453-1),INDEX(新属性投放!T$25:T$28,卡牌属性!M453-1)))*SQRT(INDEX($I$5:$I$42,L453)),2)</f>
        <v>34243</v>
      </c>
      <c r="Y453" s="29" t="s">
        <v>177</v>
      </c>
      <c r="Z453" s="14">
        <f>ROUND(IF(Q453=1,INDEX(新属性投放!$D$14:$D$34,卡牌属性!R453),INDEX(新属性投放!$D$42:$D$62,卡牌属性!R453))*INDEX($G$5:$G$42,L453)/SQRT(INDEX($I$5:$I$42,L453)),2)</f>
        <v>146.69</v>
      </c>
      <c r="AA453" s="29" t="s">
        <v>178</v>
      </c>
      <c r="AB453" s="14">
        <f>ROUND(IF(Q453=1,INDEX(新属性投放!$E$14:$E$34,卡牌属性!R453),INDEX(新属性投放!$E$42:$E$62,卡牌属性!R453))*INDEX($G$5:$G$42,L453),2)</f>
        <v>73.34</v>
      </c>
      <c r="AC453" s="29" t="s">
        <v>179</v>
      </c>
      <c r="AD453" s="14">
        <f>ROUND(IF(Q453=1,INDEX(新属性投放!$F$14:$F$34,卡牌属性!R453),INDEX(新属性投放!$F$42:$F$62,卡牌属性!R453))*INDEX($G$5:$G$42,L453)*SQRT(INDEX($I$5:$I$42,L453)),2)</f>
        <v>660</v>
      </c>
      <c r="AF453" s="14">
        <f t="shared" ref="AF453:AF516" si="202">INT(Z453*AF$2*10)</f>
        <v>1466</v>
      </c>
      <c r="AG453" s="14">
        <f t="shared" ref="AG453:AG516" si="203">INT(AB453*AF$2*10)</f>
        <v>733</v>
      </c>
      <c r="AH453" s="14">
        <f t="shared" ref="AH453:AH516" si="204">INT(AD453*AF$2*10)</f>
        <v>6600</v>
      </c>
      <c r="AJ453" s="14">
        <f t="shared" si="193"/>
        <v>6051</v>
      </c>
      <c r="AK453" s="14">
        <f t="shared" si="194"/>
        <v>3024</v>
      </c>
      <c r="AL453" s="14">
        <f t="shared" si="195"/>
        <v>27180</v>
      </c>
    </row>
    <row r="454" spans="11:38" ht="16.5" x14ac:dyDescent="0.2">
      <c r="K454" s="13">
        <v>451</v>
      </c>
      <c r="L454" s="13">
        <f t="shared" si="196"/>
        <v>22</v>
      </c>
      <c r="M454" s="13">
        <f t="shared" si="197"/>
        <v>5</v>
      </c>
      <c r="N454" s="14">
        <f t="shared" si="198"/>
        <v>1102006</v>
      </c>
      <c r="O454" s="14" t="str">
        <f t="shared" si="199"/>
        <v>项羽10突</v>
      </c>
      <c r="P454" s="29" t="s">
        <v>470</v>
      </c>
      <c r="Q454" s="14">
        <f t="shared" si="200"/>
        <v>2</v>
      </c>
      <c r="R454" s="14">
        <f t="shared" si="201"/>
        <v>10</v>
      </c>
      <c r="S454" s="14" t="s">
        <v>39</v>
      </c>
      <c r="T454" s="14">
        <f>ROUND(((IF(Q454=1,INDEX(新属性投放!$J$14:$J$34,卡牌属性!R454),INDEX(新属性投放!$J$42:$J$62,卡牌属性!R454)))*INDEX($G$5:$G$42,L454)+IF(Q454=1,INDEX(新属性投放!R$20:R$23,卡牌属性!M454-1),INDEX(新属性投放!R$25:R$28,卡牌属性!M454-1)))/SQRT(INDEX($I$5:$I$42,L454)),2)</f>
        <v>7584.83</v>
      </c>
      <c r="U454" s="29" t="s">
        <v>178</v>
      </c>
      <c r="V454" s="14">
        <f>ROUND((IF(Q454=1,INDEX(新属性投放!$K$14:$K$34,卡牌属性!R454),INDEX(新属性投放!$K$42:$K$62,卡牌属性!R454))+IF(Q454=1,INDEX(新属性投放!S$20:S$23,卡牌属性!M454-1),INDEX(新属性投放!S$25:S$28,卡牌属性!M454-1)))*INDEX($G$5:$G$42,L454),2)</f>
        <v>3451.16</v>
      </c>
      <c r="W454" s="29" t="s">
        <v>179</v>
      </c>
      <c r="X454" s="14">
        <f>ROUND((IF(Q454=1,INDEX(新属性投放!$L$14:$L$34,卡牌属性!R454),INDEX(新属性投放!$L$42:$L$62,卡牌属性!R454))*INDEX($G$5:$G$42,L454)+IF(Q454=1,INDEX(新属性投放!T$20:T$23,卡牌属性!M454-1),INDEX(新属性投放!T$25:T$28,卡牌属性!M454-1)))*SQRT(INDEX($I$5:$I$42,L454)),2)</f>
        <v>39190</v>
      </c>
      <c r="Y454" s="29" t="s">
        <v>177</v>
      </c>
      <c r="Z454" s="14">
        <f>ROUND(IF(Q454=1,INDEX(新属性投放!$D$14:$D$34,卡牌属性!R454),INDEX(新属性投放!$D$42:$D$62,卡牌属性!R454))*INDEX($G$5:$G$42,L454)/SQRT(INDEX($I$5:$I$42,L454)),2)</f>
        <v>169.25</v>
      </c>
      <c r="AA454" s="29" t="s">
        <v>178</v>
      </c>
      <c r="AB454" s="14">
        <f>ROUND(IF(Q454=1,INDEX(新属性投放!$E$14:$E$34,卡牌属性!R454),INDEX(新属性投放!$E$42:$E$62,卡牌属性!R454))*INDEX($G$5:$G$42,L454),2)</f>
        <v>84.62</v>
      </c>
      <c r="AC454" s="29" t="s">
        <v>179</v>
      </c>
      <c r="AD454" s="14">
        <f>ROUND(IF(Q454=1,INDEX(新属性投放!$F$14:$F$34,卡牌属性!R454),INDEX(新属性投放!$F$42:$F$62,卡牌属性!R454))*INDEX($G$5:$G$42,L454)*SQRT(INDEX($I$5:$I$42,L454)),2)</f>
        <v>760.5</v>
      </c>
      <c r="AF454" s="14">
        <f t="shared" si="202"/>
        <v>1692</v>
      </c>
      <c r="AG454" s="14">
        <f t="shared" si="203"/>
        <v>846</v>
      </c>
      <c r="AH454" s="14">
        <f t="shared" si="204"/>
        <v>7605</v>
      </c>
      <c r="AJ454" s="14">
        <f t="shared" si="193"/>
        <v>7743</v>
      </c>
      <c r="AK454" s="14">
        <f t="shared" si="194"/>
        <v>3870</v>
      </c>
      <c r="AL454" s="14">
        <f t="shared" si="195"/>
        <v>34785</v>
      </c>
    </row>
    <row r="455" spans="11:38" ht="16.5" x14ac:dyDescent="0.2">
      <c r="K455" s="13">
        <v>452</v>
      </c>
      <c r="L455" s="13">
        <f t="shared" si="196"/>
        <v>22</v>
      </c>
      <c r="M455" s="13">
        <f t="shared" si="197"/>
        <v>5</v>
      </c>
      <c r="N455" s="14">
        <f t="shared" si="198"/>
        <v>1102006</v>
      </c>
      <c r="O455" s="14" t="str">
        <f t="shared" si="199"/>
        <v>项羽11突</v>
      </c>
      <c r="P455" s="29" t="s">
        <v>470</v>
      </c>
      <c r="Q455" s="14">
        <f t="shared" si="200"/>
        <v>2</v>
      </c>
      <c r="R455" s="14">
        <f t="shared" si="201"/>
        <v>11</v>
      </c>
      <c r="S455" s="14" t="s">
        <v>39</v>
      </c>
      <c r="T455" s="14">
        <f>ROUND(((IF(Q455=1,INDEX(新属性投放!$J$14:$J$34,卡牌属性!R455),INDEX(新属性投放!$J$42:$J$62,卡牌属性!R455)))*INDEX($G$5:$G$42,L455)+IF(Q455=1,INDEX(新属性投放!R$20:R$23,卡牌属性!M455-1),INDEX(新属性投放!R$25:R$28,卡牌属性!M455-1)))/SQRT(INDEX($I$5:$I$42,L455)),2)</f>
        <v>8642.5499999999993</v>
      </c>
      <c r="U455" s="29" t="s">
        <v>178</v>
      </c>
      <c r="V455" s="14">
        <f>ROUND((IF(Q455=1,INDEX(新属性投放!$K$14:$K$34,卡牌属性!R455),INDEX(新属性投放!$K$42:$K$62,卡牌属性!R455))+IF(Q455=1,INDEX(新属性投放!S$20:S$23,卡牌属性!M455-1),INDEX(新属性投放!S$25:S$28,卡牌属性!M455-1)))*INDEX($G$5:$G$42,L455),2)</f>
        <v>3980.78</v>
      </c>
      <c r="W455" s="29" t="s">
        <v>179</v>
      </c>
      <c r="X455" s="14">
        <f>ROUND((IF(Q455=1,INDEX(新属性投放!$L$14:$L$34,卡牌属性!R455),INDEX(新属性投放!$L$42:$L$62,卡牌属性!R455))*INDEX($G$5:$G$42,L455)+IF(Q455=1,INDEX(新属性投放!T$20:T$23,卡牌属性!M455-1),INDEX(新属性投放!T$25:T$28,卡牌属性!M455-1)))*SQRT(INDEX($I$5:$I$42,L455)),2)</f>
        <v>44896</v>
      </c>
      <c r="Y455" s="29" t="s">
        <v>177</v>
      </c>
      <c r="Z455" s="14">
        <f>ROUND(IF(Q455=1,INDEX(新属性投放!$D$14:$D$34,卡牌属性!R455),INDEX(新属性投放!$D$42:$D$62,卡牌属性!R455))*INDEX($G$5:$G$42,L455)/SQRT(INDEX($I$5:$I$42,L455)),2)</f>
        <v>197.37</v>
      </c>
      <c r="AA455" s="29" t="s">
        <v>178</v>
      </c>
      <c r="AB455" s="14">
        <f>ROUND(IF(Q455=1,INDEX(新属性投放!$E$14:$E$34,卡牌属性!R455),INDEX(新属性投放!$E$42:$E$62,卡牌属性!R455))*INDEX($G$5:$G$42,L455),2)</f>
        <v>98.69</v>
      </c>
      <c r="AC455" s="29" t="s">
        <v>179</v>
      </c>
      <c r="AD455" s="14">
        <f>ROUND(IF(Q455=1,INDEX(新属性投放!$F$14:$F$34,卡牌属性!R455),INDEX(新属性投放!$F$42:$F$62,卡牌属性!R455))*INDEX($G$5:$G$42,L455)*SQRT(INDEX($I$5:$I$42,L455)),2)</f>
        <v>888</v>
      </c>
      <c r="AF455" s="14">
        <f t="shared" si="202"/>
        <v>1973</v>
      </c>
      <c r="AG455" s="14">
        <f t="shared" si="203"/>
        <v>986</v>
      </c>
      <c r="AH455" s="14">
        <f t="shared" si="204"/>
        <v>8880</v>
      </c>
      <c r="AJ455" s="14">
        <f t="shared" si="193"/>
        <v>9716</v>
      </c>
      <c r="AK455" s="14">
        <f t="shared" si="194"/>
        <v>4856</v>
      </c>
      <c r="AL455" s="14">
        <f t="shared" si="195"/>
        <v>43665</v>
      </c>
    </row>
    <row r="456" spans="11:38" ht="16.5" x14ac:dyDescent="0.2">
      <c r="K456" s="13">
        <v>453</v>
      </c>
      <c r="L456" s="13">
        <f t="shared" si="196"/>
        <v>22</v>
      </c>
      <c r="M456" s="13">
        <f t="shared" si="197"/>
        <v>5</v>
      </c>
      <c r="N456" s="14">
        <f t="shared" si="198"/>
        <v>1102006</v>
      </c>
      <c r="O456" s="14" t="str">
        <f t="shared" si="199"/>
        <v>项羽12突</v>
      </c>
      <c r="P456" s="29" t="s">
        <v>470</v>
      </c>
      <c r="Q456" s="14">
        <f t="shared" si="200"/>
        <v>2</v>
      </c>
      <c r="R456" s="14">
        <f t="shared" si="201"/>
        <v>12</v>
      </c>
      <c r="S456" s="14" t="s">
        <v>39</v>
      </c>
      <c r="T456" s="14">
        <f>ROUND(((IF(Q456=1,INDEX(新属性投放!$J$14:$J$34,卡牌属性!R456),INDEX(新属性投放!$J$42:$J$62,卡牌属性!R456)))*INDEX($G$5:$G$42,L456)+IF(Q456=1,INDEX(新属性投放!R$20:R$23,卡牌属性!M456-1),INDEX(新属性投放!R$25:R$28,卡牌属性!M456-1)))/SQRT(INDEX($I$5:$I$42,L456)),2)</f>
        <v>9875.4</v>
      </c>
      <c r="U456" s="29" t="s">
        <v>178</v>
      </c>
      <c r="V456" s="14">
        <f>ROUND((IF(Q456=1,INDEX(新属性投放!$K$14:$K$34,卡牌属性!R456),INDEX(新属性投放!$K$42:$K$62,卡牌属性!R456))+IF(Q456=1,INDEX(新属性投放!S$20:S$23,卡牌属性!M456-1),INDEX(新属性投放!S$25:S$28,卡牌属性!M456-1)))*INDEX($G$5:$G$42,L456),2)</f>
        <v>4597.2</v>
      </c>
      <c r="W456" s="29" t="s">
        <v>179</v>
      </c>
      <c r="X456" s="14">
        <f>ROUND((IF(Q456=1,INDEX(新属性投放!$L$14:$L$34,卡牌属性!R456),INDEX(新属性投放!$L$42:$L$62,卡牌属性!R456))*INDEX($G$5:$G$42,L456)+IF(Q456=1,INDEX(新属性投放!T$20:T$23,卡牌属性!M456-1),INDEX(新属性投放!T$25:T$28,卡牌属性!M456-1)))*SQRT(INDEX($I$5:$I$42,L456)),2)</f>
        <v>51550</v>
      </c>
      <c r="Y456" s="29" t="s">
        <v>177</v>
      </c>
      <c r="Z456" s="14">
        <f>ROUND(IF(Q456=1,INDEX(新属性投放!$D$14:$D$34,卡牌属性!R456),INDEX(新属性投放!$D$42:$D$62,卡牌属性!R456))*INDEX($G$5:$G$42,L456)/SQRT(INDEX($I$5:$I$42,L456)),2)</f>
        <v>225.71</v>
      </c>
      <c r="AA456" s="29" t="s">
        <v>178</v>
      </c>
      <c r="AB456" s="14">
        <f>ROUND(IF(Q456=1,INDEX(新属性投放!$E$14:$E$34,卡牌属性!R456),INDEX(新属性投放!$E$42:$E$62,卡牌属性!R456))*INDEX($G$5:$G$42,L456),2)</f>
        <v>112.85</v>
      </c>
      <c r="AC456" s="29" t="s">
        <v>179</v>
      </c>
      <c r="AD456" s="14">
        <f>ROUND(IF(Q456=1,INDEX(新属性投放!$F$14:$F$34,卡牌属性!R456),INDEX(新属性投放!$F$42:$F$62,卡牌属性!R456))*INDEX($G$5:$G$42,L456)*SQRT(INDEX($I$5:$I$42,L456)),2)</f>
        <v>1015.5</v>
      </c>
      <c r="AF456" s="14">
        <f t="shared" si="202"/>
        <v>2257</v>
      </c>
      <c r="AG456" s="14">
        <f t="shared" si="203"/>
        <v>1128</v>
      </c>
      <c r="AH456" s="14">
        <f t="shared" si="204"/>
        <v>10155</v>
      </c>
      <c r="AJ456" s="14">
        <f t="shared" si="193"/>
        <v>11973</v>
      </c>
      <c r="AK456" s="14">
        <f t="shared" si="194"/>
        <v>5984</v>
      </c>
      <c r="AL456" s="14">
        <f t="shared" si="195"/>
        <v>53820</v>
      </c>
    </row>
    <row r="457" spans="11:38" ht="16.5" x14ac:dyDescent="0.2">
      <c r="K457" s="13">
        <v>454</v>
      </c>
      <c r="L457" s="13">
        <f t="shared" si="196"/>
        <v>22</v>
      </c>
      <c r="M457" s="13">
        <f t="shared" si="197"/>
        <v>5</v>
      </c>
      <c r="N457" s="14">
        <f t="shared" si="198"/>
        <v>1102006</v>
      </c>
      <c r="O457" s="14" t="str">
        <f t="shared" si="199"/>
        <v>项羽13突</v>
      </c>
      <c r="P457" s="29" t="s">
        <v>470</v>
      </c>
      <c r="Q457" s="14">
        <f t="shared" si="200"/>
        <v>2</v>
      </c>
      <c r="R457" s="14">
        <f t="shared" si="201"/>
        <v>13</v>
      </c>
      <c r="S457" s="14" t="s">
        <v>39</v>
      </c>
      <c r="T457" s="14">
        <f>ROUND(((IF(Q457=1,INDEX(新属性投放!$J$14:$J$34,卡牌属性!R457),INDEX(新属性投放!$J$42:$J$62,卡牌属性!R457)))*INDEX($G$5:$G$42,L457)+IF(Q457=1,INDEX(新属性投放!R$20:R$23,卡牌属性!M457-1),INDEX(新属性投放!R$25:R$28,卡牌属性!M457-1)))/SQRT(INDEX($I$5:$I$42,L457)),2)</f>
        <v>11285.93</v>
      </c>
      <c r="U457" s="29" t="s">
        <v>178</v>
      </c>
      <c r="V457" s="14">
        <f>ROUND((IF(Q457=1,INDEX(新属性投放!$K$14:$K$34,卡牌属性!R457),INDEX(新属性投放!$K$42:$K$62,卡牌属性!R457))+IF(Q457=1,INDEX(新属性投放!S$20:S$23,卡牌属性!M457-1),INDEX(新属性投放!S$25:S$28,卡牌属性!M457-1)))*INDEX($G$5:$G$42,L457),2)</f>
        <v>5302.46</v>
      </c>
      <c r="W457" s="29" t="s">
        <v>179</v>
      </c>
      <c r="X457" s="14">
        <f>ROUND((IF(Q457=1,INDEX(新属性投放!$L$14:$L$34,卡牌属性!R457),INDEX(新属性投放!$L$42:$L$62,卡牌属性!R457))*INDEX($G$5:$G$42,L457)+IF(Q457=1,INDEX(新属性投放!T$20:T$23,卡牌属性!M457-1),INDEX(新属性投放!T$25:T$28,卡牌属性!M457-1)))*SQRT(INDEX($I$5:$I$42,L457)),2)</f>
        <v>59165.5</v>
      </c>
      <c r="Y457" s="29" t="s">
        <v>177</v>
      </c>
      <c r="Z457" s="14">
        <f>ROUND(IF(Q457=1,INDEX(新属性投放!$D$14:$D$34,卡牌属性!R457),INDEX(新属性投放!$D$42:$D$62,卡牌属性!R457))*INDEX($G$5:$G$42,L457)/SQRT(INDEX($I$5:$I$42,L457)),2)</f>
        <v>260.95999999999998</v>
      </c>
      <c r="AA457" s="29" t="s">
        <v>178</v>
      </c>
      <c r="AB457" s="14">
        <f>ROUND(IF(Q457=1,INDEX(新属性投放!$E$14:$E$34,卡牌属性!R457),INDEX(新属性投放!$E$42:$E$62,卡牌属性!R457))*INDEX($G$5:$G$42,L457),2)</f>
        <v>130.47999999999999</v>
      </c>
      <c r="AC457" s="29" t="s">
        <v>179</v>
      </c>
      <c r="AD457" s="14">
        <f>ROUND(IF(Q457=1,INDEX(新属性投放!$F$14:$F$34,卡牌属性!R457),INDEX(新属性投放!$F$42:$F$62,卡牌属性!R457))*INDEX($G$5:$G$42,L457)*SQRT(INDEX($I$5:$I$42,L457)),2)</f>
        <v>1173</v>
      </c>
      <c r="AF457" s="14">
        <f t="shared" si="202"/>
        <v>2609</v>
      </c>
      <c r="AG457" s="14">
        <f t="shared" si="203"/>
        <v>1304</v>
      </c>
      <c r="AH457" s="14">
        <f t="shared" si="204"/>
        <v>11730</v>
      </c>
      <c r="AJ457" s="14">
        <f t="shared" si="193"/>
        <v>14582</v>
      </c>
      <c r="AK457" s="14">
        <f t="shared" si="194"/>
        <v>7288</v>
      </c>
      <c r="AL457" s="14">
        <f t="shared" si="195"/>
        <v>65550</v>
      </c>
    </row>
    <row r="458" spans="11:38" ht="16.5" x14ac:dyDescent="0.2">
      <c r="K458" s="13">
        <v>455</v>
      </c>
      <c r="L458" s="13">
        <f t="shared" si="196"/>
        <v>22</v>
      </c>
      <c r="M458" s="13">
        <f t="shared" si="197"/>
        <v>5</v>
      </c>
      <c r="N458" s="14">
        <f t="shared" si="198"/>
        <v>1102006</v>
      </c>
      <c r="O458" s="14" t="str">
        <f t="shared" si="199"/>
        <v>项羽14突</v>
      </c>
      <c r="P458" s="29" t="s">
        <v>470</v>
      </c>
      <c r="Q458" s="14">
        <f t="shared" si="200"/>
        <v>2</v>
      </c>
      <c r="R458" s="14">
        <f t="shared" si="201"/>
        <v>14</v>
      </c>
      <c r="S458" s="14" t="s">
        <v>39</v>
      </c>
      <c r="T458" s="14">
        <f>ROUND(((IF(Q458=1,INDEX(新属性投放!$J$14:$J$34,卡牌属性!R458),INDEX(新属性投放!$J$42:$J$62,卡牌属性!R458)))*INDEX($G$5:$G$42,L458)+IF(Q458=1,INDEX(新属性投放!R$20:R$23,卡牌属性!M458-1),INDEX(新属性投放!R$25:R$28,卡牌属性!M458-1)))/SQRT(INDEX($I$5:$I$42,L458)),2)</f>
        <v>12916.2</v>
      </c>
      <c r="U458" s="29" t="s">
        <v>178</v>
      </c>
      <c r="V458" s="14">
        <f>ROUND((IF(Q458=1,INDEX(新属性投放!$K$14:$K$34,卡牌属性!R458),INDEX(新属性投放!$K$42:$K$62,卡牌属性!R458))+IF(Q458=1,INDEX(新属性投放!S$20:S$23,卡牌属性!M458-1),INDEX(新属性投放!S$25:S$28,卡牌属性!M458-1)))*INDEX($G$5:$G$42,L458),2)</f>
        <v>6118.35</v>
      </c>
      <c r="W458" s="29" t="s">
        <v>179</v>
      </c>
      <c r="X458" s="14">
        <f>ROUND((IF(Q458=1,INDEX(新属性投放!$L$14:$L$34,卡牌属性!R458),INDEX(新属性投放!$L$42:$L$62,卡牌属性!R458))*INDEX($G$5:$G$42,L458)+IF(Q458=1,INDEX(新属性投放!T$20:T$23,卡牌属性!M458-1),INDEX(新属性投放!T$25:T$28,卡牌属性!M458-1)))*SQRT(INDEX($I$5:$I$42,L458)),2)</f>
        <v>67960</v>
      </c>
      <c r="Y458" s="29" t="s">
        <v>177</v>
      </c>
      <c r="Z458" s="14">
        <f>ROUND(IF(Q458=1,INDEX(新属性投放!$D$14:$D$34,卡牌属性!R458),INDEX(新属性投放!$D$42:$D$62,卡牌属性!R458))*INDEX($G$5:$G$42,L458)/SQRT(INDEX($I$5:$I$42,L458)),2)</f>
        <v>301.73</v>
      </c>
      <c r="AA458" s="29" t="s">
        <v>178</v>
      </c>
      <c r="AB458" s="14">
        <f>ROUND(IF(Q458=1,INDEX(新属性投放!$E$14:$E$34,卡牌属性!R458),INDEX(新属性投放!$E$42:$E$62,卡牌属性!R458))*INDEX($G$5:$G$42,L458),2)</f>
        <v>150.86000000000001</v>
      </c>
      <c r="AC458" s="29" t="s">
        <v>179</v>
      </c>
      <c r="AD458" s="14">
        <f>ROUND(IF(Q458=1,INDEX(新属性投放!$F$14:$F$34,卡牌属性!R458),INDEX(新属性投放!$F$42:$F$62,卡牌属性!R458))*INDEX($G$5:$G$42,L458)*SQRT(INDEX($I$5:$I$42,L458)),2)</f>
        <v>1357.5</v>
      </c>
      <c r="AF458" s="14">
        <f t="shared" si="202"/>
        <v>3017</v>
      </c>
      <c r="AG458" s="14">
        <f t="shared" si="203"/>
        <v>1508</v>
      </c>
      <c r="AH458" s="14">
        <f t="shared" si="204"/>
        <v>13575</v>
      </c>
      <c r="AJ458" s="14">
        <f t="shared" si="193"/>
        <v>17599</v>
      </c>
      <c r="AK458" s="14">
        <f t="shared" si="194"/>
        <v>8796</v>
      </c>
      <c r="AL458" s="14">
        <f t="shared" si="195"/>
        <v>79125</v>
      </c>
    </row>
    <row r="459" spans="11:38" ht="16.5" x14ac:dyDescent="0.2">
      <c r="K459" s="13">
        <v>456</v>
      </c>
      <c r="L459" s="13">
        <f t="shared" si="196"/>
        <v>22</v>
      </c>
      <c r="M459" s="13">
        <f t="shared" si="197"/>
        <v>5</v>
      </c>
      <c r="N459" s="14">
        <f t="shared" si="198"/>
        <v>1102006</v>
      </c>
      <c r="O459" s="14" t="str">
        <f t="shared" si="199"/>
        <v>项羽15突</v>
      </c>
      <c r="P459" s="29" t="s">
        <v>470</v>
      </c>
      <c r="Q459" s="14">
        <f t="shared" si="200"/>
        <v>2</v>
      </c>
      <c r="R459" s="14">
        <f t="shared" si="201"/>
        <v>15</v>
      </c>
      <c r="S459" s="14" t="s">
        <v>39</v>
      </c>
      <c r="T459" s="14">
        <f>ROUND(((IF(Q459=1,INDEX(新属性投放!$J$14:$J$34,卡牌属性!R459),INDEX(新属性投放!$J$42:$J$62,卡牌属性!R459)))*INDEX($G$5:$G$42,L459)+IF(Q459=1,INDEX(新属性投放!R$20:R$23,卡牌属性!M459-1),INDEX(新属性投放!R$25:R$28,卡牌属性!M459-1)))/SQRT(INDEX($I$5:$I$42,L459)),2)</f>
        <v>14801.33</v>
      </c>
      <c r="U459" s="29" t="s">
        <v>178</v>
      </c>
      <c r="V459" s="14">
        <f>ROUND((IF(Q459=1,INDEX(新属性投放!$K$14:$K$34,卡牌属性!R459),INDEX(新属性投放!$K$42:$K$62,卡牌属性!R459))+IF(Q459=1,INDEX(新属性投放!S$20:S$23,卡牌属性!M459-1),INDEX(新属性投放!S$25:S$28,卡牌属性!M459-1)))*INDEX($G$5:$G$42,L459),2)</f>
        <v>7061.66</v>
      </c>
      <c r="W459" s="29" t="s">
        <v>179</v>
      </c>
      <c r="X459" s="14">
        <f>ROUND((IF(Q459=1,INDEX(新属性投放!$L$14:$L$34,卡牌属性!R459),INDEX(新属性投放!$L$42:$L$62,卡牌属性!R459))*INDEX($G$5:$G$42,L459)+IF(Q459=1,INDEX(新属性投放!T$20:T$23,卡牌属性!M459-1),INDEX(新属性投放!T$25:T$28,卡牌属性!M459-1)))*SQRT(INDEX($I$5:$I$42,L459)),2)</f>
        <v>78136</v>
      </c>
      <c r="Y459" s="29" t="s">
        <v>177</v>
      </c>
      <c r="Z459" s="14">
        <f>ROUND(IF(Q459=1,INDEX(新属性投放!$D$14:$D$34,卡牌属性!R459),INDEX(新属性投放!$D$42:$D$62,卡牌属性!R459))*INDEX($G$5:$G$42,L459)/SQRT(INDEX($I$5:$I$42,L459)),2)</f>
        <v>348.84</v>
      </c>
      <c r="AA459" s="29" t="s">
        <v>178</v>
      </c>
      <c r="AB459" s="14">
        <f>ROUND(IF(Q459=1,INDEX(新属性投放!$E$14:$E$34,卡牌属性!R459),INDEX(新属性投放!$E$42:$E$62,卡牌属性!R459))*INDEX($G$5:$G$42,L459),2)</f>
        <v>174.42</v>
      </c>
      <c r="AC459" s="29" t="s">
        <v>179</v>
      </c>
      <c r="AD459" s="14">
        <f>ROUND(IF(Q459=1,INDEX(新属性投放!$F$14:$F$34,卡牌属性!R459),INDEX(新属性投放!$F$42:$F$62,卡牌属性!R459))*INDEX($G$5:$G$42,L459)*SQRT(INDEX($I$5:$I$42,L459)),2)</f>
        <v>1569</v>
      </c>
      <c r="AF459" s="14">
        <f t="shared" si="202"/>
        <v>3488</v>
      </c>
      <c r="AG459" s="14">
        <f t="shared" si="203"/>
        <v>1744</v>
      </c>
      <c r="AH459" s="14">
        <f t="shared" si="204"/>
        <v>15690</v>
      </c>
      <c r="AJ459" s="14">
        <f t="shared" si="193"/>
        <v>21087</v>
      </c>
      <c r="AK459" s="14">
        <f t="shared" si="194"/>
        <v>10540</v>
      </c>
      <c r="AL459" s="14">
        <f t="shared" si="195"/>
        <v>94815</v>
      </c>
    </row>
    <row r="460" spans="11:38" ht="16.5" x14ac:dyDescent="0.2">
      <c r="K460" s="13">
        <v>457</v>
      </c>
      <c r="L460" s="13">
        <f t="shared" si="196"/>
        <v>22</v>
      </c>
      <c r="M460" s="13">
        <f t="shared" si="197"/>
        <v>5</v>
      </c>
      <c r="N460" s="14">
        <f t="shared" si="198"/>
        <v>1102006</v>
      </c>
      <c r="O460" s="14" t="str">
        <f t="shared" si="199"/>
        <v>项羽16突</v>
      </c>
      <c r="P460" s="29" t="s">
        <v>470</v>
      </c>
      <c r="Q460" s="14">
        <f t="shared" si="200"/>
        <v>2</v>
      </c>
      <c r="R460" s="14">
        <f t="shared" si="201"/>
        <v>16</v>
      </c>
      <c r="S460" s="14" t="s">
        <v>39</v>
      </c>
      <c r="T460" s="14">
        <f>ROUND(((IF(Q460=1,INDEX(新属性投放!$J$14:$J$34,卡牌属性!R460),INDEX(新属性投放!$J$42:$J$62,卡牌属性!R460)))*INDEX($G$5:$G$42,L460)+IF(Q460=1,INDEX(新属性投放!R$20:R$23,卡牌属性!M460-1),INDEX(新属性投放!R$25:R$28,卡牌属性!M460-1)))/SQRT(INDEX($I$5:$I$42,L460)),2)</f>
        <v>16982.03</v>
      </c>
      <c r="U460" s="29" t="s">
        <v>178</v>
      </c>
      <c r="V460" s="14">
        <f>ROUND((IF(Q460=1,INDEX(新属性投放!$K$14:$K$34,卡牌属性!R460),INDEX(新属性投放!$K$42:$K$62,卡牌属性!R460))+IF(Q460=1,INDEX(新属性投放!S$20:S$23,卡牌属性!M460-1),INDEX(新属性投放!S$25:S$28,卡牌属性!M460-1)))*INDEX($G$5:$G$42,L460),2)</f>
        <v>8151.26</v>
      </c>
      <c r="W460" s="29" t="s">
        <v>179</v>
      </c>
      <c r="X460" s="14">
        <f>ROUND((IF(Q460=1,INDEX(新属性投放!$L$14:$L$34,卡牌属性!R460),INDEX(新属性投放!$L$42:$L$62,卡牌属性!R460))*INDEX($G$5:$G$42,L460)+IF(Q460=1,INDEX(新属性投放!T$20:T$23,卡牌属性!M460-1),INDEX(新属性投放!T$25:T$28,卡牌属性!M460-1)))*SQRT(INDEX($I$5:$I$42,L460)),2)</f>
        <v>89909.5</v>
      </c>
      <c r="Y460" s="29" t="s">
        <v>177</v>
      </c>
      <c r="Z460" s="14">
        <f>ROUND(IF(Q460=1,INDEX(新属性投放!$D$14:$D$34,卡牌属性!R460),INDEX(新属性投放!$D$42:$D$62,卡牌属性!R460))*INDEX($G$5:$G$42,L460)/SQRT(INDEX($I$5:$I$42,L460)),2)</f>
        <v>403.37</v>
      </c>
      <c r="AA460" s="29" t="s">
        <v>178</v>
      </c>
      <c r="AB460" s="14">
        <f>ROUND(IF(Q460=1,INDEX(新属性投放!$E$14:$E$34,卡牌属性!R460),INDEX(新属性投放!$E$42:$E$62,卡牌属性!R460))*INDEX($G$5:$G$42,L460),2)</f>
        <v>201.68</v>
      </c>
      <c r="AC460" s="29" t="s">
        <v>179</v>
      </c>
      <c r="AD460" s="14">
        <f>ROUND(IF(Q460=1,INDEX(新属性投放!$F$14:$F$34,卡牌属性!R460),INDEX(新属性投放!$F$42:$F$62,卡牌属性!R460))*INDEX($G$5:$G$42,L460)*SQRT(INDEX($I$5:$I$42,L460)),2)</f>
        <v>1815</v>
      </c>
      <c r="AF460" s="14">
        <f t="shared" si="202"/>
        <v>4033</v>
      </c>
      <c r="AG460" s="14">
        <f t="shared" si="203"/>
        <v>2016</v>
      </c>
      <c r="AH460" s="14">
        <f t="shared" si="204"/>
        <v>18150</v>
      </c>
      <c r="AJ460" s="14">
        <f t="shared" si="193"/>
        <v>25120</v>
      </c>
      <c r="AK460" s="14">
        <f t="shared" si="194"/>
        <v>12556</v>
      </c>
      <c r="AL460" s="14">
        <f t="shared" si="195"/>
        <v>112965</v>
      </c>
    </row>
    <row r="461" spans="11:38" ht="16.5" x14ac:dyDescent="0.2">
      <c r="K461" s="13">
        <v>458</v>
      </c>
      <c r="L461" s="13">
        <f t="shared" si="196"/>
        <v>22</v>
      </c>
      <c r="M461" s="13">
        <f t="shared" si="197"/>
        <v>5</v>
      </c>
      <c r="N461" s="14">
        <f t="shared" si="198"/>
        <v>1102006</v>
      </c>
      <c r="O461" s="14" t="str">
        <f t="shared" si="199"/>
        <v>项羽17突</v>
      </c>
      <c r="P461" s="29" t="s">
        <v>470</v>
      </c>
      <c r="Q461" s="14">
        <f t="shared" si="200"/>
        <v>2</v>
      </c>
      <c r="R461" s="14">
        <f t="shared" si="201"/>
        <v>17</v>
      </c>
      <c r="S461" s="14" t="s">
        <v>39</v>
      </c>
      <c r="T461" s="14">
        <f>ROUND(((IF(Q461=1,INDEX(新属性投放!$J$14:$J$34,卡牌属性!R461),INDEX(新属性投放!$J$42:$J$62,卡牌属性!R461)))*INDEX($G$5:$G$42,L461)+IF(Q461=1,INDEX(新属性投放!R$20:R$23,卡牌属性!M461-1),INDEX(新属性投放!R$25:R$28,卡牌属性!M461-1)))/SQRT(INDEX($I$5:$I$42,L461)),2)</f>
        <v>19502.849999999999</v>
      </c>
      <c r="U461" s="29" t="s">
        <v>178</v>
      </c>
      <c r="V461" s="14">
        <f>ROUND((IF(Q461=1,INDEX(新属性投放!$K$14:$K$34,卡牌属性!R461),INDEX(新属性投放!$K$42:$K$62,卡牌属性!R461))+IF(Q461=1,INDEX(新属性投放!S$20:S$23,卡牌属性!M461-1),INDEX(新属性投放!S$25:S$28,卡牌属性!M461-1)))*INDEX($G$5:$G$42,L461),2)</f>
        <v>9411.68</v>
      </c>
      <c r="W461" s="29" t="s">
        <v>179</v>
      </c>
      <c r="X461" s="14">
        <f>ROUND((IF(Q461=1,INDEX(新属性投放!$L$14:$L$34,卡牌属性!R461),INDEX(新属性投放!$L$42:$L$62,卡牌属性!R461))*INDEX($G$5:$G$42,L461)+IF(Q461=1,INDEX(新属性投放!T$20:T$23,卡牌属性!M461-1),INDEX(新属性投放!T$25:T$28,卡牌属性!M461-1)))*SQRT(INDEX($I$5:$I$42,L461)),2)</f>
        <v>103520.5</v>
      </c>
      <c r="Y461" s="29" t="s">
        <v>177</v>
      </c>
      <c r="Z461" s="14">
        <f>ROUND(IF(Q461=1,INDEX(新属性投放!$D$14:$D$34,卡牌属性!R461),INDEX(新属性投放!$D$42:$D$62,卡牌属性!R461))*INDEX($G$5:$G$42,L461)/SQRT(INDEX($I$5:$I$42,L461)),2)</f>
        <v>466.38</v>
      </c>
      <c r="AA461" s="29" t="s">
        <v>178</v>
      </c>
      <c r="AB461" s="14">
        <f>ROUND(IF(Q461=1,INDEX(新属性投放!$E$14:$E$34,卡牌属性!R461),INDEX(新属性投放!$E$42:$E$62,卡牌属性!R461))*INDEX($G$5:$G$42,L461),2)</f>
        <v>233.19</v>
      </c>
      <c r="AC461" s="29" t="s">
        <v>179</v>
      </c>
      <c r="AD461" s="14">
        <f>ROUND(IF(Q461=1,INDEX(新属性投放!$F$14:$F$34,卡牌属性!R461),INDEX(新属性投放!$F$42:$F$62,卡牌属性!R461))*INDEX($G$5:$G$42,L461)*SQRT(INDEX($I$5:$I$42,L461)),2)</f>
        <v>2098.5</v>
      </c>
      <c r="AF461" s="14">
        <f t="shared" si="202"/>
        <v>4663</v>
      </c>
      <c r="AG461" s="14">
        <f t="shared" si="203"/>
        <v>2331</v>
      </c>
      <c r="AH461" s="14">
        <f t="shared" si="204"/>
        <v>20985</v>
      </c>
      <c r="AJ461" s="14">
        <f t="shared" si="193"/>
        <v>29783</v>
      </c>
      <c r="AK461" s="14">
        <f t="shared" si="194"/>
        <v>14887</v>
      </c>
      <c r="AL461" s="14">
        <f t="shared" si="195"/>
        <v>133950</v>
      </c>
    </row>
    <row r="462" spans="11:38" ht="16.5" x14ac:dyDescent="0.2">
      <c r="K462" s="13">
        <v>459</v>
      </c>
      <c r="L462" s="13">
        <f t="shared" si="196"/>
        <v>22</v>
      </c>
      <c r="M462" s="13">
        <f t="shared" si="197"/>
        <v>5</v>
      </c>
      <c r="N462" s="14">
        <f t="shared" si="198"/>
        <v>1102006</v>
      </c>
      <c r="O462" s="14" t="str">
        <f t="shared" si="199"/>
        <v>项羽18突</v>
      </c>
      <c r="P462" s="29" t="s">
        <v>470</v>
      </c>
      <c r="Q462" s="14">
        <f t="shared" si="200"/>
        <v>2</v>
      </c>
      <c r="R462" s="14">
        <f t="shared" si="201"/>
        <v>18</v>
      </c>
      <c r="S462" s="14" t="s">
        <v>39</v>
      </c>
      <c r="T462" s="14">
        <f>ROUND(((IF(Q462=1,INDEX(新属性投放!$J$14:$J$34,卡牌属性!R462),INDEX(新属性投放!$J$42:$J$62,卡牌属性!R462)))*INDEX($G$5:$G$42,L462)+IF(Q462=1,INDEX(新属性投放!R$20:R$23,卡牌属性!M462-1),INDEX(新属性投放!R$25:R$28,卡牌属性!M462-1)))/SQRT(INDEX($I$5:$I$42,L462)),2)</f>
        <v>22418.25</v>
      </c>
      <c r="U462" s="29" t="s">
        <v>178</v>
      </c>
      <c r="V462" s="14">
        <f>ROUND((IF(Q462=1,INDEX(新属性投放!$K$14:$K$34,卡牌属性!R462),INDEX(新属性投放!$K$42:$K$62,卡牌属性!R462))+IF(Q462=1,INDEX(新属性投放!S$20:S$23,卡牌属性!M462-1),INDEX(新属性投放!S$25:S$28,卡牌属性!M462-1)))*INDEX($G$5:$G$42,L462),2)</f>
        <v>10868.63</v>
      </c>
      <c r="W462" s="29" t="s">
        <v>179</v>
      </c>
      <c r="X462" s="14">
        <f>ROUND((IF(Q462=1,INDEX(新属性投放!$L$14:$L$34,卡牌属性!R462),INDEX(新属性投放!$L$42:$L$62,卡牌属性!R462))*INDEX($G$5:$G$42,L462)+IF(Q462=1,INDEX(新属性投放!T$20:T$23,卡牌属性!M462-1),INDEX(新属性投放!T$25:T$28,卡牌属性!M462-1)))*SQRT(INDEX($I$5:$I$42,L462)),2)</f>
        <v>119264.5</v>
      </c>
      <c r="Y462" s="29" t="s">
        <v>177</v>
      </c>
      <c r="Z462" s="14">
        <f>ROUND(IF(Q462=1,INDEX(新属性投放!$D$14:$D$34,卡牌属性!R462),INDEX(新属性投放!$D$42:$D$62,卡牌属性!R462))*INDEX($G$5:$G$42,L462)/SQRT(INDEX($I$5:$I$42,L462)),2)</f>
        <v>539.27</v>
      </c>
      <c r="AA462" s="29" t="s">
        <v>178</v>
      </c>
      <c r="AB462" s="14">
        <f>ROUND(IF(Q462=1,INDEX(新属性投放!$E$14:$E$34,卡牌属性!R462),INDEX(新属性投放!$E$42:$E$62,卡牌属性!R462))*INDEX($G$5:$G$42,L462),2)</f>
        <v>269.63</v>
      </c>
      <c r="AC462" s="29" t="s">
        <v>179</v>
      </c>
      <c r="AD462" s="14">
        <f>ROUND(IF(Q462=1,INDEX(新属性投放!$F$14:$F$34,卡牌属性!R462),INDEX(新属性投放!$F$42:$F$62,卡牌属性!R462))*INDEX($G$5:$G$42,L462)*SQRT(INDEX($I$5:$I$42,L462)),2)</f>
        <v>2425.5</v>
      </c>
      <c r="AF462" s="14">
        <f t="shared" si="202"/>
        <v>5392</v>
      </c>
      <c r="AG462" s="14">
        <f t="shared" si="203"/>
        <v>2696</v>
      </c>
      <c r="AH462" s="14">
        <f t="shared" si="204"/>
        <v>24255</v>
      </c>
      <c r="AJ462" s="14">
        <f t="shared" si="193"/>
        <v>35175</v>
      </c>
      <c r="AK462" s="14">
        <f t="shared" si="194"/>
        <v>17583</v>
      </c>
      <c r="AL462" s="14">
        <f t="shared" si="195"/>
        <v>158205</v>
      </c>
    </row>
    <row r="463" spans="11:38" ht="16.5" x14ac:dyDescent="0.2">
      <c r="K463" s="13">
        <v>460</v>
      </c>
      <c r="L463" s="13">
        <f t="shared" si="196"/>
        <v>22</v>
      </c>
      <c r="M463" s="13">
        <f t="shared" si="197"/>
        <v>5</v>
      </c>
      <c r="N463" s="14">
        <f t="shared" si="198"/>
        <v>1102006</v>
      </c>
      <c r="O463" s="14" t="str">
        <f t="shared" si="199"/>
        <v>项羽19突</v>
      </c>
      <c r="P463" s="29" t="s">
        <v>470</v>
      </c>
      <c r="Q463" s="14">
        <f t="shared" si="200"/>
        <v>2</v>
      </c>
      <c r="R463" s="14">
        <f t="shared" si="201"/>
        <v>19</v>
      </c>
      <c r="S463" s="14" t="s">
        <v>39</v>
      </c>
      <c r="T463" s="14">
        <f>ROUND(((IF(Q463=1,INDEX(新属性投放!$J$14:$J$34,卡牌属性!R463),INDEX(新属性投放!$J$42:$J$62,卡牌属性!R463)))*INDEX($G$5:$G$42,L463)+IF(Q463=1,INDEX(新属性投放!R$20:R$23,卡牌属性!M463-1),INDEX(新属性投放!R$25:R$28,卡牌属性!M463-1)))/SQRT(INDEX($I$5:$I$42,L463)),2)</f>
        <v>25788.080000000002</v>
      </c>
      <c r="U463" s="29" t="s">
        <v>178</v>
      </c>
      <c r="V463" s="14">
        <f>ROUND((IF(Q463=1,INDEX(新属性投放!$K$14:$K$34,卡牌属性!R463),INDEX(新属性投放!$K$42:$K$62,卡牌属性!R463))+IF(Q463=1,INDEX(新属性投放!S$20:S$23,卡牌属性!M463-1),INDEX(新属性投放!S$25:S$28,卡牌属性!M463-1)))*INDEX($G$5:$G$42,L463),2)</f>
        <v>12554.29</v>
      </c>
      <c r="W463" s="29" t="s">
        <v>179</v>
      </c>
      <c r="X463" s="14">
        <f>ROUND((IF(Q463=1,INDEX(新属性投放!$L$14:$L$34,卡牌属性!R463),INDEX(新属性投放!$L$42:$L$62,卡牌属性!R463))*INDEX($G$5:$G$42,L463)+IF(Q463=1,INDEX(新属性投放!T$20:T$23,卡牌属性!M463-1),INDEX(新属性投放!T$25:T$28,卡牌属性!M463-1)))*SQRT(INDEX($I$5:$I$42,L463)),2)</f>
        <v>137453.5</v>
      </c>
      <c r="Y463" s="29" t="s">
        <v>177</v>
      </c>
      <c r="Z463" s="14">
        <f>ROUND(IF(Q463=1,INDEX(新属性投放!$D$14:$D$34,卡牌属性!R463),INDEX(新属性投放!$D$42:$D$62,卡牌属性!R463))*INDEX($G$5:$G$42,L463)/SQRT(INDEX($I$5:$I$42,L463)),2)</f>
        <v>623.52</v>
      </c>
      <c r="AA463" s="29" t="s">
        <v>178</v>
      </c>
      <c r="AB463" s="14">
        <f>ROUND(IF(Q463=1,INDEX(新属性投放!$E$14:$E$34,卡牌属性!R463),INDEX(新属性投放!$E$42:$E$62,卡牌属性!R463))*INDEX($G$5:$G$42,L463),2)</f>
        <v>311.76</v>
      </c>
      <c r="AC463" s="29" t="s">
        <v>179</v>
      </c>
      <c r="AD463" s="14">
        <f>ROUND(IF(Q463=1,INDEX(新属性投放!$F$14:$F$34,卡牌属性!R463),INDEX(新属性投放!$F$42:$F$62,卡牌属性!R463))*INDEX($G$5:$G$42,L463)*SQRT(INDEX($I$5:$I$42,L463)),2)</f>
        <v>2805</v>
      </c>
      <c r="AF463" s="14">
        <f t="shared" si="202"/>
        <v>6235</v>
      </c>
      <c r="AG463" s="14">
        <f t="shared" si="203"/>
        <v>3117</v>
      </c>
      <c r="AH463" s="14">
        <f t="shared" si="204"/>
        <v>28050</v>
      </c>
      <c r="AJ463" s="14">
        <f t="shared" si="193"/>
        <v>41410</v>
      </c>
      <c r="AK463" s="14">
        <f t="shared" si="194"/>
        <v>20700</v>
      </c>
      <c r="AL463" s="14">
        <f t="shared" si="195"/>
        <v>186255</v>
      </c>
    </row>
    <row r="464" spans="11:38" ht="16.5" x14ac:dyDescent="0.2">
      <c r="K464" s="13">
        <v>461</v>
      </c>
      <c r="L464" s="13">
        <f t="shared" si="196"/>
        <v>22</v>
      </c>
      <c r="M464" s="13">
        <f t="shared" si="197"/>
        <v>5</v>
      </c>
      <c r="N464" s="14">
        <f t="shared" si="198"/>
        <v>1102006</v>
      </c>
      <c r="O464" s="14" t="str">
        <f t="shared" si="199"/>
        <v>项羽20突</v>
      </c>
      <c r="P464" s="29" t="s">
        <v>470</v>
      </c>
      <c r="Q464" s="14">
        <f t="shared" si="200"/>
        <v>2</v>
      </c>
      <c r="R464" s="14">
        <f t="shared" si="201"/>
        <v>20</v>
      </c>
      <c r="S464" s="14" t="s">
        <v>39</v>
      </c>
      <c r="T464" s="14">
        <f>ROUND(((IF(Q464=1,INDEX(新属性投放!$J$14:$J$34,卡牌属性!R464),INDEX(新属性投放!$J$42:$J$62,卡牌属性!R464)))*INDEX($G$5:$G$42,L464)+IF(Q464=1,INDEX(新属性投放!R$20:R$23,卡牌属性!M464-1),INDEX(新属性投放!R$25:R$28,卡牌属性!M464-1)))/SQRT(INDEX($I$5:$I$42,L464)),2)</f>
        <v>29685.68</v>
      </c>
      <c r="U464" s="29" t="s">
        <v>178</v>
      </c>
      <c r="V464" s="14">
        <f>ROUND((IF(Q464=1,INDEX(新属性投放!$K$14:$K$34,卡牌属性!R464),INDEX(新属性投放!$K$42:$K$62,卡牌属性!R464))+IF(Q464=1,INDEX(新属性投放!S$20:S$23,卡牌属性!M464-1),INDEX(新属性投放!S$25:S$28,卡牌属性!M464-1)))*INDEX($G$5:$G$42,L464),2)</f>
        <v>14503.09</v>
      </c>
      <c r="W464" s="29" t="s">
        <v>179</v>
      </c>
      <c r="X464" s="14">
        <f>ROUND((IF(Q464=1,INDEX(新属性投放!$L$14:$L$34,卡牌属性!R464),INDEX(新属性投放!$L$42:$L$62,卡牌属性!R464))*INDEX($G$5:$G$42,L464)+IF(Q464=1,INDEX(新属性投放!T$20:T$23,卡牌属性!M464-1),INDEX(新属性投放!T$25:T$28,卡牌属性!M464-1)))*SQRT(INDEX($I$5:$I$42,L464)),2)</f>
        <v>158498.5</v>
      </c>
      <c r="Y464" s="29" t="s">
        <v>177</v>
      </c>
      <c r="Z464" s="14">
        <f>ROUND(IF(Q464=1,INDEX(新属性投放!$D$14:$D$34,卡牌属性!R464),INDEX(新属性投放!$D$42:$D$62,卡牌属性!R464))*INDEX($G$5:$G$42,L464)/SQRT(INDEX($I$5:$I$42,L464)),2)</f>
        <v>720.96</v>
      </c>
      <c r="AA464" s="29" t="s">
        <v>178</v>
      </c>
      <c r="AB464" s="14">
        <f>ROUND(IF(Q464=1,INDEX(新属性投放!$E$14:$E$34,卡牌属性!R464),INDEX(新属性投放!$E$42:$E$62,卡牌属性!R464))*INDEX($G$5:$G$42,L464),2)</f>
        <v>360.48</v>
      </c>
      <c r="AC464" s="29" t="s">
        <v>179</v>
      </c>
      <c r="AD464" s="14">
        <f>ROUND(IF(Q464=1,INDEX(新属性投放!$F$14:$F$34,卡牌属性!R464),INDEX(新属性投放!$F$42:$F$62,卡牌属性!R464))*INDEX($G$5:$G$42,L464)*SQRT(INDEX($I$5:$I$42,L464)),2)</f>
        <v>3243</v>
      </c>
      <c r="AF464" s="14">
        <f t="shared" si="202"/>
        <v>7209</v>
      </c>
      <c r="AG464" s="14">
        <f t="shared" si="203"/>
        <v>3604</v>
      </c>
      <c r="AH464" s="14">
        <f t="shared" si="204"/>
        <v>32430</v>
      </c>
      <c r="AJ464" s="14">
        <f t="shared" si="193"/>
        <v>48619</v>
      </c>
      <c r="AK464" s="14">
        <f t="shared" si="194"/>
        <v>24304</v>
      </c>
      <c r="AL464" s="14">
        <f t="shared" si="195"/>
        <v>218685</v>
      </c>
    </row>
    <row r="465" spans="11:38" ht="16.5" x14ac:dyDescent="0.2">
      <c r="K465" s="13">
        <v>462</v>
      </c>
      <c r="L465" s="13">
        <f t="shared" si="196"/>
        <v>22</v>
      </c>
      <c r="M465" s="13">
        <f t="shared" si="197"/>
        <v>5</v>
      </c>
      <c r="N465" s="14">
        <f t="shared" si="198"/>
        <v>1102006</v>
      </c>
      <c r="O465" s="14" t="str">
        <f t="shared" si="199"/>
        <v>项羽21突</v>
      </c>
      <c r="P465" s="29" t="s">
        <v>470</v>
      </c>
      <c r="Q465" s="14">
        <f t="shared" si="200"/>
        <v>2</v>
      </c>
      <c r="R465" s="14">
        <f t="shared" si="201"/>
        <v>21</v>
      </c>
      <c r="S465" s="14" t="s">
        <v>39</v>
      </c>
      <c r="T465" s="14">
        <f>ROUND(((IF(Q465=1,INDEX(新属性投放!$J$14:$J$34,卡牌属性!R465),INDEX(新属性投放!$J$42:$J$62,卡牌属性!R465)))*INDEX($G$5:$G$42,L465)+IF(Q465=1,INDEX(新属性投放!R$20:R$23,卡牌属性!M465-1),INDEX(新属性投放!R$25:R$28,卡牌属性!M465-1)))/SQRT(INDEX($I$5:$I$42,L465)),2)</f>
        <v>34191.980000000003</v>
      </c>
      <c r="U465" s="29" t="s">
        <v>178</v>
      </c>
      <c r="V465" s="14">
        <f>ROUND((IF(Q465=1,INDEX(新属性投放!$K$14:$K$34,卡牌属性!R465),INDEX(新属性投放!$K$42:$K$62,卡牌属性!R465))+IF(Q465=1,INDEX(新属性投放!S$20:S$23,卡牌属性!M465-1),INDEX(新属性投放!S$25:S$28,卡牌属性!M465-1)))*INDEX($G$5:$G$42,L465),2)</f>
        <v>16755.490000000002</v>
      </c>
      <c r="W465" s="29" t="s">
        <v>179</v>
      </c>
      <c r="X465" s="14">
        <f>ROUND((IF(Q465=1,INDEX(新属性投放!$L$14:$L$34,卡牌属性!R465),INDEX(新属性投放!$L$42:$L$62,卡牌属性!R465))*INDEX($G$5:$G$42,L465)+IF(Q465=1,INDEX(新属性投放!T$20:T$23,卡牌属性!M465-1),INDEX(新属性投放!T$25:T$28,卡牌属性!M465-1)))*SQRT(INDEX($I$5:$I$42,L465)),2)</f>
        <v>182827</v>
      </c>
      <c r="Y465" s="29" t="s">
        <v>177</v>
      </c>
      <c r="Z465" s="14">
        <f>ROUND(IF(Q465=1,INDEX(新属性投放!$D$14:$D$34,卡牌属性!R465),INDEX(新属性投放!$D$42:$D$62,卡牌属性!R465))*INDEX($G$5:$G$42,L465)/SQRT(INDEX($I$5:$I$42,L465)),2)</f>
        <v>833.61</v>
      </c>
      <c r="AA465" s="29" t="s">
        <v>178</v>
      </c>
      <c r="AB465" s="14">
        <f>ROUND(IF(Q465=1,INDEX(新属性投放!$E$14:$E$34,卡牌属性!R465),INDEX(新属性投放!$E$42:$E$62,卡牌属性!R465))*INDEX($G$5:$G$42,L465),2)</f>
        <v>416.81</v>
      </c>
      <c r="AC465" s="29" t="s">
        <v>179</v>
      </c>
      <c r="AD465" s="14">
        <f>ROUND(IF(Q465=1,INDEX(新属性投放!$F$14:$F$34,卡牌属性!R465),INDEX(新属性投放!$F$42:$F$62,卡牌属性!R465))*INDEX($G$5:$G$42,L465)*SQRT(INDEX($I$5:$I$42,L465)),2)</f>
        <v>3750</v>
      </c>
      <c r="AF465" s="14">
        <f t="shared" si="202"/>
        <v>8336</v>
      </c>
      <c r="AG465" s="14">
        <f t="shared" si="203"/>
        <v>4168</v>
      </c>
      <c r="AH465" s="14">
        <f t="shared" si="204"/>
        <v>37500</v>
      </c>
      <c r="AJ465" s="14">
        <f t="shared" si="193"/>
        <v>56955</v>
      </c>
      <c r="AK465" s="14">
        <f t="shared" si="194"/>
        <v>28472</v>
      </c>
      <c r="AL465" s="14">
        <f t="shared" si="195"/>
        <v>256185</v>
      </c>
    </row>
    <row r="466" spans="11:38" ht="16.5" x14ac:dyDescent="0.2">
      <c r="K466" s="13">
        <v>463</v>
      </c>
      <c r="L466" s="13">
        <f t="shared" si="196"/>
        <v>23</v>
      </c>
      <c r="M466" s="13">
        <f t="shared" si="197"/>
        <v>4</v>
      </c>
      <c r="N466" s="14">
        <f t="shared" si="198"/>
        <v>1102007</v>
      </c>
      <c r="O466" s="14" t="str">
        <f t="shared" si="199"/>
        <v>天使缇娜1突</v>
      </c>
      <c r="P466" s="29" t="s">
        <v>470</v>
      </c>
      <c r="Q466" s="14">
        <f t="shared" si="200"/>
        <v>2</v>
      </c>
      <c r="R466" s="14">
        <f t="shared" si="201"/>
        <v>1</v>
      </c>
      <c r="S466" s="14" t="s">
        <v>39</v>
      </c>
      <c r="T466" s="14">
        <f>ROUND(((IF(Q466=1,INDEX(新属性投放!$J$14:$J$34,卡牌属性!R466),INDEX(新属性投放!$J$42:$J$62,卡牌属性!R466)))*INDEX($G$5:$G$42,L466)+IF(Q466=1,INDEX(新属性投放!R$20:R$23,卡牌属性!M466-1),INDEX(新属性投放!R$25:R$28,卡牌属性!M466-1)))/SQRT(INDEX($I$5:$I$42,L466)),2)</f>
        <v>655</v>
      </c>
      <c r="U466" s="29" t="s">
        <v>178</v>
      </c>
      <c r="V466" s="14">
        <f>ROUND((IF(Q466=1,INDEX(新属性投放!$K$14:$K$34,卡牌属性!R466),INDEX(新属性投放!$K$42:$K$62,卡牌属性!R466))+IF(Q466=1,INDEX(新属性投放!S$20:S$23,卡牌属性!M466-1),INDEX(新属性投放!S$25:S$28,卡牌属性!M466-1)))*INDEX($G$5:$G$42,L466),2)</f>
        <v>130</v>
      </c>
      <c r="W466" s="29" t="s">
        <v>179</v>
      </c>
      <c r="X466" s="14">
        <f>ROUND((IF(Q466=1,INDEX(新属性投放!$L$14:$L$34,卡牌属性!R466),INDEX(新属性投放!$L$42:$L$62,卡牌属性!R466))*INDEX($G$5:$G$42,L466)+IF(Q466=1,INDEX(新属性投放!T$20:T$23,卡牌属性!M466-1),INDEX(新属性投放!T$25:T$28,卡牌属性!M466-1)))*SQRT(INDEX($I$5:$I$42,L466)),2)</f>
        <v>1975</v>
      </c>
      <c r="Y466" s="29" t="s">
        <v>177</v>
      </c>
      <c r="Z466" s="14">
        <f>ROUND(IF(Q466=1,INDEX(新属性投放!$D$14:$D$34,卡牌属性!R466),INDEX(新属性投放!$D$42:$D$62,卡牌属性!R466))*INDEX($G$5:$G$42,L466)/SQRT(INDEX($I$5:$I$42,L466)),2)</f>
        <v>19.5</v>
      </c>
      <c r="AA466" s="29" t="s">
        <v>178</v>
      </c>
      <c r="AB466" s="14">
        <f>ROUND(IF(Q466=1,INDEX(新属性投放!$E$14:$E$34,卡牌属性!R466),INDEX(新属性投放!$E$42:$E$62,卡牌属性!R466))*INDEX($G$5:$G$42,L466),2)</f>
        <v>9.75</v>
      </c>
      <c r="AC466" s="29" t="s">
        <v>179</v>
      </c>
      <c r="AD466" s="14">
        <f>ROUND(IF(Q466=1,INDEX(新属性投放!$F$14:$F$34,卡牌属性!R466),INDEX(新属性投放!$F$42:$F$62,卡牌属性!R466))*INDEX($G$5:$G$42,L466)*SQRT(INDEX($I$5:$I$42,L466)),2)</f>
        <v>87.1</v>
      </c>
      <c r="AF466" s="14">
        <f t="shared" si="202"/>
        <v>195</v>
      </c>
      <c r="AG466" s="14">
        <f t="shared" si="203"/>
        <v>97</v>
      </c>
      <c r="AH466" s="14">
        <f t="shared" si="204"/>
        <v>871</v>
      </c>
      <c r="AJ466" s="14">
        <f t="shared" ref="AJ466" si="205">AF466</f>
        <v>195</v>
      </c>
      <c r="AK466" s="14">
        <f t="shared" ref="AK466" si="206">AG466</f>
        <v>97</v>
      </c>
      <c r="AL466" s="14">
        <f t="shared" ref="AL466" si="207">AH466</f>
        <v>871</v>
      </c>
    </row>
    <row r="467" spans="11:38" ht="16.5" x14ac:dyDescent="0.2">
      <c r="K467" s="13">
        <v>464</v>
      </c>
      <c r="L467" s="13">
        <f t="shared" si="196"/>
        <v>23</v>
      </c>
      <c r="M467" s="13">
        <f t="shared" si="197"/>
        <v>4</v>
      </c>
      <c r="N467" s="14">
        <f t="shared" si="198"/>
        <v>1102007</v>
      </c>
      <c r="O467" s="14" t="str">
        <f t="shared" si="199"/>
        <v>天使缇娜2突</v>
      </c>
      <c r="P467" s="29" t="s">
        <v>470</v>
      </c>
      <c r="Q467" s="14">
        <f t="shared" si="200"/>
        <v>2</v>
      </c>
      <c r="R467" s="14">
        <f t="shared" si="201"/>
        <v>2</v>
      </c>
      <c r="S467" s="14" t="s">
        <v>39</v>
      </c>
      <c r="T467" s="14">
        <f>ROUND(((IF(Q467=1,INDEX(新属性投放!$J$14:$J$34,卡牌属性!R467),INDEX(新属性投放!$J$42:$J$62,卡牌属性!R467)))*INDEX($G$5:$G$42,L467)+IF(Q467=1,INDEX(新属性投放!R$20:R$23,卡牌属性!M467-1),INDEX(新属性投放!R$25:R$28,卡牌属性!M467-1)))/SQRT(INDEX($I$5:$I$42,L467)),2)</f>
        <v>863</v>
      </c>
      <c r="U467" s="29" t="s">
        <v>178</v>
      </c>
      <c r="V467" s="14">
        <f>ROUND((IF(Q467=1,INDEX(新属性投放!$K$14:$K$34,卡牌属性!R467),INDEX(新属性投放!$K$42:$K$62,卡牌属性!R467))+IF(Q467=1,INDEX(新属性投放!S$20:S$23,卡牌属性!M467-1),INDEX(新属性投放!S$25:S$28,卡牌属性!M467-1)))*INDEX($G$5:$G$42,L467),2)</f>
        <v>230.75</v>
      </c>
      <c r="W467" s="29" t="s">
        <v>179</v>
      </c>
      <c r="X467" s="14">
        <f>ROUND((IF(Q467=1,INDEX(新属性投放!$L$14:$L$34,卡牌属性!R467),INDEX(新属性投放!$L$42:$L$62,卡牌属性!R467))*INDEX($G$5:$G$42,L467)+IF(Q467=1,INDEX(新属性投放!T$20:T$23,卡牌属性!M467-1),INDEX(新属性投放!T$25:T$28,卡牌属性!M467-1)))*SQRT(INDEX($I$5:$I$42,L467)),2)</f>
        <v>3051.4</v>
      </c>
      <c r="Y467" s="29" t="s">
        <v>177</v>
      </c>
      <c r="Z467" s="14">
        <f>ROUND(IF(Q467=1,INDEX(新属性投放!$D$14:$D$34,卡牌属性!R467),INDEX(新属性投放!$D$42:$D$62,卡牌属性!R467))*INDEX($G$5:$G$42,L467)/SQRT(INDEX($I$5:$I$42,L467)),2)</f>
        <v>17.899999999999999</v>
      </c>
      <c r="AA467" s="29" t="s">
        <v>178</v>
      </c>
      <c r="AB467" s="14">
        <f>ROUND(IF(Q467=1,INDEX(新属性投放!$E$14:$E$34,卡牌属性!R467),INDEX(新属性投放!$E$42:$E$62,卡牌属性!R467))*INDEX($G$5:$G$42,L467),2)</f>
        <v>8.9499999999999993</v>
      </c>
      <c r="AC467" s="29" t="s">
        <v>179</v>
      </c>
      <c r="AD467" s="14">
        <f>ROUND(IF(Q467=1,INDEX(新属性投放!$F$14:$F$34,卡牌属性!R467),INDEX(新属性投放!$F$42:$F$62,卡牌属性!R467))*INDEX($G$5:$G$42,L467)*SQRT(INDEX($I$5:$I$42,L467)),2)</f>
        <v>79.3</v>
      </c>
      <c r="AF467" s="14">
        <f t="shared" si="202"/>
        <v>179</v>
      </c>
      <c r="AG467" s="14">
        <f t="shared" si="203"/>
        <v>89</v>
      </c>
      <c r="AH467" s="14">
        <f t="shared" si="204"/>
        <v>793</v>
      </c>
      <c r="AJ467" s="14">
        <f t="shared" ref="AJ467:AJ486" si="208">AJ466+AF467</f>
        <v>374</v>
      </c>
      <c r="AK467" s="14">
        <f t="shared" ref="AK467:AK486" si="209">AK466+AG467</f>
        <v>186</v>
      </c>
      <c r="AL467" s="14">
        <f t="shared" ref="AL467:AL486" si="210">AL466+AH467</f>
        <v>1664</v>
      </c>
    </row>
    <row r="468" spans="11:38" ht="16.5" x14ac:dyDescent="0.2">
      <c r="K468" s="13">
        <v>465</v>
      </c>
      <c r="L468" s="13">
        <f t="shared" si="196"/>
        <v>23</v>
      </c>
      <c r="M468" s="13">
        <f t="shared" si="197"/>
        <v>4</v>
      </c>
      <c r="N468" s="14">
        <f t="shared" si="198"/>
        <v>1102007</v>
      </c>
      <c r="O468" s="14" t="str">
        <f t="shared" si="199"/>
        <v>天使缇娜3突</v>
      </c>
      <c r="P468" s="29" t="s">
        <v>470</v>
      </c>
      <c r="Q468" s="14">
        <f t="shared" si="200"/>
        <v>2</v>
      </c>
      <c r="R468" s="14">
        <f t="shared" si="201"/>
        <v>3</v>
      </c>
      <c r="S468" s="14" t="s">
        <v>39</v>
      </c>
      <c r="T468" s="14">
        <f>ROUND(((IF(Q468=1,INDEX(新属性投放!$J$14:$J$34,卡牌属性!R468),INDEX(新属性投放!$J$42:$J$62,卡牌属性!R468)))*INDEX($G$5:$G$42,L468)+IF(Q468=1,INDEX(新属性投放!R$20:R$23,卡牌属性!M468-1),INDEX(新属性投放!R$25:R$28,卡牌属性!M468-1)))/SQRT(INDEX($I$5:$I$42,L468)),2)</f>
        <v>1086.21</v>
      </c>
      <c r="U468" s="29" t="s">
        <v>178</v>
      </c>
      <c r="V468" s="14">
        <f>ROUND((IF(Q468=1,INDEX(新属性投放!$K$14:$K$34,卡牌属性!R468),INDEX(新属性投放!$K$42:$K$62,卡牌属性!R468))+IF(Q468=1,INDEX(新属性投放!S$20:S$23,卡牌属性!M468-1),INDEX(新属性投放!S$25:S$28,卡牌属性!M468-1)))*INDEX($G$5:$G$42,L468),2)</f>
        <v>342.36</v>
      </c>
      <c r="W468" s="29" t="s">
        <v>179</v>
      </c>
      <c r="X468" s="14">
        <f>ROUND((IF(Q468=1,INDEX(新属性投放!$L$14:$L$34,卡牌属性!R468),INDEX(新属性投放!$L$42:$L$62,卡牌属性!R468))*INDEX($G$5:$G$42,L468)+IF(Q468=1,INDEX(新属性投放!T$20:T$23,卡牌属性!M468-1),INDEX(新属性投放!T$25:T$28,卡牌属性!M468-1)))*SQRT(INDEX($I$5:$I$42,L468)),2)</f>
        <v>4242.2</v>
      </c>
      <c r="Y468" s="29" t="s">
        <v>177</v>
      </c>
      <c r="Z468" s="14">
        <f>ROUND(IF(Q468=1,INDEX(新属性投放!$D$14:$D$34,卡牌属性!R468),INDEX(新属性投放!$D$42:$D$62,卡牌属性!R468))*INDEX($G$5:$G$42,L468)/SQRT(INDEX($I$5:$I$42,L468)),2)</f>
        <v>32.72</v>
      </c>
      <c r="AA468" s="29" t="s">
        <v>178</v>
      </c>
      <c r="AB468" s="14">
        <f>ROUND(IF(Q468=1,INDEX(新属性投放!$E$14:$E$34,卡牌属性!R468),INDEX(新属性投放!$E$42:$E$62,卡牌属性!R468))*INDEX($G$5:$G$42,L468),2)</f>
        <v>16.36</v>
      </c>
      <c r="AC468" s="29" t="s">
        <v>179</v>
      </c>
      <c r="AD468" s="14">
        <f>ROUND(IF(Q468=1,INDEX(新属性投放!$F$14:$F$34,卡牌属性!R468),INDEX(新属性投放!$F$42:$F$62,卡牌属性!R468))*INDEX($G$5:$G$42,L468)*SQRT(INDEX($I$5:$I$42,L468)),2)</f>
        <v>146.9</v>
      </c>
      <c r="AF468" s="14">
        <f t="shared" si="202"/>
        <v>327</v>
      </c>
      <c r="AG468" s="14">
        <f t="shared" si="203"/>
        <v>163</v>
      </c>
      <c r="AH468" s="14">
        <f t="shared" si="204"/>
        <v>1469</v>
      </c>
      <c r="AJ468" s="14">
        <f t="shared" si="208"/>
        <v>701</v>
      </c>
      <c r="AK468" s="14">
        <f t="shared" si="209"/>
        <v>349</v>
      </c>
      <c r="AL468" s="14">
        <f t="shared" si="210"/>
        <v>3133</v>
      </c>
    </row>
    <row r="469" spans="11:38" ht="16.5" x14ac:dyDescent="0.2">
      <c r="K469" s="13">
        <v>466</v>
      </c>
      <c r="L469" s="13">
        <f t="shared" si="196"/>
        <v>23</v>
      </c>
      <c r="M469" s="13">
        <f t="shared" si="197"/>
        <v>4</v>
      </c>
      <c r="N469" s="14">
        <f t="shared" si="198"/>
        <v>1102007</v>
      </c>
      <c r="O469" s="14" t="str">
        <f t="shared" si="199"/>
        <v>天使缇娜4突</v>
      </c>
      <c r="P469" s="29" t="s">
        <v>470</v>
      </c>
      <c r="Q469" s="14">
        <f t="shared" si="200"/>
        <v>2</v>
      </c>
      <c r="R469" s="14">
        <f t="shared" si="201"/>
        <v>4</v>
      </c>
      <c r="S469" s="14" t="s">
        <v>39</v>
      </c>
      <c r="T469" s="14">
        <f>ROUND(((IF(Q469=1,INDEX(新属性投放!$J$14:$J$34,卡牌属性!R469),INDEX(新属性投放!$J$42:$J$62,卡牌属性!R469)))*INDEX($G$5:$G$42,L469)+IF(Q469=1,INDEX(新属性投放!R$20:R$23,卡牌属性!M469-1),INDEX(新属性投放!R$25:R$28,卡牌属性!M469-1)))/SQRT(INDEX($I$5:$I$42,L469)),2)</f>
        <v>1495.32</v>
      </c>
      <c r="U469" s="29" t="s">
        <v>178</v>
      </c>
      <c r="V469" s="14">
        <f>ROUND((IF(Q469=1,INDEX(新属性投放!$K$14:$K$34,卡牌属性!R469),INDEX(新属性投放!$K$42:$K$62,卡牌属性!R469))+IF(Q469=1,INDEX(新属性投放!S$20:S$23,卡牌属性!M469-1),INDEX(新属性投放!S$25:S$28,卡牌属性!M469-1)))*INDEX($G$5:$G$42,L469),2)</f>
        <v>546.26</v>
      </c>
      <c r="W469" s="29" t="s">
        <v>179</v>
      </c>
      <c r="X469" s="14">
        <f>ROUND((IF(Q469=1,INDEX(新属性投放!$L$14:$L$34,卡牌属性!R469),INDEX(新属性投放!$L$42:$L$62,卡牌属性!R469))*INDEX($G$5:$G$42,L469)+IF(Q469=1,INDEX(新属性投放!T$20:T$23,卡牌属性!M469-1),INDEX(新属性投放!T$25:T$28,卡牌属性!M469-1)))*SQRT(INDEX($I$5:$I$42,L469)),2)</f>
        <v>6448.3</v>
      </c>
      <c r="Y469" s="29" t="s">
        <v>177</v>
      </c>
      <c r="Z469" s="14">
        <f>ROUND(IF(Q469=1,INDEX(新属性投放!$D$14:$D$34,卡牌属性!R469),INDEX(新属性投放!$D$42:$D$62,卡牌属性!R469))*INDEX($G$5:$G$42,L469)/SQRT(INDEX($I$5:$I$42,L469)),2)</f>
        <v>39.17</v>
      </c>
      <c r="AA469" s="29" t="s">
        <v>178</v>
      </c>
      <c r="AB469" s="14">
        <f>ROUND(IF(Q469=1,INDEX(新属性投放!$E$14:$E$34,卡牌属性!R469),INDEX(新属性投放!$E$42:$E$62,卡牌属性!R469))*INDEX($G$5:$G$42,L469),2)</f>
        <v>19.579999999999998</v>
      </c>
      <c r="AC469" s="29" t="s">
        <v>179</v>
      </c>
      <c r="AD469" s="14">
        <f>ROUND(IF(Q469=1,INDEX(新属性投放!$F$14:$F$34,卡牌属性!R469),INDEX(新属性投放!$F$42:$F$62,卡牌属性!R469))*INDEX($G$5:$G$42,L469)*SQRT(INDEX($I$5:$I$42,L469)),2)</f>
        <v>175.5</v>
      </c>
      <c r="AF469" s="14">
        <f t="shared" si="202"/>
        <v>391</v>
      </c>
      <c r="AG469" s="14">
        <f t="shared" si="203"/>
        <v>195</v>
      </c>
      <c r="AH469" s="14">
        <f t="shared" si="204"/>
        <v>1755</v>
      </c>
      <c r="AJ469" s="14">
        <f t="shared" si="208"/>
        <v>1092</v>
      </c>
      <c r="AK469" s="14">
        <f t="shared" si="209"/>
        <v>544</v>
      </c>
      <c r="AL469" s="14">
        <f t="shared" si="210"/>
        <v>4888</v>
      </c>
    </row>
    <row r="470" spans="11:38" ht="16.5" x14ac:dyDescent="0.2">
      <c r="K470" s="13">
        <v>467</v>
      </c>
      <c r="L470" s="13">
        <f t="shared" si="196"/>
        <v>23</v>
      </c>
      <c r="M470" s="13">
        <f t="shared" si="197"/>
        <v>4</v>
      </c>
      <c r="N470" s="14">
        <f t="shared" si="198"/>
        <v>1102007</v>
      </c>
      <c r="O470" s="14" t="str">
        <f t="shared" si="199"/>
        <v>天使缇娜5突</v>
      </c>
      <c r="P470" s="29" t="s">
        <v>470</v>
      </c>
      <c r="Q470" s="14">
        <f t="shared" si="200"/>
        <v>2</v>
      </c>
      <c r="R470" s="14">
        <f t="shared" si="201"/>
        <v>5</v>
      </c>
      <c r="S470" s="14" t="s">
        <v>39</v>
      </c>
      <c r="T470" s="14">
        <f>ROUND(((IF(Q470=1,INDEX(新属性投放!$J$14:$J$34,卡牌属性!R470),INDEX(新属性投放!$J$42:$J$62,卡牌属性!R470)))*INDEX($G$5:$G$42,L470)+IF(Q470=1,INDEX(新属性投放!R$20:R$23,卡牌属性!M470-1),INDEX(新属性投放!R$25:R$28,卡牌属性!M470-1)))/SQRT(INDEX($I$5:$I$42,L470)),2)</f>
        <v>1984.51</v>
      </c>
      <c r="U470" s="29" t="s">
        <v>178</v>
      </c>
      <c r="V470" s="14">
        <f>ROUND((IF(Q470=1,INDEX(新属性投放!$K$14:$K$34,卡牌属性!R470),INDEX(新属性投放!$K$42:$K$62,卡牌属性!R470))+IF(Q470=1,INDEX(新属性投放!S$20:S$23,卡牌属性!M470-1),INDEX(新属性投放!S$25:S$28,卡牌属性!M470-1)))*INDEX($G$5:$G$42,L470),2)</f>
        <v>791.51</v>
      </c>
      <c r="W470" s="29" t="s">
        <v>179</v>
      </c>
      <c r="X470" s="14">
        <f>ROUND((IF(Q470=1,INDEX(新属性投放!$L$14:$L$34,卡牌属性!R470),INDEX(新属性投放!$L$42:$L$62,卡牌属性!R470))*INDEX($G$5:$G$42,L470)+IF(Q470=1,INDEX(新属性投放!T$20:T$23,卡牌属性!M470-1),INDEX(新属性投放!T$25:T$28,卡牌属性!M470-1)))*SQRT(INDEX($I$5:$I$42,L470)),2)</f>
        <v>9080.7999999999993</v>
      </c>
      <c r="Y470" s="29" t="s">
        <v>177</v>
      </c>
      <c r="Z470" s="14">
        <f>ROUND(IF(Q470=1,INDEX(新属性投放!$D$14:$D$34,卡牌属性!R470),INDEX(新属性投放!$D$42:$D$62,卡牌属性!R470))*INDEX($G$5:$G$42,L470)/SQRT(INDEX($I$5:$I$42,L470)),2)</f>
        <v>48.96</v>
      </c>
      <c r="AA470" s="29" t="s">
        <v>178</v>
      </c>
      <c r="AB470" s="14">
        <f>ROUND(IF(Q470=1,INDEX(新属性投放!$E$14:$E$34,卡牌属性!R470),INDEX(新属性投放!$E$42:$E$62,卡牌属性!R470))*INDEX($G$5:$G$42,L470),2)</f>
        <v>24.48</v>
      </c>
      <c r="AC470" s="29" t="s">
        <v>179</v>
      </c>
      <c r="AD470" s="14">
        <f>ROUND(IF(Q470=1,INDEX(新属性投放!$F$14:$F$34,卡牌属性!R470),INDEX(新属性投放!$F$42:$F$62,卡牌属性!R470))*INDEX($G$5:$G$42,L470)*SQRT(INDEX($I$5:$I$42,L470)),2)</f>
        <v>219.7</v>
      </c>
      <c r="AF470" s="14">
        <f t="shared" si="202"/>
        <v>489</v>
      </c>
      <c r="AG470" s="14">
        <f t="shared" si="203"/>
        <v>244</v>
      </c>
      <c r="AH470" s="14">
        <f t="shared" si="204"/>
        <v>2197</v>
      </c>
      <c r="AJ470" s="14">
        <f t="shared" si="208"/>
        <v>1581</v>
      </c>
      <c r="AK470" s="14">
        <f t="shared" si="209"/>
        <v>788</v>
      </c>
      <c r="AL470" s="14">
        <f t="shared" si="210"/>
        <v>7085</v>
      </c>
    </row>
    <row r="471" spans="11:38" ht="16.5" x14ac:dyDescent="0.2">
      <c r="K471" s="13">
        <v>468</v>
      </c>
      <c r="L471" s="13">
        <f t="shared" si="196"/>
        <v>23</v>
      </c>
      <c r="M471" s="13">
        <f t="shared" si="197"/>
        <v>4</v>
      </c>
      <c r="N471" s="14">
        <f t="shared" si="198"/>
        <v>1102007</v>
      </c>
      <c r="O471" s="14" t="str">
        <f t="shared" si="199"/>
        <v>天使缇娜6突</v>
      </c>
      <c r="P471" s="29" t="s">
        <v>470</v>
      </c>
      <c r="Q471" s="14">
        <f t="shared" si="200"/>
        <v>2</v>
      </c>
      <c r="R471" s="14">
        <f t="shared" si="201"/>
        <v>6</v>
      </c>
      <c r="S471" s="14" t="s">
        <v>39</v>
      </c>
      <c r="T471" s="14">
        <f>ROUND(((IF(Q471=1,INDEX(新属性投放!$J$14:$J$34,卡牌属性!R471),INDEX(新属性投放!$J$42:$J$62,卡牌属性!R471)))*INDEX($G$5:$G$42,L471)+IF(Q471=1,INDEX(新属性投放!R$20:R$23,卡牌属性!M471-1),INDEX(新属性投放!R$25:R$28,卡牌属性!M471-1)))/SQRT(INDEX($I$5:$I$42,L471)),2)</f>
        <v>2596.29</v>
      </c>
      <c r="U471" s="29" t="s">
        <v>178</v>
      </c>
      <c r="V471" s="14">
        <f>ROUND((IF(Q471=1,INDEX(新属性投放!$K$14:$K$34,卡牌属性!R471),INDEX(新属性投放!$K$42:$K$62,卡牌属性!R471))+IF(Q471=1,INDEX(新属性投放!S$20:S$23,卡牌属性!M471-1),INDEX(新属性投放!S$25:S$28,卡牌属性!M471-1)))*INDEX($G$5:$G$42,L471),2)</f>
        <v>1097.4000000000001</v>
      </c>
      <c r="W471" s="29" t="s">
        <v>179</v>
      </c>
      <c r="X471" s="14">
        <f>ROUND((IF(Q471=1,INDEX(新属性投放!$L$14:$L$34,卡牌属性!R471),INDEX(新属性投放!$L$42:$L$62,卡牌属性!R471))*INDEX($G$5:$G$42,L471)+IF(Q471=1,INDEX(新属性投放!T$20:T$23,卡牌属性!M471-1),INDEX(新属性投放!T$25:T$28,卡牌属性!M471-1)))*SQRT(INDEX($I$5:$I$42,L471)),2)</f>
        <v>12377.6</v>
      </c>
      <c r="Y471" s="29" t="s">
        <v>177</v>
      </c>
      <c r="Z471" s="14">
        <f>ROUND(IF(Q471=1,INDEX(新属性投放!$D$14:$D$34,卡牌属性!R471),INDEX(新属性投放!$D$42:$D$62,卡牌属性!R471))*INDEX($G$5:$G$42,L471)/SQRT(INDEX($I$5:$I$42,L471)),2)</f>
        <v>63.51</v>
      </c>
      <c r="AA471" s="29" t="s">
        <v>178</v>
      </c>
      <c r="AB471" s="14">
        <f>ROUND(IF(Q471=1,INDEX(新属性投放!$E$14:$E$34,卡牌属性!R471),INDEX(新属性投放!$E$42:$E$62,卡牌属性!R471))*INDEX($G$5:$G$42,L471),2)</f>
        <v>31.75</v>
      </c>
      <c r="AC471" s="29" t="s">
        <v>179</v>
      </c>
      <c r="AD471" s="14">
        <f>ROUND(IF(Q471=1,INDEX(新属性投放!$F$14:$F$34,卡牌属性!R471),INDEX(新属性投放!$F$42:$F$62,卡牌属性!R471))*INDEX($G$5:$G$42,L471)*SQRT(INDEX($I$5:$I$42,L471)),2)</f>
        <v>284.7</v>
      </c>
      <c r="AF471" s="14">
        <f t="shared" si="202"/>
        <v>635</v>
      </c>
      <c r="AG471" s="14">
        <f t="shared" si="203"/>
        <v>317</v>
      </c>
      <c r="AH471" s="14">
        <f t="shared" si="204"/>
        <v>2847</v>
      </c>
      <c r="AJ471" s="14">
        <f t="shared" si="208"/>
        <v>2216</v>
      </c>
      <c r="AK471" s="14">
        <f t="shared" si="209"/>
        <v>1105</v>
      </c>
      <c r="AL471" s="14">
        <f t="shared" si="210"/>
        <v>9932</v>
      </c>
    </row>
    <row r="472" spans="11:38" ht="16.5" x14ac:dyDescent="0.2">
      <c r="K472" s="13">
        <v>469</v>
      </c>
      <c r="L472" s="13">
        <f t="shared" si="196"/>
        <v>23</v>
      </c>
      <c r="M472" s="13">
        <f t="shared" si="197"/>
        <v>4</v>
      </c>
      <c r="N472" s="14">
        <f t="shared" si="198"/>
        <v>1102007</v>
      </c>
      <c r="O472" s="14" t="str">
        <f t="shared" si="199"/>
        <v>天使缇娜7突</v>
      </c>
      <c r="P472" s="29" t="s">
        <v>470</v>
      </c>
      <c r="Q472" s="14">
        <f t="shared" si="200"/>
        <v>2</v>
      </c>
      <c r="R472" s="14">
        <f t="shared" si="201"/>
        <v>7</v>
      </c>
      <c r="S472" s="14" t="s">
        <v>39</v>
      </c>
      <c r="T472" s="14">
        <f>ROUND(((IF(Q472=1,INDEX(新属性投放!$J$14:$J$34,卡牌属性!R472),INDEX(新属性投放!$J$42:$J$62,卡牌属性!R472)))*INDEX($G$5:$G$42,L472)+IF(Q472=1,INDEX(新属性投放!R$20:R$23,卡牌属性!M472-1),INDEX(新属性投放!R$25:R$28,卡牌属性!M472-1)))/SQRT(INDEX($I$5:$I$42,L472)),2)</f>
        <v>3389.94</v>
      </c>
      <c r="U472" s="29" t="s">
        <v>178</v>
      </c>
      <c r="V472" s="14">
        <f>ROUND((IF(Q472=1,INDEX(新属性投放!$K$14:$K$34,卡牌属性!R472),INDEX(新属性投放!$K$42:$K$62,卡牌属性!R472))+IF(Q472=1,INDEX(新属性投放!S$20:S$23,卡牌属性!M472-1),INDEX(新属性投放!S$25:S$28,卡牌属性!M472-1)))*INDEX($G$5:$G$42,L472),2)</f>
        <v>1494.22</v>
      </c>
      <c r="W472" s="29" t="s">
        <v>179</v>
      </c>
      <c r="X472" s="14">
        <f>ROUND((IF(Q472=1,INDEX(新属性投放!$L$14:$L$34,卡牌属性!R472),INDEX(新属性投放!$L$42:$L$62,卡牌属性!R472))*INDEX($G$5:$G$42,L472)+IF(Q472=1,INDEX(新属性投放!T$20:T$23,卡牌属性!M472-1),INDEX(新属性投放!T$25:T$28,卡牌属性!M472-1)))*SQRT(INDEX($I$5:$I$42,L472)),2)</f>
        <v>16652</v>
      </c>
      <c r="Y472" s="29" t="s">
        <v>177</v>
      </c>
      <c r="Z472" s="14">
        <f>ROUND(IF(Q472=1,INDEX(新属性投放!$D$14:$D$34,卡牌属性!R472),INDEX(新属性投放!$D$42:$D$62,卡牌属性!R472))*INDEX($G$5:$G$42,L472)/SQRT(INDEX($I$5:$I$42,L472)),2)</f>
        <v>78.25</v>
      </c>
      <c r="AA472" s="29" t="s">
        <v>178</v>
      </c>
      <c r="AB472" s="14">
        <f>ROUND(IF(Q472=1,INDEX(新属性投放!$E$14:$E$34,卡牌属性!R472),INDEX(新属性投放!$E$42:$E$62,卡牌属性!R472))*INDEX($G$5:$G$42,L472),2)</f>
        <v>39.119999999999997</v>
      </c>
      <c r="AC472" s="29" t="s">
        <v>179</v>
      </c>
      <c r="AD472" s="14">
        <f>ROUND(IF(Q472=1,INDEX(新属性投放!$F$14:$F$34,卡牌属性!R472),INDEX(新属性投放!$F$42:$F$62,卡牌属性!R472))*INDEX($G$5:$G$42,L472)*SQRT(INDEX($I$5:$I$42,L472)),2)</f>
        <v>351</v>
      </c>
      <c r="AF472" s="14">
        <f t="shared" si="202"/>
        <v>782</v>
      </c>
      <c r="AG472" s="14">
        <f t="shared" si="203"/>
        <v>391</v>
      </c>
      <c r="AH472" s="14">
        <f t="shared" si="204"/>
        <v>3510</v>
      </c>
      <c r="AJ472" s="14">
        <f t="shared" si="208"/>
        <v>2998</v>
      </c>
      <c r="AK472" s="14">
        <f t="shared" si="209"/>
        <v>1496</v>
      </c>
      <c r="AL472" s="14">
        <f t="shared" si="210"/>
        <v>13442</v>
      </c>
    </row>
    <row r="473" spans="11:38" ht="16.5" x14ac:dyDescent="0.2">
      <c r="K473" s="13">
        <v>470</v>
      </c>
      <c r="L473" s="13">
        <f t="shared" si="196"/>
        <v>23</v>
      </c>
      <c r="M473" s="13">
        <f t="shared" si="197"/>
        <v>4</v>
      </c>
      <c r="N473" s="14">
        <f t="shared" si="198"/>
        <v>1102007</v>
      </c>
      <c r="O473" s="14" t="str">
        <f t="shared" si="199"/>
        <v>天使缇娜8突</v>
      </c>
      <c r="P473" s="29" t="s">
        <v>470</v>
      </c>
      <c r="Q473" s="14">
        <f t="shared" si="200"/>
        <v>2</v>
      </c>
      <c r="R473" s="14">
        <f t="shared" si="201"/>
        <v>8</v>
      </c>
      <c r="S473" s="14" t="s">
        <v>39</v>
      </c>
      <c r="T473" s="14">
        <f>ROUND(((IF(Q473=1,INDEX(新属性投放!$J$14:$J$34,卡牌属性!R473),INDEX(新属性投放!$J$42:$J$62,卡牌属性!R473)))*INDEX($G$5:$G$42,L473)+IF(Q473=1,INDEX(新属性投放!R$20:R$23,卡牌属性!M473-1),INDEX(新属性投放!R$25:R$28,卡牌属性!M473-1)))/SQRT(INDEX($I$5:$I$42,L473)),2)</f>
        <v>4367.41</v>
      </c>
      <c r="U473" s="29" t="s">
        <v>178</v>
      </c>
      <c r="V473" s="14">
        <f>ROUND((IF(Q473=1,INDEX(新属性投放!$K$14:$K$34,卡牌属性!R473),INDEX(新属性投放!$K$42:$K$62,卡牌属性!R473))+IF(Q473=1,INDEX(新属性投放!S$20:S$23,卡牌属性!M473-1),INDEX(新属性投放!S$25:S$28,卡牌属性!M473-1)))*INDEX($G$5:$G$42,L473),2)</f>
        <v>1982.96</v>
      </c>
      <c r="W473" s="29" t="s">
        <v>179</v>
      </c>
      <c r="X473" s="14">
        <f>ROUND((IF(Q473=1,INDEX(新属性投放!$L$14:$L$34,卡牌属性!R473),INDEX(新属性投放!$L$42:$L$62,卡牌属性!R473))*INDEX($G$5:$G$42,L473)+IF(Q473=1,INDEX(新属性投放!T$20:T$23,卡牌属性!M473-1),INDEX(新属性投放!T$25:T$28,卡牌属性!M473-1)))*SQRT(INDEX($I$5:$I$42,L473)),2)</f>
        <v>21917</v>
      </c>
      <c r="Y473" s="29" t="s">
        <v>177</v>
      </c>
      <c r="Z473" s="14">
        <f>ROUND(IF(Q473=1,INDEX(新属性投放!$D$14:$D$34,卡牌属性!R473),INDEX(新属性投放!$D$42:$D$62,卡牌属性!R473))*INDEX($G$5:$G$42,L473)/SQRT(INDEX($I$5:$I$42,L473)),2)</f>
        <v>97.75</v>
      </c>
      <c r="AA473" s="29" t="s">
        <v>178</v>
      </c>
      <c r="AB473" s="14">
        <f>ROUND(IF(Q473=1,INDEX(新属性投放!$E$14:$E$34,卡牌属性!R473),INDEX(新属性投放!$E$42:$E$62,卡牌属性!R473))*INDEX($G$5:$G$42,L473),2)</f>
        <v>48.87</v>
      </c>
      <c r="AC473" s="29" t="s">
        <v>179</v>
      </c>
      <c r="AD473" s="14">
        <f>ROUND(IF(Q473=1,INDEX(新属性投放!$F$14:$F$34,卡牌属性!R473),INDEX(新属性投放!$F$42:$F$62,卡牌属性!R473))*INDEX($G$5:$G$42,L473)*SQRT(INDEX($I$5:$I$42,L473)),2)</f>
        <v>439.4</v>
      </c>
      <c r="AF473" s="14">
        <f t="shared" si="202"/>
        <v>977</v>
      </c>
      <c r="AG473" s="14">
        <f t="shared" si="203"/>
        <v>488</v>
      </c>
      <c r="AH473" s="14">
        <f t="shared" si="204"/>
        <v>4394</v>
      </c>
      <c r="AJ473" s="14">
        <f t="shared" si="208"/>
        <v>3975</v>
      </c>
      <c r="AK473" s="14">
        <f t="shared" si="209"/>
        <v>1984</v>
      </c>
      <c r="AL473" s="14">
        <f t="shared" si="210"/>
        <v>17836</v>
      </c>
    </row>
    <row r="474" spans="11:38" ht="16.5" x14ac:dyDescent="0.2">
      <c r="K474" s="13">
        <v>471</v>
      </c>
      <c r="L474" s="13">
        <f t="shared" si="196"/>
        <v>23</v>
      </c>
      <c r="M474" s="13">
        <f t="shared" si="197"/>
        <v>4</v>
      </c>
      <c r="N474" s="14">
        <f t="shared" si="198"/>
        <v>1102007</v>
      </c>
      <c r="O474" s="14" t="str">
        <f t="shared" si="199"/>
        <v>天使缇娜9突</v>
      </c>
      <c r="P474" s="29" t="s">
        <v>470</v>
      </c>
      <c r="Q474" s="14">
        <f t="shared" si="200"/>
        <v>2</v>
      </c>
      <c r="R474" s="14">
        <f t="shared" si="201"/>
        <v>9</v>
      </c>
      <c r="S474" s="14" t="s">
        <v>39</v>
      </c>
      <c r="T474" s="14">
        <f>ROUND(((IF(Q474=1,INDEX(新属性投放!$J$14:$J$34,卡牌属性!R474),INDEX(新属性投放!$J$42:$J$62,卡牌属性!R474)))*INDEX($G$5:$G$42,L474)+IF(Q474=1,INDEX(新属性投放!R$20:R$23,卡牌属性!M474-1),INDEX(新属性投放!R$25:R$28,卡牌属性!M474-1)))/SQRT(INDEX($I$5:$I$42,L474)),2)</f>
        <v>5589.28</v>
      </c>
      <c r="U474" s="29" t="s">
        <v>178</v>
      </c>
      <c r="V474" s="14">
        <f>ROUND((IF(Q474=1,INDEX(新属性投放!$K$14:$K$34,卡牌属性!R474),INDEX(新属性投放!$K$42:$K$62,卡牌属性!R474))+IF(Q474=1,INDEX(新属性投放!S$20:S$23,卡牌属性!M474-1),INDEX(新属性投放!S$25:S$28,卡牌属性!M474-1)))*INDEX($G$5:$G$42,L474),2)</f>
        <v>2593.89</v>
      </c>
      <c r="W474" s="29" t="s">
        <v>179</v>
      </c>
      <c r="X474" s="14">
        <f>ROUND((IF(Q474=1,INDEX(新属性投放!$L$14:$L$34,卡牌属性!R474),INDEX(新属性投放!$L$42:$L$62,卡牌属性!R474))*INDEX($G$5:$G$42,L474)+IF(Q474=1,INDEX(新属性投放!T$20:T$23,卡牌属性!M474-1),INDEX(新属性投放!T$25:T$28,卡牌属性!M474-1)))*SQRT(INDEX($I$5:$I$42,L474)),2)</f>
        <v>28510.6</v>
      </c>
      <c r="Y474" s="29" t="s">
        <v>177</v>
      </c>
      <c r="Z474" s="14">
        <f>ROUND(IF(Q474=1,INDEX(新属性投放!$D$14:$D$34,卡牌属性!R474),INDEX(新属性投放!$D$42:$D$62,卡牌属性!R474))*INDEX($G$5:$G$42,L474)/SQRT(INDEX($I$5:$I$42,L474)),2)</f>
        <v>127.13</v>
      </c>
      <c r="AA474" s="29" t="s">
        <v>178</v>
      </c>
      <c r="AB474" s="14">
        <f>ROUND(IF(Q474=1,INDEX(新属性投放!$E$14:$E$34,卡牌属性!R474),INDEX(新属性投放!$E$42:$E$62,卡牌属性!R474))*INDEX($G$5:$G$42,L474),2)</f>
        <v>63.56</v>
      </c>
      <c r="AC474" s="29" t="s">
        <v>179</v>
      </c>
      <c r="AD474" s="14">
        <f>ROUND(IF(Q474=1,INDEX(新属性投放!$F$14:$F$34,卡牌属性!R474),INDEX(新属性投放!$F$42:$F$62,卡牌属性!R474))*INDEX($G$5:$G$42,L474)*SQRT(INDEX($I$5:$I$42,L474)),2)</f>
        <v>572</v>
      </c>
      <c r="AF474" s="14">
        <f t="shared" si="202"/>
        <v>1271</v>
      </c>
      <c r="AG474" s="14">
        <f t="shared" si="203"/>
        <v>635</v>
      </c>
      <c r="AH474" s="14">
        <f t="shared" si="204"/>
        <v>5720</v>
      </c>
      <c r="AJ474" s="14">
        <f t="shared" si="208"/>
        <v>5246</v>
      </c>
      <c r="AK474" s="14">
        <f t="shared" si="209"/>
        <v>2619</v>
      </c>
      <c r="AL474" s="14">
        <f t="shared" si="210"/>
        <v>23556</v>
      </c>
    </row>
    <row r="475" spans="11:38" ht="16.5" x14ac:dyDescent="0.2">
      <c r="K475" s="13">
        <v>472</v>
      </c>
      <c r="L475" s="13">
        <f t="shared" si="196"/>
        <v>23</v>
      </c>
      <c r="M475" s="13">
        <f t="shared" si="197"/>
        <v>4</v>
      </c>
      <c r="N475" s="14">
        <f t="shared" si="198"/>
        <v>1102007</v>
      </c>
      <c r="O475" s="14" t="str">
        <f t="shared" si="199"/>
        <v>天使缇娜10突</v>
      </c>
      <c r="P475" s="29" t="s">
        <v>470</v>
      </c>
      <c r="Q475" s="14">
        <f t="shared" si="200"/>
        <v>2</v>
      </c>
      <c r="R475" s="14">
        <f t="shared" si="201"/>
        <v>10</v>
      </c>
      <c r="S475" s="14" t="s">
        <v>39</v>
      </c>
      <c r="T475" s="14">
        <f>ROUND(((IF(Q475=1,INDEX(新属性投放!$J$14:$J$34,卡牌属性!R475),INDEX(新属性投放!$J$42:$J$62,卡牌属性!R475)))*INDEX($G$5:$G$42,L475)+IF(Q475=1,INDEX(新属性投放!R$20:R$23,卡牌属性!M475-1),INDEX(新属性投放!R$25:R$28,卡牌属性!M475-1)))/SQRT(INDEX($I$5:$I$42,L475)),2)</f>
        <v>6383.52</v>
      </c>
      <c r="U475" s="29" t="s">
        <v>178</v>
      </c>
      <c r="V475" s="14">
        <f>ROUND((IF(Q475=1,INDEX(新属性投放!$K$14:$K$34,卡牌属性!R475),INDEX(新属性投放!$K$42:$K$62,卡牌属性!R475))+IF(Q475=1,INDEX(新属性投放!S$20:S$23,卡牌属性!M475-1),INDEX(新属性投放!S$25:S$28,卡牌属性!M475-1)))*INDEX($G$5:$G$42,L475),2)</f>
        <v>2991.01</v>
      </c>
      <c r="W475" s="29" t="s">
        <v>179</v>
      </c>
      <c r="X475" s="14">
        <f>ROUND((IF(Q475=1,INDEX(新属性投放!$L$14:$L$34,卡牌属性!R475),INDEX(新属性投放!$L$42:$L$62,卡牌属性!R475))*INDEX($G$5:$G$42,L475)+IF(Q475=1,INDEX(新属性投放!T$20:T$23,卡牌属性!M475-1),INDEX(新属性投放!T$25:T$28,卡牌属性!M475-1)))*SQRT(INDEX($I$5:$I$42,L475)),2)</f>
        <v>32798</v>
      </c>
      <c r="Y475" s="29" t="s">
        <v>177</v>
      </c>
      <c r="Z475" s="14">
        <f>ROUND(IF(Q475=1,INDEX(新属性投放!$D$14:$D$34,卡牌属性!R475),INDEX(新属性投放!$D$42:$D$62,卡牌属性!R475))*INDEX($G$5:$G$42,L475)/SQRT(INDEX($I$5:$I$42,L475)),2)</f>
        <v>146.68</v>
      </c>
      <c r="AA475" s="29" t="s">
        <v>178</v>
      </c>
      <c r="AB475" s="14">
        <f>ROUND(IF(Q475=1,INDEX(新属性投放!$E$14:$E$34,卡牌属性!R475),INDEX(新属性投放!$E$42:$E$62,卡牌属性!R475))*INDEX($G$5:$G$42,L475),2)</f>
        <v>73.34</v>
      </c>
      <c r="AC475" s="29" t="s">
        <v>179</v>
      </c>
      <c r="AD475" s="14">
        <f>ROUND(IF(Q475=1,INDEX(新属性投放!$F$14:$F$34,卡牌属性!R475),INDEX(新属性投放!$F$42:$F$62,卡牌属性!R475))*INDEX($G$5:$G$42,L475)*SQRT(INDEX($I$5:$I$42,L475)),2)</f>
        <v>659.1</v>
      </c>
      <c r="AF475" s="14">
        <f t="shared" si="202"/>
        <v>1466</v>
      </c>
      <c r="AG475" s="14">
        <f t="shared" si="203"/>
        <v>733</v>
      </c>
      <c r="AH475" s="14">
        <f t="shared" si="204"/>
        <v>6591</v>
      </c>
      <c r="AJ475" s="14">
        <f t="shared" si="208"/>
        <v>6712</v>
      </c>
      <c r="AK475" s="14">
        <f t="shared" si="209"/>
        <v>3352</v>
      </c>
      <c r="AL475" s="14">
        <f t="shared" si="210"/>
        <v>30147</v>
      </c>
    </row>
    <row r="476" spans="11:38" ht="16.5" x14ac:dyDescent="0.2">
      <c r="K476" s="13">
        <v>473</v>
      </c>
      <c r="L476" s="13">
        <f t="shared" si="196"/>
        <v>23</v>
      </c>
      <c r="M476" s="13">
        <f t="shared" si="197"/>
        <v>4</v>
      </c>
      <c r="N476" s="14">
        <f t="shared" si="198"/>
        <v>1102007</v>
      </c>
      <c r="O476" s="14" t="str">
        <f t="shared" si="199"/>
        <v>天使缇娜11突</v>
      </c>
      <c r="P476" s="29" t="s">
        <v>470</v>
      </c>
      <c r="Q476" s="14">
        <f t="shared" si="200"/>
        <v>2</v>
      </c>
      <c r="R476" s="14">
        <f t="shared" si="201"/>
        <v>11</v>
      </c>
      <c r="S476" s="14" t="s">
        <v>39</v>
      </c>
      <c r="T476" s="14">
        <f>ROUND(((IF(Q476=1,INDEX(新属性投放!$J$14:$J$34,卡牌属性!R476),INDEX(新属性投放!$J$42:$J$62,卡牌属性!R476)))*INDEX($G$5:$G$42,L476)+IF(Q476=1,INDEX(新属性投放!R$20:R$23,卡牌属性!M476-1),INDEX(新属性投放!R$25:R$28,卡牌属性!M476-1)))/SQRT(INDEX($I$5:$I$42,L476)),2)</f>
        <v>7300.21</v>
      </c>
      <c r="U476" s="29" t="s">
        <v>178</v>
      </c>
      <c r="V476" s="14">
        <f>ROUND((IF(Q476=1,INDEX(新属性投放!$K$14:$K$34,卡牌属性!R476),INDEX(新属性投放!$K$42:$K$62,卡牌属性!R476))+IF(Q476=1,INDEX(新属性投放!S$20:S$23,卡牌属性!M476-1),INDEX(新属性投放!S$25:S$28,卡牌属性!M476-1)))*INDEX($G$5:$G$42,L476),2)</f>
        <v>3450.01</v>
      </c>
      <c r="W476" s="29" t="s">
        <v>179</v>
      </c>
      <c r="X476" s="14">
        <f>ROUND((IF(Q476=1,INDEX(新属性投放!$L$14:$L$34,卡牌属性!R476),INDEX(新属性投放!$L$42:$L$62,卡牌属性!R476))*INDEX($G$5:$G$42,L476)+IF(Q476=1,INDEX(新属性投放!T$20:T$23,卡牌属性!M476-1),INDEX(新属性投放!T$25:T$28,卡牌属性!M476-1)))*SQRT(INDEX($I$5:$I$42,L476)),2)</f>
        <v>37743.199999999997</v>
      </c>
      <c r="Y476" s="29" t="s">
        <v>177</v>
      </c>
      <c r="Z476" s="14">
        <f>ROUND(IF(Q476=1,INDEX(新属性投放!$D$14:$D$34,卡牌属性!R476),INDEX(新属性投放!$D$42:$D$62,卡牌属性!R476))*INDEX($G$5:$G$42,L476)/SQRT(INDEX($I$5:$I$42,L476)),2)</f>
        <v>171.05</v>
      </c>
      <c r="AA476" s="29" t="s">
        <v>178</v>
      </c>
      <c r="AB476" s="14">
        <f>ROUND(IF(Q476=1,INDEX(新属性投放!$E$14:$E$34,卡牌属性!R476),INDEX(新属性投放!$E$42:$E$62,卡牌属性!R476))*INDEX($G$5:$G$42,L476),2)</f>
        <v>85.53</v>
      </c>
      <c r="AC476" s="29" t="s">
        <v>179</v>
      </c>
      <c r="AD476" s="14">
        <f>ROUND(IF(Q476=1,INDEX(新属性投放!$F$14:$F$34,卡牌属性!R476),INDEX(新属性投放!$F$42:$F$62,卡牌属性!R476))*INDEX($G$5:$G$42,L476)*SQRT(INDEX($I$5:$I$42,L476)),2)</f>
        <v>769.6</v>
      </c>
      <c r="AF476" s="14">
        <f t="shared" si="202"/>
        <v>1710</v>
      </c>
      <c r="AG476" s="14">
        <f t="shared" si="203"/>
        <v>855</v>
      </c>
      <c r="AH476" s="14">
        <f t="shared" si="204"/>
        <v>7696</v>
      </c>
      <c r="AJ476" s="14">
        <f t="shared" si="208"/>
        <v>8422</v>
      </c>
      <c r="AK476" s="14">
        <f t="shared" si="209"/>
        <v>4207</v>
      </c>
      <c r="AL476" s="14">
        <f t="shared" si="210"/>
        <v>37843</v>
      </c>
    </row>
    <row r="477" spans="11:38" ht="16.5" x14ac:dyDescent="0.2">
      <c r="K477" s="13">
        <v>474</v>
      </c>
      <c r="L477" s="13">
        <f t="shared" si="196"/>
        <v>23</v>
      </c>
      <c r="M477" s="13">
        <f t="shared" si="197"/>
        <v>4</v>
      </c>
      <c r="N477" s="14">
        <f t="shared" si="198"/>
        <v>1102007</v>
      </c>
      <c r="O477" s="14" t="str">
        <f t="shared" si="199"/>
        <v>天使缇娜12突</v>
      </c>
      <c r="P477" s="29" t="s">
        <v>470</v>
      </c>
      <c r="Q477" s="14">
        <f t="shared" si="200"/>
        <v>2</v>
      </c>
      <c r="R477" s="14">
        <f t="shared" si="201"/>
        <v>12</v>
      </c>
      <c r="S477" s="14" t="s">
        <v>39</v>
      </c>
      <c r="T477" s="14">
        <f>ROUND(((IF(Q477=1,INDEX(新属性投放!$J$14:$J$34,卡牌属性!R477),INDEX(新属性投放!$J$42:$J$62,卡牌属性!R477)))*INDEX($G$5:$G$42,L477)+IF(Q477=1,INDEX(新属性投放!R$20:R$23,卡牌属性!M477-1),INDEX(新属性投放!R$25:R$28,卡牌属性!M477-1)))/SQRT(INDEX($I$5:$I$42,L477)),2)</f>
        <v>8368.68</v>
      </c>
      <c r="U477" s="29" t="s">
        <v>178</v>
      </c>
      <c r="V477" s="14">
        <f>ROUND((IF(Q477=1,INDEX(新属性投放!$K$14:$K$34,卡牌属性!R477),INDEX(新属性投放!$K$42:$K$62,卡牌属性!R477))+IF(Q477=1,INDEX(新属性投放!S$20:S$23,卡牌属性!M477-1),INDEX(新属性投放!S$25:S$28,卡牌属性!M477-1)))*INDEX($G$5:$G$42,L477),2)</f>
        <v>3984.24</v>
      </c>
      <c r="W477" s="29" t="s">
        <v>179</v>
      </c>
      <c r="X477" s="14">
        <f>ROUND((IF(Q477=1,INDEX(新属性投放!$L$14:$L$34,卡牌属性!R477),INDEX(新属性投放!$L$42:$L$62,卡牌属性!R477))*INDEX($G$5:$G$42,L477)+IF(Q477=1,INDEX(新属性投放!T$20:T$23,卡牌属性!M477-1),INDEX(新属性投放!T$25:T$28,卡牌属性!M477-1)))*SQRT(INDEX($I$5:$I$42,L477)),2)</f>
        <v>43510</v>
      </c>
      <c r="Y477" s="29" t="s">
        <v>177</v>
      </c>
      <c r="Z477" s="14">
        <f>ROUND(IF(Q477=1,INDEX(新属性投放!$D$14:$D$34,卡牌属性!R477),INDEX(新属性投放!$D$42:$D$62,卡牌属性!R477))*INDEX($G$5:$G$42,L477)/SQRT(INDEX($I$5:$I$42,L477)),2)</f>
        <v>195.61</v>
      </c>
      <c r="AA477" s="29" t="s">
        <v>178</v>
      </c>
      <c r="AB477" s="14">
        <f>ROUND(IF(Q477=1,INDEX(新属性投放!$E$14:$E$34,卡牌属性!R477),INDEX(新属性投放!$E$42:$E$62,卡牌属性!R477))*INDEX($G$5:$G$42,L477),2)</f>
        <v>97.81</v>
      </c>
      <c r="AC477" s="29" t="s">
        <v>179</v>
      </c>
      <c r="AD477" s="14">
        <f>ROUND(IF(Q477=1,INDEX(新属性投放!$F$14:$F$34,卡牌属性!R477),INDEX(新属性投放!$F$42:$F$62,卡牌属性!R477))*INDEX($G$5:$G$42,L477)*SQRT(INDEX($I$5:$I$42,L477)),2)</f>
        <v>880.1</v>
      </c>
      <c r="AF477" s="14">
        <f t="shared" si="202"/>
        <v>1956</v>
      </c>
      <c r="AG477" s="14">
        <f t="shared" si="203"/>
        <v>978</v>
      </c>
      <c r="AH477" s="14">
        <f t="shared" si="204"/>
        <v>8801</v>
      </c>
      <c r="AJ477" s="14">
        <f t="shared" si="208"/>
        <v>10378</v>
      </c>
      <c r="AK477" s="14">
        <f t="shared" si="209"/>
        <v>5185</v>
      </c>
      <c r="AL477" s="14">
        <f t="shared" si="210"/>
        <v>46644</v>
      </c>
    </row>
    <row r="478" spans="11:38" ht="16.5" x14ac:dyDescent="0.2">
      <c r="K478" s="13">
        <v>475</v>
      </c>
      <c r="L478" s="13">
        <f t="shared" si="196"/>
        <v>23</v>
      </c>
      <c r="M478" s="13">
        <f t="shared" si="197"/>
        <v>4</v>
      </c>
      <c r="N478" s="14">
        <f t="shared" si="198"/>
        <v>1102007</v>
      </c>
      <c r="O478" s="14" t="str">
        <f t="shared" si="199"/>
        <v>天使缇娜13突</v>
      </c>
      <c r="P478" s="29" t="s">
        <v>470</v>
      </c>
      <c r="Q478" s="14">
        <f t="shared" si="200"/>
        <v>2</v>
      </c>
      <c r="R478" s="14">
        <f t="shared" si="201"/>
        <v>13</v>
      </c>
      <c r="S478" s="14" t="s">
        <v>39</v>
      </c>
      <c r="T478" s="14">
        <f>ROUND(((IF(Q478=1,INDEX(新属性投放!$J$14:$J$34,卡牌属性!R478),INDEX(新属性投放!$J$42:$J$62,卡牌属性!R478)))*INDEX($G$5:$G$42,L478)+IF(Q478=1,INDEX(新属性投放!R$20:R$23,卡牌属性!M478-1),INDEX(新属性投放!R$25:R$28,卡牌属性!M478-1)))/SQRT(INDEX($I$5:$I$42,L478)),2)</f>
        <v>9591.14</v>
      </c>
      <c r="U478" s="29" t="s">
        <v>178</v>
      </c>
      <c r="V478" s="14">
        <f>ROUND((IF(Q478=1,INDEX(新属性投放!$K$14:$K$34,卡牌属性!R478),INDEX(新属性投放!$K$42:$K$62,卡牌属性!R478))+IF(Q478=1,INDEX(新属性投放!S$20:S$23,卡牌属性!M478-1),INDEX(新属性投放!S$25:S$28,卡牌属性!M478-1)))*INDEX($G$5:$G$42,L478),2)</f>
        <v>4595.47</v>
      </c>
      <c r="W478" s="29" t="s">
        <v>179</v>
      </c>
      <c r="X478" s="14">
        <f>ROUND((IF(Q478=1,INDEX(新属性投放!$L$14:$L$34,卡牌属性!R478),INDEX(新属性投放!$L$42:$L$62,卡牌属性!R478))*INDEX($G$5:$G$42,L478)+IF(Q478=1,INDEX(新属性投放!T$20:T$23,卡牌属性!M478-1),INDEX(新属性投放!T$25:T$28,卡牌属性!M478-1)))*SQRT(INDEX($I$5:$I$42,L478)),2)</f>
        <v>50110.1</v>
      </c>
      <c r="Y478" s="29" t="s">
        <v>177</v>
      </c>
      <c r="Z478" s="14">
        <f>ROUND(IF(Q478=1,INDEX(新属性投放!$D$14:$D$34,卡牌属性!R478),INDEX(新属性投放!$D$42:$D$62,卡牌属性!R478))*INDEX($G$5:$G$42,L478)/SQRT(INDEX($I$5:$I$42,L478)),2)</f>
        <v>226.16</v>
      </c>
      <c r="AA478" s="29" t="s">
        <v>178</v>
      </c>
      <c r="AB478" s="14">
        <f>ROUND(IF(Q478=1,INDEX(新属性投放!$E$14:$E$34,卡牌属性!R478),INDEX(新属性投放!$E$42:$E$62,卡牌属性!R478))*INDEX($G$5:$G$42,L478),2)</f>
        <v>113.08</v>
      </c>
      <c r="AC478" s="29" t="s">
        <v>179</v>
      </c>
      <c r="AD478" s="14">
        <f>ROUND(IF(Q478=1,INDEX(新属性投放!$F$14:$F$34,卡牌属性!R478),INDEX(新属性投放!$F$42:$F$62,卡牌属性!R478))*INDEX($G$5:$G$42,L478)*SQRT(INDEX($I$5:$I$42,L478)),2)</f>
        <v>1016.6</v>
      </c>
      <c r="AF478" s="14">
        <f t="shared" si="202"/>
        <v>2261</v>
      </c>
      <c r="AG478" s="14">
        <f t="shared" si="203"/>
        <v>1130</v>
      </c>
      <c r="AH478" s="14">
        <f t="shared" si="204"/>
        <v>10166</v>
      </c>
      <c r="AJ478" s="14">
        <f t="shared" si="208"/>
        <v>12639</v>
      </c>
      <c r="AK478" s="14">
        <f t="shared" si="209"/>
        <v>6315</v>
      </c>
      <c r="AL478" s="14">
        <f t="shared" si="210"/>
        <v>56810</v>
      </c>
    </row>
    <row r="479" spans="11:38" ht="16.5" x14ac:dyDescent="0.2">
      <c r="K479" s="13">
        <v>476</v>
      </c>
      <c r="L479" s="13">
        <f t="shared" si="196"/>
        <v>23</v>
      </c>
      <c r="M479" s="13">
        <f t="shared" si="197"/>
        <v>4</v>
      </c>
      <c r="N479" s="14">
        <f t="shared" si="198"/>
        <v>1102007</v>
      </c>
      <c r="O479" s="14" t="str">
        <f t="shared" si="199"/>
        <v>天使缇娜14突</v>
      </c>
      <c r="P479" s="29" t="s">
        <v>470</v>
      </c>
      <c r="Q479" s="14">
        <f t="shared" si="200"/>
        <v>2</v>
      </c>
      <c r="R479" s="14">
        <f t="shared" si="201"/>
        <v>14</v>
      </c>
      <c r="S479" s="14" t="s">
        <v>39</v>
      </c>
      <c r="T479" s="14">
        <f>ROUND(((IF(Q479=1,INDEX(新属性投放!$J$14:$J$34,卡牌属性!R479),INDEX(新属性投放!$J$42:$J$62,卡牌属性!R479)))*INDEX($G$5:$G$42,L479)+IF(Q479=1,INDEX(新属性投放!R$20:R$23,卡牌属性!M479-1),INDEX(新属性投放!R$25:R$28,卡牌属性!M479-1)))/SQRT(INDEX($I$5:$I$42,L479)),2)</f>
        <v>11004.04</v>
      </c>
      <c r="U479" s="29" t="s">
        <v>178</v>
      </c>
      <c r="V479" s="14">
        <f>ROUND((IF(Q479=1,INDEX(新属性投放!$K$14:$K$34,卡牌属性!R479),INDEX(新属性投放!$K$42:$K$62,卡牌属性!R479))+IF(Q479=1,INDEX(新属性投放!S$20:S$23,卡牌属性!M479-1),INDEX(新属性投放!S$25:S$28,卡牌属性!M479-1)))*INDEX($G$5:$G$42,L479),2)</f>
        <v>5302.57</v>
      </c>
      <c r="W479" s="29" t="s">
        <v>179</v>
      </c>
      <c r="X479" s="14">
        <f>ROUND((IF(Q479=1,INDEX(新属性投放!$L$14:$L$34,卡牌属性!R479),INDEX(新属性投放!$L$42:$L$62,卡牌属性!R479))*INDEX($G$5:$G$42,L479)+IF(Q479=1,INDEX(新属性投放!T$20:T$23,卡牌属性!M479-1),INDEX(新属性投放!T$25:T$28,卡牌属性!M479-1)))*SQRT(INDEX($I$5:$I$42,L479)),2)</f>
        <v>57732</v>
      </c>
      <c r="Y479" s="29" t="s">
        <v>177</v>
      </c>
      <c r="Z479" s="14">
        <f>ROUND(IF(Q479=1,INDEX(新属性投放!$D$14:$D$34,卡牌属性!R479),INDEX(新属性投放!$D$42:$D$62,卡牌属性!R479))*INDEX($G$5:$G$42,L479)/SQRT(INDEX($I$5:$I$42,L479)),2)</f>
        <v>261.5</v>
      </c>
      <c r="AA479" s="29" t="s">
        <v>178</v>
      </c>
      <c r="AB479" s="14">
        <f>ROUND(IF(Q479=1,INDEX(新属性投放!$E$14:$E$34,卡牌属性!R479),INDEX(新属性投放!$E$42:$E$62,卡牌属性!R479))*INDEX($G$5:$G$42,L479),2)</f>
        <v>130.75</v>
      </c>
      <c r="AC479" s="29" t="s">
        <v>179</v>
      </c>
      <c r="AD479" s="14">
        <f>ROUND(IF(Q479=1,INDEX(新属性投放!$F$14:$F$34,卡牌属性!R479),INDEX(新属性投放!$F$42:$F$62,卡牌属性!R479))*INDEX($G$5:$G$42,L479)*SQRT(INDEX($I$5:$I$42,L479)),2)</f>
        <v>1176.5</v>
      </c>
      <c r="AF479" s="14">
        <f t="shared" si="202"/>
        <v>2615</v>
      </c>
      <c r="AG479" s="14">
        <f t="shared" si="203"/>
        <v>1307</v>
      </c>
      <c r="AH479" s="14">
        <f t="shared" si="204"/>
        <v>11765</v>
      </c>
      <c r="AJ479" s="14">
        <f t="shared" si="208"/>
        <v>15254</v>
      </c>
      <c r="AK479" s="14">
        <f t="shared" si="209"/>
        <v>7622</v>
      </c>
      <c r="AL479" s="14">
        <f t="shared" si="210"/>
        <v>68575</v>
      </c>
    </row>
    <row r="480" spans="11:38" ht="16.5" x14ac:dyDescent="0.2">
      <c r="K480" s="13">
        <v>477</v>
      </c>
      <c r="L480" s="13">
        <f t="shared" si="196"/>
        <v>23</v>
      </c>
      <c r="M480" s="13">
        <f t="shared" si="197"/>
        <v>4</v>
      </c>
      <c r="N480" s="14">
        <f t="shared" si="198"/>
        <v>1102007</v>
      </c>
      <c r="O480" s="14" t="str">
        <f t="shared" si="199"/>
        <v>天使缇娜15突</v>
      </c>
      <c r="P480" s="29" t="s">
        <v>470</v>
      </c>
      <c r="Q480" s="14">
        <f t="shared" si="200"/>
        <v>2</v>
      </c>
      <c r="R480" s="14">
        <f t="shared" si="201"/>
        <v>15</v>
      </c>
      <c r="S480" s="14" t="s">
        <v>39</v>
      </c>
      <c r="T480" s="14">
        <f>ROUND(((IF(Q480=1,INDEX(新属性投放!$J$14:$J$34,卡牌属性!R480),INDEX(新属性投放!$J$42:$J$62,卡牌属性!R480)))*INDEX($G$5:$G$42,L480)+IF(Q480=1,INDEX(新属性投放!R$20:R$23,卡牌属性!M480-1),INDEX(新属性投放!R$25:R$28,卡牌属性!M480-1)))/SQRT(INDEX($I$5:$I$42,L480)),2)</f>
        <v>12637.82</v>
      </c>
      <c r="U480" s="29" t="s">
        <v>178</v>
      </c>
      <c r="V480" s="14">
        <f>ROUND((IF(Q480=1,INDEX(新属性投放!$K$14:$K$34,卡牌属性!R480),INDEX(新属性投放!$K$42:$K$62,卡牌属性!R480))+IF(Q480=1,INDEX(新属性投放!S$20:S$23,卡牌属性!M480-1),INDEX(新属性投放!S$25:S$28,卡牌属性!M480-1)))*INDEX($G$5:$G$42,L480),2)</f>
        <v>6120.11</v>
      </c>
      <c r="W480" s="29" t="s">
        <v>179</v>
      </c>
      <c r="X480" s="14">
        <f>ROUND((IF(Q480=1,INDEX(新属性投放!$L$14:$L$34,卡牌属性!R480),INDEX(新属性投放!$L$42:$L$62,卡牌属性!R480))*INDEX($G$5:$G$42,L480)+IF(Q480=1,INDEX(新属性投放!T$20:T$23,卡牌属性!M480-1),INDEX(新属性投放!T$25:T$28,卡牌属性!M480-1)))*SQRT(INDEX($I$5:$I$42,L480)),2)</f>
        <v>66551.199999999997</v>
      </c>
      <c r="Y480" s="29" t="s">
        <v>177</v>
      </c>
      <c r="Z480" s="14">
        <f>ROUND(IF(Q480=1,INDEX(新属性投放!$D$14:$D$34,卡牌属性!R480),INDEX(新属性投放!$D$42:$D$62,卡牌属性!R480))*INDEX($G$5:$G$42,L480)/SQRT(INDEX($I$5:$I$42,L480)),2)</f>
        <v>302.33</v>
      </c>
      <c r="AA480" s="29" t="s">
        <v>178</v>
      </c>
      <c r="AB480" s="14">
        <f>ROUND(IF(Q480=1,INDEX(新属性投放!$E$14:$E$34,卡牌属性!R480),INDEX(新属性投放!$E$42:$E$62,卡牌属性!R480))*INDEX($G$5:$G$42,L480),2)</f>
        <v>151.16</v>
      </c>
      <c r="AC480" s="29" t="s">
        <v>179</v>
      </c>
      <c r="AD480" s="14">
        <f>ROUND(IF(Q480=1,INDEX(新属性投放!$F$14:$F$34,卡牌属性!R480),INDEX(新属性投放!$F$42:$F$62,卡牌属性!R480))*INDEX($G$5:$G$42,L480)*SQRT(INDEX($I$5:$I$42,L480)),2)</f>
        <v>1359.8</v>
      </c>
      <c r="AF480" s="14">
        <f t="shared" si="202"/>
        <v>3023</v>
      </c>
      <c r="AG480" s="14">
        <f t="shared" si="203"/>
        <v>1511</v>
      </c>
      <c r="AH480" s="14">
        <f t="shared" si="204"/>
        <v>13598</v>
      </c>
      <c r="AJ480" s="14">
        <f t="shared" si="208"/>
        <v>18277</v>
      </c>
      <c r="AK480" s="14">
        <f t="shared" si="209"/>
        <v>9133</v>
      </c>
      <c r="AL480" s="14">
        <f t="shared" si="210"/>
        <v>82173</v>
      </c>
    </row>
    <row r="481" spans="11:38" ht="16.5" x14ac:dyDescent="0.2">
      <c r="K481" s="13">
        <v>478</v>
      </c>
      <c r="L481" s="13">
        <f t="shared" si="196"/>
        <v>23</v>
      </c>
      <c r="M481" s="13">
        <f t="shared" si="197"/>
        <v>4</v>
      </c>
      <c r="N481" s="14">
        <f t="shared" si="198"/>
        <v>1102007</v>
      </c>
      <c r="O481" s="14" t="str">
        <f t="shared" si="199"/>
        <v>天使缇娜16突</v>
      </c>
      <c r="P481" s="29" t="s">
        <v>470</v>
      </c>
      <c r="Q481" s="14">
        <f t="shared" si="200"/>
        <v>2</v>
      </c>
      <c r="R481" s="14">
        <f t="shared" si="201"/>
        <v>16</v>
      </c>
      <c r="S481" s="14" t="s">
        <v>39</v>
      </c>
      <c r="T481" s="14">
        <f>ROUND(((IF(Q481=1,INDEX(新属性投放!$J$14:$J$34,卡牌属性!R481),INDEX(新属性投放!$J$42:$J$62,卡牌属性!R481)))*INDEX($G$5:$G$42,L481)+IF(Q481=1,INDEX(新属性投放!R$20:R$23,卡牌属性!M481-1),INDEX(新属性投放!R$25:R$28,卡牌属性!M481-1)))/SQRT(INDEX($I$5:$I$42,L481)),2)</f>
        <v>14527.76</v>
      </c>
      <c r="U481" s="29" t="s">
        <v>178</v>
      </c>
      <c r="V481" s="14">
        <f>ROUND((IF(Q481=1,INDEX(新属性投放!$K$14:$K$34,卡牌属性!R481),INDEX(新属性投放!$K$42:$K$62,卡牌属性!R481))+IF(Q481=1,INDEX(新属性投放!S$20:S$23,卡牌属性!M481-1),INDEX(新属性投放!S$25:S$28,卡牌属性!M481-1)))*INDEX($G$5:$G$42,L481),2)</f>
        <v>7064.43</v>
      </c>
      <c r="W481" s="29" t="s">
        <v>179</v>
      </c>
      <c r="X481" s="14">
        <f>ROUND((IF(Q481=1,INDEX(新属性投放!$L$14:$L$34,卡牌属性!R481),INDEX(新属性投放!$L$42:$L$62,卡牌属性!R481))*INDEX($G$5:$G$42,L481)+IF(Q481=1,INDEX(新属性投放!T$20:T$23,卡牌属性!M481-1),INDEX(新属性投放!T$25:T$28,卡牌属性!M481-1)))*SQRT(INDEX($I$5:$I$42,L481)),2)</f>
        <v>76754.899999999994</v>
      </c>
      <c r="Y481" s="29" t="s">
        <v>177</v>
      </c>
      <c r="Z481" s="14">
        <f>ROUND(IF(Q481=1,INDEX(新属性投放!$D$14:$D$34,卡牌属性!R481),INDEX(新属性投放!$D$42:$D$62,卡牌属性!R481))*INDEX($G$5:$G$42,L481)/SQRT(INDEX($I$5:$I$42,L481)),2)</f>
        <v>349.58</v>
      </c>
      <c r="AA481" s="29" t="s">
        <v>178</v>
      </c>
      <c r="AB481" s="14">
        <f>ROUND(IF(Q481=1,INDEX(新属性投放!$E$14:$E$34,卡牌属性!R481),INDEX(新属性投放!$E$42:$E$62,卡牌属性!R481))*INDEX($G$5:$G$42,L481),2)</f>
        <v>174.79</v>
      </c>
      <c r="AC481" s="29" t="s">
        <v>179</v>
      </c>
      <c r="AD481" s="14">
        <f>ROUND(IF(Q481=1,INDEX(新属性投放!$F$14:$F$34,卡牌属性!R481),INDEX(新属性投放!$F$42:$F$62,卡牌属性!R481))*INDEX($G$5:$G$42,L481)*SQRT(INDEX($I$5:$I$42,L481)),2)</f>
        <v>1573</v>
      </c>
      <c r="AF481" s="14">
        <f t="shared" si="202"/>
        <v>3495</v>
      </c>
      <c r="AG481" s="14">
        <f t="shared" si="203"/>
        <v>1747</v>
      </c>
      <c r="AH481" s="14">
        <f t="shared" si="204"/>
        <v>15730</v>
      </c>
      <c r="AJ481" s="14">
        <f t="shared" si="208"/>
        <v>21772</v>
      </c>
      <c r="AK481" s="14">
        <f t="shared" si="209"/>
        <v>10880</v>
      </c>
      <c r="AL481" s="14">
        <f t="shared" si="210"/>
        <v>97903</v>
      </c>
    </row>
    <row r="482" spans="11:38" ht="16.5" x14ac:dyDescent="0.2">
      <c r="K482" s="13">
        <v>479</v>
      </c>
      <c r="L482" s="13">
        <f t="shared" si="196"/>
        <v>23</v>
      </c>
      <c r="M482" s="13">
        <f t="shared" si="197"/>
        <v>4</v>
      </c>
      <c r="N482" s="14">
        <f t="shared" si="198"/>
        <v>1102007</v>
      </c>
      <c r="O482" s="14" t="str">
        <f t="shared" si="199"/>
        <v>天使缇娜17突</v>
      </c>
      <c r="P482" s="29" t="s">
        <v>470</v>
      </c>
      <c r="Q482" s="14">
        <f t="shared" si="200"/>
        <v>2</v>
      </c>
      <c r="R482" s="14">
        <f t="shared" si="201"/>
        <v>17</v>
      </c>
      <c r="S482" s="14" t="s">
        <v>39</v>
      </c>
      <c r="T482" s="14">
        <f>ROUND(((IF(Q482=1,INDEX(新属性投放!$J$14:$J$34,卡牌属性!R482),INDEX(新属性投放!$J$42:$J$62,卡牌属性!R482)))*INDEX($G$5:$G$42,L482)+IF(Q482=1,INDEX(新属性投放!R$20:R$23,卡牌属性!M482-1),INDEX(新属性投放!R$25:R$28,卡牌属性!M482-1)))/SQRT(INDEX($I$5:$I$42,L482)),2)</f>
        <v>16712.47</v>
      </c>
      <c r="U482" s="29" t="s">
        <v>178</v>
      </c>
      <c r="V482" s="14">
        <f>ROUND((IF(Q482=1,INDEX(新属性投放!$K$14:$K$34,卡牌属性!R482),INDEX(新属性投放!$K$42:$K$62,卡牌属性!R482))+IF(Q482=1,INDEX(新属性投放!S$20:S$23,卡牌属性!M482-1),INDEX(新属性投放!S$25:S$28,卡牌属性!M482-1)))*INDEX($G$5:$G$42,L482),2)</f>
        <v>8156.79</v>
      </c>
      <c r="W482" s="29" t="s">
        <v>179</v>
      </c>
      <c r="X482" s="14">
        <f>ROUND((IF(Q482=1,INDEX(新属性投放!$L$14:$L$34,卡牌属性!R482),INDEX(新属性投放!$L$42:$L$62,卡牌属性!R482))*INDEX($G$5:$G$42,L482)+IF(Q482=1,INDEX(新属性投放!T$20:T$23,卡牌属性!M482-1),INDEX(新属性投放!T$25:T$28,卡牌属性!M482-1)))*SQRT(INDEX($I$5:$I$42,L482)),2)</f>
        <v>88551.1</v>
      </c>
      <c r="Y482" s="29" t="s">
        <v>177</v>
      </c>
      <c r="Z482" s="14">
        <f>ROUND(IF(Q482=1,INDEX(新属性投放!$D$14:$D$34,卡牌属性!R482),INDEX(新属性投放!$D$42:$D$62,卡牌属性!R482))*INDEX($G$5:$G$42,L482)/SQRT(INDEX($I$5:$I$42,L482)),2)</f>
        <v>404.2</v>
      </c>
      <c r="AA482" s="29" t="s">
        <v>178</v>
      </c>
      <c r="AB482" s="14">
        <f>ROUND(IF(Q482=1,INDEX(新属性投放!$E$14:$E$34,卡牌属性!R482),INDEX(新属性投放!$E$42:$E$62,卡牌属性!R482))*INDEX($G$5:$G$42,L482),2)</f>
        <v>202.1</v>
      </c>
      <c r="AC482" s="29" t="s">
        <v>179</v>
      </c>
      <c r="AD482" s="14">
        <f>ROUND(IF(Q482=1,INDEX(新属性投放!$F$14:$F$34,卡牌属性!R482),INDEX(新属性投放!$F$42:$F$62,卡牌属性!R482))*INDEX($G$5:$G$42,L482)*SQRT(INDEX($I$5:$I$42,L482)),2)</f>
        <v>1818.7</v>
      </c>
      <c r="AF482" s="14">
        <f t="shared" si="202"/>
        <v>4042</v>
      </c>
      <c r="AG482" s="14">
        <f t="shared" si="203"/>
        <v>2021</v>
      </c>
      <c r="AH482" s="14">
        <f t="shared" si="204"/>
        <v>18187</v>
      </c>
      <c r="AJ482" s="14">
        <f t="shared" si="208"/>
        <v>25814</v>
      </c>
      <c r="AK482" s="14">
        <f t="shared" si="209"/>
        <v>12901</v>
      </c>
      <c r="AL482" s="14">
        <f t="shared" si="210"/>
        <v>116090</v>
      </c>
    </row>
    <row r="483" spans="11:38" ht="16.5" x14ac:dyDescent="0.2">
      <c r="K483" s="13">
        <v>480</v>
      </c>
      <c r="L483" s="13">
        <f t="shared" si="196"/>
        <v>23</v>
      </c>
      <c r="M483" s="13">
        <f t="shared" si="197"/>
        <v>4</v>
      </c>
      <c r="N483" s="14">
        <f t="shared" si="198"/>
        <v>1102007</v>
      </c>
      <c r="O483" s="14" t="str">
        <f t="shared" si="199"/>
        <v>天使缇娜18突</v>
      </c>
      <c r="P483" s="29" t="s">
        <v>470</v>
      </c>
      <c r="Q483" s="14">
        <f t="shared" si="200"/>
        <v>2</v>
      </c>
      <c r="R483" s="14">
        <f t="shared" si="201"/>
        <v>18</v>
      </c>
      <c r="S483" s="14" t="s">
        <v>39</v>
      </c>
      <c r="T483" s="14">
        <f>ROUND(((IF(Q483=1,INDEX(新属性投放!$J$14:$J$34,卡牌属性!R483),INDEX(新属性投放!$J$42:$J$62,卡牌属性!R483)))*INDEX($G$5:$G$42,L483)+IF(Q483=1,INDEX(新属性投放!R$20:R$23,卡牌属性!M483-1),INDEX(新属性投放!R$25:R$28,卡牌属性!M483-1)))/SQRT(INDEX($I$5:$I$42,L483)),2)</f>
        <v>19239.150000000001</v>
      </c>
      <c r="U483" s="29" t="s">
        <v>178</v>
      </c>
      <c r="V483" s="14">
        <f>ROUND((IF(Q483=1,INDEX(新属性投放!$K$14:$K$34,卡牌属性!R483),INDEX(新属性投放!$K$42:$K$62,卡牌属性!R483))+IF(Q483=1,INDEX(新属性投放!S$20:S$23,卡牌属性!M483-1),INDEX(新属性投放!S$25:S$28,卡牌属性!M483-1)))*INDEX($G$5:$G$42,L483),2)</f>
        <v>9419.48</v>
      </c>
      <c r="W483" s="29" t="s">
        <v>179</v>
      </c>
      <c r="X483" s="14">
        <f>ROUND((IF(Q483=1,INDEX(新属性投放!$L$14:$L$34,卡牌属性!R483),INDEX(新属性投放!$L$42:$L$62,卡牌属性!R483))*INDEX($G$5:$G$42,L483)+IF(Q483=1,INDEX(新属性投放!T$20:T$23,卡牌属性!M483-1),INDEX(新属性投放!T$25:T$28,卡牌属性!M483-1)))*SQRT(INDEX($I$5:$I$42,L483)),2)</f>
        <v>102195.9</v>
      </c>
      <c r="Y483" s="29" t="s">
        <v>177</v>
      </c>
      <c r="Z483" s="14">
        <f>ROUND(IF(Q483=1,INDEX(新属性投放!$D$14:$D$34,卡牌属性!R483),INDEX(新属性投放!$D$42:$D$62,卡牌属性!R483))*INDEX($G$5:$G$42,L483)/SQRT(INDEX($I$5:$I$42,L483)),2)</f>
        <v>467.36</v>
      </c>
      <c r="AA483" s="29" t="s">
        <v>178</v>
      </c>
      <c r="AB483" s="14">
        <f>ROUND(IF(Q483=1,INDEX(新属性投放!$E$14:$E$34,卡牌属性!R483),INDEX(新属性投放!$E$42:$E$62,卡牌属性!R483))*INDEX($G$5:$G$42,L483),2)</f>
        <v>233.68</v>
      </c>
      <c r="AC483" s="29" t="s">
        <v>179</v>
      </c>
      <c r="AD483" s="14">
        <f>ROUND(IF(Q483=1,INDEX(新属性投放!$F$14:$F$34,卡牌属性!R483),INDEX(新属性投放!$F$42:$F$62,卡牌属性!R483))*INDEX($G$5:$G$42,L483)*SQRT(INDEX($I$5:$I$42,L483)),2)</f>
        <v>2102.1</v>
      </c>
      <c r="AF483" s="14">
        <f t="shared" si="202"/>
        <v>4673</v>
      </c>
      <c r="AG483" s="14">
        <f t="shared" si="203"/>
        <v>2336</v>
      </c>
      <c r="AH483" s="14">
        <f t="shared" si="204"/>
        <v>21021</v>
      </c>
      <c r="AJ483" s="14">
        <f t="shared" si="208"/>
        <v>30487</v>
      </c>
      <c r="AK483" s="14">
        <f t="shared" si="209"/>
        <v>15237</v>
      </c>
      <c r="AL483" s="14">
        <f t="shared" si="210"/>
        <v>137111</v>
      </c>
    </row>
    <row r="484" spans="11:38" ht="16.5" x14ac:dyDescent="0.2">
      <c r="K484" s="13">
        <v>481</v>
      </c>
      <c r="L484" s="13">
        <f t="shared" si="196"/>
        <v>23</v>
      </c>
      <c r="M484" s="13">
        <f t="shared" si="197"/>
        <v>4</v>
      </c>
      <c r="N484" s="14">
        <f t="shared" si="198"/>
        <v>1102007</v>
      </c>
      <c r="O484" s="14" t="str">
        <f t="shared" si="199"/>
        <v>天使缇娜19突</v>
      </c>
      <c r="P484" s="29" t="s">
        <v>470</v>
      </c>
      <c r="Q484" s="14">
        <f t="shared" si="200"/>
        <v>2</v>
      </c>
      <c r="R484" s="14">
        <f t="shared" si="201"/>
        <v>19</v>
      </c>
      <c r="S484" s="14" t="s">
        <v>39</v>
      </c>
      <c r="T484" s="14">
        <f>ROUND(((IF(Q484=1,INDEX(新属性投放!$J$14:$J$34,卡牌属性!R484),INDEX(新属性投放!$J$42:$J$62,卡牌属性!R484)))*INDEX($G$5:$G$42,L484)+IF(Q484=1,INDEX(新属性投放!R$20:R$23,卡牌属性!M484-1),INDEX(新属性投放!R$25:R$28,卡牌属性!M484-1)))/SQRT(INDEX($I$5:$I$42,L484)),2)</f>
        <v>22159.67</v>
      </c>
      <c r="U484" s="29" t="s">
        <v>178</v>
      </c>
      <c r="V484" s="14">
        <f>ROUND((IF(Q484=1,INDEX(新属性投放!$K$14:$K$34,卡牌属性!R484),INDEX(新属性投放!$K$42:$K$62,卡牌属性!R484))+IF(Q484=1,INDEX(新属性投放!S$20:S$23,卡牌属性!M484-1),INDEX(新属性投放!S$25:S$28,卡牌属性!M484-1)))*INDEX($G$5:$G$42,L484),2)</f>
        <v>10880.38</v>
      </c>
      <c r="W484" s="29" t="s">
        <v>179</v>
      </c>
      <c r="X484" s="14">
        <f>ROUND((IF(Q484=1,INDEX(新属性投放!$L$14:$L$34,卡牌属性!R484),INDEX(新属性投放!$L$42:$L$62,卡牌属性!R484))*INDEX($G$5:$G$42,L484)+IF(Q484=1,INDEX(新属性投放!T$20:T$23,卡牌属性!M484-1),INDEX(新属性投放!T$25:T$28,卡牌属性!M484-1)))*SQRT(INDEX($I$5:$I$42,L484)),2)</f>
        <v>117959.7</v>
      </c>
      <c r="Y484" s="29" t="s">
        <v>177</v>
      </c>
      <c r="Z484" s="14">
        <f>ROUND(IF(Q484=1,INDEX(新属性投放!$D$14:$D$34,卡牌属性!R484),INDEX(新属性投放!$D$42:$D$62,卡牌属性!R484))*INDEX($G$5:$G$42,L484)/SQRT(INDEX($I$5:$I$42,L484)),2)</f>
        <v>540.38</v>
      </c>
      <c r="AA484" s="29" t="s">
        <v>178</v>
      </c>
      <c r="AB484" s="14">
        <f>ROUND(IF(Q484=1,INDEX(新属性投放!$E$14:$E$34,卡牌属性!R484),INDEX(新属性投放!$E$42:$E$62,卡牌属性!R484))*INDEX($G$5:$G$42,L484),2)</f>
        <v>270.19</v>
      </c>
      <c r="AC484" s="29" t="s">
        <v>179</v>
      </c>
      <c r="AD484" s="14">
        <f>ROUND(IF(Q484=1,INDEX(新属性投放!$F$14:$F$34,卡牌属性!R484),INDEX(新属性投放!$F$42:$F$62,卡牌属性!R484))*INDEX($G$5:$G$42,L484)*SQRT(INDEX($I$5:$I$42,L484)),2)</f>
        <v>2431</v>
      </c>
      <c r="AF484" s="14">
        <f t="shared" si="202"/>
        <v>5403</v>
      </c>
      <c r="AG484" s="14">
        <f t="shared" si="203"/>
        <v>2701</v>
      </c>
      <c r="AH484" s="14">
        <f t="shared" si="204"/>
        <v>24310</v>
      </c>
      <c r="AJ484" s="14">
        <f t="shared" si="208"/>
        <v>35890</v>
      </c>
      <c r="AK484" s="14">
        <f t="shared" si="209"/>
        <v>17938</v>
      </c>
      <c r="AL484" s="14">
        <f t="shared" si="210"/>
        <v>161421</v>
      </c>
    </row>
    <row r="485" spans="11:38" ht="16.5" x14ac:dyDescent="0.2">
      <c r="K485" s="13">
        <v>482</v>
      </c>
      <c r="L485" s="13">
        <f t="shared" si="196"/>
        <v>23</v>
      </c>
      <c r="M485" s="13">
        <f t="shared" si="197"/>
        <v>4</v>
      </c>
      <c r="N485" s="14">
        <f t="shared" si="198"/>
        <v>1102007</v>
      </c>
      <c r="O485" s="14" t="str">
        <f t="shared" si="199"/>
        <v>天使缇娜20突</v>
      </c>
      <c r="P485" s="29" t="s">
        <v>470</v>
      </c>
      <c r="Q485" s="14">
        <f t="shared" si="200"/>
        <v>2</v>
      </c>
      <c r="R485" s="14">
        <f t="shared" si="201"/>
        <v>20</v>
      </c>
      <c r="S485" s="14" t="s">
        <v>39</v>
      </c>
      <c r="T485" s="14">
        <f>ROUND(((IF(Q485=1,INDEX(新属性投放!$J$14:$J$34,卡牌属性!R485),INDEX(新属性投放!$J$42:$J$62,卡牌属性!R485)))*INDEX($G$5:$G$42,L485)+IF(Q485=1,INDEX(新属性投放!R$20:R$23,卡牌属性!M485-1),INDEX(新属性投放!R$25:R$28,卡牌属性!M485-1)))/SQRT(INDEX($I$5:$I$42,L485)),2)</f>
        <v>25537.59</v>
      </c>
      <c r="U485" s="29" t="s">
        <v>178</v>
      </c>
      <c r="V485" s="14">
        <f>ROUND((IF(Q485=1,INDEX(新属性投放!$K$14:$K$34,卡牌属性!R485),INDEX(新属性投放!$K$42:$K$62,卡牌属性!R485))+IF(Q485=1,INDEX(新属性投放!S$20:S$23,卡牌属性!M485-1),INDEX(新属性投放!S$25:S$28,卡牌属性!M485-1)))*INDEX($G$5:$G$42,L485),2)</f>
        <v>12569.34</v>
      </c>
      <c r="W485" s="29" t="s">
        <v>179</v>
      </c>
      <c r="X485" s="14">
        <f>ROUND((IF(Q485=1,INDEX(新属性投放!$L$14:$L$34,卡牌属性!R485),INDEX(新属性投放!$L$42:$L$62,卡牌属性!R485))*INDEX($G$5:$G$42,L485)+IF(Q485=1,INDEX(新属性投放!T$20:T$23,卡牌属性!M485-1),INDEX(新属性投放!T$25:T$28,卡牌属性!M485-1)))*SQRT(INDEX($I$5:$I$42,L485)),2)</f>
        <v>136198.70000000001</v>
      </c>
      <c r="Y485" s="29" t="s">
        <v>177</v>
      </c>
      <c r="Z485" s="14">
        <f>ROUND(IF(Q485=1,INDEX(新属性投放!$D$14:$D$34,卡牌属性!R485),INDEX(新属性投放!$D$42:$D$62,卡牌属性!R485))*INDEX($G$5:$G$42,L485)/SQRT(INDEX($I$5:$I$42,L485)),2)</f>
        <v>624.83000000000004</v>
      </c>
      <c r="AA485" s="29" t="s">
        <v>178</v>
      </c>
      <c r="AB485" s="14">
        <f>ROUND(IF(Q485=1,INDEX(新属性投放!$E$14:$E$34,卡牌属性!R485),INDEX(新属性投放!$E$42:$E$62,卡牌属性!R485))*INDEX($G$5:$G$42,L485),2)</f>
        <v>312.42</v>
      </c>
      <c r="AC485" s="29" t="s">
        <v>179</v>
      </c>
      <c r="AD485" s="14">
        <f>ROUND(IF(Q485=1,INDEX(新属性投放!$F$14:$F$34,卡牌属性!R485),INDEX(新属性投放!$F$42:$F$62,卡牌属性!R485))*INDEX($G$5:$G$42,L485)*SQRT(INDEX($I$5:$I$42,L485)),2)</f>
        <v>2810.6</v>
      </c>
      <c r="AF485" s="14">
        <f t="shared" si="202"/>
        <v>6248</v>
      </c>
      <c r="AG485" s="14">
        <f t="shared" si="203"/>
        <v>3124</v>
      </c>
      <c r="AH485" s="14">
        <f t="shared" si="204"/>
        <v>28106</v>
      </c>
      <c r="AJ485" s="14">
        <f t="shared" si="208"/>
        <v>42138</v>
      </c>
      <c r="AK485" s="14">
        <f t="shared" si="209"/>
        <v>21062</v>
      </c>
      <c r="AL485" s="14">
        <f t="shared" si="210"/>
        <v>189527</v>
      </c>
    </row>
    <row r="486" spans="11:38" ht="16.5" x14ac:dyDescent="0.2">
      <c r="K486" s="13">
        <v>483</v>
      </c>
      <c r="L486" s="13">
        <f t="shared" si="196"/>
        <v>23</v>
      </c>
      <c r="M486" s="13">
        <f t="shared" si="197"/>
        <v>4</v>
      </c>
      <c r="N486" s="14">
        <f t="shared" si="198"/>
        <v>1102007</v>
      </c>
      <c r="O486" s="14" t="str">
        <f t="shared" si="199"/>
        <v>天使缇娜21突</v>
      </c>
      <c r="P486" s="29" t="s">
        <v>470</v>
      </c>
      <c r="Q486" s="14">
        <f t="shared" si="200"/>
        <v>2</v>
      </c>
      <c r="R486" s="14">
        <f t="shared" si="201"/>
        <v>21</v>
      </c>
      <c r="S486" s="14" t="s">
        <v>39</v>
      </c>
      <c r="T486" s="14">
        <f>ROUND(((IF(Q486=1,INDEX(新属性投放!$J$14:$J$34,卡牌属性!R486),INDEX(新属性投放!$J$42:$J$62,卡牌属性!R486)))*INDEX($G$5:$G$42,L486)+IF(Q486=1,INDEX(新属性投放!R$20:R$23,卡牌属性!M486-1),INDEX(新属性投放!R$25:R$28,卡牌属性!M486-1)))/SQRT(INDEX($I$5:$I$42,L486)),2)</f>
        <v>29443.05</v>
      </c>
      <c r="U486" s="29" t="s">
        <v>178</v>
      </c>
      <c r="V486" s="14">
        <f>ROUND((IF(Q486=1,INDEX(新属性投放!$K$14:$K$34,卡牌属性!R486),INDEX(新属性投放!$K$42:$K$62,卡牌属性!R486))+IF(Q486=1,INDEX(新属性投放!S$20:S$23,卡牌属性!M486-1),INDEX(新属性投放!S$25:S$28,卡牌属性!M486-1)))*INDEX($G$5:$G$42,L486),2)</f>
        <v>14521.42</v>
      </c>
      <c r="W486" s="29" t="s">
        <v>179</v>
      </c>
      <c r="X486" s="14">
        <f>ROUND((IF(Q486=1,INDEX(新属性投放!$L$14:$L$34,卡牌属性!R486),INDEX(新属性投放!$L$42:$L$62,卡牌属性!R486))*INDEX($G$5:$G$42,L486)+IF(Q486=1,INDEX(新属性投放!T$20:T$23,卡牌属性!M486-1),INDEX(新属性投放!T$25:T$28,卡牌属性!M486-1)))*SQRT(INDEX($I$5:$I$42,L486)),2)</f>
        <v>157283.4</v>
      </c>
      <c r="Y486" s="29" t="s">
        <v>177</v>
      </c>
      <c r="Z486" s="14">
        <f>ROUND(IF(Q486=1,INDEX(新属性投放!$D$14:$D$34,卡牌属性!R486),INDEX(新属性投放!$D$42:$D$62,卡牌属性!R486))*INDEX($G$5:$G$42,L486)/SQRT(INDEX($I$5:$I$42,L486)),2)</f>
        <v>722.46</v>
      </c>
      <c r="AA486" s="29" t="s">
        <v>178</v>
      </c>
      <c r="AB486" s="14">
        <f>ROUND(IF(Q486=1,INDEX(新属性投放!$E$14:$E$34,卡牌属性!R486),INDEX(新属性投放!$E$42:$E$62,卡牌属性!R486))*INDEX($G$5:$G$42,L486),2)</f>
        <v>361.23</v>
      </c>
      <c r="AC486" s="29" t="s">
        <v>179</v>
      </c>
      <c r="AD486" s="14">
        <f>ROUND(IF(Q486=1,INDEX(新属性投放!$F$14:$F$34,卡牌属性!R486),INDEX(新属性投放!$F$42:$F$62,卡牌属性!R486))*INDEX($G$5:$G$42,L486)*SQRT(INDEX($I$5:$I$42,L486)),2)</f>
        <v>3250</v>
      </c>
      <c r="AF486" s="14">
        <f t="shared" si="202"/>
        <v>7224</v>
      </c>
      <c r="AG486" s="14">
        <f t="shared" si="203"/>
        <v>3612</v>
      </c>
      <c r="AH486" s="14">
        <f t="shared" si="204"/>
        <v>32500</v>
      </c>
      <c r="AJ486" s="14">
        <f t="shared" si="208"/>
        <v>49362</v>
      </c>
      <c r="AK486" s="14">
        <f t="shared" si="209"/>
        <v>24674</v>
      </c>
      <c r="AL486" s="14">
        <f t="shared" si="210"/>
        <v>222027</v>
      </c>
    </row>
    <row r="487" spans="11:38" ht="16.5" x14ac:dyDescent="0.2">
      <c r="K487" s="13">
        <v>484</v>
      </c>
      <c r="L487" s="13">
        <f t="shared" si="196"/>
        <v>24</v>
      </c>
      <c r="M487" s="13">
        <f t="shared" si="197"/>
        <v>4</v>
      </c>
      <c r="N487" s="14">
        <f t="shared" si="198"/>
        <v>1102008</v>
      </c>
      <c r="O487" s="14" t="str">
        <f t="shared" si="199"/>
        <v>夏侯渊1突</v>
      </c>
      <c r="P487" s="29" t="s">
        <v>470</v>
      </c>
      <c r="Q487" s="14">
        <f t="shared" si="200"/>
        <v>2</v>
      </c>
      <c r="R487" s="14">
        <f t="shared" si="201"/>
        <v>1</v>
      </c>
      <c r="S487" s="14" t="s">
        <v>39</v>
      </c>
      <c r="T487" s="14">
        <f>ROUND(((IF(Q487=1,INDEX(新属性投放!$J$14:$J$34,卡牌属性!R487),INDEX(新属性投放!$J$42:$J$62,卡牌属性!R487)))*INDEX($G$5:$G$42,L487)+IF(Q487=1,INDEX(新属性投放!R$20:R$23,卡牌属性!M487-1),INDEX(新属性投放!R$25:R$28,卡牌属性!M487-1)))/SQRT(INDEX($I$5:$I$42,L487)),2)</f>
        <v>655</v>
      </c>
      <c r="U487" s="29" t="s">
        <v>178</v>
      </c>
      <c r="V487" s="14">
        <f>ROUND((IF(Q487=1,INDEX(新属性投放!$K$14:$K$34,卡牌属性!R487),INDEX(新属性投放!$K$42:$K$62,卡牌属性!R487))+IF(Q487=1,INDEX(新属性投放!S$20:S$23,卡牌属性!M487-1),INDEX(新属性投放!S$25:S$28,卡牌属性!M487-1)))*INDEX($G$5:$G$42,L487),2)</f>
        <v>130</v>
      </c>
      <c r="W487" s="29" t="s">
        <v>179</v>
      </c>
      <c r="X487" s="14">
        <f>ROUND((IF(Q487=1,INDEX(新属性投放!$L$14:$L$34,卡牌属性!R487),INDEX(新属性投放!$L$42:$L$62,卡牌属性!R487))*INDEX($G$5:$G$42,L487)+IF(Q487=1,INDEX(新属性投放!T$20:T$23,卡牌属性!M487-1),INDEX(新属性投放!T$25:T$28,卡牌属性!M487-1)))*SQRT(INDEX($I$5:$I$42,L487)),2)</f>
        <v>1975</v>
      </c>
      <c r="Y487" s="29" t="s">
        <v>177</v>
      </c>
      <c r="Z487" s="14">
        <f>ROUND(IF(Q487=1,INDEX(新属性投放!$D$14:$D$34,卡牌属性!R487),INDEX(新属性投放!$D$42:$D$62,卡牌属性!R487))*INDEX($G$5:$G$42,L487)/SQRT(INDEX($I$5:$I$42,L487)),2)</f>
        <v>19.5</v>
      </c>
      <c r="AA487" s="29" t="s">
        <v>178</v>
      </c>
      <c r="AB487" s="14">
        <f>ROUND(IF(Q487=1,INDEX(新属性投放!$E$14:$E$34,卡牌属性!R487),INDEX(新属性投放!$E$42:$E$62,卡牌属性!R487))*INDEX($G$5:$G$42,L487),2)</f>
        <v>9.75</v>
      </c>
      <c r="AC487" s="29" t="s">
        <v>179</v>
      </c>
      <c r="AD487" s="14">
        <f>ROUND(IF(Q487=1,INDEX(新属性投放!$F$14:$F$34,卡牌属性!R487),INDEX(新属性投放!$F$42:$F$62,卡牌属性!R487))*INDEX($G$5:$G$42,L487)*SQRT(INDEX($I$5:$I$42,L487)),2)</f>
        <v>87.1</v>
      </c>
      <c r="AF487" s="14">
        <f t="shared" si="202"/>
        <v>195</v>
      </c>
      <c r="AG487" s="14">
        <f t="shared" si="203"/>
        <v>97</v>
      </c>
      <c r="AH487" s="14">
        <f t="shared" si="204"/>
        <v>871</v>
      </c>
      <c r="AJ487" s="14">
        <f t="shared" ref="AJ487" si="211">AF487</f>
        <v>195</v>
      </c>
      <c r="AK487" s="14">
        <f t="shared" ref="AK487" si="212">AG487</f>
        <v>97</v>
      </c>
      <c r="AL487" s="14">
        <f t="shared" ref="AL487" si="213">AH487</f>
        <v>871</v>
      </c>
    </row>
    <row r="488" spans="11:38" ht="16.5" x14ac:dyDescent="0.2">
      <c r="K488" s="13">
        <v>485</v>
      </c>
      <c r="L488" s="13">
        <f t="shared" si="196"/>
        <v>24</v>
      </c>
      <c r="M488" s="13">
        <f t="shared" si="197"/>
        <v>4</v>
      </c>
      <c r="N488" s="14">
        <f t="shared" si="198"/>
        <v>1102008</v>
      </c>
      <c r="O488" s="14" t="str">
        <f t="shared" si="199"/>
        <v>夏侯渊2突</v>
      </c>
      <c r="P488" s="29" t="s">
        <v>470</v>
      </c>
      <c r="Q488" s="14">
        <f t="shared" si="200"/>
        <v>2</v>
      </c>
      <c r="R488" s="14">
        <f t="shared" si="201"/>
        <v>2</v>
      </c>
      <c r="S488" s="14" t="s">
        <v>39</v>
      </c>
      <c r="T488" s="14">
        <f>ROUND(((IF(Q488=1,INDEX(新属性投放!$J$14:$J$34,卡牌属性!R488),INDEX(新属性投放!$J$42:$J$62,卡牌属性!R488)))*INDEX($G$5:$G$42,L488)+IF(Q488=1,INDEX(新属性投放!R$20:R$23,卡牌属性!M488-1),INDEX(新属性投放!R$25:R$28,卡牌属性!M488-1)))/SQRT(INDEX($I$5:$I$42,L488)),2)</f>
        <v>863</v>
      </c>
      <c r="U488" s="29" t="s">
        <v>178</v>
      </c>
      <c r="V488" s="14">
        <f>ROUND((IF(Q488=1,INDEX(新属性投放!$K$14:$K$34,卡牌属性!R488),INDEX(新属性投放!$K$42:$K$62,卡牌属性!R488))+IF(Q488=1,INDEX(新属性投放!S$20:S$23,卡牌属性!M488-1),INDEX(新属性投放!S$25:S$28,卡牌属性!M488-1)))*INDEX($G$5:$G$42,L488),2)</f>
        <v>230.75</v>
      </c>
      <c r="W488" s="29" t="s">
        <v>179</v>
      </c>
      <c r="X488" s="14">
        <f>ROUND((IF(Q488=1,INDEX(新属性投放!$L$14:$L$34,卡牌属性!R488),INDEX(新属性投放!$L$42:$L$62,卡牌属性!R488))*INDEX($G$5:$G$42,L488)+IF(Q488=1,INDEX(新属性投放!T$20:T$23,卡牌属性!M488-1),INDEX(新属性投放!T$25:T$28,卡牌属性!M488-1)))*SQRT(INDEX($I$5:$I$42,L488)),2)</f>
        <v>3051.4</v>
      </c>
      <c r="Y488" s="29" t="s">
        <v>177</v>
      </c>
      <c r="Z488" s="14">
        <f>ROUND(IF(Q488=1,INDEX(新属性投放!$D$14:$D$34,卡牌属性!R488),INDEX(新属性投放!$D$42:$D$62,卡牌属性!R488))*INDEX($G$5:$G$42,L488)/SQRT(INDEX($I$5:$I$42,L488)),2)</f>
        <v>17.899999999999999</v>
      </c>
      <c r="AA488" s="29" t="s">
        <v>178</v>
      </c>
      <c r="AB488" s="14">
        <f>ROUND(IF(Q488=1,INDEX(新属性投放!$E$14:$E$34,卡牌属性!R488),INDEX(新属性投放!$E$42:$E$62,卡牌属性!R488))*INDEX($G$5:$G$42,L488),2)</f>
        <v>8.9499999999999993</v>
      </c>
      <c r="AC488" s="29" t="s">
        <v>179</v>
      </c>
      <c r="AD488" s="14">
        <f>ROUND(IF(Q488=1,INDEX(新属性投放!$F$14:$F$34,卡牌属性!R488),INDEX(新属性投放!$F$42:$F$62,卡牌属性!R488))*INDEX($G$5:$G$42,L488)*SQRT(INDEX($I$5:$I$42,L488)),2)</f>
        <v>79.3</v>
      </c>
      <c r="AF488" s="14">
        <f t="shared" si="202"/>
        <v>179</v>
      </c>
      <c r="AG488" s="14">
        <f t="shared" si="203"/>
        <v>89</v>
      </c>
      <c r="AH488" s="14">
        <f t="shared" si="204"/>
        <v>793</v>
      </c>
      <c r="AJ488" s="14">
        <f t="shared" ref="AJ488:AJ507" si="214">AJ487+AF488</f>
        <v>374</v>
      </c>
      <c r="AK488" s="14">
        <f t="shared" ref="AK488:AK507" si="215">AK487+AG488</f>
        <v>186</v>
      </c>
      <c r="AL488" s="14">
        <f t="shared" ref="AL488:AL507" si="216">AL487+AH488</f>
        <v>1664</v>
      </c>
    </row>
    <row r="489" spans="11:38" ht="16.5" x14ac:dyDescent="0.2">
      <c r="K489" s="13">
        <v>486</v>
      </c>
      <c r="L489" s="13">
        <f t="shared" si="196"/>
        <v>24</v>
      </c>
      <c r="M489" s="13">
        <f t="shared" si="197"/>
        <v>4</v>
      </c>
      <c r="N489" s="14">
        <f t="shared" si="198"/>
        <v>1102008</v>
      </c>
      <c r="O489" s="14" t="str">
        <f t="shared" si="199"/>
        <v>夏侯渊3突</v>
      </c>
      <c r="P489" s="29" t="s">
        <v>470</v>
      </c>
      <c r="Q489" s="14">
        <f t="shared" si="200"/>
        <v>2</v>
      </c>
      <c r="R489" s="14">
        <f t="shared" si="201"/>
        <v>3</v>
      </c>
      <c r="S489" s="14" t="s">
        <v>39</v>
      </c>
      <c r="T489" s="14">
        <f>ROUND(((IF(Q489=1,INDEX(新属性投放!$J$14:$J$34,卡牌属性!R489),INDEX(新属性投放!$J$42:$J$62,卡牌属性!R489)))*INDEX($G$5:$G$42,L489)+IF(Q489=1,INDEX(新属性投放!R$20:R$23,卡牌属性!M489-1),INDEX(新属性投放!R$25:R$28,卡牌属性!M489-1)))/SQRT(INDEX($I$5:$I$42,L489)),2)</f>
        <v>1086.21</v>
      </c>
      <c r="U489" s="29" t="s">
        <v>178</v>
      </c>
      <c r="V489" s="14">
        <f>ROUND((IF(Q489=1,INDEX(新属性投放!$K$14:$K$34,卡牌属性!R489),INDEX(新属性投放!$K$42:$K$62,卡牌属性!R489))+IF(Q489=1,INDEX(新属性投放!S$20:S$23,卡牌属性!M489-1),INDEX(新属性投放!S$25:S$28,卡牌属性!M489-1)))*INDEX($G$5:$G$42,L489),2)</f>
        <v>342.36</v>
      </c>
      <c r="W489" s="29" t="s">
        <v>179</v>
      </c>
      <c r="X489" s="14">
        <f>ROUND((IF(Q489=1,INDEX(新属性投放!$L$14:$L$34,卡牌属性!R489),INDEX(新属性投放!$L$42:$L$62,卡牌属性!R489))*INDEX($G$5:$G$42,L489)+IF(Q489=1,INDEX(新属性投放!T$20:T$23,卡牌属性!M489-1),INDEX(新属性投放!T$25:T$28,卡牌属性!M489-1)))*SQRT(INDEX($I$5:$I$42,L489)),2)</f>
        <v>4242.2</v>
      </c>
      <c r="Y489" s="29" t="s">
        <v>177</v>
      </c>
      <c r="Z489" s="14">
        <f>ROUND(IF(Q489=1,INDEX(新属性投放!$D$14:$D$34,卡牌属性!R489),INDEX(新属性投放!$D$42:$D$62,卡牌属性!R489))*INDEX($G$5:$G$42,L489)/SQRT(INDEX($I$5:$I$42,L489)),2)</f>
        <v>32.72</v>
      </c>
      <c r="AA489" s="29" t="s">
        <v>178</v>
      </c>
      <c r="AB489" s="14">
        <f>ROUND(IF(Q489=1,INDEX(新属性投放!$E$14:$E$34,卡牌属性!R489),INDEX(新属性投放!$E$42:$E$62,卡牌属性!R489))*INDEX($G$5:$G$42,L489),2)</f>
        <v>16.36</v>
      </c>
      <c r="AC489" s="29" t="s">
        <v>179</v>
      </c>
      <c r="AD489" s="14">
        <f>ROUND(IF(Q489=1,INDEX(新属性投放!$F$14:$F$34,卡牌属性!R489),INDEX(新属性投放!$F$42:$F$62,卡牌属性!R489))*INDEX($G$5:$G$42,L489)*SQRT(INDEX($I$5:$I$42,L489)),2)</f>
        <v>146.9</v>
      </c>
      <c r="AF489" s="14">
        <f t="shared" si="202"/>
        <v>327</v>
      </c>
      <c r="AG489" s="14">
        <f t="shared" si="203"/>
        <v>163</v>
      </c>
      <c r="AH489" s="14">
        <f t="shared" si="204"/>
        <v>1469</v>
      </c>
      <c r="AJ489" s="14">
        <f t="shared" si="214"/>
        <v>701</v>
      </c>
      <c r="AK489" s="14">
        <f t="shared" si="215"/>
        <v>349</v>
      </c>
      <c r="AL489" s="14">
        <f t="shared" si="216"/>
        <v>3133</v>
      </c>
    </row>
    <row r="490" spans="11:38" ht="16.5" x14ac:dyDescent="0.2">
      <c r="K490" s="13">
        <v>487</v>
      </c>
      <c r="L490" s="13">
        <f t="shared" si="196"/>
        <v>24</v>
      </c>
      <c r="M490" s="13">
        <f t="shared" si="197"/>
        <v>4</v>
      </c>
      <c r="N490" s="14">
        <f t="shared" si="198"/>
        <v>1102008</v>
      </c>
      <c r="O490" s="14" t="str">
        <f t="shared" si="199"/>
        <v>夏侯渊4突</v>
      </c>
      <c r="P490" s="29" t="s">
        <v>470</v>
      </c>
      <c r="Q490" s="14">
        <f t="shared" si="200"/>
        <v>2</v>
      </c>
      <c r="R490" s="14">
        <f t="shared" si="201"/>
        <v>4</v>
      </c>
      <c r="S490" s="14" t="s">
        <v>39</v>
      </c>
      <c r="T490" s="14">
        <f>ROUND(((IF(Q490=1,INDEX(新属性投放!$J$14:$J$34,卡牌属性!R490),INDEX(新属性投放!$J$42:$J$62,卡牌属性!R490)))*INDEX($G$5:$G$42,L490)+IF(Q490=1,INDEX(新属性投放!R$20:R$23,卡牌属性!M490-1),INDEX(新属性投放!R$25:R$28,卡牌属性!M490-1)))/SQRT(INDEX($I$5:$I$42,L490)),2)</f>
        <v>1495.32</v>
      </c>
      <c r="U490" s="29" t="s">
        <v>178</v>
      </c>
      <c r="V490" s="14">
        <f>ROUND((IF(Q490=1,INDEX(新属性投放!$K$14:$K$34,卡牌属性!R490),INDEX(新属性投放!$K$42:$K$62,卡牌属性!R490))+IF(Q490=1,INDEX(新属性投放!S$20:S$23,卡牌属性!M490-1),INDEX(新属性投放!S$25:S$28,卡牌属性!M490-1)))*INDEX($G$5:$G$42,L490),2)</f>
        <v>546.26</v>
      </c>
      <c r="W490" s="29" t="s">
        <v>179</v>
      </c>
      <c r="X490" s="14">
        <f>ROUND((IF(Q490=1,INDEX(新属性投放!$L$14:$L$34,卡牌属性!R490),INDEX(新属性投放!$L$42:$L$62,卡牌属性!R490))*INDEX($G$5:$G$42,L490)+IF(Q490=1,INDEX(新属性投放!T$20:T$23,卡牌属性!M490-1),INDEX(新属性投放!T$25:T$28,卡牌属性!M490-1)))*SQRT(INDEX($I$5:$I$42,L490)),2)</f>
        <v>6448.3</v>
      </c>
      <c r="Y490" s="29" t="s">
        <v>177</v>
      </c>
      <c r="Z490" s="14">
        <f>ROUND(IF(Q490=1,INDEX(新属性投放!$D$14:$D$34,卡牌属性!R490),INDEX(新属性投放!$D$42:$D$62,卡牌属性!R490))*INDEX($G$5:$G$42,L490)/SQRT(INDEX($I$5:$I$42,L490)),2)</f>
        <v>39.17</v>
      </c>
      <c r="AA490" s="29" t="s">
        <v>178</v>
      </c>
      <c r="AB490" s="14">
        <f>ROUND(IF(Q490=1,INDEX(新属性投放!$E$14:$E$34,卡牌属性!R490),INDEX(新属性投放!$E$42:$E$62,卡牌属性!R490))*INDEX($G$5:$G$42,L490),2)</f>
        <v>19.579999999999998</v>
      </c>
      <c r="AC490" s="29" t="s">
        <v>179</v>
      </c>
      <c r="AD490" s="14">
        <f>ROUND(IF(Q490=1,INDEX(新属性投放!$F$14:$F$34,卡牌属性!R490),INDEX(新属性投放!$F$42:$F$62,卡牌属性!R490))*INDEX($G$5:$G$42,L490)*SQRT(INDEX($I$5:$I$42,L490)),2)</f>
        <v>175.5</v>
      </c>
      <c r="AF490" s="14">
        <f t="shared" si="202"/>
        <v>391</v>
      </c>
      <c r="AG490" s="14">
        <f t="shared" si="203"/>
        <v>195</v>
      </c>
      <c r="AH490" s="14">
        <f t="shared" si="204"/>
        <v>1755</v>
      </c>
      <c r="AJ490" s="14">
        <f t="shared" si="214"/>
        <v>1092</v>
      </c>
      <c r="AK490" s="14">
        <f t="shared" si="215"/>
        <v>544</v>
      </c>
      <c r="AL490" s="14">
        <f t="shared" si="216"/>
        <v>4888</v>
      </c>
    </row>
    <row r="491" spans="11:38" ht="16.5" x14ac:dyDescent="0.2">
      <c r="K491" s="13">
        <v>488</v>
      </c>
      <c r="L491" s="13">
        <f t="shared" si="196"/>
        <v>24</v>
      </c>
      <c r="M491" s="13">
        <f t="shared" si="197"/>
        <v>4</v>
      </c>
      <c r="N491" s="14">
        <f t="shared" si="198"/>
        <v>1102008</v>
      </c>
      <c r="O491" s="14" t="str">
        <f t="shared" si="199"/>
        <v>夏侯渊5突</v>
      </c>
      <c r="P491" s="29" t="s">
        <v>470</v>
      </c>
      <c r="Q491" s="14">
        <f t="shared" si="200"/>
        <v>2</v>
      </c>
      <c r="R491" s="14">
        <f t="shared" si="201"/>
        <v>5</v>
      </c>
      <c r="S491" s="14" t="s">
        <v>39</v>
      </c>
      <c r="T491" s="14">
        <f>ROUND(((IF(Q491=1,INDEX(新属性投放!$J$14:$J$34,卡牌属性!R491),INDEX(新属性投放!$J$42:$J$62,卡牌属性!R491)))*INDEX($G$5:$G$42,L491)+IF(Q491=1,INDEX(新属性投放!R$20:R$23,卡牌属性!M491-1),INDEX(新属性投放!R$25:R$28,卡牌属性!M491-1)))/SQRT(INDEX($I$5:$I$42,L491)),2)</f>
        <v>1984.51</v>
      </c>
      <c r="U491" s="29" t="s">
        <v>178</v>
      </c>
      <c r="V491" s="14">
        <f>ROUND((IF(Q491=1,INDEX(新属性投放!$K$14:$K$34,卡牌属性!R491),INDEX(新属性投放!$K$42:$K$62,卡牌属性!R491))+IF(Q491=1,INDEX(新属性投放!S$20:S$23,卡牌属性!M491-1),INDEX(新属性投放!S$25:S$28,卡牌属性!M491-1)))*INDEX($G$5:$G$42,L491),2)</f>
        <v>791.51</v>
      </c>
      <c r="W491" s="29" t="s">
        <v>179</v>
      </c>
      <c r="X491" s="14">
        <f>ROUND((IF(Q491=1,INDEX(新属性投放!$L$14:$L$34,卡牌属性!R491),INDEX(新属性投放!$L$42:$L$62,卡牌属性!R491))*INDEX($G$5:$G$42,L491)+IF(Q491=1,INDEX(新属性投放!T$20:T$23,卡牌属性!M491-1),INDEX(新属性投放!T$25:T$28,卡牌属性!M491-1)))*SQRT(INDEX($I$5:$I$42,L491)),2)</f>
        <v>9080.7999999999993</v>
      </c>
      <c r="Y491" s="29" t="s">
        <v>177</v>
      </c>
      <c r="Z491" s="14">
        <f>ROUND(IF(Q491=1,INDEX(新属性投放!$D$14:$D$34,卡牌属性!R491),INDEX(新属性投放!$D$42:$D$62,卡牌属性!R491))*INDEX($G$5:$G$42,L491)/SQRT(INDEX($I$5:$I$42,L491)),2)</f>
        <v>48.96</v>
      </c>
      <c r="AA491" s="29" t="s">
        <v>178</v>
      </c>
      <c r="AB491" s="14">
        <f>ROUND(IF(Q491=1,INDEX(新属性投放!$E$14:$E$34,卡牌属性!R491),INDEX(新属性投放!$E$42:$E$62,卡牌属性!R491))*INDEX($G$5:$G$42,L491),2)</f>
        <v>24.48</v>
      </c>
      <c r="AC491" s="29" t="s">
        <v>179</v>
      </c>
      <c r="AD491" s="14">
        <f>ROUND(IF(Q491=1,INDEX(新属性投放!$F$14:$F$34,卡牌属性!R491),INDEX(新属性投放!$F$42:$F$62,卡牌属性!R491))*INDEX($G$5:$G$42,L491)*SQRT(INDEX($I$5:$I$42,L491)),2)</f>
        <v>219.7</v>
      </c>
      <c r="AF491" s="14">
        <f t="shared" si="202"/>
        <v>489</v>
      </c>
      <c r="AG491" s="14">
        <f t="shared" si="203"/>
        <v>244</v>
      </c>
      <c r="AH491" s="14">
        <f t="shared" si="204"/>
        <v>2197</v>
      </c>
      <c r="AJ491" s="14">
        <f t="shared" si="214"/>
        <v>1581</v>
      </c>
      <c r="AK491" s="14">
        <f t="shared" si="215"/>
        <v>788</v>
      </c>
      <c r="AL491" s="14">
        <f t="shared" si="216"/>
        <v>7085</v>
      </c>
    </row>
    <row r="492" spans="11:38" ht="16.5" x14ac:dyDescent="0.2">
      <c r="K492" s="13">
        <v>489</v>
      </c>
      <c r="L492" s="13">
        <f t="shared" si="196"/>
        <v>24</v>
      </c>
      <c r="M492" s="13">
        <f t="shared" si="197"/>
        <v>4</v>
      </c>
      <c r="N492" s="14">
        <f t="shared" si="198"/>
        <v>1102008</v>
      </c>
      <c r="O492" s="14" t="str">
        <f t="shared" si="199"/>
        <v>夏侯渊6突</v>
      </c>
      <c r="P492" s="29" t="s">
        <v>470</v>
      </c>
      <c r="Q492" s="14">
        <f t="shared" si="200"/>
        <v>2</v>
      </c>
      <c r="R492" s="14">
        <f t="shared" si="201"/>
        <v>6</v>
      </c>
      <c r="S492" s="14" t="s">
        <v>39</v>
      </c>
      <c r="T492" s="14">
        <f>ROUND(((IF(Q492=1,INDEX(新属性投放!$J$14:$J$34,卡牌属性!R492),INDEX(新属性投放!$J$42:$J$62,卡牌属性!R492)))*INDEX($G$5:$G$42,L492)+IF(Q492=1,INDEX(新属性投放!R$20:R$23,卡牌属性!M492-1),INDEX(新属性投放!R$25:R$28,卡牌属性!M492-1)))/SQRT(INDEX($I$5:$I$42,L492)),2)</f>
        <v>2596.29</v>
      </c>
      <c r="U492" s="29" t="s">
        <v>178</v>
      </c>
      <c r="V492" s="14">
        <f>ROUND((IF(Q492=1,INDEX(新属性投放!$K$14:$K$34,卡牌属性!R492),INDEX(新属性投放!$K$42:$K$62,卡牌属性!R492))+IF(Q492=1,INDEX(新属性投放!S$20:S$23,卡牌属性!M492-1),INDEX(新属性投放!S$25:S$28,卡牌属性!M492-1)))*INDEX($G$5:$G$42,L492),2)</f>
        <v>1097.4000000000001</v>
      </c>
      <c r="W492" s="29" t="s">
        <v>179</v>
      </c>
      <c r="X492" s="14">
        <f>ROUND((IF(Q492=1,INDEX(新属性投放!$L$14:$L$34,卡牌属性!R492),INDEX(新属性投放!$L$42:$L$62,卡牌属性!R492))*INDEX($G$5:$G$42,L492)+IF(Q492=1,INDEX(新属性投放!T$20:T$23,卡牌属性!M492-1),INDEX(新属性投放!T$25:T$28,卡牌属性!M492-1)))*SQRT(INDEX($I$5:$I$42,L492)),2)</f>
        <v>12377.6</v>
      </c>
      <c r="Y492" s="29" t="s">
        <v>177</v>
      </c>
      <c r="Z492" s="14">
        <f>ROUND(IF(Q492=1,INDEX(新属性投放!$D$14:$D$34,卡牌属性!R492),INDEX(新属性投放!$D$42:$D$62,卡牌属性!R492))*INDEX($G$5:$G$42,L492)/SQRT(INDEX($I$5:$I$42,L492)),2)</f>
        <v>63.51</v>
      </c>
      <c r="AA492" s="29" t="s">
        <v>178</v>
      </c>
      <c r="AB492" s="14">
        <f>ROUND(IF(Q492=1,INDEX(新属性投放!$E$14:$E$34,卡牌属性!R492),INDEX(新属性投放!$E$42:$E$62,卡牌属性!R492))*INDEX($G$5:$G$42,L492),2)</f>
        <v>31.75</v>
      </c>
      <c r="AC492" s="29" t="s">
        <v>179</v>
      </c>
      <c r="AD492" s="14">
        <f>ROUND(IF(Q492=1,INDEX(新属性投放!$F$14:$F$34,卡牌属性!R492),INDEX(新属性投放!$F$42:$F$62,卡牌属性!R492))*INDEX($G$5:$G$42,L492)*SQRT(INDEX($I$5:$I$42,L492)),2)</f>
        <v>284.7</v>
      </c>
      <c r="AF492" s="14">
        <f t="shared" si="202"/>
        <v>635</v>
      </c>
      <c r="AG492" s="14">
        <f t="shared" si="203"/>
        <v>317</v>
      </c>
      <c r="AH492" s="14">
        <f t="shared" si="204"/>
        <v>2847</v>
      </c>
      <c r="AJ492" s="14">
        <f t="shared" si="214"/>
        <v>2216</v>
      </c>
      <c r="AK492" s="14">
        <f t="shared" si="215"/>
        <v>1105</v>
      </c>
      <c r="AL492" s="14">
        <f t="shared" si="216"/>
        <v>9932</v>
      </c>
    </row>
    <row r="493" spans="11:38" ht="16.5" x14ac:dyDescent="0.2">
      <c r="K493" s="13">
        <v>490</v>
      </c>
      <c r="L493" s="13">
        <f t="shared" si="196"/>
        <v>24</v>
      </c>
      <c r="M493" s="13">
        <f t="shared" si="197"/>
        <v>4</v>
      </c>
      <c r="N493" s="14">
        <f t="shared" si="198"/>
        <v>1102008</v>
      </c>
      <c r="O493" s="14" t="str">
        <f t="shared" si="199"/>
        <v>夏侯渊7突</v>
      </c>
      <c r="P493" s="29" t="s">
        <v>470</v>
      </c>
      <c r="Q493" s="14">
        <f t="shared" si="200"/>
        <v>2</v>
      </c>
      <c r="R493" s="14">
        <f t="shared" si="201"/>
        <v>7</v>
      </c>
      <c r="S493" s="14" t="s">
        <v>39</v>
      </c>
      <c r="T493" s="14">
        <f>ROUND(((IF(Q493=1,INDEX(新属性投放!$J$14:$J$34,卡牌属性!R493),INDEX(新属性投放!$J$42:$J$62,卡牌属性!R493)))*INDEX($G$5:$G$42,L493)+IF(Q493=1,INDEX(新属性投放!R$20:R$23,卡牌属性!M493-1),INDEX(新属性投放!R$25:R$28,卡牌属性!M493-1)))/SQRT(INDEX($I$5:$I$42,L493)),2)</f>
        <v>3389.94</v>
      </c>
      <c r="U493" s="29" t="s">
        <v>178</v>
      </c>
      <c r="V493" s="14">
        <f>ROUND((IF(Q493=1,INDEX(新属性投放!$K$14:$K$34,卡牌属性!R493),INDEX(新属性投放!$K$42:$K$62,卡牌属性!R493))+IF(Q493=1,INDEX(新属性投放!S$20:S$23,卡牌属性!M493-1),INDEX(新属性投放!S$25:S$28,卡牌属性!M493-1)))*INDEX($G$5:$G$42,L493),2)</f>
        <v>1494.22</v>
      </c>
      <c r="W493" s="29" t="s">
        <v>179</v>
      </c>
      <c r="X493" s="14">
        <f>ROUND((IF(Q493=1,INDEX(新属性投放!$L$14:$L$34,卡牌属性!R493),INDEX(新属性投放!$L$42:$L$62,卡牌属性!R493))*INDEX($G$5:$G$42,L493)+IF(Q493=1,INDEX(新属性投放!T$20:T$23,卡牌属性!M493-1),INDEX(新属性投放!T$25:T$28,卡牌属性!M493-1)))*SQRT(INDEX($I$5:$I$42,L493)),2)</f>
        <v>16652</v>
      </c>
      <c r="Y493" s="29" t="s">
        <v>177</v>
      </c>
      <c r="Z493" s="14">
        <f>ROUND(IF(Q493=1,INDEX(新属性投放!$D$14:$D$34,卡牌属性!R493),INDEX(新属性投放!$D$42:$D$62,卡牌属性!R493))*INDEX($G$5:$G$42,L493)/SQRT(INDEX($I$5:$I$42,L493)),2)</f>
        <v>78.25</v>
      </c>
      <c r="AA493" s="29" t="s">
        <v>178</v>
      </c>
      <c r="AB493" s="14">
        <f>ROUND(IF(Q493=1,INDEX(新属性投放!$E$14:$E$34,卡牌属性!R493),INDEX(新属性投放!$E$42:$E$62,卡牌属性!R493))*INDEX($G$5:$G$42,L493),2)</f>
        <v>39.119999999999997</v>
      </c>
      <c r="AC493" s="29" t="s">
        <v>179</v>
      </c>
      <c r="AD493" s="14">
        <f>ROUND(IF(Q493=1,INDEX(新属性投放!$F$14:$F$34,卡牌属性!R493),INDEX(新属性投放!$F$42:$F$62,卡牌属性!R493))*INDEX($G$5:$G$42,L493)*SQRT(INDEX($I$5:$I$42,L493)),2)</f>
        <v>351</v>
      </c>
      <c r="AF493" s="14">
        <f t="shared" si="202"/>
        <v>782</v>
      </c>
      <c r="AG493" s="14">
        <f t="shared" si="203"/>
        <v>391</v>
      </c>
      <c r="AH493" s="14">
        <f t="shared" si="204"/>
        <v>3510</v>
      </c>
      <c r="AJ493" s="14">
        <f t="shared" si="214"/>
        <v>2998</v>
      </c>
      <c r="AK493" s="14">
        <f t="shared" si="215"/>
        <v>1496</v>
      </c>
      <c r="AL493" s="14">
        <f t="shared" si="216"/>
        <v>13442</v>
      </c>
    </row>
    <row r="494" spans="11:38" ht="16.5" x14ac:dyDescent="0.2">
      <c r="K494" s="13">
        <v>491</v>
      </c>
      <c r="L494" s="13">
        <f t="shared" si="196"/>
        <v>24</v>
      </c>
      <c r="M494" s="13">
        <f t="shared" si="197"/>
        <v>4</v>
      </c>
      <c r="N494" s="14">
        <f t="shared" si="198"/>
        <v>1102008</v>
      </c>
      <c r="O494" s="14" t="str">
        <f t="shared" si="199"/>
        <v>夏侯渊8突</v>
      </c>
      <c r="P494" s="29" t="s">
        <v>470</v>
      </c>
      <c r="Q494" s="14">
        <f t="shared" si="200"/>
        <v>2</v>
      </c>
      <c r="R494" s="14">
        <f t="shared" si="201"/>
        <v>8</v>
      </c>
      <c r="S494" s="14" t="s">
        <v>39</v>
      </c>
      <c r="T494" s="14">
        <f>ROUND(((IF(Q494=1,INDEX(新属性投放!$J$14:$J$34,卡牌属性!R494),INDEX(新属性投放!$J$42:$J$62,卡牌属性!R494)))*INDEX($G$5:$G$42,L494)+IF(Q494=1,INDEX(新属性投放!R$20:R$23,卡牌属性!M494-1),INDEX(新属性投放!R$25:R$28,卡牌属性!M494-1)))/SQRT(INDEX($I$5:$I$42,L494)),2)</f>
        <v>4367.41</v>
      </c>
      <c r="U494" s="29" t="s">
        <v>178</v>
      </c>
      <c r="V494" s="14">
        <f>ROUND((IF(Q494=1,INDEX(新属性投放!$K$14:$K$34,卡牌属性!R494),INDEX(新属性投放!$K$42:$K$62,卡牌属性!R494))+IF(Q494=1,INDEX(新属性投放!S$20:S$23,卡牌属性!M494-1),INDEX(新属性投放!S$25:S$28,卡牌属性!M494-1)))*INDEX($G$5:$G$42,L494),2)</f>
        <v>1982.96</v>
      </c>
      <c r="W494" s="29" t="s">
        <v>179</v>
      </c>
      <c r="X494" s="14">
        <f>ROUND((IF(Q494=1,INDEX(新属性投放!$L$14:$L$34,卡牌属性!R494),INDEX(新属性投放!$L$42:$L$62,卡牌属性!R494))*INDEX($G$5:$G$42,L494)+IF(Q494=1,INDEX(新属性投放!T$20:T$23,卡牌属性!M494-1),INDEX(新属性投放!T$25:T$28,卡牌属性!M494-1)))*SQRT(INDEX($I$5:$I$42,L494)),2)</f>
        <v>21917</v>
      </c>
      <c r="Y494" s="29" t="s">
        <v>177</v>
      </c>
      <c r="Z494" s="14">
        <f>ROUND(IF(Q494=1,INDEX(新属性投放!$D$14:$D$34,卡牌属性!R494),INDEX(新属性投放!$D$42:$D$62,卡牌属性!R494))*INDEX($G$5:$G$42,L494)/SQRT(INDEX($I$5:$I$42,L494)),2)</f>
        <v>97.75</v>
      </c>
      <c r="AA494" s="29" t="s">
        <v>178</v>
      </c>
      <c r="AB494" s="14">
        <f>ROUND(IF(Q494=1,INDEX(新属性投放!$E$14:$E$34,卡牌属性!R494),INDEX(新属性投放!$E$42:$E$62,卡牌属性!R494))*INDEX($G$5:$G$42,L494),2)</f>
        <v>48.87</v>
      </c>
      <c r="AC494" s="29" t="s">
        <v>179</v>
      </c>
      <c r="AD494" s="14">
        <f>ROUND(IF(Q494=1,INDEX(新属性投放!$F$14:$F$34,卡牌属性!R494),INDEX(新属性投放!$F$42:$F$62,卡牌属性!R494))*INDEX($G$5:$G$42,L494)*SQRT(INDEX($I$5:$I$42,L494)),2)</f>
        <v>439.4</v>
      </c>
      <c r="AF494" s="14">
        <f t="shared" si="202"/>
        <v>977</v>
      </c>
      <c r="AG494" s="14">
        <f t="shared" si="203"/>
        <v>488</v>
      </c>
      <c r="AH494" s="14">
        <f t="shared" si="204"/>
        <v>4394</v>
      </c>
      <c r="AJ494" s="14">
        <f t="shared" si="214"/>
        <v>3975</v>
      </c>
      <c r="AK494" s="14">
        <f t="shared" si="215"/>
        <v>1984</v>
      </c>
      <c r="AL494" s="14">
        <f t="shared" si="216"/>
        <v>17836</v>
      </c>
    </row>
    <row r="495" spans="11:38" ht="16.5" x14ac:dyDescent="0.2">
      <c r="K495" s="13">
        <v>492</v>
      </c>
      <c r="L495" s="13">
        <f t="shared" si="196"/>
        <v>24</v>
      </c>
      <c r="M495" s="13">
        <f t="shared" si="197"/>
        <v>4</v>
      </c>
      <c r="N495" s="14">
        <f t="shared" si="198"/>
        <v>1102008</v>
      </c>
      <c r="O495" s="14" t="str">
        <f t="shared" si="199"/>
        <v>夏侯渊9突</v>
      </c>
      <c r="P495" s="29" t="s">
        <v>470</v>
      </c>
      <c r="Q495" s="14">
        <f t="shared" si="200"/>
        <v>2</v>
      </c>
      <c r="R495" s="14">
        <f t="shared" si="201"/>
        <v>9</v>
      </c>
      <c r="S495" s="14" t="s">
        <v>39</v>
      </c>
      <c r="T495" s="14">
        <f>ROUND(((IF(Q495=1,INDEX(新属性投放!$J$14:$J$34,卡牌属性!R495),INDEX(新属性投放!$J$42:$J$62,卡牌属性!R495)))*INDEX($G$5:$G$42,L495)+IF(Q495=1,INDEX(新属性投放!R$20:R$23,卡牌属性!M495-1),INDEX(新属性投放!R$25:R$28,卡牌属性!M495-1)))/SQRT(INDEX($I$5:$I$42,L495)),2)</f>
        <v>5589.28</v>
      </c>
      <c r="U495" s="29" t="s">
        <v>178</v>
      </c>
      <c r="V495" s="14">
        <f>ROUND((IF(Q495=1,INDEX(新属性投放!$K$14:$K$34,卡牌属性!R495),INDEX(新属性投放!$K$42:$K$62,卡牌属性!R495))+IF(Q495=1,INDEX(新属性投放!S$20:S$23,卡牌属性!M495-1),INDEX(新属性投放!S$25:S$28,卡牌属性!M495-1)))*INDEX($G$5:$G$42,L495),2)</f>
        <v>2593.89</v>
      </c>
      <c r="W495" s="29" t="s">
        <v>179</v>
      </c>
      <c r="X495" s="14">
        <f>ROUND((IF(Q495=1,INDEX(新属性投放!$L$14:$L$34,卡牌属性!R495),INDEX(新属性投放!$L$42:$L$62,卡牌属性!R495))*INDEX($G$5:$G$42,L495)+IF(Q495=1,INDEX(新属性投放!T$20:T$23,卡牌属性!M495-1),INDEX(新属性投放!T$25:T$28,卡牌属性!M495-1)))*SQRT(INDEX($I$5:$I$42,L495)),2)</f>
        <v>28510.6</v>
      </c>
      <c r="Y495" s="29" t="s">
        <v>177</v>
      </c>
      <c r="Z495" s="14">
        <f>ROUND(IF(Q495=1,INDEX(新属性投放!$D$14:$D$34,卡牌属性!R495),INDEX(新属性投放!$D$42:$D$62,卡牌属性!R495))*INDEX($G$5:$G$42,L495)/SQRT(INDEX($I$5:$I$42,L495)),2)</f>
        <v>127.13</v>
      </c>
      <c r="AA495" s="29" t="s">
        <v>178</v>
      </c>
      <c r="AB495" s="14">
        <f>ROUND(IF(Q495=1,INDEX(新属性投放!$E$14:$E$34,卡牌属性!R495),INDEX(新属性投放!$E$42:$E$62,卡牌属性!R495))*INDEX($G$5:$G$42,L495),2)</f>
        <v>63.56</v>
      </c>
      <c r="AC495" s="29" t="s">
        <v>179</v>
      </c>
      <c r="AD495" s="14">
        <f>ROUND(IF(Q495=1,INDEX(新属性投放!$F$14:$F$34,卡牌属性!R495),INDEX(新属性投放!$F$42:$F$62,卡牌属性!R495))*INDEX($G$5:$G$42,L495)*SQRT(INDEX($I$5:$I$42,L495)),2)</f>
        <v>572</v>
      </c>
      <c r="AF495" s="14">
        <f t="shared" si="202"/>
        <v>1271</v>
      </c>
      <c r="AG495" s="14">
        <f t="shared" si="203"/>
        <v>635</v>
      </c>
      <c r="AH495" s="14">
        <f t="shared" si="204"/>
        <v>5720</v>
      </c>
      <c r="AJ495" s="14">
        <f t="shared" si="214"/>
        <v>5246</v>
      </c>
      <c r="AK495" s="14">
        <f t="shared" si="215"/>
        <v>2619</v>
      </c>
      <c r="AL495" s="14">
        <f t="shared" si="216"/>
        <v>23556</v>
      </c>
    </row>
    <row r="496" spans="11:38" ht="16.5" x14ac:dyDescent="0.2">
      <c r="K496" s="13">
        <v>493</v>
      </c>
      <c r="L496" s="13">
        <f t="shared" si="196"/>
        <v>24</v>
      </c>
      <c r="M496" s="13">
        <f t="shared" si="197"/>
        <v>4</v>
      </c>
      <c r="N496" s="14">
        <f t="shared" si="198"/>
        <v>1102008</v>
      </c>
      <c r="O496" s="14" t="str">
        <f t="shared" si="199"/>
        <v>夏侯渊10突</v>
      </c>
      <c r="P496" s="29" t="s">
        <v>470</v>
      </c>
      <c r="Q496" s="14">
        <f t="shared" si="200"/>
        <v>2</v>
      </c>
      <c r="R496" s="14">
        <f t="shared" si="201"/>
        <v>10</v>
      </c>
      <c r="S496" s="14" t="s">
        <v>39</v>
      </c>
      <c r="T496" s="14">
        <f>ROUND(((IF(Q496=1,INDEX(新属性投放!$J$14:$J$34,卡牌属性!R496),INDEX(新属性投放!$J$42:$J$62,卡牌属性!R496)))*INDEX($G$5:$G$42,L496)+IF(Q496=1,INDEX(新属性投放!R$20:R$23,卡牌属性!M496-1),INDEX(新属性投放!R$25:R$28,卡牌属性!M496-1)))/SQRT(INDEX($I$5:$I$42,L496)),2)</f>
        <v>6383.52</v>
      </c>
      <c r="U496" s="29" t="s">
        <v>178</v>
      </c>
      <c r="V496" s="14">
        <f>ROUND((IF(Q496=1,INDEX(新属性投放!$K$14:$K$34,卡牌属性!R496),INDEX(新属性投放!$K$42:$K$62,卡牌属性!R496))+IF(Q496=1,INDEX(新属性投放!S$20:S$23,卡牌属性!M496-1),INDEX(新属性投放!S$25:S$28,卡牌属性!M496-1)))*INDEX($G$5:$G$42,L496),2)</f>
        <v>2991.01</v>
      </c>
      <c r="W496" s="29" t="s">
        <v>179</v>
      </c>
      <c r="X496" s="14">
        <f>ROUND((IF(Q496=1,INDEX(新属性投放!$L$14:$L$34,卡牌属性!R496),INDEX(新属性投放!$L$42:$L$62,卡牌属性!R496))*INDEX($G$5:$G$42,L496)+IF(Q496=1,INDEX(新属性投放!T$20:T$23,卡牌属性!M496-1),INDEX(新属性投放!T$25:T$28,卡牌属性!M496-1)))*SQRT(INDEX($I$5:$I$42,L496)),2)</f>
        <v>32798</v>
      </c>
      <c r="Y496" s="29" t="s">
        <v>177</v>
      </c>
      <c r="Z496" s="14">
        <f>ROUND(IF(Q496=1,INDEX(新属性投放!$D$14:$D$34,卡牌属性!R496),INDEX(新属性投放!$D$42:$D$62,卡牌属性!R496))*INDEX($G$5:$G$42,L496)/SQRT(INDEX($I$5:$I$42,L496)),2)</f>
        <v>146.68</v>
      </c>
      <c r="AA496" s="29" t="s">
        <v>178</v>
      </c>
      <c r="AB496" s="14">
        <f>ROUND(IF(Q496=1,INDEX(新属性投放!$E$14:$E$34,卡牌属性!R496),INDEX(新属性投放!$E$42:$E$62,卡牌属性!R496))*INDEX($G$5:$G$42,L496),2)</f>
        <v>73.34</v>
      </c>
      <c r="AC496" s="29" t="s">
        <v>179</v>
      </c>
      <c r="AD496" s="14">
        <f>ROUND(IF(Q496=1,INDEX(新属性投放!$F$14:$F$34,卡牌属性!R496),INDEX(新属性投放!$F$42:$F$62,卡牌属性!R496))*INDEX($G$5:$G$42,L496)*SQRT(INDEX($I$5:$I$42,L496)),2)</f>
        <v>659.1</v>
      </c>
      <c r="AF496" s="14">
        <f t="shared" si="202"/>
        <v>1466</v>
      </c>
      <c r="AG496" s="14">
        <f t="shared" si="203"/>
        <v>733</v>
      </c>
      <c r="AH496" s="14">
        <f t="shared" si="204"/>
        <v>6591</v>
      </c>
      <c r="AJ496" s="14">
        <f t="shared" si="214"/>
        <v>6712</v>
      </c>
      <c r="AK496" s="14">
        <f t="shared" si="215"/>
        <v>3352</v>
      </c>
      <c r="AL496" s="14">
        <f t="shared" si="216"/>
        <v>30147</v>
      </c>
    </row>
    <row r="497" spans="11:38" ht="16.5" x14ac:dyDescent="0.2">
      <c r="K497" s="13">
        <v>494</v>
      </c>
      <c r="L497" s="13">
        <f t="shared" si="196"/>
        <v>24</v>
      </c>
      <c r="M497" s="13">
        <f t="shared" si="197"/>
        <v>4</v>
      </c>
      <c r="N497" s="14">
        <f t="shared" si="198"/>
        <v>1102008</v>
      </c>
      <c r="O497" s="14" t="str">
        <f t="shared" si="199"/>
        <v>夏侯渊11突</v>
      </c>
      <c r="P497" s="29" t="s">
        <v>470</v>
      </c>
      <c r="Q497" s="14">
        <f t="shared" si="200"/>
        <v>2</v>
      </c>
      <c r="R497" s="14">
        <f t="shared" si="201"/>
        <v>11</v>
      </c>
      <c r="S497" s="14" t="s">
        <v>39</v>
      </c>
      <c r="T497" s="14">
        <f>ROUND(((IF(Q497=1,INDEX(新属性投放!$J$14:$J$34,卡牌属性!R497),INDEX(新属性投放!$J$42:$J$62,卡牌属性!R497)))*INDEX($G$5:$G$42,L497)+IF(Q497=1,INDEX(新属性投放!R$20:R$23,卡牌属性!M497-1),INDEX(新属性投放!R$25:R$28,卡牌属性!M497-1)))/SQRT(INDEX($I$5:$I$42,L497)),2)</f>
        <v>7300.21</v>
      </c>
      <c r="U497" s="29" t="s">
        <v>178</v>
      </c>
      <c r="V497" s="14">
        <f>ROUND((IF(Q497=1,INDEX(新属性投放!$K$14:$K$34,卡牌属性!R497),INDEX(新属性投放!$K$42:$K$62,卡牌属性!R497))+IF(Q497=1,INDEX(新属性投放!S$20:S$23,卡牌属性!M497-1),INDEX(新属性投放!S$25:S$28,卡牌属性!M497-1)))*INDEX($G$5:$G$42,L497),2)</f>
        <v>3450.01</v>
      </c>
      <c r="W497" s="29" t="s">
        <v>179</v>
      </c>
      <c r="X497" s="14">
        <f>ROUND((IF(Q497=1,INDEX(新属性投放!$L$14:$L$34,卡牌属性!R497),INDEX(新属性投放!$L$42:$L$62,卡牌属性!R497))*INDEX($G$5:$G$42,L497)+IF(Q497=1,INDEX(新属性投放!T$20:T$23,卡牌属性!M497-1),INDEX(新属性投放!T$25:T$28,卡牌属性!M497-1)))*SQRT(INDEX($I$5:$I$42,L497)),2)</f>
        <v>37743.199999999997</v>
      </c>
      <c r="Y497" s="29" t="s">
        <v>177</v>
      </c>
      <c r="Z497" s="14">
        <f>ROUND(IF(Q497=1,INDEX(新属性投放!$D$14:$D$34,卡牌属性!R497),INDEX(新属性投放!$D$42:$D$62,卡牌属性!R497))*INDEX($G$5:$G$42,L497)/SQRT(INDEX($I$5:$I$42,L497)),2)</f>
        <v>171.05</v>
      </c>
      <c r="AA497" s="29" t="s">
        <v>178</v>
      </c>
      <c r="AB497" s="14">
        <f>ROUND(IF(Q497=1,INDEX(新属性投放!$E$14:$E$34,卡牌属性!R497),INDEX(新属性投放!$E$42:$E$62,卡牌属性!R497))*INDEX($G$5:$G$42,L497),2)</f>
        <v>85.53</v>
      </c>
      <c r="AC497" s="29" t="s">
        <v>179</v>
      </c>
      <c r="AD497" s="14">
        <f>ROUND(IF(Q497=1,INDEX(新属性投放!$F$14:$F$34,卡牌属性!R497),INDEX(新属性投放!$F$42:$F$62,卡牌属性!R497))*INDEX($G$5:$G$42,L497)*SQRT(INDEX($I$5:$I$42,L497)),2)</f>
        <v>769.6</v>
      </c>
      <c r="AF497" s="14">
        <f t="shared" si="202"/>
        <v>1710</v>
      </c>
      <c r="AG497" s="14">
        <f t="shared" si="203"/>
        <v>855</v>
      </c>
      <c r="AH497" s="14">
        <f t="shared" si="204"/>
        <v>7696</v>
      </c>
      <c r="AJ497" s="14">
        <f t="shared" si="214"/>
        <v>8422</v>
      </c>
      <c r="AK497" s="14">
        <f t="shared" si="215"/>
        <v>4207</v>
      </c>
      <c r="AL497" s="14">
        <f t="shared" si="216"/>
        <v>37843</v>
      </c>
    </row>
    <row r="498" spans="11:38" ht="16.5" x14ac:dyDescent="0.2">
      <c r="K498" s="13">
        <v>495</v>
      </c>
      <c r="L498" s="13">
        <f t="shared" si="196"/>
        <v>24</v>
      </c>
      <c r="M498" s="13">
        <f t="shared" si="197"/>
        <v>4</v>
      </c>
      <c r="N498" s="14">
        <f t="shared" si="198"/>
        <v>1102008</v>
      </c>
      <c r="O498" s="14" t="str">
        <f t="shared" si="199"/>
        <v>夏侯渊12突</v>
      </c>
      <c r="P498" s="29" t="s">
        <v>470</v>
      </c>
      <c r="Q498" s="14">
        <f t="shared" si="200"/>
        <v>2</v>
      </c>
      <c r="R498" s="14">
        <f t="shared" si="201"/>
        <v>12</v>
      </c>
      <c r="S498" s="14" t="s">
        <v>39</v>
      </c>
      <c r="T498" s="14">
        <f>ROUND(((IF(Q498=1,INDEX(新属性投放!$J$14:$J$34,卡牌属性!R498),INDEX(新属性投放!$J$42:$J$62,卡牌属性!R498)))*INDEX($G$5:$G$42,L498)+IF(Q498=1,INDEX(新属性投放!R$20:R$23,卡牌属性!M498-1),INDEX(新属性投放!R$25:R$28,卡牌属性!M498-1)))/SQRT(INDEX($I$5:$I$42,L498)),2)</f>
        <v>8368.68</v>
      </c>
      <c r="U498" s="29" t="s">
        <v>178</v>
      </c>
      <c r="V498" s="14">
        <f>ROUND((IF(Q498=1,INDEX(新属性投放!$K$14:$K$34,卡牌属性!R498),INDEX(新属性投放!$K$42:$K$62,卡牌属性!R498))+IF(Q498=1,INDEX(新属性投放!S$20:S$23,卡牌属性!M498-1),INDEX(新属性投放!S$25:S$28,卡牌属性!M498-1)))*INDEX($G$5:$G$42,L498),2)</f>
        <v>3984.24</v>
      </c>
      <c r="W498" s="29" t="s">
        <v>179</v>
      </c>
      <c r="X498" s="14">
        <f>ROUND((IF(Q498=1,INDEX(新属性投放!$L$14:$L$34,卡牌属性!R498),INDEX(新属性投放!$L$42:$L$62,卡牌属性!R498))*INDEX($G$5:$G$42,L498)+IF(Q498=1,INDEX(新属性投放!T$20:T$23,卡牌属性!M498-1),INDEX(新属性投放!T$25:T$28,卡牌属性!M498-1)))*SQRT(INDEX($I$5:$I$42,L498)),2)</f>
        <v>43510</v>
      </c>
      <c r="Y498" s="29" t="s">
        <v>177</v>
      </c>
      <c r="Z498" s="14">
        <f>ROUND(IF(Q498=1,INDEX(新属性投放!$D$14:$D$34,卡牌属性!R498),INDEX(新属性投放!$D$42:$D$62,卡牌属性!R498))*INDEX($G$5:$G$42,L498)/SQRT(INDEX($I$5:$I$42,L498)),2)</f>
        <v>195.61</v>
      </c>
      <c r="AA498" s="29" t="s">
        <v>178</v>
      </c>
      <c r="AB498" s="14">
        <f>ROUND(IF(Q498=1,INDEX(新属性投放!$E$14:$E$34,卡牌属性!R498),INDEX(新属性投放!$E$42:$E$62,卡牌属性!R498))*INDEX($G$5:$G$42,L498),2)</f>
        <v>97.81</v>
      </c>
      <c r="AC498" s="29" t="s">
        <v>179</v>
      </c>
      <c r="AD498" s="14">
        <f>ROUND(IF(Q498=1,INDEX(新属性投放!$F$14:$F$34,卡牌属性!R498),INDEX(新属性投放!$F$42:$F$62,卡牌属性!R498))*INDEX($G$5:$G$42,L498)*SQRT(INDEX($I$5:$I$42,L498)),2)</f>
        <v>880.1</v>
      </c>
      <c r="AF498" s="14">
        <f t="shared" si="202"/>
        <v>1956</v>
      </c>
      <c r="AG498" s="14">
        <f t="shared" si="203"/>
        <v>978</v>
      </c>
      <c r="AH498" s="14">
        <f t="shared" si="204"/>
        <v>8801</v>
      </c>
      <c r="AJ498" s="14">
        <f t="shared" si="214"/>
        <v>10378</v>
      </c>
      <c r="AK498" s="14">
        <f t="shared" si="215"/>
        <v>5185</v>
      </c>
      <c r="AL498" s="14">
        <f t="shared" si="216"/>
        <v>46644</v>
      </c>
    </row>
    <row r="499" spans="11:38" ht="16.5" x14ac:dyDescent="0.2">
      <c r="K499" s="13">
        <v>496</v>
      </c>
      <c r="L499" s="13">
        <f t="shared" si="196"/>
        <v>24</v>
      </c>
      <c r="M499" s="13">
        <f t="shared" si="197"/>
        <v>4</v>
      </c>
      <c r="N499" s="14">
        <f t="shared" si="198"/>
        <v>1102008</v>
      </c>
      <c r="O499" s="14" t="str">
        <f t="shared" si="199"/>
        <v>夏侯渊13突</v>
      </c>
      <c r="P499" s="29" t="s">
        <v>470</v>
      </c>
      <c r="Q499" s="14">
        <f t="shared" si="200"/>
        <v>2</v>
      </c>
      <c r="R499" s="14">
        <f t="shared" si="201"/>
        <v>13</v>
      </c>
      <c r="S499" s="14" t="s">
        <v>39</v>
      </c>
      <c r="T499" s="14">
        <f>ROUND(((IF(Q499=1,INDEX(新属性投放!$J$14:$J$34,卡牌属性!R499),INDEX(新属性投放!$J$42:$J$62,卡牌属性!R499)))*INDEX($G$5:$G$42,L499)+IF(Q499=1,INDEX(新属性投放!R$20:R$23,卡牌属性!M499-1),INDEX(新属性投放!R$25:R$28,卡牌属性!M499-1)))/SQRT(INDEX($I$5:$I$42,L499)),2)</f>
        <v>9591.14</v>
      </c>
      <c r="U499" s="29" t="s">
        <v>178</v>
      </c>
      <c r="V499" s="14">
        <f>ROUND((IF(Q499=1,INDEX(新属性投放!$K$14:$K$34,卡牌属性!R499),INDEX(新属性投放!$K$42:$K$62,卡牌属性!R499))+IF(Q499=1,INDEX(新属性投放!S$20:S$23,卡牌属性!M499-1),INDEX(新属性投放!S$25:S$28,卡牌属性!M499-1)))*INDEX($G$5:$G$42,L499),2)</f>
        <v>4595.47</v>
      </c>
      <c r="W499" s="29" t="s">
        <v>179</v>
      </c>
      <c r="X499" s="14">
        <f>ROUND((IF(Q499=1,INDEX(新属性投放!$L$14:$L$34,卡牌属性!R499),INDEX(新属性投放!$L$42:$L$62,卡牌属性!R499))*INDEX($G$5:$G$42,L499)+IF(Q499=1,INDEX(新属性投放!T$20:T$23,卡牌属性!M499-1),INDEX(新属性投放!T$25:T$28,卡牌属性!M499-1)))*SQRT(INDEX($I$5:$I$42,L499)),2)</f>
        <v>50110.1</v>
      </c>
      <c r="Y499" s="29" t="s">
        <v>177</v>
      </c>
      <c r="Z499" s="14">
        <f>ROUND(IF(Q499=1,INDEX(新属性投放!$D$14:$D$34,卡牌属性!R499),INDEX(新属性投放!$D$42:$D$62,卡牌属性!R499))*INDEX($G$5:$G$42,L499)/SQRT(INDEX($I$5:$I$42,L499)),2)</f>
        <v>226.16</v>
      </c>
      <c r="AA499" s="29" t="s">
        <v>178</v>
      </c>
      <c r="AB499" s="14">
        <f>ROUND(IF(Q499=1,INDEX(新属性投放!$E$14:$E$34,卡牌属性!R499),INDEX(新属性投放!$E$42:$E$62,卡牌属性!R499))*INDEX($G$5:$G$42,L499),2)</f>
        <v>113.08</v>
      </c>
      <c r="AC499" s="29" t="s">
        <v>179</v>
      </c>
      <c r="AD499" s="14">
        <f>ROUND(IF(Q499=1,INDEX(新属性投放!$F$14:$F$34,卡牌属性!R499),INDEX(新属性投放!$F$42:$F$62,卡牌属性!R499))*INDEX($G$5:$G$42,L499)*SQRT(INDEX($I$5:$I$42,L499)),2)</f>
        <v>1016.6</v>
      </c>
      <c r="AF499" s="14">
        <f t="shared" si="202"/>
        <v>2261</v>
      </c>
      <c r="AG499" s="14">
        <f t="shared" si="203"/>
        <v>1130</v>
      </c>
      <c r="AH499" s="14">
        <f t="shared" si="204"/>
        <v>10166</v>
      </c>
      <c r="AJ499" s="14">
        <f t="shared" si="214"/>
        <v>12639</v>
      </c>
      <c r="AK499" s="14">
        <f t="shared" si="215"/>
        <v>6315</v>
      </c>
      <c r="AL499" s="14">
        <f t="shared" si="216"/>
        <v>56810</v>
      </c>
    </row>
    <row r="500" spans="11:38" ht="16.5" x14ac:dyDescent="0.2">
      <c r="K500" s="13">
        <v>497</v>
      </c>
      <c r="L500" s="13">
        <f t="shared" si="196"/>
        <v>24</v>
      </c>
      <c r="M500" s="13">
        <f t="shared" si="197"/>
        <v>4</v>
      </c>
      <c r="N500" s="14">
        <f t="shared" si="198"/>
        <v>1102008</v>
      </c>
      <c r="O500" s="14" t="str">
        <f t="shared" si="199"/>
        <v>夏侯渊14突</v>
      </c>
      <c r="P500" s="29" t="s">
        <v>470</v>
      </c>
      <c r="Q500" s="14">
        <f t="shared" si="200"/>
        <v>2</v>
      </c>
      <c r="R500" s="14">
        <f t="shared" si="201"/>
        <v>14</v>
      </c>
      <c r="S500" s="14" t="s">
        <v>39</v>
      </c>
      <c r="T500" s="14">
        <f>ROUND(((IF(Q500=1,INDEX(新属性投放!$J$14:$J$34,卡牌属性!R500),INDEX(新属性投放!$J$42:$J$62,卡牌属性!R500)))*INDEX($G$5:$G$42,L500)+IF(Q500=1,INDEX(新属性投放!R$20:R$23,卡牌属性!M500-1),INDEX(新属性投放!R$25:R$28,卡牌属性!M500-1)))/SQRT(INDEX($I$5:$I$42,L500)),2)</f>
        <v>11004.04</v>
      </c>
      <c r="U500" s="29" t="s">
        <v>178</v>
      </c>
      <c r="V500" s="14">
        <f>ROUND((IF(Q500=1,INDEX(新属性投放!$K$14:$K$34,卡牌属性!R500),INDEX(新属性投放!$K$42:$K$62,卡牌属性!R500))+IF(Q500=1,INDEX(新属性投放!S$20:S$23,卡牌属性!M500-1),INDEX(新属性投放!S$25:S$28,卡牌属性!M500-1)))*INDEX($G$5:$G$42,L500),2)</f>
        <v>5302.57</v>
      </c>
      <c r="W500" s="29" t="s">
        <v>179</v>
      </c>
      <c r="X500" s="14">
        <f>ROUND((IF(Q500=1,INDEX(新属性投放!$L$14:$L$34,卡牌属性!R500),INDEX(新属性投放!$L$42:$L$62,卡牌属性!R500))*INDEX($G$5:$G$42,L500)+IF(Q500=1,INDEX(新属性投放!T$20:T$23,卡牌属性!M500-1),INDEX(新属性投放!T$25:T$28,卡牌属性!M500-1)))*SQRT(INDEX($I$5:$I$42,L500)),2)</f>
        <v>57732</v>
      </c>
      <c r="Y500" s="29" t="s">
        <v>177</v>
      </c>
      <c r="Z500" s="14">
        <f>ROUND(IF(Q500=1,INDEX(新属性投放!$D$14:$D$34,卡牌属性!R500),INDEX(新属性投放!$D$42:$D$62,卡牌属性!R500))*INDEX($G$5:$G$42,L500)/SQRT(INDEX($I$5:$I$42,L500)),2)</f>
        <v>261.5</v>
      </c>
      <c r="AA500" s="29" t="s">
        <v>178</v>
      </c>
      <c r="AB500" s="14">
        <f>ROUND(IF(Q500=1,INDEX(新属性投放!$E$14:$E$34,卡牌属性!R500),INDEX(新属性投放!$E$42:$E$62,卡牌属性!R500))*INDEX($G$5:$G$42,L500),2)</f>
        <v>130.75</v>
      </c>
      <c r="AC500" s="29" t="s">
        <v>179</v>
      </c>
      <c r="AD500" s="14">
        <f>ROUND(IF(Q500=1,INDEX(新属性投放!$F$14:$F$34,卡牌属性!R500),INDEX(新属性投放!$F$42:$F$62,卡牌属性!R500))*INDEX($G$5:$G$42,L500)*SQRT(INDEX($I$5:$I$42,L500)),2)</f>
        <v>1176.5</v>
      </c>
      <c r="AF500" s="14">
        <f t="shared" si="202"/>
        <v>2615</v>
      </c>
      <c r="AG500" s="14">
        <f t="shared" si="203"/>
        <v>1307</v>
      </c>
      <c r="AH500" s="14">
        <f t="shared" si="204"/>
        <v>11765</v>
      </c>
      <c r="AJ500" s="14">
        <f t="shared" si="214"/>
        <v>15254</v>
      </c>
      <c r="AK500" s="14">
        <f t="shared" si="215"/>
        <v>7622</v>
      </c>
      <c r="AL500" s="14">
        <f t="shared" si="216"/>
        <v>68575</v>
      </c>
    </row>
    <row r="501" spans="11:38" ht="16.5" x14ac:dyDescent="0.2">
      <c r="K501" s="13">
        <v>498</v>
      </c>
      <c r="L501" s="13">
        <f t="shared" si="196"/>
        <v>24</v>
      </c>
      <c r="M501" s="13">
        <f t="shared" si="197"/>
        <v>4</v>
      </c>
      <c r="N501" s="14">
        <f t="shared" si="198"/>
        <v>1102008</v>
      </c>
      <c r="O501" s="14" t="str">
        <f t="shared" si="199"/>
        <v>夏侯渊15突</v>
      </c>
      <c r="P501" s="29" t="s">
        <v>470</v>
      </c>
      <c r="Q501" s="14">
        <f t="shared" si="200"/>
        <v>2</v>
      </c>
      <c r="R501" s="14">
        <f t="shared" si="201"/>
        <v>15</v>
      </c>
      <c r="S501" s="14" t="s">
        <v>39</v>
      </c>
      <c r="T501" s="14">
        <f>ROUND(((IF(Q501=1,INDEX(新属性投放!$J$14:$J$34,卡牌属性!R501),INDEX(新属性投放!$J$42:$J$62,卡牌属性!R501)))*INDEX($G$5:$G$42,L501)+IF(Q501=1,INDEX(新属性投放!R$20:R$23,卡牌属性!M501-1),INDEX(新属性投放!R$25:R$28,卡牌属性!M501-1)))/SQRT(INDEX($I$5:$I$42,L501)),2)</f>
        <v>12637.82</v>
      </c>
      <c r="U501" s="29" t="s">
        <v>178</v>
      </c>
      <c r="V501" s="14">
        <f>ROUND((IF(Q501=1,INDEX(新属性投放!$K$14:$K$34,卡牌属性!R501),INDEX(新属性投放!$K$42:$K$62,卡牌属性!R501))+IF(Q501=1,INDEX(新属性投放!S$20:S$23,卡牌属性!M501-1),INDEX(新属性投放!S$25:S$28,卡牌属性!M501-1)))*INDEX($G$5:$G$42,L501),2)</f>
        <v>6120.11</v>
      </c>
      <c r="W501" s="29" t="s">
        <v>179</v>
      </c>
      <c r="X501" s="14">
        <f>ROUND((IF(Q501=1,INDEX(新属性投放!$L$14:$L$34,卡牌属性!R501),INDEX(新属性投放!$L$42:$L$62,卡牌属性!R501))*INDEX($G$5:$G$42,L501)+IF(Q501=1,INDEX(新属性投放!T$20:T$23,卡牌属性!M501-1),INDEX(新属性投放!T$25:T$28,卡牌属性!M501-1)))*SQRT(INDEX($I$5:$I$42,L501)),2)</f>
        <v>66551.199999999997</v>
      </c>
      <c r="Y501" s="29" t="s">
        <v>177</v>
      </c>
      <c r="Z501" s="14">
        <f>ROUND(IF(Q501=1,INDEX(新属性投放!$D$14:$D$34,卡牌属性!R501),INDEX(新属性投放!$D$42:$D$62,卡牌属性!R501))*INDEX($G$5:$G$42,L501)/SQRT(INDEX($I$5:$I$42,L501)),2)</f>
        <v>302.33</v>
      </c>
      <c r="AA501" s="29" t="s">
        <v>178</v>
      </c>
      <c r="AB501" s="14">
        <f>ROUND(IF(Q501=1,INDEX(新属性投放!$E$14:$E$34,卡牌属性!R501),INDEX(新属性投放!$E$42:$E$62,卡牌属性!R501))*INDEX($G$5:$G$42,L501),2)</f>
        <v>151.16</v>
      </c>
      <c r="AC501" s="29" t="s">
        <v>179</v>
      </c>
      <c r="AD501" s="14">
        <f>ROUND(IF(Q501=1,INDEX(新属性投放!$F$14:$F$34,卡牌属性!R501),INDEX(新属性投放!$F$42:$F$62,卡牌属性!R501))*INDEX($G$5:$G$42,L501)*SQRT(INDEX($I$5:$I$42,L501)),2)</f>
        <v>1359.8</v>
      </c>
      <c r="AF501" s="14">
        <f t="shared" si="202"/>
        <v>3023</v>
      </c>
      <c r="AG501" s="14">
        <f t="shared" si="203"/>
        <v>1511</v>
      </c>
      <c r="AH501" s="14">
        <f t="shared" si="204"/>
        <v>13598</v>
      </c>
      <c r="AJ501" s="14">
        <f t="shared" si="214"/>
        <v>18277</v>
      </c>
      <c r="AK501" s="14">
        <f t="shared" si="215"/>
        <v>9133</v>
      </c>
      <c r="AL501" s="14">
        <f t="shared" si="216"/>
        <v>82173</v>
      </c>
    </row>
    <row r="502" spans="11:38" ht="16.5" x14ac:dyDescent="0.2">
      <c r="K502" s="13">
        <v>499</v>
      </c>
      <c r="L502" s="13">
        <f t="shared" si="196"/>
        <v>24</v>
      </c>
      <c r="M502" s="13">
        <f t="shared" si="197"/>
        <v>4</v>
      </c>
      <c r="N502" s="14">
        <f t="shared" si="198"/>
        <v>1102008</v>
      </c>
      <c r="O502" s="14" t="str">
        <f t="shared" si="199"/>
        <v>夏侯渊16突</v>
      </c>
      <c r="P502" s="29" t="s">
        <v>470</v>
      </c>
      <c r="Q502" s="14">
        <f t="shared" si="200"/>
        <v>2</v>
      </c>
      <c r="R502" s="14">
        <f t="shared" si="201"/>
        <v>16</v>
      </c>
      <c r="S502" s="14" t="s">
        <v>39</v>
      </c>
      <c r="T502" s="14">
        <f>ROUND(((IF(Q502=1,INDEX(新属性投放!$J$14:$J$34,卡牌属性!R502),INDEX(新属性投放!$J$42:$J$62,卡牌属性!R502)))*INDEX($G$5:$G$42,L502)+IF(Q502=1,INDEX(新属性投放!R$20:R$23,卡牌属性!M502-1),INDEX(新属性投放!R$25:R$28,卡牌属性!M502-1)))/SQRT(INDEX($I$5:$I$42,L502)),2)</f>
        <v>14527.76</v>
      </c>
      <c r="U502" s="29" t="s">
        <v>178</v>
      </c>
      <c r="V502" s="14">
        <f>ROUND((IF(Q502=1,INDEX(新属性投放!$K$14:$K$34,卡牌属性!R502),INDEX(新属性投放!$K$42:$K$62,卡牌属性!R502))+IF(Q502=1,INDEX(新属性投放!S$20:S$23,卡牌属性!M502-1),INDEX(新属性投放!S$25:S$28,卡牌属性!M502-1)))*INDEX($G$5:$G$42,L502),2)</f>
        <v>7064.43</v>
      </c>
      <c r="W502" s="29" t="s">
        <v>179</v>
      </c>
      <c r="X502" s="14">
        <f>ROUND((IF(Q502=1,INDEX(新属性投放!$L$14:$L$34,卡牌属性!R502),INDEX(新属性投放!$L$42:$L$62,卡牌属性!R502))*INDEX($G$5:$G$42,L502)+IF(Q502=1,INDEX(新属性投放!T$20:T$23,卡牌属性!M502-1),INDEX(新属性投放!T$25:T$28,卡牌属性!M502-1)))*SQRT(INDEX($I$5:$I$42,L502)),2)</f>
        <v>76754.899999999994</v>
      </c>
      <c r="Y502" s="29" t="s">
        <v>177</v>
      </c>
      <c r="Z502" s="14">
        <f>ROUND(IF(Q502=1,INDEX(新属性投放!$D$14:$D$34,卡牌属性!R502),INDEX(新属性投放!$D$42:$D$62,卡牌属性!R502))*INDEX($G$5:$G$42,L502)/SQRT(INDEX($I$5:$I$42,L502)),2)</f>
        <v>349.58</v>
      </c>
      <c r="AA502" s="29" t="s">
        <v>178</v>
      </c>
      <c r="AB502" s="14">
        <f>ROUND(IF(Q502=1,INDEX(新属性投放!$E$14:$E$34,卡牌属性!R502),INDEX(新属性投放!$E$42:$E$62,卡牌属性!R502))*INDEX($G$5:$G$42,L502),2)</f>
        <v>174.79</v>
      </c>
      <c r="AC502" s="29" t="s">
        <v>179</v>
      </c>
      <c r="AD502" s="14">
        <f>ROUND(IF(Q502=1,INDEX(新属性投放!$F$14:$F$34,卡牌属性!R502),INDEX(新属性投放!$F$42:$F$62,卡牌属性!R502))*INDEX($G$5:$G$42,L502)*SQRT(INDEX($I$5:$I$42,L502)),2)</f>
        <v>1573</v>
      </c>
      <c r="AF502" s="14">
        <f t="shared" si="202"/>
        <v>3495</v>
      </c>
      <c r="AG502" s="14">
        <f t="shared" si="203"/>
        <v>1747</v>
      </c>
      <c r="AH502" s="14">
        <f t="shared" si="204"/>
        <v>15730</v>
      </c>
      <c r="AJ502" s="14">
        <f t="shared" si="214"/>
        <v>21772</v>
      </c>
      <c r="AK502" s="14">
        <f t="shared" si="215"/>
        <v>10880</v>
      </c>
      <c r="AL502" s="14">
        <f t="shared" si="216"/>
        <v>97903</v>
      </c>
    </row>
    <row r="503" spans="11:38" ht="16.5" x14ac:dyDescent="0.2">
      <c r="K503" s="13">
        <v>500</v>
      </c>
      <c r="L503" s="13">
        <f t="shared" si="196"/>
        <v>24</v>
      </c>
      <c r="M503" s="13">
        <f t="shared" si="197"/>
        <v>4</v>
      </c>
      <c r="N503" s="14">
        <f t="shared" si="198"/>
        <v>1102008</v>
      </c>
      <c r="O503" s="14" t="str">
        <f t="shared" si="199"/>
        <v>夏侯渊17突</v>
      </c>
      <c r="P503" s="29" t="s">
        <v>470</v>
      </c>
      <c r="Q503" s="14">
        <f t="shared" si="200"/>
        <v>2</v>
      </c>
      <c r="R503" s="14">
        <f t="shared" si="201"/>
        <v>17</v>
      </c>
      <c r="S503" s="14" t="s">
        <v>39</v>
      </c>
      <c r="T503" s="14">
        <f>ROUND(((IF(Q503=1,INDEX(新属性投放!$J$14:$J$34,卡牌属性!R503),INDEX(新属性投放!$J$42:$J$62,卡牌属性!R503)))*INDEX($G$5:$G$42,L503)+IF(Q503=1,INDEX(新属性投放!R$20:R$23,卡牌属性!M503-1),INDEX(新属性投放!R$25:R$28,卡牌属性!M503-1)))/SQRT(INDEX($I$5:$I$42,L503)),2)</f>
        <v>16712.47</v>
      </c>
      <c r="U503" s="29" t="s">
        <v>178</v>
      </c>
      <c r="V503" s="14">
        <f>ROUND((IF(Q503=1,INDEX(新属性投放!$K$14:$K$34,卡牌属性!R503),INDEX(新属性投放!$K$42:$K$62,卡牌属性!R503))+IF(Q503=1,INDEX(新属性投放!S$20:S$23,卡牌属性!M503-1),INDEX(新属性投放!S$25:S$28,卡牌属性!M503-1)))*INDEX($G$5:$G$42,L503),2)</f>
        <v>8156.79</v>
      </c>
      <c r="W503" s="29" t="s">
        <v>179</v>
      </c>
      <c r="X503" s="14">
        <f>ROUND((IF(Q503=1,INDEX(新属性投放!$L$14:$L$34,卡牌属性!R503),INDEX(新属性投放!$L$42:$L$62,卡牌属性!R503))*INDEX($G$5:$G$42,L503)+IF(Q503=1,INDEX(新属性投放!T$20:T$23,卡牌属性!M503-1),INDEX(新属性投放!T$25:T$28,卡牌属性!M503-1)))*SQRT(INDEX($I$5:$I$42,L503)),2)</f>
        <v>88551.1</v>
      </c>
      <c r="Y503" s="29" t="s">
        <v>177</v>
      </c>
      <c r="Z503" s="14">
        <f>ROUND(IF(Q503=1,INDEX(新属性投放!$D$14:$D$34,卡牌属性!R503),INDEX(新属性投放!$D$42:$D$62,卡牌属性!R503))*INDEX($G$5:$G$42,L503)/SQRT(INDEX($I$5:$I$42,L503)),2)</f>
        <v>404.2</v>
      </c>
      <c r="AA503" s="29" t="s">
        <v>178</v>
      </c>
      <c r="AB503" s="14">
        <f>ROUND(IF(Q503=1,INDEX(新属性投放!$E$14:$E$34,卡牌属性!R503),INDEX(新属性投放!$E$42:$E$62,卡牌属性!R503))*INDEX($G$5:$G$42,L503),2)</f>
        <v>202.1</v>
      </c>
      <c r="AC503" s="29" t="s">
        <v>179</v>
      </c>
      <c r="AD503" s="14">
        <f>ROUND(IF(Q503=1,INDEX(新属性投放!$F$14:$F$34,卡牌属性!R503),INDEX(新属性投放!$F$42:$F$62,卡牌属性!R503))*INDEX($G$5:$G$42,L503)*SQRT(INDEX($I$5:$I$42,L503)),2)</f>
        <v>1818.7</v>
      </c>
      <c r="AF503" s="14">
        <f t="shared" si="202"/>
        <v>4042</v>
      </c>
      <c r="AG503" s="14">
        <f t="shared" si="203"/>
        <v>2021</v>
      </c>
      <c r="AH503" s="14">
        <f t="shared" si="204"/>
        <v>18187</v>
      </c>
      <c r="AJ503" s="14">
        <f t="shared" si="214"/>
        <v>25814</v>
      </c>
      <c r="AK503" s="14">
        <f t="shared" si="215"/>
        <v>12901</v>
      </c>
      <c r="AL503" s="14">
        <f t="shared" si="216"/>
        <v>116090</v>
      </c>
    </row>
    <row r="504" spans="11:38" ht="16.5" x14ac:dyDescent="0.2">
      <c r="K504" s="13">
        <v>501</v>
      </c>
      <c r="L504" s="13">
        <f t="shared" si="196"/>
        <v>24</v>
      </c>
      <c r="M504" s="13">
        <f t="shared" si="197"/>
        <v>4</v>
      </c>
      <c r="N504" s="14">
        <f t="shared" si="198"/>
        <v>1102008</v>
      </c>
      <c r="O504" s="14" t="str">
        <f t="shared" si="199"/>
        <v>夏侯渊18突</v>
      </c>
      <c r="P504" s="29" t="s">
        <v>470</v>
      </c>
      <c r="Q504" s="14">
        <f t="shared" si="200"/>
        <v>2</v>
      </c>
      <c r="R504" s="14">
        <f t="shared" si="201"/>
        <v>18</v>
      </c>
      <c r="S504" s="14" t="s">
        <v>39</v>
      </c>
      <c r="T504" s="14">
        <f>ROUND(((IF(Q504=1,INDEX(新属性投放!$J$14:$J$34,卡牌属性!R504),INDEX(新属性投放!$J$42:$J$62,卡牌属性!R504)))*INDEX($G$5:$G$42,L504)+IF(Q504=1,INDEX(新属性投放!R$20:R$23,卡牌属性!M504-1),INDEX(新属性投放!R$25:R$28,卡牌属性!M504-1)))/SQRT(INDEX($I$5:$I$42,L504)),2)</f>
        <v>19239.150000000001</v>
      </c>
      <c r="U504" s="29" t="s">
        <v>178</v>
      </c>
      <c r="V504" s="14">
        <f>ROUND((IF(Q504=1,INDEX(新属性投放!$K$14:$K$34,卡牌属性!R504),INDEX(新属性投放!$K$42:$K$62,卡牌属性!R504))+IF(Q504=1,INDEX(新属性投放!S$20:S$23,卡牌属性!M504-1),INDEX(新属性投放!S$25:S$28,卡牌属性!M504-1)))*INDEX($G$5:$G$42,L504),2)</f>
        <v>9419.48</v>
      </c>
      <c r="W504" s="29" t="s">
        <v>179</v>
      </c>
      <c r="X504" s="14">
        <f>ROUND((IF(Q504=1,INDEX(新属性投放!$L$14:$L$34,卡牌属性!R504),INDEX(新属性投放!$L$42:$L$62,卡牌属性!R504))*INDEX($G$5:$G$42,L504)+IF(Q504=1,INDEX(新属性投放!T$20:T$23,卡牌属性!M504-1),INDEX(新属性投放!T$25:T$28,卡牌属性!M504-1)))*SQRT(INDEX($I$5:$I$42,L504)),2)</f>
        <v>102195.9</v>
      </c>
      <c r="Y504" s="29" t="s">
        <v>177</v>
      </c>
      <c r="Z504" s="14">
        <f>ROUND(IF(Q504=1,INDEX(新属性投放!$D$14:$D$34,卡牌属性!R504),INDEX(新属性投放!$D$42:$D$62,卡牌属性!R504))*INDEX($G$5:$G$42,L504)/SQRT(INDEX($I$5:$I$42,L504)),2)</f>
        <v>467.36</v>
      </c>
      <c r="AA504" s="29" t="s">
        <v>178</v>
      </c>
      <c r="AB504" s="14">
        <f>ROUND(IF(Q504=1,INDEX(新属性投放!$E$14:$E$34,卡牌属性!R504),INDEX(新属性投放!$E$42:$E$62,卡牌属性!R504))*INDEX($G$5:$G$42,L504),2)</f>
        <v>233.68</v>
      </c>
      <c r="AC504" s="29" t="s">
        <v>179</v>
      </c>
      <c r="AD504" s="14">
        <f>ROUND(IF(Q504=1,INDEX(新属性投放!$F$14:$F$34,卡牌属性!R504),INDEX(新属性投放!$F$42:$F$62,卡牌属性!R504))*INDEX($G$5:$G$42,L504)*SQRT(INDEX($I$5:$I$42,L504)),2)</f>
        <v>2102.1</v>
      </c>
      <c r="AF504" s="14">
        <f t="shared" si="202"/>
        <v>4673</v>
      </c>
      <c r="AG504" s="14">
        <f t="shared" si="203"/>
        <v>2336</v>
      </c>
      <c r="AH504" s="14">
        <f t="shared" si="204"/>
        <v>21021</v>
      </c>
      <c r="AJ504" s="14">
        <f t="shared" si="214"/>
        <v>30487</v>
      </c>
      <c r="AK504" s="14">
        <f t="shared" si="215"/>
        <v>15237</v>
      </c>
      <c r="AL504" s="14">
        <f t="shared" si="216"/>
        <v>137111</v>
      </c>
    </row>
    <row r="505" spans="11:38" ht="16.5" x14ac:dyDescent="0.2">
      <c r="K505" s="13">
        <v>502</v>
      </c>
      <c r="L505" s="13">
        <f t="shared" si="196"/>
        <v>24</v>
      </c>
      <c r="M505" s="13">
        <f t="shared" si="197"/>
        <v>4</v>
      </c>
      <c r="N505" s="14">
        <f t="shared" si="198"/>
        <v>1102008</v>
      </c>
      <c r="O505" s="14" t="str">
        <f t="shared" si="199"/>
        <v>夏侯渊19突</v>
      </c>
      <c r="P505" s="29" t="s">
        <v>470</v>
      </c>
      <c r="Q505" s="14">
        <f t="shared" si="200"/>
        <v>2</v>
      </c>
      <c r="R505" s="14">
        <f t="shared" si="201"/>
        <v>19</v>
      </c>
      <c r="S505" s="14" t="s">
        <v>39</v>
      </c>
      <c r="T505" s="14">
        <f>ROUND(((IF(Q505=1,INDEX(新属性投放!$J$14:$J$34,卡牌属性!R505),INDEX(新属性投放!$J$42:$J$62,卡牌属性!R505)))*INDEX($G$5:$G$42,L505)+IF(Q505=1,INDEX(新属性投放!R$20:R$23,卡牌属性!M505-1),INDEX(新属性投放!R$25:R$28,卡牌属性!M505-1)))/SQRT(INDEX($I$5:$I$42,L505)),2)</f>
        <v>22159.67</v>
      </c>
      <c r="U505" s="29" t="s">
        <v>178</v>
      </c>
      <c r="V505" s="14">
        <f>ROUND((IF(Q505=1,INDEX(新属性投放!$K$14:$K$34,卡牌属性!R505),INDEX(新属性投放!$K$42:$K$62,卡牌属性!R505))+IF(Q505=1,INDEX(新属性投放!S$20:S$23,卡牌属性!M505-1),INDEX(新属性投放!S$25:S$28,卡牌属性!M505-1)))*INDEX($G$5:$G$42,L505),2)</f>
        <v>10880.38</v>
      </c>
      <c r="W505" s="29" t="s">
        <v>179</v>
      </c>
      <c r="X505" s="14">
        <f>ROUND((IF(Q505=1,INDEX(新属性投放!$L$14:$L$34,卡牌属性!R505),INDEX(新属性投放!$L$42:$L$62,卡牌属性!R505))*INDEX($G$5:$G$42,L505)+IF(Q505=1,INDEX(新属性投放!T$20:T$23,卡牌属性!M505-1),INDEX(新属性投放!T$25:T$28,卡牌属性!M505-1)))*SQRT(INDEX($I$5:$I$42,L505)),2)</f>
        <v>117959.7</v>
      </c>
      <c r="Y505" s="29" t="s">
        <v>177</v>
      </c>
      <c r="Z505" s="14">
        <f>ROUND(IF(Q505=1,INDEX(新属性投放!$D$14:$D$34,卡牌属性!R505),INDEX(新属性投放!$D$42:$D$62,卡牌属性!R505))*INDEX($G$5:$G$42,L505)/SQRT(INDEX($I$5:$I$42,L505)),2)</f>
        <v>540.38</v>
      </c>
      <c r="AA505" s="29" t="s">
        <v>178</v>
      </c>
      <c r="AB505" s="14">
        <f>ROUND(IF(Q505=1,INDEX(新属性投放!$E$14:$E$34,卡牌属性!R505),INDEX(新属性投放!$E$42:$E$62,卡牌属性!R505))*INDEX($G$5:$G$42,L505),2)</f>
        <v>270.19</v>
      </c>
      <c r="AC505" s="29" t="s">
        <v>179</v>
      </c>
      <c r="AD505" s="14">
        <f>ROUND(IF(Q505=1,INDEX(新属性投放!$F$14:$F$34,卡牌属性!R505),INDEX(新属性投放!$F$42:$F$62,卡牌属性!R505))*INDEX($G$5:$G$42,L505)*SQRT(INDEX($I$5:$I$42,L505)),2)</f>
        <v>2431</v>
      </c>
      <c r="AF505" s="14">
        <f t="shared" si="202"/>
        <v>5403</v>
      </c>
      <c r="AG505" s="14">
        <f t="shared" si="203"/>
        <v>2701</v>
      </c>
      <c r="AH505" s="14">
        <f t="shared" si="204"/>
        <v>24310</v>
      </c>
      <c r="AJ505" s="14">
        <f t="shared" si="214"/>
        <v>35890</v>
      </c>
      <c r="AK505" s="14">
        <f t="shared" si="215"/>
        <v>17938</v>
      </c>
      <c r="AL505" s="14">
        <f t="shared" si="216"/>
        <v>161421</v>
      </c>
    </row>
    <row r="506" spans="11:38" ht="16.5" x14ac:dyDescent="0.2">
      <c r="K506" s="13">
        <v>503</v>
      </c>
      <c r="L506" s="13">
        <f t="shared" si="196"/>
        <v>24</v>
      </c>
      <c r="M506" s="13">
        <f t="shared" si="197"/>
        <v>4</v>
      </c>
      <c r="N506" s="14">
        <f t="shared" si="198"/>
        <v>1102008</v>
      </c>
      <c r="O506" s="14" t="str">
        <f t="shared" si="199"/>
        <v>夏侯渊20突</v>
      </c>
      <c r="P506" s="29" t="s">
        <v>470</v>
      </c>
      <c r="Q506" s="14">
        <f t="shared" si="200"/>
        <v>2</v>
      </c>
      <c r="R506" s="14">
        <f t="shared" si="201"/>
        <v>20</v>
      </c>
      <c r="S506" s="14" t="s">
        <v>39</v>
      </c>
      <c r="T506" s="14">
        <f>ROUND(((IF(Q506=1,INDEX(新属性投放!$J$14:$J$34,卡牌属性!R506),INDEX(新属性投放!$J$42:$J$62,卡牌属性!R506)))*INDEX($G$5:$G$42,L506)+IF(Q506=1,INDEX(新属性投放!R$20:R$23,卡牌属性!M506-1),INDEX(新属性投放!R$25:R$28,卡牌属性!M506-1)))/SQRT(INDEX($I$5:$I$42,L506)),2)</f>
        <v>25537.59</v>
      </c>
      <c r="U506" s="29" t="s">
        <v>178</v>
      </c>
      <c r="V506" s="14">
        <f>ROUND((IF(Q506=1,INDEX(新属性投放!$K$14:$K$34,卡牌属性!R506),INDEX(新属性投放!$K$42:$K$62,卡牌属性!R506))+IF(Q506=1,INDEX(新属性投放!S$20:S$23,卡牌属性!M506-1),INDEX(新属性投放!S$25:S$28,卡牌属性!M506-1)))*INDEX($G$5:$G$42,L506),2)</f>
        <v>12569.34</v>
      </c>
      <c r="W506" s="29" t="s">
        <v>179</v>
      </c>
      <c r="X506" s="14">
        <f>ROUND((IF(Q506=1,INDEX(新属性投放!$L$14:$L$34,卡牌属性!R506),INDEX(新属性投放!$L$42:$L$62,卡牌属性!R506))*INDEX($G$5:$G$42,L506)+IF(Q506=1,INDEX(新属性投放!T$20:T$23,卡牌属性!M506-1),INDEX(新属性投放!T$25:T$28,卡牌属性!M506-1)))*SQRT(INDEX($I$5:$I$42,L506)),2)</f>
        <v>136198.70000000001</v>
      </c>
      <c r="Y506" s="29" t="s">
        <v>177</v>
      </c>
      <c r="Z506" s="14">
        <f>ROUND(IF(Q506=1,INDEX(新属性投放!$D$14:$D$34,卡牌属性!R506),INDEX(新属性投放!$D$42:$D$62,卡牌属性!R506))*INDEX($G$5:$G$42,L506)/SQRT(INDEX($I$5:$I$42,L506)),2)</f>
        <v>624.83000000000004</v>
      </c>
      <c r="AA506" s="29" t="s">
        <v>178</v>
      </c>
      <c r="AB506" s="14">
        <f>ROUND(IF(Q506=1,INDEX(新属性投放!$E$14:$E$34,卡牌属性!R506),INDEX(新属性投放!$E$42:$E$62,卡牌属性!R506))*INDEX($G$5:$G$42,L506),2)</f>
        <v>312.42</v>
      </c>
      <c r="AC506" s="29" t="s">
        <v>179</v>
      </c>
      <c r="AD506" s="14">
        <f>ROUND(IF(Q506=1,INDEX(新属性投放!$F$14:$F$34,卡牌属性!R506),INDEX(新属性投放!$F$42:$F$62,卡牌属性!R506))*INDEX($G$5:$G$42,L506)*SQRT(INDEX($I$5:$I$42,L506)),2)</f>
        <v>2810.6</v>
      </c>
      <c r="AF506" s="14">
        <f t="shared" si="202"/>
        <v>6248</v>
      </c>
      <c r="AG506" s="14">
        <f t="shared" si="203"/>
        <v>3124</v>
      </c>
      <c r="AH506" s="14">
        <f t="shared" si="204"/>
        <v>28106</v>
      </c>
      <c r="AJ506" s="14">
        <f t="shared" si="214"/>
        <v>42138</v>
      </c>
      <c r="AK506" s="14">
        <f t="shared" si="215"/>
        <v>21062</v>
      </c>
      <c r="AL506" s="14">
        <f t="shared" si="216"/>
        <v>189527</v>
      </c>
    </row>
    <row r="507" spans="11:38" ht="16.5" x14ac:dyDescent="0.2">
      <c r="K507" s="13">
        <v>504</v>
      </c>
      <c r="L507" s="13">
        <f t="shared" si="196"/>
        <v>24</v>
      </c>
      <c r="M507" s="13">
        <f t="shared" si="197"/>
        <v>4</v>
      </c>
      <c r="N507" s="14">
        <f t="shared" si="198"/>
        <v>1102008</v>
      </c>
      <c r="O507" s="14" t="str">
        <f t="shared" si="199"/>
        <v>夏侯渊21突</v>
      </c>
      <c r="P507" s="29" t="s">
        <v>470</v>
      </c>
      <c r="Q507" s="14">
        <f t="shared" si="200"/>
        <v>2</v>
      </c>
      <c r="R507" s="14">
        <f t="shared" si="201"/>
        <v>21</v>
      </c>
      <c r="S507" s="14" t="s">
        <v>39</v>
      </c>
      <c r="T507" s="14">
        <f>ROUND(((IF(Q507=1,INDEX(新属性投放!$J$14:$J$34,卡牌属性!R507),INDEX(新属性投放!$J$42:$J$62,卡牌属性!R507)))*INDEX($G$5:$G$42,L507)+IF(Q507=1,INDEX(新属性投放!R$20:R$23,卡牌属性!M507-1),INDEX(新属性投放!R$25:R$28,卡牌属性!M507-1)))/SQRT(INDEX($I$5:$I$42,L507)),2)</f>
        <v>29443.05</v>
      </c>
      <c r="U507" s="29" t="s">
        <v>178</v>
      </c>
      <c r="V507" s="14">
        <f>ROUND((IF(Q507=1,INDEX(新属性投放!$K$14:$K$34,卡牌属性!R507),INDEX(新属性投放!$K$42:$K$62,卡牌属性!R507))+IF(Q507=1,INDEX(新属性投放!S$20:S$23,卡牌属性!M507-1),INDEX(新属性投放!S$25:S$28,卡牌属性!M507-1)))*INDEX($G$5:$G$42,L507),2)</f>
        <v>14521.42</v>
      </c>
      <c r="W507" s="29" t="s">
        <v>179</v>
      </c>
      <c r="X507" s="14">
        <f>ROUND((IF(Q507=1,INDEX(新属性投放!$L$14:$L$34,卡牌属性!R507),INDEX(新属性投放!$L$42:$L$62,卡牌属性!R507))*INDEX($G$5:$G$42,L507)+IF(Q507=1,INDEX(新属性投放!T$20:T$23,卡牌属性!M507-1),INDEX(新属性投放!T$25:T$28,卡牌属性!M507-1)))*SQRT(INDEX($I$5:$I$42,L507)),2)</f>
        <v>157283.4</v>
      </c>
      <c r="Y507" s="29" t="s">
        <v>177</v>
      </c>
      <c r="Z507" s="14">
        <f>ROUND(IF(Q507=1,INDEX(新属性投放!$D$14:$D$34,卡牌属性!R507),INDEX(新属性投放!$D$42:$D$62,卡牌属性!R507))*INDEX($G$5:$G$42,L507)/SQRT(INDEX($I$5:$I$42,L507)),2)</f>
        <v>722.46</v>
      </c>
      <c r="AA507" s="29" t="s">
        <v>178</v>
      </c>
      <c r="AB507" s="14">
        <f>ROUND(IF(Q507=1,INDEX(新属性投放!$E$14:$E$34,卡牌属性!R507),INDEX(新属性投放!$E$42:$E$62,卡牌属性!R507))*INDEX($G$5:$G$42,L507),2)</f>
        <v>361.23</v>
      </c>
      <c r="AC507" s="29" t="s">
        <v>179</v>
      </c>
      <c r="AD507" s="14">
        <f>ROUND(IF(Q507=1,INDEX(新属性投放!$F$14:$F$34,卡牌属性!R507),INDEX(新属性投放!$F$42:$F$62,卡牌属性!R507))*INDEX($G$5:$G$42,L507)*SQRT(INDEX($I$5:$I$42,L507)),2)</f>
        <v>3250</v>
      </c>
      <c r="AF507" s="14">
        <f t="shared" si="202"/>
        <v>7224</v>
      </c>
      <c r="AG507" s="14">
        <f t="shared" si="203"/>
        <v>3612</v>
      </c>
      <c r="AH507" s="14">
        <f t="shared" si="204"/>
        <v>32500</v>
      </c>
      <c r="AJ507" s="14">
        <f t="shared" si="214"/>
        <v>49362</v>
      </c>
      <c r="AK507" s="14">
        <f t="shared" si="215"/>
        <v>24674</v>
      </c>
      <c r="AL507" s="14">
        <f t="shared" si="216"/>
        <v>222027</v>
      </c>
    </row>
    <row r="508" spans="11:38" ht="16.5" x14ac:dyDescent="0.2">
      <c r="K508" s="13">
        <v>505</v>
      </c>
      <c r="L508" s="13">
        <f t="shared" si="196"/>
        <v>25</v>
      </c>
      <c r="M508" s="13">
        <f t="shared" si="197"/>
        <v>4</v>
      </c>
      <c r="N508" s="14">
        <f t="shared" si="198"/>
        <v>1102009</v>
      </c>
      <c r="O508" s="14" t="str">
        <f t="shared" si="199"/>
        <v>徐晃1突</v>
      </c>
      <c r="P508" s="29" t="s">
        <v>470</v>
      </c>
      <c r="Q508" s="14">
        <f t="shared" si="200"/>
        <v>2</v>
      </c>
      <c r="R508" s="14">
        <f t="shared" si="201"/>
        <v>1</v>
      </c>
      <c r="S508" s="14" t="s">
        <v>39</v>
      </c>
      <c r="T508" s="14">
        <f>ROUND(((IF(Q508=1,INDEX(新属性投放!$J$14:$J$34,卡牌属性!R508),INDEX(新属性投放!$J$42:$J$62,卡牌属性!R508)))*INDEX($G$5:$G$42,L508)+IF(Q508=1,INDEX(新属性投放!R$20:R$23,卡牌属性!M508-1),INDEX(新属性投放!R$25:R$28,卡牌属性!M508-1)))/SQRT(INDEX($I$5:$I$42,L508)),2)</f>
        <v>655</v>
      </c>
      <c r="U508" s="29" t="s">
        <v>178</v>
      </c>
      <c r="V508" s="14">
        <f>ROUND((IF(Q508=1,INDEX(新属性投放!$K$14:$K$34,卡牌属性!R508),INDEX(新属性投放!$K$42:$K$62,卡牌属性!R508))+IF(Q508=1,INDEX(新属性投放!S$20:S$23,卡牌属性!M508-1),INDEX(新属性投放!S$25:S$28,卡牌属性!M508-1)))*INDEX($G$5:$G$42,L508),2)</f>
        <v>130</v>
      </c>
      <c r="W508" s="29" t="s">
        <v>179</v>
      </c>
      <c r="X508" s="14">
        <f>ROUND((IF(Q508=1,INDEX(新属性投放!$L$14:$L$34,卡牌属性!R508),INDEX(新属性投放!$L$42:$L$62,卡牌属性!R508))*INDEX($G$5:$G$42,L508)+IF(Q508=1,INDEX(新属性投放!T$20:T$23,卡牌属性!M508-1),INDEX(新属性投放!T$25:T$28,卡牌属性!M508-1)))*SQRT(INDEX($I$5:$I$42,L508)),2)</f>
        <v>1975</v>
      </c>
      <c r="Y508" s="29" t="s">
        <v>177</v>
      </c>
      <c r="Z508" s="14">
        <f>ROUND(IF(Q508=1,INDEX(新属性投放!$D$14:$D$34,卡牌属性!R508),INDEX(新属性投放!$D$42:$D$62,卡牌属性!R508))*INDEX($G$5:$G$42,L508)/SQRT(INDEX($I$5:$I$42,L508)),2)</f>
        <v>19.5</v>
      </c>
      <c r="AA508" s="29" t="s">
        <v>178</v>
      </c>
      <c r="AB508" s="14">
        <f>ROUND(IF(Q508=1,INDEX(新属性投放!$E$14:$E$34,卡牌属性!R508),INDEX(新属性投放!$E$42:$E$62,卡牌属性!R508))*INDEX($G$5:$G$42,L508),2)</f>
        <v>9.75</v>
      </c>
      <c r="AC508" s="29" t="s">
        <v>179</v>
      </c>
      <c r="AD508" s="14">
        <f>ROUND(IF(Q508=1,INDEX(新属性投放!$F$14:$F$34,卡牌属性!R508),INDEX(新属性投放!$F$42:$F$62,卡牌属性!R508))*INDEX($G$5:$G$42,L508)*SQRT(INDEX($I$5:$I$42,L508)),2)</f>
        <v>87.1</v>
      </c>
      <c r="AF508" s="14">
        <f t="shared" si="202"/>
        <v>195</v>
      </c>
      <c r="AG508" s="14">
        <f t="shared" si="203"/>
        <v>97</v>
      </c>
      <c r="AH508" s="14">
        <f t="shared" si="204"/>
        <v>871</v>
      </c>
      <c r="AJ508" s="14">
        <f t="shared" ref="AJ508" si="217">AF508</f>
        <v>195</v>
      </c>
      <c r="AK508" s="14">
        <f t="shared" ref="AK508" si="218">AG508</f>
        <v>97</v>
      </c>
      <c r="AL508" s="14">
        <f t="shared" ref="AL508" si="219">AH508</f>
        <v>871</v>
      </c>
    </row>
    <row r="509" spans="11:38" ht="16.5" x14ac:dyDescent="0.2">
      <c r="K509" s="13">
        <v>506</v>
      </c>
      <c r="L509" s="13">
        <f t="shared" si="196"/>
        <v>25</v>
      </c>
      <c r="M509" s="13">
        <f t="shared" si="197"/>
        <v>4</v>
      </c>
      <c r="N509" s="14">
        <f t="shared" si="198"/>
        <v>1102009</v>
      </c>
      <c r="O509" s="14" t="str">
        <f t="shared" si="199"/>
        <v>徐晃2突</v>
      </c>
      <c r="P509" s="29" t="s">
        <v>470</v>
      </c>
      <c r="Q509" s="14">
        <f t="shared" si="200"/>
        <v>2</v>
      </c>
      <c r="R509" s="14">
        <f t="shared" si="201"/>
        <v>2</v>
      </c>
      <c r="S509" s="14" t="s">
        <v>39</v>
      </c>
      <c r="T509" s="14">
        <f>ROUND(((IF(Q509=1,INDEX(新属性投放!$J$14:$J$34,卡牌属性!R509),INDEX(新属性投放!$J$42:$J$62,卡牌属性!R509)))*INDEX($G$5:$G$42,L509)+IF(Q509=1,INDEX(新属性投放!R$20:R$23,卡牌属性!M509-1),INDEX(新属性投放!R$25:R$28,卡牌属性!M509-1)))/SQRT(INDEX($I$5:$I$42,L509)),2)</f>
        <v>863</v>
      </c>
      <c r="U509" s="29" t="s">
        <v>178</v>
      </c>
      <c r="V509" s="14">
        <f>ROUND((IF(Q509=1,INDEX(新属性投放!$K$14:$K$34,卡牌属性!R509),INDEX(新属性投放!$K$42:$K$62,卡牌属性!R509))+IF(Q509=1,INDEX(新属性投放!S$20:S$23,卡牌属性!M509-1),INDEX(新属性投放!S$25:S$28,卡牌属性!M509-1)))*INDEX($G$5:$G$42,L509),2)</f>
        <v>230.75</v>
      </c>
      <c r="W509" s="29" t="s">
        <v>179</v>
      </c>
      <c r="X509" s="14">
        <f>ROUND((IF(Q509=1,INDEX(新属性投放!$L$14:$L$34,卡牌属性!R509),INDEX(新属性投放!$L$42:$L$62,卡牌属性!R509))*INDEX($G$5:$G$42,L509)+IF(Q509=1,INDEX(新属性投放!T$20:T$23,卡牌属性!M509-1),INDEX(新属性投放!T$25:T$28,卡牌属性!M509-1)))*SQRT(INDEX($I$5:$I$42,L509)),2)</f>
        <v>3051.4</v>
      </c>
      <c r="Y509" s="29" t="s">
        <v>177</v>
      </c>
      <c r="Z509" s="14">
        <f>ROUND(IF(Q509=1,INDEX(新属性投放!$D$14:$D$34,卡牌属性!R509),INDEX(新属性投放!$D$42:$D$62,卡牌属性!R509))*INDEX($G$5:$G$42,L509)/SQRT(INDEX($I$5:$I$42,L509)),2)</f>
        <v>17.899999999999999</v>
      </c>
      <c r="AA509" s="29" t="s">
        <v>178</v>
      </c>
      <c r="AB509" s="14">
        <f>ROUND(IF(Q509=1,INDEX(新属性投放!$E$14:$E$34,卡牌属性!R509),INDEX(新属性投放!$E$42:$E$62,卡牌属性!R509))*INDEX($G$5:$G$42,L509),2)</f>
        <v>8.9499999999999993</v>
      </c>
      <c r="AC509" s="29" t="s">
        <v>179</v>
      </c>
      <c r="AD509" s="14">
        <f>ROUND(IF(Q509=1,INDEX(新属性投放!$F$14:$F$34,卡牌属性!R509),INDEX(新属性投放!$F$42:$F$62,卡牌属性!R509))*INDEX($G$5:$G$42,L509)*SQRT(INDEX($I$5:$I$42,L509)),2)</f>
        <v>79.3</v>
      </c>
      <c r="AF509" s="14">
        <f t="shared" si="202"/>
        <v>179</v>
      </c>
      <c r="AG509" s="14">
        <f t="shared" si="203"/>
        <v>89</v>
      </c>
      <c r="AH509" s="14">
        <f t="shared" si="204"/>
        <v>793</v>
      </c>
      <c r="AJ509" s="14">
        <f t="shared" ref="AJ509:AJ528" si="220">AJ508+AF509</f>
        <v>374</v>
      </c>
      <c r="AK509" s="14">
        <f t="shared" ref="AK509:AK528" si="221">AK508+AG509</f>
        <v>186</v>
      </c>
      <c r="AL509" s="14">
        <f t="shared" ref="AL509:AL528" si="222">AL508+AH509</f>
        <v>1664</v>
      </c>
    </row>
    <row r="510" spans="11:38" ht="16.5" x14ac:dyDescent="0.2">
      <c r="K510" s="13">
        <v>507</v>
      </c>
      <c r="L510" s="13">
        <f t="shared" si="196"/>
        <v>25</v>
      </c>
      <c r="M510" s="13">
        <f t="shared" si="197"/>
        <v>4</v>
      </c>
      <c r="N510" s="14">
        <f t="shared" si="198"/>
        <v>1102009</v>
      </c>
      <c r="O510" s="14" t="str">
        <f t="shared" si="199"/>
        <v>徐晃3突</v>
      </c>
      <c r="P510" s="29" t="s">
        <v>470</v>
      </c>
      <c r="Q510" s="14">
        <f t="shared" si="200"/>
        <v>2</v>
      </c>
      <c r="R510" s="14">
        <f t="shared" si="201"/>
        <v>3</v>
      </c>
      <c r="S510" s="14" t="s">
        <v>39</v>
      </c>
      <c r="T510" s="14">
        <f>ROUND(((IF(Q510=1,INDEX(新属性投放!$J$14:$J$34,卡牌属性!R510),INDEX(新属性投放!$J$42:$J$62,卡牌属性!R510)))*INDEX($G$5:$G$42,L510)+IF(Q510=1,INDEX(新属性投放!R$20:R$23,卡牌属性!M510-1),INDEX(新属性投放!R$25:R$28,卡牌属性!M510-1)))/SQRT(INDEX($I$5:$I$42,L510)),2)</f>
        <v>1086.21</v>
      </c>
      <c r="U510" s="29" t="s">
        <v>178</v>
      </c>
      <c r="V510" s="14">
        <f>ROUND((IF(Q510=1,INDEX(新属性投放!$K$14:$K$34,卡牌属性!R510),INDEX(新属性投放!$K$42:$K$62,卡牌属性!R510))+IF(Q510=1,INDEX(新属性投放!S$20:S$23,卡牌属性!M510-1),INDEX(新属性投放!S$25:S$28,卡牌属性!M510-1)))*INDEX($G$5:$G$42,L510),2)</f>
        <v>342.36</v>
      </c>
      <c r="W510" s="29" t="s">
        <v>179</v>
      </c>
      <c r="X510" s="14">
        <f>ROUND((IF(Q510=1,INDEX(新属性投放!$L$14:$L$34,卡牌属性!R510),INDEX(新属性投放!$L$42:$L$62,卡牌属性!R510))*INDEX($G$5:$G$42,L510)+IF(Q510=1,INDEX(新属性投放!T$20:T$23,卡牌属性!M510-1),INDEX(新属性投放!T$25:T$28,卡牌属性!M510-1)))*SQRT(INDEX($I$5:$I$42,L510)),2)</f>
        <v>4242.2</v>
      </c>
      <c r="Y510" s="29" t="s">
        <v>177</v>
      </c>
      <c r="Z510" s="14">
        <f>ROUND(IF(Q510=1,INDEX(新属性投放!$D$14:$D$34,卡牌属性!R510),INDEX(新属性投放!$D$42:$D$62,卡牌属性!R510))*INDEX($G$5:$G$42,L510)/SQRT(INDEX($I$5:$I$42,L510)),2)</f>
        <v>32.72</v>
      </c>
      <c r="AA510" s="29" t="s">
        <v>178</v>
      </c>
      <c r="AB510" s="14">
        <f>ROUND(IF(Q510=1,INDEX(新属性投放!$E$14:$E$34,卡牌属性!R510),INDEX(新属性投放!$E$42:$E$62,卡牌属性!R510))*INDEX($G$5:$G$42,L510),2)</f>
        <v>16.36</v>
      </c>
      <c r="AC510" s="29" t="s">
        <v>179</v>
      </c>
      <c r="AD510" s="14">
        <f>ROUND(IF(Q510=1,INDEX(新属性投放!$F$14:$F$34,卡牌属性!R510),INDEX(新属性投放!$F$42:$F$62,卡牌属性!R510))*INDEX($G$5:$G$42,L510)*SQRT(INDEX($I$5:$I$42,L510)),2)</f>
        <v>146.9</v>
      </c>
      <c r="AF510" s="14">
        <f t="shared" si="202"/>
        <v>327</v>
      </c>
      <c r="AG510" s="14">
        <f t="shared" si="203"/>
        <v>163</v>
      </c>
      <c r="AH510" s="14">
        <f t="shared" si="204"/>
        <v>1469</v>
      </c>
      <c r="AJ510" s="14">
        <f t="shared" si="220"/>
        <v>701</v>
      </c>
      <c r="AK510" s="14">
        <f t="shared" si="221"/>
        <v>349</v>
      </c>
      <c r="AL510" s="14">
        <f t="shared" si="222"/>
        <v>3133</v>
      </c>
    </row>
    <row r="511" spans="11:38" ht="16.5" x14ac:dyDescent="0.2">
      <c r="K511" s="13">
        <v>508</v>
      </c>
      <c r="L511" s="13">
        <f t="shared" si="196"/>
        <v>25</v>
      </c>
      <c r="M511" s="13">
        <f t="shared" si="197"/>
        <v>4</v>
      </c>
      <c r="N511" s="14">
        <f t="shared" si="198"/>
        <v>1102009</v>
      </c>
      <c r="O511" s="14" t="str">
        <f t="shared" si="199"/>
        <v>徐晃4突</v>
      </c>
      <c r="P511" s="29" t="s">
        <v>470</v>
      </c>
      <c r="Q511" s="14">
        <f t="shared" si="200"/>
        <v>2</v>
      </c>
      <c r="R511" s="14">
        <f t="shared" si="201"/>
        <v>4</v>
      </c>
      <c r="S511" s="14" t="s">
        <v>39</v>
      </c>
      <c r="T511" s="14">
        <f>ROUND(((IF(Q511=1,INDEX(新属性投放!$J$14:$J$34,卡牌属性!R511),INDEX(新属性投放!$J$42:$J$62,卡牌属性!R511)))*INDEX($G$5:$G$42,L511)+IF(Q511=1,INDEX(新属性投放!R$20:R$23,卡牌属性!M511-1),INDEX(新属性投放!R$25:R$28,卡牌属性!M511-1)))/SQRT(INDEX($I$5:$I$42,L511)),2)</f>
        <v>1495.32</v>
      </c>
      <c r="U511" s="29" t="s">
        <v>178</v>
      </c>
      <c r="V511" s="14">
        <f>ROUND((IF(Q511=1,INDEX(新属性投放!$K$14:$K$34,卡牌属性!R511),INDEX(新属性投放!$K$42:$K$62,卡牌属性!R511))+IF(Q511=1,INDEX(新属性投放!S$20:S$23,卡牌属性!M511-1),INDEX(新属性投放!S$25:S$28,卡牌属性!M511-1)))*INDEX($G$5:$G$42,L511),2)</f>
        <v>546.26</v>
      </c>
      <c r="W511" s="29" t="s">
        <v>179</v>
      </c>
      <c r="X511" s="14">
        <f>ROUND((IF(Q511=1,INDEX(新属性投放!$L$14:$L$34,卡牌属性!R511),INDEX(新属性投放!$L$42:$L$62,卡牌属性!R511))*INDEX($G$5:$G$42,L511)+IF(Q511=1,INDEX(新属性投放!T$20:T$23,卡牌属性!M511-1),INDEX(新属性投放!T$25:T$28,卡牌属性!M511-1)))*SQRT(INDEX($I$5:$I$42,L511)),2)</f>
        <v>6448.3</v>
      </c>
      <c r="Y511" s="29" t="s">
        <v>177</v>
      </c>
      <c r="Z511" s="14">
        <f>ROUND(IF(Q511=1,INDEX(新属性投放!$D$14:$D$34,卡牌属性!R511),INDEX(新属性投放!$D$42:$D$62,卡牌属性!R511))*INDEX($G$5:$G$42,L511)/SQRT(INDEX($I$5:$I$42,L511)),2)</f>
        <v>39.17</v>
      </c>
      <c r="AA511" s="29" t="s">
        <v>178</v>
      </c>
      <c r="AB511" s="14">
        <f>ROUND(IF(Q511=1,INDEX(新属性投放!$E$14:$E$34,卡牌属性!R511),INDEX(新属性投放!$E$42:$E$62,卡牌属性!R511))*INDEX($G$5:$G$42,L511),2)</f>
        <v>19.579999999999998</v>
      </c>
      <c r="AC511" s="29" t="s">
        <v>179</v>
      </c>
      <c r="AD511" s="14">
        <f>ROUND(IF(Q511=1,INDEX(新属性投放!$F$14:$F$34,卡牌属性!R511),INDEX(新属性投放!$F$42:$F$62,卡牌属性!R511))*INDEX($G$5:$G$42,L511)*SQRT(INDEX($I$5:$I$42,L511)),2)</f>
        <v>175.5</v>
      </c>
      <c r="AF511" s="14">
        <f t="shared" si="202"/>
        <v>391</v>
      </c>
      <c r="AG511" s="14">
        <f t="shared" si="203"/>
        <v>195</v>
      </c>
      <c r="AH511" s="14">
        <f t="shared" si="204"/>
        <v>1755</v>
      </c>
      <c r="AJ511" s="14">
        <f t="shared" si="220"/>
        <v>1092</v>
      </c>
      <c r="AK511" s="14">
        <f t="shared" si="221"/>
        <v>544</v>
      </c>
      <c r="AL511" s="14">
        <f t="shared" si="222"/>
        <v>4888</v>
      </c>
    </row>
    <row r="512" spans="11:38" ht="16.5" x14ac:dyDescent="0.2">
      <c r="K512" s="13">
        <v>509</v>
      </c>
      <c r="L512" s="13">
        <f t="shared" si="196"/>
        <v>25</v>
      </c>
      <c r="M512" s="13">
        <f t="shared" si="197"/>
        <v>4</v>
      </c>
      <c r="N512" s="14">
        <f t="shared" si="198"/>
        <v>1102009</v>
      </c>
      <c r="O512" s="14" t="str">
        <f t="shared" si="199"/>
        <v>徐晃5突</v>
      </c>
      <c r="P512" s="29" t="s">
        <v>470</v>
      </c>
      <c r="Q512" s="14">
        <f t="shared" si="200"/>
        <v>2</v>
      </c>
      <c r="R512" s="14">
        <f t="shared" si="201"/>
        <v>5</v>
      </c>
      <c r="S512" s="14" t="s">
        <v>39</v>
      </c>
      <c r="T512" s="14">
        <f>ROUND(((IF(Q512=1,INDEX(新属性投放!$J$14:$J$34,卡牌属性!R512),INDEX(新属性投放!$J$42:$J$62,卡牌属性!R512)))*INDEX($G$5:$G$42,L512)+IF(Q512=1,INDEX(新属性投放!R$20:R$23,卡牌属性!M512-1),INDEX(新属性投放!R$25:R$28,卡牌属性!M512-1)))/SQRT(INDEX($I$5:$I$42,L512)),2)</f>
        <v>1984.51</v>
      </c>
      <c r="U512" s="29" t="s">
        <v>178</v>
      </c>
      <c r="V512" s="14">
        <f>ROUND((IF(Q512=1,INDEX(新属性投放!$K$14:$K$34,卡牌属性!R512),INDEX(新属性投放!$K$42:$K$62,卡牌属性!R512))+IF(Q512=1,INDEX(新属性投放!S$20:S$23,卡牌属性!M512-1),INDEX(新属性投放!S$25:S$28,卡牌属性!M512-1)))*INDEX($G$5:$G$42,L512),2)</f>
        <v>791.51</v>
      </c>
      <c r="W512" s="29" t="s">
        <v>179</v>
      </c>
      <c r="X512" s="14">
        <f>ROUND((IF(Q512=1,INDEX(新属性投放!$L$14:$L$34,卡牌属性!R512),INDEX(新属性投放!$L$42:$L$62,卡牌属性!R512))*INDEX($G$5:$G$42,L512)+IF(Q512=1,INDEX(新属性投放!T$20:T$23,卡牌属性!M512-1),INDEX(新属性投放!T$25:T$28,卡牌属性!M512-1)))*SQRT(INDEX($I$5:$I$42,L512)),2)</f>
        <v>9080.7999999999993</v>
      </c>
      <c r="Y512" s="29" t="s">
        <v>177</v>
      </c>
      <c r="Z512" s="14">
        <f>ROUND(IF(Q512=1,INDEX(新属性投放!$D$14:$D$34,卡牌属性!R512),INDEX(新属性投放!$D$42:$D$62,卡牌属性!R512))*INDEX($G$5:$G$42,L512)/SQRT(INDEX($I$5:$I$42,L512)),2)</f>
        <v>48.96</v>
      </c>
      <c r="AA512" s="29" t="s">
        <v>178</v>
      </c>
      <c r="AB512" s="14">
        <f>ROUND(IF(Q512=1,INDEX(新属性投放!$E$14:$E$34,卡牌属性!R512),INDEX(新属性投放!$E$42:$E$62,卡牌属性!R512))*INDEX($G$5:$G$42,L512),2)</f>
        <v>24.48</v>
      </c>
      <c r="AC512" s="29" t="s">
        <v>179</v>
      </c>
      <c r="AD512" s="14">
        <f>ROUND(IF(Q512=1,INDEX(新属性投放!$F$14:$F$34,卡牌属性!R512),INDEX(新属性投放!$F$42:$F$62,卡牌属性!R512))*INDEX($G$5:$G$42,L512)*SQRT(INDEX($I$5:$I$42,L512)),2)</f>
        <v>219.7</v>
      </c>
      <c r="AF512" s="14">
        <f t="shared" si="202"/>
        <v>489</v>
      </c>
      <c r="AG512" s="14">
        <f t="shared" si="203"/>
        <v>244</v>
      </c>
      <c r="AH512" s="14">
        <f t="shared" si="204"/>
        <v>2197</v>
      </c>
      <c r="AJ512" s="14">
        <f t="shared" si="220"/>
        <v>1581</v>
      </c>
      <c r="AK512" s="14">
        <f t="shared" si="221"/>
        <v>788</v>
      </c>
      <c r="AL512" s="14">
        <f t="shared" si="222"/>
        <v>7085</v>
      </c>
    </row>
    <row r="513" spans="11:38" ht="16.5" x14ac:dyDescent="0.2">
      <c r="K513" s="13">
        <v>510</v>
      </c>
      <c r="L513" s="13">
        <f t="shared" si="196"/>
        <v>25</v>
      </c>
      <c r="M513" s="13">
        <f t="shared" si="197"/>
        <v>4</v>
      </c>
      <c r="N513" s="14">
        <f t="shared" si="198"/>
        <v>1102009</v>
      </c>
      <c r="O513" s="14" t="str">
        <f t="shared" si="199"/>
        <v>徐晃6突</v>
      </c>
      <c r="P513" s="29" t="s">
        <v>470</v>
      </c>
      <c r="Q513" s="14">
        <f t="shared" si="200"/>
        <v>2</v>
      </c>
      <c r="R513" s="14">
        <f t="shared" si="201"/>
        <v>6</v>
      </c>
      <c r="S513" s="14" t="s">
        <v>39</v>
      </c>
      <c r="T513" s="14">
        <f>ROUND(((IF(Q513=1,INDEX(新属性投放!$J$14:$J$34,卡牌属性!R513),INDEX(新属性投放!$J$42:$J$62,卡牌属性!R513)))*INDEX($G$5:$G$42,L513)+IF(Q513=1,INDEX(新属性投放!R$20:R$23,卡牌属性!M513-1),INDEX(新属性投放!R$25:R$28,卡牌属性!M513-1)))/SQRT(INDEX($I$5:$I$42,L513)),2)</f>
        <v>2596.29</v>
      </c>
      <c r="U513" s="29" t="s">
        <v>178</v>
      </c>
      <c r="V513" s="14">
        <f>ROUND((IF(Q513=1,INDEX(新属性投放!$K$14:$K$34,卡牌属性!R513),INDEX(新属性投放!$K$42:$K$62,卡牌属性!R513))+IF(Q513=1,INDEX(新属性投放!S$20:S$23,卡牌属性!M513-1),INDEX(新属性投放!S$25:S$28,卡牌属性!M513-1)))*INDEX($G$5:$G$42,L513),2)</f>
        <v>1097.4000000000001</v>
      </c>
      <c r="W513" s="29" t="s">
        <v>179</v>
      </c>
      <c r="X513" s="14">
        <f>ROUND((IF(Q513=1,INDEX(新属性投放!$L$14:$L$34,卡牌属性!R513),INDEX(新属性投放!$L$42:$L$62,卡牌属性!R513))*INDEX($G$5:$G$42,L513)+IF(Q513=1,INDEX(新属性投放!T$20:T$23,卡牌属性!M513-1),INDEX(新属性投放!T$25:T$28,卡牌属性!M513-1)))*SQRT(INDEX($I$5:$I$42,L513)),2)</f>
        <v>12377.6</v>
      </c>
      <c r="Y513" s="29" t="s">
        <v>177</v>
      </c>
      <c r="Z513" s="14">
        <f>ROUND(IF(Q513=1,INDEX(新属性投放!$D$14:$D$34,卡牌属性!R513),INDEX(新属性投放!$D$42:$D$62,卡牌属性!R513))*INDEX($G$5:$G$42,L513)/SQRT(INDEX($I$5:$I$42,L513)),2)</f>
        <v>63.51</v>
      </c>
      <c r="AA513" s="29" t="s">
        <v>178</v>
      </c>
      <c r="AB513" s="14">
        <f>ROUND(IF(Q513=1,INDEX(新属性投放!$E$14:$E$34,卡牌属性!R513),INDEX(新属性投放!$E$42:$E$62,卡牌属性!R513))*INDEX($G$5:$G$42,L513),2)</f>
        <v>31.75</v>
      </c>
      <c r="AC513" s="29" t="s">
        <v>179</v>
      </c>
      <c r="AD513" s="14">
        <f>ROUND(IF(Q513=1,INDEX(新属性投放!$F$14:$F$34,卡牌属性!R513),INDEX(新属性投放!$F$42:$F$62,卡牌属性!R513))*INDEX($G$5:$G$42,L513)*SQRT(INDEX($I$5:$I$42,L513)),2)</f>
        <v>284.7</v>
      </c>
      <c r="AF513" s="14">
        <f t="shared" si="202"/>
        <v>635</v>
      </c>
      <c r="AG513" s="14">
        <f t="shared" si="203"/>
        <v>317</v>
      </c>
      <c r="AH513" s="14">
        <f t="shared" si="204"/>
        <v>2847</v>
      </c>
      <c r="AJ513" s="14">
        <f t="shared" si="220"/>
        <v>2216</v>
      </c>
      <c r="AK513" s="14">
        <f t="shared" si="221"/>
        <v>1105</v>
      </c>
      <c r="AL513" s="14">
        <f t="shared" si="222"/>
        <v>9932</v>
      </c>
    </row>
    <row r="514" spans="11:38" ht="16.5" x14ac:dyDescent="0.2">
      <c r="K514" s="13">
        <v>511</v>
      </c>
      <c r="L514" s="13">
        <f t="shared" si="196"/>
        <v>25</v>
      </c>
      <c r="M514" s="13">
        <f t="shared" si="197"/>
        <v>4</v>
      </c>
      <c r="N514" s="14">
        <f t="shared" si="198"/>
        <v>1102009</v>
      </c>
      <c r="O514" s="14" t="str">
        <f t="shared" si="199"/>
        <v>徐晃7突</v>
      </c>
      <c r="P514" s="29" t="s">
        <v>470</v>
      </c>
      <c r="Q514" s="14">
        <f t="shared" si="200"/>
        <v>2</v>
      </c>
      <c r="R514" s="14">
        <f t="shared" si="201"/>
        <v>7</v>
      </c>
      <c r="S514" s="14" t="s">
        <v>39</v>
      </c>
      <c r="T514" s="14">
        <f>ROUND(((IF(Q514=1,INDEX(新属性投放!$J$14:$J$34,卡牌属性!R514),INDEX(新属性投放!$J$42:$J$62,卡牌属性!R514)))*INDEX($G$5:$G$42,L514)+IF(Q514=1,INDEX(新属性投放!R$20:R$23,卡牌属性!M514-1),INDEX(新属性投放!R$25:R$28,卡牌属性!M514-1)))/SQRT(INDEX($I$5:$I$42,L514)),2)</f>
        <v>3389.94</v>
      </c>
      <c r="U514" s="29" t="s">
        <v>178</v>
      </c>
      <c r="V514" s="14">
        <f>ROUND((IF(Q514=1,INDEX(新属性投放!$K$14:$K$34,卡牌属性!R514),INDEX(新属性投放!$K$42:$K$62,卡牌属性!R514))+IF(Q514=1,INDEX(新属性投放!S$20:S$23,卡牌属性!M514-1),INDEX(新属性投放!S$25:S$28,卡牌属性!M514-1)))*INDEX($G$5:$G$42,L514),2)</f>
        <v>1494.22</v>
      </c>
      <c r="W514" s="29" t="s">
        <v>179</v>
      </c>
      <c r="X514" s="14">
        <f>ROUND((IF(Q514=1,INDEX(新属性投放!$L$14:$L$34,卡牌属性!R514),INDEX(新属性投放!$L$42:$L$62,卡牌属性!R514))*INDEX($G$5:$G$42,L514)+IF(Q514=1,INDEX(新属性投放!T$20:T$23,卡牌属性!M514-1),INDEX(新属性投放!T$25:T$28,卡牌属性!M514-1)))*SQRT(INDEX($I$5:$I$42,L514)),2)</f>
        <v>16652</v>
      </c>
      <c r="Y514" s="29" t="s">
        <v>177</v>
      </c>
      <c r="Z514" s="14">
        <f>ROUND(IF(Q514=1,INDEX(新属性投放!$D$14:$D$34,卡牌属性!R514),INDEX(新属性投放!$D$42:$D$62,卡牌属性!R514))*INDEX($G$5:$G$42,L514)/SQRT(INDEX($I$5:$I$42,L514)),2)</f>
        <v>78.25</v>
      </c>
      <c r="AA514" s="29" t="s">
        <v>178</v>
      </c>
      <c r="AB514" s="14">
        <f>ROUND(IF(Q514=1,INDEX(新属性投放!$E$14:$E$34,卡牌属性!R514),INDEX(新属性投放!$E$42:$E$62,卡牌属性!R514))*INDEX($G$5:$G$42,L514),2)</f>
        <v>39.119999999999997</v>
      </c>
      <c r="AC514" s="29" t="s">
        <v>179</v>
      </c>
      <c r="AD514" s="14">
        <f>ROUND(IF(Q514=1,INDEX(新属性投放!$F$14:$F$34,卡牌属性!R514),INDEX(新属性投放!$F$42:$F$62,卡牌属性!R514))*INDEX($G$5:$G$42,L514)*SQRT(INDEX($I$5:$I$42,L514)),2)</f>
        <v>351</v>
      </c>
      <c r="AF514" s="14">
        <f t="shared" si="202"/>
        <v>782</v>
      </c>
      <c r="AG514" s="14">
        <f t="shared" si="203"/>
        <v>391</v>
      </c>
      <c r="AH514" s="14">
        <f t="shared" si="204"/>
        <v>3510</v>
      </c>
      <c r="AJ514" s="14">
        <f t="shared" si="220"/>
        <v>2998</v>
      </c>
      <c r="AK514" s="14">
        <f t="shared" si="221"/>
        <v>1496</v>
      </c>
      <c r="AL514" s="14">
        <f t="shared" si="222"/>
        <v>13442</v>
      </c>
    </row>
    <row r="515" spans="11:38" ht="16.5" x14ac:dyDescent="0.2">
      <c r="K515" s="13">
        <v>512</v>
      </c>
      <c r="L515" s="13">
        <f t="shared" si="196"/>
        <v>25</v>
      </c>
      <c r="M515" s="13">
        <f t="shared" si="197"/>
        <v>4</v>
      </c>
      <c r="N515" s="14">
        <f t="shared" si="198"/>
        <v>1102009</v>
      </c>
      <c r="O515" s="14" t="str">
        <f t="shared" si="199"/>
        <v>徐晃8突</v>
      </c>
      <c r="P515" s="29" t="s">
        <v>470</v>
      </c>
      <c r="Q515" s="14">
        <f t="shared" si="200"/>
        <v>2</v>
      </c>
      <c r="R515" s="14">
        <f t="shared" si="201"/>
        <v>8</v>
      </c>
      <c r="S515" s="14" t="s">
        <v>39</v>
      </c>
      <c r="T515" s="14">
        <f>ROUND(((IF(Q515=1,INDEX(新属性投放!$J$14:$J$34,卡牌属性!R515),INDEX(新属性投放!$J$42:$J$62,卡牌属性!R515)))*INDEX($G$5:$G$42,L515)+IF(Q515=1,INDEX(新属性投放!R$20:R$23,卡牌属性!M515-1),INDEX(新属性投放!R$25:R$28,卡牌属性!M515-1)))/SQRT(INDEX($I$5:$I$42,L515)),2)</f>
        <v>4367.41</v>
      </c>
      <c r="U515" s="29" t="s">
        <v>178</v>
      </c>
      <c r="V515" s="14">
        <f>ROUND((IF(Q515=1,INDEX(新属性投放!$K$14:$K$34,卡牌属性!R515),INDEX(新属性投放!$K$42:$K$62,卡牌属性!R515))+IF(Q515=1,INDEX(新属性投放!S$20:S$23,卡牌属性!M515-1),INDEX(新属性投放!S$25:S$28,卡牌属性!M515-1)))*INDEX($G$5:$G$42,L515),2)</f>
        <v>1982.96</v>
      </c>
      <c r="W515" s="29" t="s">
        <v>179</v>
      </c>
      <c r="X515" s="14">
        <f>ROUND((IF(Q515=1,INDEX(新属性投放!$L$14:$L$34,卡牌属性!R515),INDEX(新属性投放!$L$42:$L$62,卡牌属性!R515))*INDEX($G$5:$G$42,L515)+IF(Q515=1,INDEX(新属性投放!T$20:T$23,卡牌属性!M515-1),INDEX(新属性投放!T$25:T$28,卡牌属性!M515-1)))*SQRT(INDEX($I$5:$I$42,L515)),2)</f>
        <v>21917</v>
      </c>
      <c r="Y515" s="29" t="s">
        <v>177</v>
      </c>
      <c r="Z515" s="14">
        <f>ROUND(IF(Q515=1,INDEX(新属性投放!$D$14:$D$34,卡牌属性!R515),INDEX(新属性投放!$D$42:$D$62,卡牌属性!R515))*INDEX($G$5:$G$42,L515)/SQRT(INDEX($I$5:$I$42,L515)),2)</f>
        <v>97.75</v>
      </c>
      <c r="AA515" s="29" t="s">
        <v>178</v>
      </c>
      <c r="AB515" s="14">
        <f>ROUND(IF(Q515=1,INDEX(新属性投放!$E$14:$E$34,卡牌属性!R515),INDEX(新属性投放!$E$42:$E$62,卡牌属性!R515))*INDEX($G$5:$G$42,L515),2)</f>
        <v>48.87</v>
      </c>
      <c r="AC515" s="29" t="s">
        <v>179</v>
      </c>
      <c r="AD515" s="14">
        <f>ROUND(IF(Q515=1,INDEX(新属性投放!$F$14:$F$34,卡牌属性!R515),INDEX(新属性投放!$F$42:$F$62,卡牌属性!R515))*INDEX($G$5:$G$42,L515)*SQRT(INDEX($I$5:$I$42,L515)),2)</f>
        <v>439.4</v>
      </c>
      <c r="AF515" s="14">
        <f t="shared" si="202"/>
        <v>977</v>
      </c>
      <c r="AG515" s="14">
        <f t="shared" si="203"/>
        <v>488</v>
      </c>
      <c r="AH515" s="14">
        <f t="shared" si="204"/>
        <v>4394</v>
      </c>
      <c r="AJ515" s="14">
        <f t="shared" si="220"/>
        <v>3975</v>
      </c>
      <c r="AK515" s="14">
        <f t="shared" si="221"/>
        <v>1984</v>
      </c>
      <c r="AL515" s="14">
        <f t="shared" si="222"/>
        <v>17836</v>
      </c>
    </row>
    <row r="516" spans="11:38" ht="16.5" x14ac:dyDescent="0.2">
      <c r="K516" s="13">
        <v>513</v>
      </c>
      <c r="L516" s="13">
        <f t="shared" si="196"/>
        <v>25</v>
      </c>
      <c r="M516" s="13">
        <f t="shared" si="197"/>
        <v>4</v>
      </c>
      <c r="N516" s="14">
        <f t="shared" si="198"/>
        <v>1102009</v>
      </c>
      <c r="O516" s="14" t="str">
        <f t="shared" si="199"/>
        <v>徐晃9突</v>
      </c>
      <c r="P516" s="29" t="s">
        <v>470</v>
      </c>
      <c r="Q516" s="14">
        <f t="shared" si="200"/>
        <v>2</v>
      </c>
      <c r="R516" s="14">
        <f t="shared" si="201"/>
        <v>9</v>
      </c>
      <c r="S516" s="14" t="s">
        <v>39</v>
      </c>
      <c r="T516" s="14">
        <f>ROUND(((IF(Q516=1,INDEX(新属性投放!$J$14:$J$34,卡牌属性!R516),INDEX(新属性投放!$J$42:$J$62,卡牌属性!R516)))*INDEX($G$5:$G$42,L516)+IF(Q516=1,INDEX(新属性投放!R$20:R$23,卡牌属性!M516-1),INDEX(新属性投放!R$25:R$28,卡牌属性!M516-1)))/SQRT(INDEX($I$5:$I$42,L516)),2)</f>
        <v>5589.28</v>
      </c>
      <c r="U516" s="29" t="s">
        <v>178</v>
      </c>
      <c r="V516" s="14">
        <f>ROUND((IF(Q516=1,INDEX(新属性投放!$K$14:$K$34,卡牌属性!R516),INDEX(新属性投放!$K$42:$K$62,卡牌属性!R516))+IF(Q516=1,INDEX(新属性投放!S$20:S$23,卡牌属性!M516-1),INDEX(新属性投放!S$25:S$28,卡牌属性!M516-1)))*INDEX($G$5:$G$42,L516),2)</f>
        <v>2593.89</v>
      </c>
      <c r="W516" s="29" t="s">
        <v>179</v>
      </c>
      <c r="X516" s="14">
        <f>ROUND((IF(Q516=1,INDEX(新属性投放!$L$14:$L$34,卡牌属性!R516),INDEX(新属性投放!$L$42:$L$62,卡牌属性!R516))*INDEX($G$5:$G$42,L516)+IF(Q516=1,INDEX(新属性投放!T$20:T$23,卡牌属性!M516-1),INDEX(新属性投放!T$25:T$28,卡牌属性!M516-1)))*SQRT(INDEX($I$5:$I$42,L516)),2)</f>
        <v>28510.6</v>
      </c>
      <c r="Y516" s="29" t="s">
        <v>177</v>
      </c>
      <c r="Z516" s="14">
        <f>ROUND(IF(Q516=1,INDEX(新属性投放!$D$14:$D$34,卡牌属性!R516),INDEX(新属性投放!$D$42:$D$62,卡牌属性!R516))*INDEX($G$5:$G$42,L516)/SQRT(INDEX($I$5:$I$42,L516)),2)</f>
        <v>127.13</v>
      </c>
      <c r="AA516" s="29" t="s">
        <v>178</v>
      </c>
      <c r="AB516" s="14">
        <f>ROUND(IF(Q516=1,INDEX(新属性投放!$E$14:$E$34,卡牌属性!R516),INDEX(新属性投放!$E$42:$E$62,卡牌属性!R516))*INDEX($G$5:$G$42,L516),2)</f>
        <v>63.56</v>
      </c>
      <c r="AC516" s="29" t="s">
        <v>179</v>
      </c>
      <c r="AD516" s="14">
        <f>ROUND(IF(Q516=1,INDEX(新属性投放!$F$14:$F$34,卡牌属性!R516),INDEX(新属性投放!$F$42:$F$62,卡牌属性!R516))*INDEX($G$5:$G$42,L516)*SQRT(INDEX($I$5:$I$42,L516)),2)</f>
        <v>572</v>
      </c>
      <c r="AF516" s="14">
        <f t="shared" si="202"/>
        <v>1271</v>
      </c>
      <c r="AG516" s="14">
        <f t="shared" si="203"/>
        <v>635</v>
      </c>
      <c r="AH516" s="14">
        <f t="shared" si="204"/>
        <v>5720</v>
      </c>
      <c r="AJ516" s="14">
        <f t="shared" si="220"/>
        <v>5246</v>
      </c>
      <c r="AK516" s="14">
        <f t="shared" si="221"/>
        <v>2619</v>
      </c>
      <c r="AL516" s="14">
        <f t="shared" si="222"/>
        <v>23556</v>
      </c>
    </row>
    <row r="517" spans="11:38" ht="16.5" x14ac:dyDescent="0.2">
      <c r="K517" s="13">
        <v>514</v>
      </c>
      <c r="L517" s="13">
        <f t="shared" ref="L517:L580" si="223">MATCH(K517-1,$F$4:$F$41,1)</f>
        <v>25</v>
      </c>
      <c r="M517" s="13">
        <f t="shared" ref="M517:M580" si="224">INDEX($D$5:$D$42,L517)</f>
        <v>4</v>
      </c>
      <c r="N517" s="14">
        <f t="shared" ref="N517:N580" si="225">INDEX($A$4:$A$42,L517+1)</f>
        <v>1102009</v>
      </c>
      <c r="O517" s="14" t="str">
        <f t="shared" ref="O517:O580" si="226">INDEX($B$4:$B$42,MATCH(N517,$A$4:$A$42,0))&amp;R517&amp;"突"</f>
        <v>徐晃10突</v>
      </c>
      <c r="P517" s="29" t="s">
        <v>470</v>
      </c>
      <c r="Q517" s="14">
        <f t="shared" ref="Q517:Q580" si="227">INDEX($C$4:$C$42,L517+1)</f>
        <v>2</v>
      </c>
      <c r="R517" s="14">
        <f t="shared" ref="R517:R580" si="228">K517-INDEX($F$4:$F$42,L517)</f>
        <v>10</v>
      </c>
      <c r="S517" s="14" t="s">
        <v>39</v>
      </c>
      <c r="T517" s="14">
        <f>ROUND(((IF(Q517=1,INDEX(新属性投放!$J$14:$J$34,卡牌属性!R517),INDEX(新属性投放!$J$42:$J$62,卡牌属性!R517)))*INDEX($G$5:$G$42,L517)+IF(Q517=1,INDEX(新属性投放!R$20:R$23,卡牌属性!M517-1),INDEX(新属性投放!R$25:R$28,卡牌属性!M517-1)))/SQRT(INDEX($I$5:$I$42,L517)),2)</f>
        <v>6383.52</v>
      </c>
      <c r="U517" s="29" t="s">
        <v>178</v>
      </c>
      <c r="V517" s="14">
        <f>ROUND((IF(Q517=1,INDEX(新属性投放!$K$14:$K$34,卡牌属性!R517),INDEX(新属性投放!$K$42:$K$62,卡牌属性!R517))+IF(Q517=1,INDEX(新属性投放!S$20:S$23,卡牌属性!M517-1),INDEX(新属性投放!S$25:S$28,卡牌属性!M517-1)))*INDEX($G$5:$G$42,L517),2)</f>
        <v>2991.01</v>
      </c>
      <c r="W517" s="29" t="s">
        <v>179</v>
      </c>
      <c r="X517" s="14">
        <f>ROUND((IF(Q517=1,INDEX(新属性投放!$L$14:$L$34,卡牌属性!R517),INDEX(新属性投放!$L$42:$L$62,卡牌属性!R517))*INDEX($G$5:$G$42,L517)+IF(Q517=1,INDEX(新属性投放!T$20:T$23,卡牌属性!M517-1),INDEX(新属性投放!T$25:T$28,卡牌属性!M517-1)))*SQRT(INDEX($I$5:$I$42,L517)),2)</f>
        <v>32798</v>
      </c>
      <c r="Y517" s="29" t="s">
        <v>177</v>
      </c>
      <c r="Z517" s="14">
        <f>ROUND(IF(Q517=1,INDEX(新属性投放!$D$14:$D$34,卡牌属性!R517),INDEX(新属性投放!$D$42:$D$62,卡牌属性!R517))*INDEX($G$5:$G$42,L517)/SQRT(INDEX($I$5:$I$42,L517)),2)</f>
        <v>146.68</v>
      </c>
      <c r="AA517" s="29" t="s">
        <v>178</v>
      </c>
      <c r="AB517" s="14">
        <f>ROUND(IF(Q517=1,INDEX(新属性投放!$E$14:$E$34,卡牌属性!R517),INDEX(新属性投放!$E$42:$E$62,卡牌属性!R517))*INDEX($G$5:$G$42,L517),2)</f>
        <v>73.34</v>
      </c>
      <c r="AC517" s="29" t="s">
        <v>179</v>
      </c>
      <c r="AD517" s="14">
        <f>ROUND(IF(Q517=1,INDEX(新属性投放!$F$14:$F$34,卡牌属性!R517),INDEX(新属性投放!$F$42:$F$62,卡牌属性!R517))*INDEX($G$5:$G$42,L517)*SQRT(INDEX($I$5:$I$42,L517)),2)</f>
        <v>659.1</v>
      </c>
      <c r="AF517" s="14">
        <f t="shared" ref="AF517:AF580" si="229">INT(Z517*AF$2*10)</f>
        <v>1466</v>
      </c>
      <c r="AG517" s="14">
        <f t="shared" ref="AG517:AG580" si="230">INT(AB517*AF$2*10)</f>
        <v>733</v>
      </c>
      <c r="AH517" s="14">
        <f t="shared" ref="AH517:AH580" si="231">INT(AD517*AF$2*10)</f>
        <v>6591</v>
      </c>
      <c r="AJ517" s="14">
        <f t="shared" si="220"/>
        <v>6712</v>
      </c>
      <c r="AK517" s="14">
        <f t="shared" si="221"/>
        <v>3352</v>
      </c>
      <c r="AL517" s="14">
        <f t="shared" si="222"/>
        <v>30147</v>
      </c>
    </row>
    <row r="518" spans="11:38" ht="16.5" x14ac:dyDescent="0.2">
      <c r="K518" s="13">
        <v>515</v>
      </c>
      <c r="L518" s="13">
        <f t="shared" si="223"/>
        <v>25</v>
      </c>
      <c r="M518" s="13">
        <f t="shared" si="224"/>
        <v>4</v>
      </c>
      <c r="N518" s="14">
        <f t="shared" si="225"/>
        <v>1102009</v>
      </c>
      <c r="O518" s="14" t="str">
        <f t="shared" si="226"/>
        <v>徐晃11突</v>
      </c>
      <c r="P518" s="29" t="s">
        <v>470</v>
      </c>
      <c r="Q518" s="14">
        <f t="shared" si="227"/>
        <v>2</v>
      </c>
      <c r="R518" s="14">
        <f t="shared" si="228"/>
        <v>11</v>
      </c>
      <c r="S518" s="14" t="s">
        <v>39</v>
      </c>
      <c r="T518" s="14">
        <f>ROUND(((IF(Q518=1,INDEX(新属性投放!$J$14:$J$34,卡牌属性!R518),INDEX(新属性投放!$J$42:$J$62,卡牌属性!R518)))*INDEX($G$5:$G$42,L518)+IF(Q518=1,INDEX(新属性投放!R$20:R$23,卡牌属性!M518-1),INDEX(新属性投放!R$25:R$28,卡牌属性!M518-1)))/SQRT(INDEX($I$5:$I$42,L518)),2)</f>
        <v>7300.21</v>
      </c>
      <c r="U518" s="29" t="s">
        <v>178</v>
      </c>
      <c r="V518" s="14">
        <f>ROUND((IF(Q518=1,INDEX(新属性投放!$K$14:$K$34,卡牌属性!R518),INDEX(新属性投放!$K$42:$K$62,卡牌属性!R518))+IF(Q518=1,INDEX(新属性投放!S$20:S$23,卡牌属性!M518-1),INDEX(新属性投放!S$25:S$28,卡牌属性!M518-1)))*INDEX($G$5:$G$42,L518),2)</f>
        <v>3450.01</v>
      </c>
      <c r="W518" s="29" t="s">
        <v>179</v>
      </c>
      <c r="X518" s="14">
        <f>ROUND((IF(Q518=1,INDEX(新属性投放!$L$14:$L$34,卡牌属性!R518),INDEX(新属性投放!$L$42:$L$62,卡牌属性!R518))*INDEX($G$5:$G$42,L518)+IF(Q518=1,INDEX(新属性投放!T$20:T$23,卡牌属性!M518-1),INDEX(新属性投放!T$25:T$28,卡牌属性!M518-1)))*SQRT(INDEX($I$5:$I$42,L518)),2)</f>
        <v>37743.199999999997</v>
      </c>
      <c r="Y518" s="29" t="s">
        <v>177</v>
      </c>
      <c r="Z518" s="14">
        <f>ROUND(IF(Q518=1,INDEX(新属性投放!$D$14:$D$34,卡牌属性!R518),INDEX(新属性投放!$D$42:$D$62,卡牌属性!R518))*INDEX($G$5:$G$42,L518)/SQRT(INDEX($I$5:$I$42,L518)),2)</f>
        <v>171.05</v>
      </c>
      <c r="AA518" s="29" t="s">
        <v>178</v>
      </c>
      <c r="AB518" s="14">
        <f>ROUND(IF(Q518=1,INDEX(新属性投放!$E$14:$E$34,卡牌属性!R518),INDEX(新属性投放!$E$42:$E$62,卡牌属性!R518))*INDEX($G$5:$G$42,L518),2)</f>
        <v>85.53</v>
      </c>
      <c r="AC518" s="29" t="s">
        <v>179</v>
      </c>
      <c r="AD518" s="14">
        <f>ROUND(IF(Q518=1,INDEX(新属性投放!$F$14:$F$34,卡牌属性!R518),INDEX(新属性投放!$F$42:$F$62,卡牌属性!R518))*INDEX($G$5:$G$42,L518)*SQRT(INDEX($I$5:$I$42,L518)),2)</f>
        <v>769.6</v>
      </c>
      <c r="AF518" s="14">
        <f t="shared" si="229"/>
        <v>1710</v>
      </c>
      <c r="AG518" s="14">
        <f t="shared" si="230"/>
        <v>855</v>
      </c>
      <c r="AH518" s="14">
        <f t="shared" si="231"/>
        <v>7696</v>
      </c>
      <c r="AJ518" s="14">
        <f t="shared" si="220"/>
        <v>8422</v>
      </c>
      <c r="AK518" s="14">
        <f t="shared" si="221"/>
        <v>4207</v>
      </c>
      <c r="AL518" s="14">
        <f t="shared" si="222"/>
        <v>37843</v>
      </c>
    </row>
    <row r="519" spans="11:38" ht="16.5" x14ac:dyDescent="0.2">
      <c r="K519" s="13">
        <v>516</v>
      </c>
      <c r="L519" s="13">
        <f t="shared" si="223"/>
        <v>25</v>
      </c>
      <c r="M519" s="13">
        <f t="shared" si="224"/>
        <v>4</v>
      </c>
      <c r="N519" s="14">
        <f t="shared" si="225"/>
        <v>1102009</v>
      </c>
      <c r="O519" s="14" t="str">
        <f t="shared" si="226"/>
        <v>徐晃12突</v>
      </c>
      <c r="P519" s="29" t="s">
        <v>470</v>
      </c>
      <c r="Q519" s="14">
        <f t="shared" si="227"/>
        <v>2</v>
      </c>
      <c r="R519" s="14">
        <f t="shared" si="228"/>
        <v>12</v>
      </c>
      <c r="S519" s="14" t="s">
        <v>39</v>
      </c>
      <c r="T519" s="14">
        <f>ROUND(((IF(Q519=1,INDEX(新属性投放!$J$14:$J$34,卡牌属性!R519),INDEX(新属性投放!$J$42:$J$62,卡牌属性!R519)))*INDEX($G$5:$G$42,L519)+IF(Q519=1,INDEX(新属性投放!R$20:R$23,卡牌属性!M519-1),INDEX(新属性投放!R$25:R$28,卡牌属性!M519-1)))/SQRT(INDEX($I$5:$I$42,L519)),2)</f>
        <v>8368.68</v>
      </c>
      <c r="U519" s="29" t="s">
        <v>178</v>
      </c>
      <c r="V519" s="14">
        <f>ROUND((IF(Q519=1,INDEX(新属性投放!$K$14:$K$34,卡牌属性!R519),INDEX(新属性投放!$K$42:$K$62,卡牌属性!R519))+IF(Q519=1,INDEX(新属性投放!S$20:S$23,卡牌属性!M519-1),INDEX(新属性投放!S$25:S$28,卡牌属性!M519-1)))*INDEX($G$5:$G$42,L519),2)</f>
        <v>3984.24</v>
      </c>
      <c r="W519" s="29" t="s">
        <v>179</v>
      </c>
      <c r="X519" s="14">
        <f>ROUND((IF(Q519=1,INDEX(新属性投放!$L$14:$L$34,卡牌属性!R519),INDEX(新属性投放!$L$42:$L$62,卡牌属性!R519))*INDEX($G$5:$G$42,L519)+IF(Q519=1,INDEX(新属性投放!T$20:T$23,卡牌属性!M519-1),INDEX(新属性投放!T$25:T$28,卡牌属性!M519-1)))*SQRT(INDEX($I$5:$I$42,L519)),2)</f>
        <v>43510</v>
      </c>
      <c r="Y519" s="29" t="s">
        <v>177</v>
      </c>
      <c r="Z519" s="14">
        <f>ROUND(IF(Q519=1,INDEX(新属性投放!$D$14:$D$34,卡牌属性!R519),INDEX(新属性投放!$D$42:$D$62,卡牌属性!R519))*INDEX($G$5:$G$42,L519)/SQRT(INDEX($I$5:$I$42,L519)),2)</f>
        <v>195.61</v>
      </c>
      <c r="AA519" s="29" t="s">
        <v>178</v>
      </c>
      <c r="AB519" s="14">
        <f>ROUND(IF(Q519=1,INDEX(新属性投放!$E$14:$E$34,卡牌属性!R519),INDEX(新属性投放!$E$42:$E$62,卡牌属性!R519))*INDEX($G$5:$G$42,L519),2)</f>
        <v>97.81</v>
      </c>
      <c r="AC519" s="29" t="s">
        <v>179</v>
      </c>
      <c r="AD519" s="14">
        <f>ROUND(IF(Q519=1,INDEX(新属性投放!$F$14:$F$34,卡牌属性!R519),INDEX(新属性投放!$F$42:$F$62,卡牌属性!R519))*INDEX($G$5:$G$42,L519)*SQRT(INDEX($I$5:$I$42,L519)),2)</f>
        <v>880.1</v>
      </c>
      <c r="AF519" s="14">
        <f t="shared" si="229"/>
        <v>1956</v>
      </c>
      <c r="AG519" s="14">
        <f t="shared" si="230"/>
        <v>978</v>
      </c>
      <c r="AH519" s="14">
        <f t="shared" si="231"/>
        <v>8801</v>
      </c>
      <c r="AJ519" s="14">
        <f t="shared" si="220"/>
        <v>10378</v>
      </c>
      <c r="AK519" s="14">
        <f t="shared" si="221"/>
        <v>5185</v>
      </c>
      <c r="AL519" s="14">
        <f t="shared" si="222"/>
        <v>46644</v>
      </c>
    </row>
    <row r="520" spans="11:38" ht="16.5" x14ac:dyDescent="0.2">
      <c r="K520" s="13">
        <v>517</v>
      </c>
      <c r="L520" s="13">
        <f t="shared" si="223"/>
        <v>25</v>
      </c>
      <c r="M520" s="13">
        <f t="shared" si="224"/>
        <v>4</v>
      </c>
      <c r="N520" s="14">
        <f t="shared" si="225"/>
        <v>1102009</v>
      </c>
      <c r="O520" s="14" t="str">
        <f t="shared" si="226"/>
        <v>徐晃13突</v>
      </c>
      <c r="P520" s="29" t="s">
        <v>470</v>
      </c>
      <c r="Q520" s="14">
        <f t="shared" si="227"/>
        <v>2</v>
      </c>
      <c r="R520" s="14">
        <f t="shared" si="228"/>
        <v>13</v>
      </c>
      <c r="S520" s="14" t="s">
        <v>39</v>
      </c>
      <c r="T520" s="14">
        <f>ROUND(((IF(Q520=1,INDEX(新属性投放!$J$14:$J$34,卡牌属性!R520),INDEX(新属性投放!$J$42:$J$62,卡牌属性!R520)))*INDEX($G$5:$G$42,L520)+IF(Q520=1,INDEX(新属性投放!R$20:R$23,卡牌属性!M520-1),INDEX(新属性投放!R$25:R$28,卡牌属性!M520-1)))/SQRT(INDEX($I$5:$I$42,L520)),2)</f>
        <v>9591.14</v>
      </c>
      <c r="U520" s="29" t="s">
        <v>178</v>
      </c>
      <c r="V520" s="14">
        <f>ROUND((IF(Q520=1,INDEX(新属性投放!$K$14:$K$34,卡牌属性!R520),INDEX(新属性投放!$K$42:$K$62,卡牌属性!R520))+IF(Q520=1,INDEX(新属性投放!S$20:S$23,卡牌属性!M520-1),INDEX(新属性投放!S$25:S$28,卡牌属性!M520-1)))*INDEX($G$5:$G$42,L520),2)</f>
        <v>4595.47</v>
      </c>
      <c r="W520" s="29" t="s">
        <v>179</v>
      </c>
      <c r="X520" s="14">
        <f>ROUND((IF(Q520=1,INDEX(新属性投放!$L$14:$L$34,卡牌属性!R520),INDEX(新属性投放!$L$42:$L$62,卡牌属性!R520))*INDEX($G$5:$G$42,L520)+IF(Q520=1,INDEX(新属性投放!T$20:T$23,卡牌属性!M520-1),INDEX(新属性投放!T$25:T$28,卡牌属性!M520-1)))*SQRT(INDEX($I$5:$I$42,L520)),2)</f>
        <v>50110.1</v>
      </c>
      <c r="Y520" s="29" t="s">
        <v>177</v>
      </c>
      <c r="Z520" s="14">
        <f>ROUND(IF(Q520=1,INDEX(新属性投放!$D$14:$D$34,卡牌属性!R520),INDEX(新属性投放!$D$42:$D$62,卡牌属性!R520))*INDEX($G$5:$G$42,L520)/SQRT(INDEX($I$5:$I$42,L520)),2)</f>
        <v>226.16</v>
      </c>
      <c r="AA520" s="29" t="s">
        <v>178</v>
      </c>
      <c r="AB520" s="14">
        <f>ROUND(IF(Q520=1,INDEX(新属性投放!$E$14:$E$34,卡牌属性!R520),INDEX(新属性投放!$E$42:$E$62,卡牌属性!R520))*INDEX($G$5:$G$42,L520),2)</f>
        <v>113.08</v>
      </c>
      <c r="AC520" s="29" t="s">
        <v>179</v>
      </c>
      <c r="AD520" s="14">
        <f>ROUND(IF(Q520=1,INDEX(新属性投放!$F$14:$F$34,卡牌属性!R520),INDEX(新属性投放!$F$42:$F$62,卡牌属性!R520))*INDEX($G$5:$G$42,L520)*SQRT(INDEX($I$5:$I$42,L520)),2)</f>
        <v>1016.6</v>
      </c>
      <c r="AF520" s="14">
        <f t="shared" si="229"/>
        <v>2261</v>
      </c>
      <c r="AG520" s="14">
        <f t="shared" si="230"/>
        <v>1130</v>
      </c>
      <c r="AH520" s="14">
        <f t="shared" si="231"/>
        <v>10166</v>
      </c>
      <c r="AJ520" s="14">
        <f t="shared" si="220"/>
        <v>12639</v>
      </c>
      <c r="AK520" s="14">
        <f t="shared" si="221"/>
        <v>6315</v>
      </c>
      <c r="AL520" s="14">
        <f t="shared" si="222"/>
        <v>56810</v>
      </c>
    </row>
    <row r="521" spans="11:38" ht="16.5" x14ac:dyDescent="0.2">
      <c r="K521" s="13">
        <v>518</v>
      </c>
      <c r="L521" s="13">
        <f t="shared" si="223"/>
        <v>25</v>
      </c>
      <c r="M521" s="13">
        <f t="shared" si="224"/>
        <v>4</v>
      </c>
      <c r="N521" s="14">
        <f t="shared" si="225"/>
        <v>1102009</v>
      </c>
      <c r="O521" s="14" t="str">
        <f t="shared" si="226"/>
        <v>徐晃14突</v>
      </c>
      <c r="P521" s="29" t="s">
        <v>470</v>
      </c>
      <c r="Q521" s="14">
        <f t="shared" si="227"/>
        <v>2</v>
      </c>
      <c r="R521" s="14">
        <f t="shared" si="228"/>
        <v>14</v>
      </c>
      <c r="S521" s="14" t="s">
        <v>39</v>
      </c>
      <c r="T521" s="14">
        <f>ROUND(((IF(Q521=1,INDEX(新属性投放!$J$14:$J$34,卡牌属性!R521),INDEX(新属性投放!$J$42:$J$62,卡牌属性!R521)))*INDEX($G$5:$G$42,L521)+IF(Q521=1,INDEX(新属性投放!R$20:R$23,卡牌属性!M521-1),INDEX(新属性投放!R$25:R$28,卡牌属性!M521-1)))/SQRT(INDEX($I$5:$I$42,L521)),2)</f>
        <v>11004.04</v>
      </c>
      <c r="U521" s="29" t="s">
        <v>178</v>
      </c>
      <c r="V521" s="14">
        <f>ROUND((IF(Q521=1,INDEX(新属性投放!$K$14:$K$34,卡牌属性!R521),INDEX(新属性投放!$K$42:$K$62,卡牌属性!R521))+IF(Q521=1,INDEX(新属性投放!S$20:S$23,卡牌属性!M521-1),INDEX(新属性投放!S$25:S$28,卡牌属性!M521-1)))*INDEX($G$5:$G$42,L521),2)</f>
        <v>5302.57</v>
      </c>
      <c r="W521" s="29" t="s">
        <v>179</v>
      </c>
      <c r="X521" s="14">
        <f>ROUND((IF(Q521=1,INDEX(新属性投放!$L$14:$L$34,卡牌属性!R521),INDEX(新属性投放!$L$42:$L$62,卡牌属性!R521))*INDEX($G$5:$G$42,L521)+IF(Q521=1,INDEX(新属性投放!T$20:T$23,卡牌属性!M521-1),INDEX(新属性投放!T$25:T$28,卡牌属性!M521-1)))*SQRT(INDEX($I$5:$I$42,L521)),2)</f>
        <v>57732</v>
      </c>
      <c r="Y521" s="29" t="s">
        <v>177</v>
      </c>
      <c r="Z521" s="14">
        <f>ROUND(IF(Q521=1,INDEX(新属性投放!$D$14:$D$34,卡牌属性!R521),INDEX(新属性投放!$D$42:$D$62,卡牌属性!R521))*INDEX($G$5:$G$42,L521)/SQRT(INDEX($I$5:$I$42,L521)),2)</f>
        <v>261.5</v>
      </c>
      <c r="AA521" s="29" t="s">
        <v>178</v>
      </c>
      <c r="AB521" s="14">
        <f>ROUND(IF(Q521=1,INDEX(新属性投放!$E$14:$E$34,卡牌属性!R521),INDEX(新属性投放!$E$42:$E$62,卡牌属性!R521))*INDEX($G$5:$G$42,L521),2)</f>
        <v>130.75</v>
      </c>
      <c r="AC521" s="29" t="s">
        <v>179</v>
      </c>
      <c r="AD521" s="14">
        <f>ROUND(IF(Q521=1,INDEX(新属性投放!$F$14:$F$34,卡牌属性!R521),INDEX(新属性投放!$F$42:$F$62,卡牌属性!R521))*INDEX($G$5:$G$42,L521)*SQRT(INDEX($I$5:$I$42,L521)),2)</f>
        <v>1176.5</v>
      </c>
      <c r="AF521" s="14">
        <f t="shared" si="229"/>
        <v>2615</v>
      </c>
      <c r="AG521" s="14">
        <f t="shared" si="230"/>
        <v>1307</v>
      </c>
      <c r="AH521" s="14">
        <f t="shared" si="231"/>
        <v>11765</v>
      </c>
      <c r="AJ521" s="14">
        <f t="shared" si="220"/>
        <v>15254</v>
      </c>
      <c r="AK521" s="14">
        <f t="shared" si="221"/>
        <v>7622</v>
      </c>
      <c r="AL521" s="14">
        <f t="shared" si="222"/>
        <v>68575</v>
      </c>
    </row>
    <row r="522" spans="11:38" ht="16.5" x14ac:dyDescent="0.2">
      <c r="K522" s="13">
        <v>519</v>
      </c>
      <c r="L522" s="13">
        <f t="shared" si="223"/>
        <v>25</v>
      </c>
      <c r="M522" s="13">
        <f t="shared" si="224"/>
        <v>4</v>
      </c>
      <c r="N522" s="14">
        <f t="shared" si="225"/>
        <v>1102009</v>
      </c>
      <c r="O522" s="14" t="str">
        <f t="shared" si="226"/>
        <v>徐晃15突</v>
      </c>
      <c r="P522" s="29" t="s">
        <v>470</v>
      </c>
      <c r="Q522" s="14">
        <f t="shared" si="227"/>
        <v>2</v>
      </c>
      <c r="R522" s="14">
        <f t="shared" si="228"/>
        <v>15</v>
      </c>
      <c r="S522" s="14" t="s">
        <v>39</v>
      </c>
      <c r="T522" s="14">
        <f>ROUND(((IF(Q522=1,INDEX(新属性投放!$J$14:$J$34,卡牌属性!R522),INDEX(新属性投放!$J$42:$J$62,卡牌属性!R522)))*INDEX($G$5:$G$42,L522)+IF(Q522=1,INDEX(新属性投放!R$20:R$23,卡牌属性!M522-1),INDEX(新属性投放!R$25:R$28,卡牌属性!M522-1)))/SQRT(INDEX($I$5:$I$42,L522)),2)</f>
        <v>12637.82</v>
      </c>
      <c r="U522" s="29" t="s">
        <v>178</v>
      </c>
      <c r="V522" s="14">
        <f>ROUND((IF(Q522=1,INDEX(新属性投放!$K$14:$K$34,卡牌属性!R522),INDEX(新属性投放!$K$42:$K$62,卡牌属性!R522))+IF(Q522=1,INDEX(新属性投放!S$20:S$23,卡牌属性!M522-1),INDEX(新属性投放!S$25:S$28,卡牌属性!M522-1)))*INDEX($G$5:$G$42,L522),2)</f>
        <v>6120.11</v>
      </c>
      <c r="W522" s="29" t="s">
        <v>179</v>
      </c>
      <c r="X522" s="14">
        <f>ROUND((IF(Q522=1,INDEX(新属性投放!$L$14:$L$34,卡牌属性!R522),INDEX(新属性投放!$L$42:$L$62,卡牌属性!R522))*INDEX($G$5:$G$42,L522)+IF(Q522=1,INDEX(新属性投放!T$20:T$23,卡牌属性!M522-1),INDEX(新属性投放!T$25:T$28,卡牌属性!M522-1)))*SQRT(INDEX($I$5:$I$42,L522)),2)</f>
        <v>66551.199999999997</v>
      </c>
      <c r="Y522" s="29" t="s">
        <v>177</v>
      </c>
      <c r="Z522" s="14">
        <f>ROUND(IF(Q522=1,INDEX(新属性投放!$D$14:$D$34,卡牌属性!R522),INDEX(新属性投放!$D$42:$D$62,卡牌属性!R522))*INDEX($G$5:$G$42,L522)/SQRT(INDEX($I$5:$I$42,L522)),2)</f>
        <v>302.33</v>
      </c>
      <c r="AA522" s="29" t="s">
        <v>178</v>
      </c>
      <c r="AB522" s="14">
        <f>ROUND(IF(Q522=1,INDEX(新属性投放!$E$14:$E$34,卡牌属性!R522),INDEX(新属性投放!$E$42:$E$62,卡牌属性!R522))*INDEX($G$5:$G$42,L522),2)</f>
        <v>151.16</v>
      </c>
      <c r="AC522" s="29" t="s">
        <v>179</v>
      </c>
      <c r="AD522" s="14">
        <f>ROUND(IF(Q522=1,INDEX(新属性投放!$F$14:$F$34,卡牌属性!R522),INDEX(新属性投放!$F$42:$F$62,卡牌属性!R522))*INDEX($G$5:$G$42,L522)*SQRT(INDEX($I$5:$I$42,L522)),2)</f>
        <v>1359.8</v>
      </c>
      <c r="AF522" s="14">
        <f t="shared" si="229"/>
        <v>3023</v>
      </c>
      <c r="AG522" s="14">
        <f t="shared" si="230"/>
        <v>1511</v>
      </c>
      <c r="AH522" s="14">
        <f t="shared" si="231"/>
        <v>13598</v>
      </c>
      <c r="AJ522" s="14">
        <f t="shared" si="220"/>
        <v>18277</v>
      </c>
      <c r="AK522" s="14">
        <f t="shared" si="221"/>
        <v>9133</v>
      </c>
      <c r="AL522" s="14">
        <f t="shared" si="222"/>
        <v>82173</v>
      </c>
    </row>
    <row r="523" spans="11:38" ht="16.5" x14ac:dyDescent="0.2">
      <c r="K523" s="13">
        <v>520</v>
      </c>
      <c r="L523" s="13">
        <f t="shared" si="223"/>
        <v>25</v>
      </c>
      <c r="M523" s="13">
        <f t="shared" si="224"/>
        <v>4</v>
      </c>
      <c r="N523" s="14">
        <f t="shared" si="225"/>
        <v>1102009</v>
      </c>
      <c r="O523" s="14" t="str">
        <f t="shared" si="226"/>
        <v>徐晃16突</v>
      </c>
      <c r="P523" s="29" t="s">
        <v>470</v>
      </c>
      <c r="Q523" s="14">
        <f t="shared" si="227"/>
        <v>2</v>
      </c>
      <c r="R523" s="14">
        <f t="shared" si="228"/>
        <v>16</v>
      </c>
      <c r="S523" s="14" t="s">
        <v>39</v>
      </c>
      <c r="T523" s="14">
        <f>ROUND(((IF(Q523=1,INDEX(新属性投放!$J$14:$J$34,卡牌属性!R523),INDEX(新属性投放!$J$42:$J$62,卡牌属性!R523)))*INDEX($G$5:$G$42,L523)+IF(Q523=1,INDEX(新属性投放!R$20:R$23,卡牌属性!M523-1),INDEX(新属性投放!R$25:R$28,卡牌属性!M523-1)))/SQRT(INDEX($I$5:$I$42,L523)),2)</f>
        <v>14527.76</v>
      </c>
      <c r="U523" s="29" t="s">
        <v>178</v>
      </c>
      <c r="V523" s="14">
        <f>ROUND((IF(Q523=1,INDEX(新属性投放!$K$14:$K$34,卡牌属性!R523),INDEX(新属性投放!$K$42:$K$62,卡牌属性!R523))+IF(Q523=1,INDEX(新属性投放!S$20:S$23,卡牌属性!M523-1),INDEX(新属性投放!S$25:S$28,卡牌属性!M523-1)))*INDEX($G$5:$G$42,L523),2)</f>
        <v>7064.43</v>
      </c>
      <c r="W523" s="29" t="s">
        <v>179</v>
      </c>
      <c r="X523" s="14">
        <f>ROUND((IF(Q523=1,INDEX(新属性投放!$L$14:$L$34,卡牌属性!R523),INDEX(新属性投放!$L$42:$L$62,卡牌属性!R523))*INDEX($G$5:$G$42,L523)+IF(Q523=1,INDEX(新属性投放!T$20:T$23,卡牌属性!M523-1),INDEX(新属性投放!T$25:T$28,卡牌属性!M523-1)))*SQRT(INDEX($I$5:$I$42,L523)),2)</f>
        <v>76754.899999999994</v>
      </c>
      <c r="Y523" s="29" t="s">
        <v>177</v>
      </c>
      <c r="Z523" s="14">
        <f>ROUND(IF(Q523=1,INDEX(新属性投放!$D$14:$D$34,卡牌属性!R523),INDEX(新属性投放!$D$42:$D$62,卡牌属性!R523))*INDEX($G$5:$G$42,L523)/SQRT(INDEX($I$5:$I$42,L523)),2)</f>
        <v>349.58</v>
      </c>
      <c r="AA523" s="29" t="s">
        <v>178</v>
      </c>
      <c r="AB523" s="14">
        <f>ROUND(IF(Q523=1,INDEX(新属性投放!$E$14:$E$34,卡牌属性!R523),INDEX(新属性投放!$E$42:$E$62,卡牌属性!R523))*INDEX($G$5:$G$42,L523),2)</f>
        <v>174.79</v>
      </c>
      <c r="AC523" s="29" t="s">
        <v>179</v>
      </c>
      <c r="AD523" s="14">
        <f>ROUND(IF(Q523=1,INDEX(新属性投放!$F$14:$F$34,卡牌属性!R523),INDEX(新属性投放!$F$42:$F$62,卡牌属性!R523))*INDEX($G$5:$G$42,L523)*SQRT(INDEX($I$5:$I$42,L523)),2)</f>
        <v>1573</v>
      </c>
      <c r="AF523" s="14">
        <f t="shared" si="229"/>
        <v>3495</v>
      </c>
      <c r="AG523" s="14">
        <f t="shared" si="230"/>
        <v>1747</v>
      </c>
      <c r="AH523" s="14">
        <f t="shared" si="231"/>
        <v>15730</v>
      </c>
      <c r="AJ523" s="14">
        <f t="shared" si="220"/>
        <v>21772</v>
      </c>
      <c r="AK523" s="14">
        <f t="shared" si="221"/>
        <v>10880</v>
      </c>
      <c r="AL523" s="14">
        <f t="shared" si="222"/>
        <v>97903</v>
      </c>
    </row>
    <row r="524" spans="11:38" ht="16.5" x14ac:dyDescent="0.2">
      <c r="K524" s="13">
        <v>521</v>
      </c>
      <c r="L524" s="13">
        <f t="shared" si="223"/>
        <v>25</v>
      </c>
      <c r="M524" s="13">
        <f t="shared" si="224"/>
        <v>4</v>
      </c>
      <c r="N524" s="14">
        <f t="shared" si="225"/>
        <v>1102009</v>
      </c>
      <c r="O524" s="14" t="str">
        <f t="shared" si="226"/>
        <v>徐晃17突</v>
      </c>
      <c r="P524" s="29" t="s">
        <v>470</v>
      </c>
      <c r="Q524" s="14">
        <f t="shared" si="227"/>
        <v>2</v>
      </c>
      <c r="R524" s="14">
        <f t="shared" si="228"/>
        <v>17</v>
      </c>
      <c r="S524" s="14" t="s">
        <v>39</v>
      </c>
      <c r="T524" s="14">
        <f>ROUND(((IF(Q524=1,INDEX(新属性投放!$J$14:$J$34,卡牌属性!R524),INDEX(新属性投放!$J$42:$J$62,卡牌属性!R524)))*INDEX($G$5:$G$42,L524)+IF(Q524=1,INDEX(新属性投放!R$20:R$23,卡牌属性!M524-1),INDEX(新属性投放!R$25:R$28,卡牌属性!M524-1)))/SQRT(INDEX($I$5:$I$42,L524)),2)</f>
        <v>16712.47</v>
      </c>
      <c r="U524" s="29" t="s">
        <v>178</v>
      </c>
      <c r="V524" s="14">
        <f>ROUND((IF(Q524=1,INDEX(新属性投放!$K$14:$K$34,卡牌属性!R524),INDEX(新属性投放!$K$42:$K$62,卡牌属性!R524))+IF(Q524=1,INDEX(新属性投放!S$20:S$23,卡牌属性!M524-1),INDEX(新属性投放!S$25:S$28,卡牌属性!M524-1)))*INDEX($G$5:$G$42,L524),2)</f>
        <v>8156.79</v>
      </c>
      <c r="W524" s="29" t="s">
        <v>179</v>
      </c>
      <c r="X524" s="14">
        <f>ROUND((IF(Q524=1,INDEX(新属性投放!$L$14:$L$34,卡牌属性!R524),INDEX(新属性投放!$L$42:$L$62,卡牌属性!R524))*INDEX($G$5:$G$42,L524)+IF(Q524=1,INDEX(新属性投放!T$20:T$23,卡牌属性!M524-1),INDEX(新属性投放!T$25:T$28,卡牌属性!M524-1)))*SQRT(INDEX($I$5:$I$42,L524)),2)</f>
        <v>88551.1</v>
      </c>
      <c r="Y524" s="29" t="s">
        <v>177</v>
      </c>
      <c r="Z524" s="14">
        <f>ROUND(IF(Q524=1,INDEX(新属性投放!$D$14:$D$34,卡牌属性!R524),INDEX(新属性投放!$D$42:$D$62,卡牌属性!R524))*INDEX($G$5:$G$42,L524)/SQRT(INDEX($I$5:$I$42,L524)),2)</f>
        <v>404.2</v>
      </c>
      <c r="AA524" s="29" t="s">
        <v>178</v>
      </c>
      <c r="AB524" s="14">
        <f>ROUND(IF(Q524=1,INDEX(新属性投放!$E$14:$E$34,卡牌属性!R524),INDEX(新属性投放!$E$42:$E$62,卡牌属性!R524))*INDEX($G$5:$G$42,L524),2)</f>
        <v>202.1</v>
      </c>
      <c r="AC524" s="29" t="s">
        <v>179</v>
      </c>
      <c r="AD524" s="14">
        <f>ROUND(IF(Q524=1,INDEX(新属性投放!$F$14:$F$34,卡牌属性!R524),INDEX(新属性投放!$F$42:$F$62,卡牌属性!R524))*INDEX($G$5:$G$42,L524)*SQRT(INDEX($I$5:$I$42,L524)),2)</f>
        <v>1818.7</v>
      </c>
      <c r="AF524" s="14">
        <f t="shared" si="229"/>
        <v>4042</v>
      </c>
      <c r="AG524" s="14">
        <f t="shared" si="230"/>
        <v>2021</v>
      </c>
      <c r="AH524" s="14">
        <f t="shared" si="231"/>
        <v>18187</v>
      </c>
      <c r="AJ524" s="14">
        <f t="shared" si="220"/>
        <v>25814</v>
      </c>
      <c r="AK524" s="14">
        <f t="shared" si="221"/>
        <v>12901</v>
      </c>
      <c r="AL524" s="14">
        <f t="shared" si="222"/>
        <v>116090</v>
      </c>
    </row>
    <row r="525" spans="11:38" ht="16.5" x14ac:dyDescent="0.2">
      <c r="K525" s="13">
        <v>522</v>
      </c>
      <c r="L525" s="13">
        <f t="shared" si="223"/>
        <v>25</v>
      </c>
      <c r="M525" s="13">
        <f t="shared" si="224"/>
        <v>4</v>
      </c>
      <c r="N525" s="14">
        <f t="shared" si="225"/>
        <v>1102009</v>
      </c>
      <c r="O525" s="14" t="str">
        <f t="shared" si="226"/>
        <v>徐晃18突</v>
      </c>
      <c r="P525" s="29" t="s">
        <v>470</v>
      </c>
      <c r="Q525" s="14">
        <f t="shared" si="227"/>
        <v>2</v>
      </c>
      <c r="R525" s="14">
        <f t="shared" si="228"/>
        <v>18</v>
      </c>
      <c r="S525" s="14" t="s">
        <v>39</v>
      </c>
      <c r="T525" s="14">
        <f>ROUND(((IF(Q525=1,INDEX(新属性投放!$J$14:$J$34,卡牌属性!R525),INDEX(新属性投放!$J$42:$J$62,卡牌属性!R525)))*INDEX($G$5:$G$42,L525)+IF(Q525=1,INDEX(新属性投放!R$20:R$23,卡牌属性!M525-1),INDEX(新属性投放!R$25:R$28,卡牌属性!M525-1)))/SQRT(INDEX($I$5:$I$42,L525)),2)</f>
        <v>19239.150000000001</v>
      </c>
      <c r="U525" s="29" t="s">
        <v>178</v>
      </c>
      <c r="V525" s="14">
        <f>ROUND((IF(Q525=1,INDEX(新属性投放!$K$14:$K$34,卡牌属性!R525),INDEX(新属性投放!$K$42:$K$62,卡牌属性!R525))+IF(Q525=1,INDEX(新属性投放!S$20:S$23,卡牌属性!M525-1),INDEX(新属性投放!S$25:S$28,卡牌属性!M525-1)))*INDEX($G$5:$G$42,L525),2)</f>
        <v>9419.48</v>
      </c>
      <c r="W525" s="29" t="s">
        <v>179</v>
      </c>
      <c r="X525" s="14">
        <f>ROUND((IF(Q525=1,INDEX(新属性投放!$L$14:$L$34,卡牌属性!R525),INDEX(新属性投放!$L$42:$L$62,卡牌属性!R525))*INDEX($G$5:$G$42,L525)+IF(Q525=1,INDEX(新属性投放!T$20:T$23,卡牌属性!M525-1),INDEX(新属性投放!T$25:T$28,卡牌属性!M525-1)))*SQRT(INDEX($I$5:$I$42,L525)),2)</f>
        <v>102195.9</v>
      </c>
      <c r="Y525" s="29" t="s">
        <v>177</v>
      </c>
      <c r="Z525" s="14">
        <f>ROUND(IF(Q525=1,INDEX(新属性投放!$D$14:$D$34,卡牌属性!R525),INDEX(新属性投放!$D$42:$D$62,卡牌属性!R525))*INDEX($G$5:$G$42,L525)/SQRT(INDEX($I$5:$I$42,L525)),2)</f>
        <v>467.36</v>
      </c>
      <c r="AA525" s="29" t="s">
        <v>178</v>
      </c>
      <c r="AB525" s="14">
        <f>ROUND(IF(Q525=1,INDEX(新属性投放!$E$14:$E$34,卡牌属性!R525),INDEX(新属性投放!$E$42:$E$62,卡牌属性!R525))*INDEX($G$5:$G$42,L525),2)</f>
        <v>233.68</v>
      </c>
      <c r="AC525" s="29" t="s">
        <v>179</v>
      </c>
      <c r="AD525" s="14">
        <f>ROUND(IF(Q525=1,INDEX(新属性投放!$F$14:$F$34,卡牌属性!R525),INDEX(新属性投放!$F$42:$F$62,卡牌属性!R525))*INDEX($G$5:$G$42,L525)*SQRT(INDEX($I$5:$I$42,L525)),2)</f>
        <v>2102.1</v>
      </c>
      <c r="AF525" s="14">
        <f t="shared" si="229"/>
        <v>4673</v>
      </c>
      <c r="AG525" s="14">
        <f t="shared" si="230"/>
        <v>2336</v>
      </c>
      <c r="AH525" s="14">
        <f t="shared" si="231"/>
        <v>21021</v>
      </c>
      <c r="AJ525" s="14">
        <f t="shared" si="220"/>
        <v>30487</v>
      </c>
      <c r="AK525" s="14">
        <f t="shared" si="221"/>
        <v>15237</v>
      </c>
      <c r="AL525" s="14">
        <f t="shared" si="222"/>
        <v>137111</v>
      </c>
    </row>
    <row r="526" spans="11:38" ht="16.5" x14ac:dyDescent="0.2">
      <c r="K526" s="13">
        <v>523</v>
      </c>
      <c r="L526" s="13">
        <f t="shared" si="223"/>
        <v>25</v>
      </c>
      <c r="M526" s="13">
        <f t="shared" si="224"/>
        <v>4</v>
      </c>
      <c r="N526" s="14">
        <f t="shared" si="225"/>
        <v>1102009</v>
      </c>
      <c r="O526" s="14" t="str">
        <f t="shared" si="226"/>
        <v>徐晃19突</v>
      </c>
      <c r="P526" s="29" t="s">
        <v>470</v>
      </c>
      <c r="Q526" s="14">
        <f t="shared" si="227"/>
        <v>2</v>
      </c>
      <c r="R526" s="14">
        <f t="shared" si="228"/>
        <v>19</v>
      </c>
      <c r="S526" s="14" t="s">
        <v>39</v>
      </c>
      <c r="T526" s="14">
        <f>ROUND(((IF(Q526=1,INDEX(新属性投放!$J$14:$J$34,卡牌属性!R526),INDEX(新属性投放!$J$42:$J$62,卡牌属性!R526)))*INDEX($G$5:$G$42,L526)+IF(Q526=1,INDEX(新属性投放!R$20:R$23,卡牌属性!M526-1),INDEX(新属性投放!R$25:R$28,卡牌属性!M526-1)))/SQRT(INDEX($I$5:$I$42,L526)),2)</f>
        <v>22159.67</v>
      </c>
      <c r="U526" s="29" t="s">
        <v>178</v>
      </c>
      <c r="V526" s="14">
        <f>ROUND((IF(Q526=1,INDEX(新属性投放!$K$14:$K$34,卡牌属性!R526),INDEX(新属性投放!$K$42:$K$62,卡牌属性!R526))+IF(Q526=1,INDEX(新属性投放!S$20:S$23,卡牌属性!M526-1),INDEX(新属性投放!S$25:S$28,卡牌属性!M526-1)))*INDEX($G$5:$G$42,L526),2)</f>
        <v>10880.38</v>
      </c>
      <c r="W526" s="29" t="s">
        <v>179</v>
      </c>
      <c r="X526" s="14">
        <f>ROUND((IF(Q526=1,INDEX(新属性投放!$L$14:$L$34,卡牌属性!R526),INDEX(新属性投放!$L$42:$L$62,卡牌属性!R526))*INDEX($G$5:$G$42,L526)+IF(Q526=1,INDEX(新属性投放!T$20:T$23,卡牌属性!M526-1),INDEX(新属性投放!T$25:T$28,卡牌属性!M526-1)))*SQRT(INDEX($I$5:$I$42,L526)),2)</f>
        <v>117959.7</v>
      </c>
      <c r="Y526" s="29" t="s">
        <v>177</v>
      </c>
      <c r="Z526" s="14">
        <f>ROUND(IF(Q526=1,INDEX(新属性投放!$D$14:$D$34,卡牌属性!R526),INDEX(新属性投放!$D$42:$D$62,卡牌属性!R526))*INDEX($G$5:$G$42,L526)/SQRT(INDEX($I$5:$I$42,L526)),2)</f>
        <v>540.38</v>
      </c>
      <c r="AA526" s="29" t="s">
        <v>178</v>
      </c>
      <c r="AB526" s="14">
        <f>ROUND(IF(Q526=1,INDEX(新属性投放!$E$14:$E$34,卡牌属性!R526),INDEX(新属性投放!$E$42:$E$62,卡牌属性!R526))*INDEX($G$5:$G$42,L526),2)</f>
        <v>270.19</v>
      </c>
      <c r="AC526" s="29" t="s">
        <v>179</v>
      </c>
      <c r="AD526" s="14">
        <f>ROUND(IF(Q526=1,INDEX(新属性投放!$F$14:$F$34,卡牌属性!R526),INDEX(新属性投放!$F$42:$F$62,卡牌属性!R526))*INDEX($G$5:$G$42,L526)*SQRT(INDEX($I$5:$I$42,L526)),2)</f>
        <v>2431</v>
      </c>
      <c r="AF526" s="14">
        <f t="shared" si="229"/>
        <v>5403</v>
      </c>
      <c r="AG526" s="14">
        <f t="shared" si="230"/>
        <v>2701</v>
      </c>
      <c r="AH526" s="14">
        <f t="shared" si="231"/>
        <v>24310</v>
      </c>
      <c r="AJ526" s="14">
        <f t="shared" si="220"/>
        <v>35890</v>
      </c>
      <c r="AK526" s="14">
        <f t="shared" si="221"/>
        <v>17938</v>
      </c>
      <c r="AL526" s="14">
        <f t="shared" si="222"/>
        <v>161421</v>
      </c>
    </row>
    <row r="527" spans="11:38" ht="16.5" x14ac:dyDescent="0.2">
      <c r="K527" s="13">
        <v>524</v>
      </c>
      <c r="L527" s="13">
        <f t="shared" si="223"/>
        <v>25</v>
      </c>
      <c r="M527" s="13">
        <f t="shared" si="224"/>
        <v>4</v>
      </c>
      <c r="N527" s="14">
        <f t="shared" si="225"/>
        <v>1102009</v>
      </c>
      <c r="O527" s="14" t="str">
        <f t="shared" si="226"/>
        <v>徐晃20突</v>
      </c>
      <c r="P527" s="29" t="s">
        <v>470</v>
      </c>
      <c r="Q527" s="14">
        <f t="shared" si="227"/>
        <v>2</v>
      </c>
      <c r="R527" s="14">
        <f t="shared" si="228"/>
        <v>20</v>
      </c>
      <c r="S527" s="14" t="s">
        <v>39</v>
      </c>
      <c r="T527" s="14">
        <f>ROUND(((IF(Q527=1,INDEX(新属性投放!$J$14:$J$34,卡牌属性!R527),INDEX(新属性投放!$J$42:$J$62,卡牌属性!R527)))*INDEX($G$5:$G$42,L527)+IF(Q527=1,INDEX(新属性投放!R$20:R$23,卡牌属性!M527-1),INDEX(新属性投放!R$25:R$28,卡牌属性!M527-1)))/SQRT(INDEX($I$5:$I$42,L527)),2)</f>
        <v>25537.59</v>
      </c>
      <c r="U527" s="29" t="s">
        <v>178</v>
      </c>
      <c r="V527" s="14">
        <f>ROUND((IF(Q527=1,INDEX(新属性投放!$K$14:$K$34,卡牌属性!R527),INDEX(新属性投放!$K$42:$K$62,卡牌属性!R527))+IF(Q527=1,INDEX(新属性投放!S$20:S$23,卡牌属性!M527-1),INDEX(新属性投放!S$25:S$28,卡牌属性!M527-1)))*INDEX($G$5:$G$42,L527),2)</f>
        <v>12569.34</v>
      </c>
      <c r="W527" s="29" t="s">
        <v>179</v>
      </c>
      <c r="X527" s="14">
        <f>ROUND((IF(Q527=1,INDEX(新属性投放!$L$14:$L$34,卡牌属性!R527),INDEX(新属性投放!$L$42:$L$62,卡牌属性!R527))*INDEX($G$5:$G$42,L527)+IF(Q527=1,INDEX(新属性投放!T$20:T$23,卡牌属性!M527-1),INDEX(新属性投放!T$25:T$28,卡牌属性!M527-1)))*SQRT(INDEX($I$5:$I$42,L527)),2)</f>
        <v>136198.70000000001</v>
      </c>
      <c r="Y527" s="29" t="s">
        <v>177</v>
      </c>
      <c r="Z527" s="14">
        <f>ROUND(IF(Q527=1,INDEX(新属性投放!$D$14:$D$34,卡牌属性!R527),INDEX(新属性投放!$D$42:$D$62,卡牌属性!R527))*INDEX($G$5:$G$42,L527)/SQRT(INDEX($I$5:$I$42,L527)),2)</f>
        <v>624.83000000000004</v>
      </c>
      <c r="AA527" s="29" t="s">
        <v>178</v>
      </c>
      <c r="AB527" s="14">
        <f>ROUND(IF(Q527=1,INDEX(新属性投放!$E$14:$E$34,卡牌属性!R527),INDEX(新属性投放!$E$42:$E$62,卡牌属性!R527))*INDEX($G$5:$G$42,L527),2)</f>
        <v>312.42</v>
      </c>
      <c r="AC527" s="29" t="s">
        <v>179</v>
      </c>
      <c r="AD527" s="14">
        <f>ROUND(IF(Q527=1,INDEX(新属性投放!$F$14:$F$34,卡牌属性!R527),INDEX(新属性投放!$F$42:$F$62,卡牌属性!R527))*INDEX($G$5:$G$42,L527)*SQRT(INDEX($I$5:$I$42,L527)),2)</f>
        <v>2810.6</v>
      </c>
      <c r="AF527" s="14">
        <f t="shared" si="229"/>
        <v>6248</v>
      </c>
      <c r="AG527" s="14">
        <f t="shared" si="230"/>
        <v>3124</v>
      </c>
      <c r="AH527" s="14">
        <f t="shared" si="231"/>
        <v>28106</v>
      </c>
      <c r="AJ527" s="14">
        <f t="shared" si="220"/>
        <v>42138</v>
      </c>
      <c r="AK527" s="14">
        <f t="shared" si="221"/>
        <v>21062</v>
      </c>
      <c r="AL527" s="14">
        <f t="shared" si="222"/>
        <v>189527</v>
      </c>
    </row>
    <row r="528" spans="11:38" ht="16.5" x14ac:dyDescent="0.2">
      <c r="K528" s="13">
        <v>525</v>
      </c>
      <c r="L528" s="13">
        <f t="shared" si="223"/>
        <v>25</v>
      </c>
      <c r="M528" s="13">
        <f t="shared" si="224"/>
        <v>4</v>
      </c>
      <c r="N528" s="14">
        <f t="shared" si="225"/>
        <v>1102009</v>
      </c>
      <c r="O528" s="14" t="str">
        <f t="shared" si="226"/>
        <v>徐晃21突</v>
      </c>
      <c r="P528" s="29" t="s">
        <v>470</v>
      </c>
      <c r="Q528" s="14">
        <f t="shared" si="227"/>
        <v>2</v>
      </c>
      <c r="R528" s="14">
        <f t="shared" si="228"/>
        <v>21</v>
      </c>
      <c r="S528" s="14" t="s">
        <v>39</v>
      </c>
      <c r="T528" s="14">
        <f>ROUND(((IF(Q528=1,INDEX(新属性投放!$J$14:$J$34,卡牌属性!R528),INDEX(新属性投放!$J$42:$J$62,卡牌属性!R528)))*INDEX($G$5:$G$42,L528)+IF(Q528=1,INDEX(新属性投放!R$20:R$23,卡牌属性!M528-1),INDEX(新属性投放!R$25:R$28,卡牌属性!M528-1)))/SQRT(INDEX($I$5:$I$42,L528)),2)</f>
        <v>29443.05</v>
      </c>
      <c r="U528" s="29" t="s">
        <v>178</v>
      </c>
      <c r="V528" s="14">
        <f>ROUND((IF(Q528=1,INDEX(新属性投放!$K$14:$K$34,卡牌属性!R528),INDEX(新属性投放!$K$42:$K$62,卡牌属性!R528))+IF(Q528=1,INDEX(新属性投放!S$20:S$23,卡牌属性!M528-1),INDEX(新属性投放!S$25:S$28,卡牌属性!M528-1)))*INDEX($G$5:$G$42,L528),2)</f>
        <v>14521.42</v>
      </c>
      <c r="W528" s="29" t="s">
        <v>179</v>
      </c>
      <c r="X528" s="14">
        <f>ROUND((IF(Q528=1,INDEX(新属性投放!$L$14:$L$34,卡牌属性!R528),INDEX(新属性投放!$L$42:$L$62,卡牌属性!R528))*INDEX($G$5:$G$42,L528)+IF(Q528=1,INDEX(新属性投放!T$20:T$23,卡牌属性!M528-1),INDEX(新属性投放!T$25:T$28,卡牌属性!M528-1)))*SQRT(INDEX($I$5:$I$42,L528)),2)</f>
        <v>157283.4</v>
      </c>
      <c r="Y528" s="29" t="s">
        <v>177</v>
      </c>
      <c r="Z528" s="14">
        <f>ROUND(IF(Q528=1,INDEX(新属性投放!$D$14:$D$34,卡牌属性!R528),INDEX(新属性投放!$D$42:$D$62,卡牌属性!R528))*INDEX($G$5:$G$42,L528)/SQRT(INDEX($I$5:$I$42,L528)),2)</f>
        <v>722.46</v>
      </c>
      <c r="AA528" s="29" t="s">
        <v>178</v>
      </c>
      <c r="AB528" s="14">
        <f>ROUND(IF(Q528=1,INDEX(新属性投放!$E$14:$E$34,卡牌属性!R528),INDEX(新属性投放!$E$42:$E$62,卡牌属性!R528))*INDEX($G$5:$G$42,L528),2)</f>
        <v>361.23</v>
      </c>
      <c r="AC528" s="29" t="s">
        <v>179</v>
      </c>
      <c r="AD528" s="14">
        <f>ROUND(IF(Q528=1,INDEX(新属性投放!$F$14:$F$34,卡牌属性!R528),INDEX(新属性投放!$F$42:$F$62,卡牌属性!R528))*INDEX($G$5:$G$42,L528)*SQRT(INDEX($I$5:$I$42,L528)),2)</f>
        <v>3250</v>
      </c>
      <c r="AF528" s="14">
        <f t="shared" si="229"/>
        <v>7224</v>
      </c>
      <c r="AG528" s="14">
        <f t="shared" si="230"/>
        <v>3612</v>
      </c>
      <c r="AH528" s="14">
        <f t="shared" si="231"/>
        <v>32500</v>
      </c>
      <c r="AJ528" s="14">
        <f t="shared" si="220"/>
        <v>49362</v>
      </c>
      <c r="AK528" s="14">
        <f t="shared" si="221"/>
        <v>24674</v>
      </c>
      <c r="AL528" s="14">
        <f t="shared" si="222"/>
        <v>222027</v>
      </c>
    </row>
    <row r="529" spans="11:38" ht="16.5" x14ac:dyDescent="0.2">
      <c r="K529" s="13">
        <v>526</v>
      </c>
      <c r="L529" s="13">
        <f t="shared" si="223"/>
        <v>26</v>
      </c>
      <c r="M529" s="13">
        <f t="shared" si="224"/>
        <v>5</v>
      </c>
      <c r="N529" s="14">
        <f t="shared" si="225"/>
        <v>1102010</v>
      </c>
      <c r="O529" s="14" t="str">
        <f t="shared" si="226"/>
        <v>张郃1突</v>
      </c>
      <c r="P529" s="29" t="s">
        <v>470</v>
      </c>
      <c r="Q529" s="14">
        <f t="shared" si="227"/>
        <v>2</v>
      </c>
      <c r="R529" s="14">
        <f t="shared" si="228"/>
        <v>1</v>
      </c>
      <c r="S529" s="14" t="s">
        <v>39</v>
      </c>
      <c r="T529" s="14">
        <f>ROUND(((IF(Q529=1,INDEX(新属性投放!$J$14:$J$34,卡牌属性!R529),INDEX(新属性投放!$J$42:$J$62,卡牌属性!R529)))*INDEX($G$5:$G$42,L529)+IF(Q529=1,INDEX(新属性投放!R$20:R$23,卡牌属性!M529-1),INDEX(新属性投放!R$25:R$28,卡牌属性!M529-1)))/SQRT(INDEX($I$5:$I$42,L529)),2)</f>
        <v>975</v>
      </c>
      <c r="U529" s="29" t="s">
        <v>178</v>
      </c>
      <c r="V529" s="14">
        <f>ROUND((IF(Q529=1,INDEX(新属性投放!$K$14:$K$34,卡牌属性!R529),INDEX(新属性投放!$K$42:$K$62,卡牌属性!R529))+IF(Q529=1,INDEX(新属性投放!S$20:S$23,卡牌属性!M529-1),INDEX(新属性投放!S$25:S$28,卡牌属性!M529-1)))*INDEX($G$5:$G$42,L529),2)</f>
        <v>150</v>
      </c>
      <c r="W529" s="29" t="s">
        <v>179</v>
      </c>
      <c r="X529" s="14">
        <f>ROUND((IF(Q529=1,INDEX(新属性投放!$L$14:$L$34,卡牌属性!R529),INDEX(新属性投放!$L$42:$L$62,卡牌属性!R529))*INDEX($G$5:$G$42,L529)+IF(Q529=1,INDEX(新属性投放!T$20:T$23,卡牌属性!M529-1),INDEX(新属性投放!T$25:T$28,卡牌属性!M529-1)))*SQRT(INDEX($I$5:$I$42,L529)),2)</f>
        <v>3625</v>
      </c>
      <c r="Y529" s="29" t="s">
        <v>177</v>
      </c>
      <c r="Z529" s="14">
        <f>ROUND(IF(Q529=1,INDEX(新属性投放!$D$14:$D$34,卡牌属性!R529),INDEX(新属性投放!$D$42:$D$62,卡牌属性!R529))*INDEX($G$5:$G$42,L529)/SQRT(INDEX($I$5:$I$42,L529)),2)</f>
        <v>22.5</v>
      </c>
      <c r="AA529" s="29" t="s">
        <v>178</v>
      </c>
      <c r="AB529" s="14">
        <f>ROUND(IF(Q529=1,INDEX(新属性投放!$E$14:$E$34,卡牌属性!R529),INDEX(新属性投放!$E$42:$E$62,卡牌属性!R529))*INDEX($G$5:$G$42,L529),2)</f>
        <v>11.25</v>
      </c>
      <c r="AC529" s="29" t="s">
        <v>179</v>
      </c>
      <c r="AD529" s="14">
        <f>ROUND(IF(Q529=1,INDEX(新属性投放!$F$14:$F$34,卡牌属性!R529),INDEX(新属性投放!$F$42:$F$62,卡牌属性!R529))*INDEX($G$5:$G$42,L529)*SQRT(INDEX($I$5:$I$42,L529)),2)</f>
        <v>100.5</v>
      </c>
      <c r="AF529" s="14">
        <f t="shared" si="229"/>
        <v>225</v>
      </c>
      <c r="AG529" s="14">
        <f t="shared" si="230"/>
        <v>112</v>
      </c>
      <c r="AH529" s="14">
        <f t="shared" si="231"/>
        <v>1005</v>
      </c>
      <c r="AJ529" s="14">
        <f t="shared" ref="AJ529" si="232">AF529</f>
        <v>225</v>
      </c>
      <c r="AK529" s="14">
        <f t="shared" ref="AK529" si="233">AG529</f>
        <v>112</v>
      </c>
      <c r="AL529" s="14">
        <f t="shared" ref="AL529" si="234">AH529</f>
        <v>1005</v>
      </c>
    </row>
    <row r="530" spans="11:38" ht="16.5" x14ac:dyDescent="0.2">
      <c r="K530" s="13">
        <v>527</v>
      </c>
      <c r="L530" s="13">
        <f t="shared" si="223"/>
        <v>26</v>
      </c>
      <c r="M530" s="13">
        <f t="shared" si="224"/>
        <v>5</v>
      </c>
      <c r="N530" s="14">
        <f t="shared" si="225"/>
        <v>1102010</v>
      </c>
      <c r="O530" s="14" t="str">
        <f t="shared" si="226"/>
        <v>张郃2突</v>
      </c>
      <c r="P530" s="29" t="s">
        <v>470</v>
      </c>
      <c r="Q530" s="14">
        <f t="shared" si="227"/>
        <v>2</v>
      </c>
      <c r="R530" s="14">
        <f t="shared" si="228"/>
        <v>2</v>
      </c>
      <c r="S530" s="14" t="s">
        <v>39</v>
      </c>
      <c r="T530" s="14">
        <f>ROUND(((IF(Q530=1,INDEX(新属性投放!$J$14:$J$34,卡牌属性!R530),INDEX(新属性投放!$J$42:$J$62,卡牌属性!R530)))*INDEX($G$5:$G$42,L530)+IF(Q530=1,INDEX(新属性投放!R$20:R$23,卡牌属性!M530-1),INDEX(新属性投放!R$25:R$28,卡牌属性!M530-1)))/SQRT(INDEX($I$5:$I$42,L530)),2)</f>
        <v>1215</v>
      </c>
      <c r="U530" s="29" t="s">
        <v>178</v>
      </c>
      <c r="V530" s="14">
        <f>ROUND((IF(Q530=1,INDEX(新属性投放!$K$14:$K$34,卡牌属性!R530),INDEX(新属性投放!$K$42:$K$62,卡牌属性!R530))+IF(Q530=1,INDEX(新属性投放!S$20:S$23,卡牌属性!M530-1),INDEX(新属性投放!S$25:S$28,卡牌属性!M530-1)))*INDEX($G$5:$G$42,L530),2)</f>
        <v>266.25</v>
      </c>
      <c r="W530" s="29" t="s">
        <v>179</v>
      </c>
      <c r="X530" s="14">
        <f>ROUND((IF(Q530=1,INDEX(新属性投放!$L$14:$L$34,卡牌属性!R530),INDEX(新属性投放!$L$42:$L$62,卡牌属性!R530))*INDEX($G$5:$G$42,L530)+IF(Q530=1,INDEX(新属性投放!T$20:T$23,卡牌属性!M530-1),INDEX(新属性投放!T$25:T$28,卡牌属性!M530-1)))*SQRT(INDEX($I$5:$I$42,L530)),2)</f>
        <v>4867</v>
      </c>
      <c r="Y530" s="29" t="s">
        <v>177</v>
      </c>
      <c r="Z530" s="14">
        <f>ROUND(IF(Q530=1,INDEX(新属性投放!$D$14:$D$34,卡牌属性!R530),INDEX(新属性投放!$D$42:$D$62,卡牌属性!R530))*INDEX($G$5:$G$42,L530)/SQRT(INDEX($I$5:$I$42,L530)),2)</f>
        <v>20.66</v>
      </c>
      <c r="AA530" s="29" t="s">
        <v>178</v>
      </c>
      <c r="AB530" s="14">
        <f>ROUND(IF(Q530=1,INDEX(新属性投放!$E$14:$E$34,卡牌属性!R530),INDEX(新属性投放!$E$42:$E$62,卡牌属性!R530))*INDEX($G$5:$G$42,L530),2)</f>
        <v>10.33</v>
      </c>
      <c r="AC530" s="29" t="s">
        <v>179</v>
      </c>
      <c r="AD530" s="14">
        <f>ROUND(IF(Q530=1,INDEX(新属性投放!$F$14:$F$34,卡牌属性!R530),INDEX(新属性投放!$F$42:$F$62,卡牌属性!R530))*INDEX($G$5:$G$42,L530)*SQRT(INDEX($I$5:$I$42,L530)),2)</f>
        <v>91.5</v>
      </c>
      <c r="AF530" s="14">
        <f t="shared" si="229"/>
        <v>206</v>
      </c>
      <c r="AG530" s="14">
        <f t="shared" si="230"/>
        <v>103</v>
      </c>
      <c r="AH530" s="14">
        <f t="shared" si="231"/>
        <v>915</v>
      </c>
      <c r="AJ530" s="14">
        <f t="shared" ref="AJ530:AJ549" si="235">AJ529+AF530</f>
        <v>431</v>
      </c>
      <c r="AK530" s="14">
        <f t="shared" ref="AK530:AK549" si="236">AK529+AG530</f>
        <v>215</v>
      </c>
      <c r="AL530" s="14">
        <f t="shared" ref="AL530:AL549" si="237">AL529+AH530</f>
        <v>1920</v>
      </c>
    </row>
    <row r="531" spans="11:38" ht="16.5" x14ac:dyDescent="0.2">
      <c r="K531" s="13">
        <v>528</v>
      </c>
      <c r="L531" s="13">
        <f t="shared" si="223"/>
        <v>26</v>
      </c>
      <c r="M531" s="13">
        <f t="shared" si="224"/>
        <v>5</v>
      </c>
      <c r="N531" s="14">
        <f t="shared" si="225"/>
        <v>1102010</v>
      </c>
      <c r="O531" s="14" t="str">
        <f t="shared" si="226"/>
        <v>张郃3突</v>
      </c>
      <c r="P531" s="29" t="s">
        <v>470</v>
      </c>
      <c r="Q531" s="14">
        <f t="shared" si="227"/>
        <v>2</v>
      </c>
      <c r="R531" s="14">
        <f t="shared" si="228"/>
        <v>3</v>
      </c>
      <c r="S531" s="14" t="s">
        <v>39</v>
      </c>
      <c r="T531" s="14">
        <f>ROUND(((IF(Q531=1,INDEX(新属性投放!$J$14:$J$34,卡牌属性!R531),INDEX(新属性投放!$J$42:$J$62,卡牌属性!R531)))*INDEX($G$5:$G$42,L531)+IF(Q531=1,INDEX(新属性投放!R$20:R$23,卡牌属性!M531-1),INDEX(新属性投放!R$25:R$28,卡牌属性!M531-1)))/SQRT(INDEX($I$5:$I$42,L531)),2)</f>
        <v>1472.55</v>
      </c>
      <c r="U531" s="29" t="s">
        <v>178</v>
      </c>
      <c r="V531" s="14">
        <f>ROUND((IF(Q531=1,INDEX(新属性投放!$K$14:$K$34,卡牌属性!R531),INDEX(新属性投放!$K$42:$K$62,卡牌属性!R531))+IF(Q531=1,INDEX(新属性投放!S$20:S$23,卡牌属性!M531-1),INDEX(新属性投放!S$25:S$28,卡牌属性!M531-1)))*INDEX($G$5:$G$42,L531),2)</f>
        <v>395.03</v>
      </c>
      <c r="W531" s="29" t="s">
        <v>179</v>
      </c>
      <c r="X531" s="14">
        <f>ROUND((IF(Q531=1,INDEX(新属性投放!$L$14:$L$34,卡牌属性!R531),INDEX(新属性投放!$L$42:$L$62,卡牌属性!R531))*INDEX($G$5:$G$42,L531)+IF(Q531=1,INDEX(新属性投放!T$20:T$23,卡牌属性!M531-1),INDEX(新属性投放!T$25:T$28,卡牌属性!M531-1)))*SQRT(INDEX($I$5:$I$42,L531)),2)</f>
        <v>6241</v>
      </c>
      <c r="Y531" s="29" t="s">
        <v>177</v>
      </c>
      <c r="Z531" s="14">
        <f>ROUND(IF(Q531=1,INDEX(新属性投放!$D$14:$D$34,卡牌属性!R531),INDEX(新属性投放!$D$42:$D$62,卡牌属性!R531))*INDEX($G$5:$G$42,L531)/SQRT(INDEX($I$5:$I$42,L531)),2)</f>
        <v>37.76</v>
      </c>
      <c r="AA531" s="29" t="s">
        <v>178</v>
      </c>
      <c r="AB531" s="14">
        <f>ROUND(IF(Q531=1,INDEX(新属性投放!$E$14:$E$34,卡牌属性!R531),INDEX(新属性投放!$E$42:$E$62,卡牌属性!R531))*INDEX($G$5:$G$42,L531),2)</f>
        <v>18.88</v>
      </c>
      <c r="AC531" s="29" t="s">
        <v>179</v>
      </c>
      <c r="AD531" s="14">
        <f>ROUND(IF(Q531=1,INDEX(新属性投放!$F$14:$F$34,卡牌属性!R531),INDEX(新属性投放!$F$42:$F$62,卡牌属性!R531))*INDEX($G$5:$G$42,L531)*SQRT(INDEX($I$5:$I$42,L531)),2)</f>
        <v>169.5</v>
      </c>
      <c r="AF531" s="14">
        <f t="shared" si="229"/>
        <v>377</v>
      </c>
      <c r="AG531" s="14">
        <f t="shared" si="230"/>
        <v>188</v>
      </c>
      <c r="AH531" s="14">
        <f t="shared" si="231"/>
        <v>1695</v>
      </c>
      <c r="AJ531" s="14">
        <f t="shared" si="235"/>
        <v>808</v>
      </c>
      <c r="AK531" s="14">
        <f t="shared" si="236"/>
        <v>403</v>
      </c>
      <c r="AL531" s="14">
        <f t="shared" si="237"/>
        <v>3615</v>
      </c>
    </row>
    <row r="532" spans="11:38" ht="16.5" x14ac:dyDescent="0.2">
      <c r="K532" s="13">
        <v>529</v>
      </c>
      <c r="L532" s="13">
        <f t="shared" si="223"/>
        <v>26</v>
      </c>
      <c r="M532" s="13">
        <f t="shared" si="224"/>
        <v>5</v>
      </c>
      <c r="N532" s="14">
        <f t="shared" si="225"/>
        <v>1102010</v>
      </c>
      <c r="O532" s="14" t="str">
        <f t="shared" si="226"/>
        <v>张郃4突</v>
      </c>
      <c r="P532" s="29" t="s">
        <v>470</v>
      </c>
      <c r="Q532" s="14">
        <f t="shared" si="227"/>
        <v>2</v>
      </c>
      <c r="R532" s="14">
        <f t="shared" si="228"/>
        <v>4</v>
      </c>
      <c r="S532" s="14" t="s">
        <v>39</v>
      </c>
      <c r="T532" s="14">
        <f>ROUND(((IF(Q532=1,INDEX(新属性投放!$J$14:$J$34,卡牌属性!R532),INDEX(新属性投放!$J$42:$J$62,卡牌属性!R532)))*INDEX($G$5:$G$42,L532)+IF(Q532=1,INDEX(新属性投放!R$20:R$23,卡牌属性!M532-1),INDEX(新属性投放!R$25:R$28,卡牌属性!M532-1)))/SQRT(INDEX($I$5:$I$42,L532)),2)</f>
        <v>1944.6</v>
      </c>
      <c r="U532" s="29" t="s">
        <v>178</v>
      </c>
      <c r="V532" s="14">
        <f>ROUND((IF(Q532=1,INDEX(新属性投放!$K$14:$K$34,卡牌属性!R532),INDEX(新属性投放!$K$42:$K$62,卡牌属性!R532))+IF(Q532=1,INDEX(新属性投放!S$20:S$23,卡牌属性!M532-1),INDEX(新属性投放!S$25:S$28,卡牌属性!M532-1)))*INDEX($G$5:$G$42,L532),2)</f>
        <v>630.29999999999995</v>
      </c>
      <c r="W532" s="29" t="s">
        <v>179</v>
      </c>
      <c r="X532" s="14">
        <f>ROUND((IF(Q532=1,INDEX(新属性投放!$L$14:$L$34,卡牌属性!R532),INDEX(新属性投放!$L$42:$L$62,卡牌属性!R532))*INDEX($G$5:$G$42,L532)+IF(Q532=1,INDEX(新属性投放!T$20:T$23,卡牌属性!M532-1),INDEX(新属性投放!T$25:T$28,卡牌属性!M532-1)))*SQRT(INDEX($I$5:$I$42,L532)),2)</f>
        <v>8786.5</v>
      </c>
      <c r="Y532" s="29" t="s">
        <v>177</v>
      </c>
      <c r="Z532" s="14">
        <f>ROUND(IF(Q532=1,INDEX(新属性投放!$D$14:$D$34,卡牌属性!R532),INDEX(新属性投放!$D$42:$D$62,卡牌属性!R532))*INDEX($G$5:$G$42,L532)/SQRT(INDEX($I$5:$I$42,L532)),2)</f>
        <v>45.2</v>
      </c>
      <c r="AA532" s="29" t="s">
        <v>178</v>
      </c>
      <c r="AB532" s="14">
        <f>ROUND(IF(Q532=1,INDEX(新属性投放!$E$14:$E$34,卡牌属性!R532),INDEX(新属性投放!$E$42:$E$62,卡牌属性!R532))*INDEX($G$5:$G$42,L532),2)</f>
        <v>22.6</v>
      </c>
      <c r="AC532" s="29" t="s">
        <v>179</v>
      </c>
      <c r="AD532" s="14">
        <f>ROUND(IF(Q532=1,INDEX(新属性投放!$F$14:$F$34,卡牌属性!R532),INDEX(新属性投放!$F$42:$F$62,卡牌属性!R532))*INDEX($G$5:$G$42,L532)*SQRT(INDEX($I$5:$I$42,L532)),2)</f>
        <v>202.5</v>
      </c>
      <c r="AF532" s="14">
        <f t="shared" si="229"/>
        <v>452</v>
      </c>
      <c r="AG532" s="14">
        <f t="shared" si="230"/>
        <v>226</v>
      </c>
      <c r="AH532" s="14">
        <f t="shared" si="231"/>
        <v>2025</v>
      </c>
      <c r="AJ532" s="14">
        <f t="shared" si="235"/>
        <v>1260</v>
      </c>
      <c r="AK532" s="14">
        <f t="shared" si="236"/>
        <v>629</v>
      </c>
      <c r="AL532" s="14">
        <f t="shared" si="237"/>
        <v>5640</v>
      </c>
    </row>
    <row r="533" spans="11:38" ht="16.5" x14ac:dyDescent="0.2">
      <c r="K533" s="13">
        <v>530</v>
      </c>
      <c r="L533" s="13">
        <f t="shared" si="223"/>
        <v>26</v>
      </c>
      <c r="M533" s="13">
        <f t="shared" si="224"/>
        <v>5</v>
      </c>
      <c r="N533" s="14">
        <f t="shared" si="225"/>
        <v>1102010</v>
      </c>
      <c r="O533" s="14" t="str">
        <f t="shared" si="226"/>
        <v>张郃5突</v>
      </c>
      <c r="P533" s="29" t="s">
        <v>470</v>
      </c>
      <c r="Q533" s="14">
        <f t="shared" si="227"/>
        <v>2</v>
      </c>
      <c r="R533" s="14">
        <f t="shared" si="228"/>
        <v>5</v>
      </c>
      <c r="S533" s="14" t="s">
        <v>39</v>
      </c>
      <c r="T533" s="14">
        <f>ROUND(((IF(Q533=1,INDEX(新属性投放!$J$14:$J$34,卡牌属性!R533),INDEX(新属性投放!$J$42:$J$62,卡牌属性!R533)))*INDEX($G$5:$G$42,L533)+IF(Q533=1,INDEX(新属性投放!R$20:R$23,卡牌属性!M533-1),INDEX(新属性投放!R$25:R$28,卡牌属性!M533-1)))/SQRT(INDEX($I$5:$I$42,L533)),2)</f>
        <v>2509.0500000000002</v>
      </c>
      <c r="U533" s="29" t="s">
        <v>178</v>
      </c>
      <c r="V533" s="14">
        <f>ROUND((IF(Q533=1,INDEX(新属性投放!$K$14:$K$34,卡牌属性!R533),INDEX(新属性投放!$K$42:$K$62,卡牌属性!R533))+IF(Q533=1,INDEX(新属性投放!S$20:S$23,卡牌属性!M533-1),INDEX(新属性投放!S$25:S$28,卡牌属性!M533-1)))*INDEX($G$5:$G$42,L533),2)</f>
        <v>913.28</v>
      </c>
      <c r="W533" s="29" t="s">
        <v>179</v>
      </c>
      <c r="X533" s="14">
        <f>ROUND((IF(Q533=1,INDEX(新属性投放!$L$14:$L$34,卡牌属性!R533),INDEX(新属性投放!$L$42:$L$62,卡牌属性!R533))*INDEX($G$5:$G$42,L533)+IF(Q533=1,INDEX(新属性投放!T$20:T$23,卡牌属性!M533-1),INDEX(新属性投放!T$25:T$28,卡牌属性!M533-1)))*SQRT(INDEX($I$5:$I$42,L533)),2)</f>
        <v>11824</v>
      </c>
      <c r="Y533" s="29" t="s">
        <v>177</v>
      </c>
      <c r="Z533" s="14">
        <f>ROUND(IF(Q533=1,INDEX(新属性投放!$D$14:$D$34,卡牌属性!R533),INDEX(新属性投放!$D$42:$D$62,卡牌属性!R533))*INDEX($G$5:$G$42,L533)/SQRT(INDEX($I$5:$I$42,L533)),2)</f>
        <v>56.49</v>
      </c>
      <c r="AA533" s="29" t="s">
        <v>178</v>
      </c>
      <c r="AB533" s="14">
        <f>ROUND(IF(Q533=1,INDEX(新属性投放!$E$14:$E$34,卡牌属性!R533),INDEX(新属性投放!$E$42:$E$62,卡牌属性!R533))*INDEX($G$5:$G$42,L533),2)</f>
        <v>28.25</v>
      </c>
      <c r="AC533" s="29" t="s">
        <v>179</v>
      </c>
      <c r="AD533" s="14">
        <f>ROUND(IF(Q533=1,INDEX(新属性投放!$F$14:$F$34,卡牌属性!R533),INDEX(新属性投放!$F$42:$F$62,卡牌属性!R533))*INDEX($G$5:$G$42,L533)*SQRT(INDEX($I$5:$I$42,L533)),2)</f>
        <v>253.5</v>
      </c>
      <c r="AF533" s="14">
        <f t="shared" si="229"/>
        <v>564</v>
      </c>
      <c r="AG533" s="14">
        <f t="shared" si="230"/>
        <v>282</v>
      </c>
      <c r="AH533" s="14">
        <f t="shared" si="231"/>
        <v>2535</v>
      </c>
      <c r="AJ533" s="14">
        <f t="shared" si="235"/>
        <v>1824</v>
      </c>
      <c r="AK533" s="14">
        <f t="shared" si="236"/>
        <v>911</v>
      </c>
      <c r="AL533" s="14">
        <f t="shared" si="237"/>
        <v>8175</v>
      </c>
    </row>
    <row r="534" spans="11:38" ht="16.5" x14ac:dyDescent="0.2">
      <c r="K534" s="13">
        <v>531</v>
      </c>
      <c r="L534" s="13">
        <f t="shared" si="223"/>
        <v>26</v>
      </c>
      <c r="M534" s="13">
        <f t="shared" si="224"/>
        <v>5</v>
      </c>
      <c r="N534" s="14">
        <f t="shared" si="225"/>
        <v>1102010</v>
      </c>
      <c r="O534" s="14" t="str">
        <f t="shared" si="226"/>
        <v>张郃6突</v>
      </c>
      <c r="P534" s="29" t="s">
        <v>470</v>
      </c>
      <c r="Q534" s="14">
        <f t="shared" si="227"/>
        <v>2</v>
      </c>
      <c r="R534" s="14">
        <f t="shared" si="228"/>
        <v>6</v>
      </c>
      <c r="S534" s="14" t="s">
        <v>39</v>
      </c>
      <c r="T534" s="14">
        <f>ROUND(((IF(Q534=1,INDEX(新属性投放!$J$14:$J$34,卡牌属性!R534),INDEX(新属性投放!$J$42:$J$62,卡牌属性!R534)))*INDEX($G$5:$G$42,L534)+IF(Q534=1,INDEX(新属性投放!R$20:R$23,卡牌属性!M534-1),INDEX(新属性投放!R$25:R$28,卡牌属性!M534-1)))/SQRT(INDEX($I$5:$I$42,L534)),2)</f>
        <v>3214.95</v>
      </c>
      <c r="U534" s="29" t="s">
        <v>178</v>
      </c>
      <c r="V534" s="14">
        <f>ROUND((IF(Q534=1,INDEX(新属性投放!$K$14:$K$34,卡牌属性!R534),INDEX(新属性投放!$K$42:$K$62,卡牌属性!R534))+IF(Q534=1,INDEX(新属性投放!S$20:S$23,卡牌属性!M534-1),INDEX(新属性投放!S$25:S$28,卡牌属性!M534-1)))*INDEX($G$5:$G$42,L534),2)</f>
        <v>1266.23</v>
      </c>
      <c r="W534" s="29" t="s">
        <v>179</v>
      </c>
      <c r="X534" s="14">
        <f>ROUND((IF(Q534=1,INDEX(新属性投放!$L$14:$L$34,卡牌属性!R534),INDEX(新属性投放!$L$42:$L$62,卡牌属性!R534))*INDEX($G$5:$G$42,L534)+IF(Q534=1,INDEX(新属性投放!T$20:T$23,卡牌属性!M534-1),INDEX(新属性投放!T$25:T$28,卡牌属性!M534-1)))*SQRT(INDEX($I$5:$I$42,L534)),2)</f>
        <v>15628</v>
      </c>
      <c r="Y534" s="29" t="s">
        <v>177</v>
      </c>
      <c r="Z534" s="14">
        <f>ROUND(IF(Q534=1,INDEX(新属性投放!$D$14:$D$34,卡牌属性!R534),INDEX(新属性投放!$D$42:$D$62,卡牌属性!R534))*INDEX($G$5:$G$42,L534)/SQRT(INDEX($I$5:$I$42,L534)),2)</f>
        <v>73.28</v>
      </c>
      <c r="AA534" s="29" t="s">
        <v>178</v>
      </c>
      <c r="AB534" s="14">
        <f>ROUND(IF(Q534=1,INDEX(新属性投放!$E$14:$E$34,卡牌属性!R534),INDEX(新属性投放!$E$42:$E$62,卡牌属性!R534))*INDEX($G$5:$G$42,L534),2)</f>
        <v>36.64</v>
      </c>
      <c r="AC534" s="29" t="s">
        <v>179</v>
      </c>
      <c r="AD534" s="14">
        <f>ROUND(IF(Q534=1,INDEX(新属性投放!$F$14:$F$34,卡牌属性!R534),INDEX(新属性投放!$F$42:$F$62,卡牌属性!R534))*INDEX($G$5:$G$42,L534)*SQRT(INDEX($I$5:$I$42,L534)),2)</f>
        <v>328.5</v>
      </c>
      <c r="AF534" s="14">
        <f t="shared" si="229"/>
        <v>732</v>
      </c>
      <c r="AG534" s="14">
        <f t="shared" si="230"/>
        <v>366</v>
      </c>
      <c r="AH534" s="14">
        <f t="shared" si="231"/>
        <v>3285</v>
      </c>
      <c r="AJ534" s="14">
        <f t="shared" si="235"/>
        <v>2556</v>
      </c>
      <c r="AK534" s="14">
        <f t="shared" si="236"/>
        <v>1277</v>
      </c>
      <c r="AL534" s="14">
        <f t="shared" si="237"/>
        <v>11460</v>
      </c>
    </row>
    <row r="535" spans="11:38" ht="16.5" x14ac:dyDescent="0.2">
      <c r="K535" s="13">
        <v>532</v>
      </c>
      <c r="L535" s="13">
        <f t="shared" si="223"/>
        <v>26</v>
      </c>
      <c r="M535" s="13">
        <f t="shared" si="224"/>
        <v>5</v>
      </c>
      <c r="N535" s="14">
        <f t="shared" si="225"/>
        <v>1102010</v>
      </c>
      <c r="O535" s="14" t="str">
        <f t="shared" si="226"/>
        <v>张郃7突</v>
      </c>
      <c r="P535" s="29" t="s">
        <v>470</v>
      </c>
      <c r="Q535" s="14">
        <f t="shared" si="227"/>
        <v>2</v>
      </c>
      <c r="R535" s="14">
        <f t="shared" si="228"/>
        <v>7</v>
      </c>
      <c r="S535" s="14" t="s">
        <v>39</v>
      </c>
      <c r="T535" s="14">
        <f>ROUND(((IF(Q535=1,INDEX(新属性投放!$J$14:$J$34,卡牌属性!R535),INDEX(新属性投放!$J$42:$J$62,卡牌属性!R535)))*INDEX($G$5:$G$42,L535)+IF(Q535=1,INDEX(新属性投放!R$20:R$23,卡牌属性!M535-1),INDEX(新属性投放!R$25:R$28,卡牌属性!M535-1)))/SQRT(INDEX($I$5:$I$42,L535)),2)</f>
        <v>4130.7</v>
      </c>
      <c r="U535" s="29" t="s">
        <v>178</v>
      </c>
      <c r="V535" s="14">
        <f>ROUND((IF(Q535=1,INDEX(新属性投放!$K$14:$K$34,卡牌属性!R535),INDEX(新属性投放!$K$42:$K$62,卡牌属性!R535))+IF(Q535=1,INDEX(新属性投放!S$20:S$23,卡牌属性!M535-1),INDEX(新属性投放!S$25:S$28,卡牌属性!M535-1)))*INDEX($G$5:$G$42,L535),2)</f>
        <v>1724.1</v>
      </c>
      <c r="W535" s="29" t="s">
        <v>179</v>
      </c>
      <c r="X535" s="14">
        <f>ROUND((IF(Q535=1,INDEX(新属性投放!$L$14:$L$34,卡牌属性!R535),INDEX(新属性投放!$L$42:$L$62,卡牌属性!R535))*INDEX($G$5:$G$42,L535)+IF(Q535=1,INDEX(新属性投放!T$20:T$23,卡牌属性!M535-1),INDEX(新属性投放!T$25:T$28,卡牌属性!M535-1)))*SQRT(INDEX($I$5:$I$42,L535)),2)</f>
        <v>20560</v>
      </c>
      <c r="Y535" s="29" t="s">
        <v>177</v>
      </c>
      <c r="Z535" s="14">
        <f>ROUND(IF(Q535=1,INDEX(新属性投放!$D$14:$D$34,卡牌属性!R535),INDEX(新属性投放!$D$42:$D$62,卡牌属性!R535))*INDEX($G$5:$G$42,L535)/SQRT(INDEX($I$5:$I$42,L535)),2)</f>
        <v>90.29</v>
      </c>
      <c r="AA535" s="29" t="s">
        <v>178</v>
      </c>
      <c r="AB535" s="14">
        <f>ROUND(IF(Q535=1,INDEX(新属性投放!$E$14:$E$34,卡牌属性!R535),INDEX(新属性投放!$E$42:$E$62,卡牌属性!R535))*INDEX($G$5:$G$42,L535),2)</f>
        <v>45.14</v>
      </c>
      <c r="AC535" s="29" t="s">
        <v>179</v>
      </c>
      <c r="AD535" s="14">
        <f>ROUND(IF(Q535=1,INDEX(新属性投放!$F$14:$F$34,卡牌属性!R535),INDEX(新属性投放!$F$42:$F$62,卡牌属性!R535))*INDEX($G$5:$G$42,L535)*SQRT(INDEX($I$5:$I$42,L535)),2)</f>
        <v>405</v>
      </c>
      <c r="AF535" s="14">
        <f t="shared" si="229"/>
        <v>902</v>
      </c>
      <c r="AG535" s="14">
        <f t="shared" si="230"/>
        <v>451</v>
      </c>
      <c r="AH535" s="14">
        <f t="shared" si="231"/>
        <v>4050</v>
      </c>
      <c r="AJ535" s="14">
        <f t="shared" si="235"/>
        <v>3458</v>
      </c>
      <c r="AK535" s="14">
        <f t="shared" si="236"/>
        <v>1728</v>
      </c>
      <c r="AL535" s="14">
        <f t="shared" si="237"/>
        <v>15510</v>
      </c>
    </row>
    <row r="536" spans="11:38" ht="16.5" x14ac:dyDescent="0.2">
      <c r="K536" s="13">
        <v>533</v>
      </c>
      <c r="L536" s="13">
        <f t="shared" si="223"/>
        <v>26</v>
      </c>
      <c r="M536" s="13">
        <f t="shared" si="224"/>
        <v>5</v>
      </c>
      <c r="N536" s="14">
        <f t="shared" si="225"/>
        <v>1102010</v>
      </c>
      <c r="O536" s="14" t="str">
        <f t="shared" si="226"/>
        <v>张郃8突</v>
      </c>
      <c r="P536" s="29" t="s">
        <v>470</v>
      </c>
      <c r="Q536" s="14">
        <f t="shared" si="227"/>
        <v>2</v>
      </c>
      <c r="R536" s="14">
        <f t="shared" si="228"/>
        <v>8</v>
      </c>
      <c r="S536" s="14" t="s">
        <v>39</v>
      </c>
      <c r="T536" s="14">
        <f>ROUND(((IF(Q536=1,INDEX(新属性投放!$J$14:$J$34,卡牌属性!R536),INDEX(新属性投放!$J$42:$J$62,卡牌属性!R536)))*INDEX($G$5:$G$42,L536)+IF(Q536=1,INDEX(新属性投放!R$20:R$23,卡牌属性!M536-1),INDEX(新属性投放!R$25:R$28,卡牌属性!M536-1)))/SQRT(INDEX($I$5:$I$42,L536)),2)</f>
        <v>5258.55</v>
      </c>
      <c r="U536" s="29" t="s">
        <v>178</v>
      </c>
      <c r="V536" s="14">
        <f>ROUND((IF(Q536=1,INDEX(新属性投放!$K$14:$K$34,卡牌属性!R536),INDEX(新属性投放!$K$42:$K$62,卡牌属性!R536))+IF(Q536=1,INDEX(新属性投放!S$20:S$23,卡牌属性!M536-1),INDEX(新属性投放!S$25:S$28,卡牌属性!M536-1)))*INDEX($G$5:$G$42,L536),2)</f>
        <v>2288.0300000000002</v>
      </c>
      <c r="W536" s="29" t="s">
        <v>179</v>
      </c>
      <c r="X536" s="14">
        <f>ROUND((IF(Q536=1,INDEX(新属性投放!$L$14:$L$34,卡牌属性!R536),INDEX(新属性投放!$L$42:$L$62,卡牌属性!R536))*INDEX($G$5:$G$42,L536)+IF(Q536=1,INDEX(新属性投放!T$20:T$23,卡牌属性!M536-1),INDEX(新属性投放!T$25:T$28,卡牌属性!M536-1)))*SQRT(INDEX($I$5:$I$42,L536)),2)</f>
        <v>26635</v>
      </c>
      <c r="Y536" s="29" t="s">
        <v>177</v>
      </c>
      <c r="Z536" s="14">
        <f>ROUND(IF(Q536=1,INDEX(新属性投放!$D$14:$D$34,卡牌属性!R536),INDEX(新属性投放!$D$42:$D$62,卡牌属性!R536))*INDEX($G$5:$G$42,L536)/SQRT(INDEX($I$5:$I$42,L536)),2)</f>
        <v>112.79</v>
      </c>
      <c r="AA536" s="29" t="s">
        <v>178</v>
      </c>
      <c r="AB536" s="14">
        <f>ROUND(IF(Q536=1,INDEX(新属性投放!$E$14:$E$34,卡牌属性!R536),INDEX(新属性投放!$E$42:$E$62,卡牌属性!R536))*INDEX($G$5:$G$42,L536),2)</f>
        <v>56.39</v>
      </c>
      <c r="AC536" s="29" t="s">
        <v>179</v>
      </c>
      <c r="AD536" s="14">
        <f>ROUND(IF(Q536=1,INDEX(新属性投放!$F$14:$F$34,卡牌属性!R536),INDEX(新属性投放!$F$42:$F$62,卡牌属性!R536))*INDEX($G$5:$G$42,L536)*SQRT(INDEX($I$5:$I$42,L536)),2)</f>
        <v>507</v>
      </c>
      <c r="AF536" s="14">
        <f t="shared" si="229"/>
        <v>1127</v>
      </c>
      <c r="AG536" s="14">
        <f t="shared" si="230"/>
        <v>563</v>
      </c>
      <c r="AH536" s="14">
        <f t="shared" si="231"/>
        <v>5070</v>
      </c>
      <c r="AJ536" s="14">
        <f t="shared" si="235"/>
        <v>4585</v>
      </c>
      <c r="AK536" s="14">
        <f t="shared" si="236"/>
        <v>2291</v>
      </c>
      <c r="AL536" s="14">
        <f t="shared" si="237"/>
        <v>20580</v>
      </c>
    </row>
    <row r="537" spans="11:38" ht="16.5" x14ac:dyDescent="0.2">
      <c r="K537" s="13">
        <v>534</v>
      </c>
      <c r="L537" s="13">
        <f t="shared" si="223"/>
        <v>26</v>
      </c>
      <c r="M537" s="13">
        <f t="shared" si="224"/>
        <v>5</v>
      </c>
      <c r="N537" s="14">
        <f t="shared" si="225"/>
        <v>1102010</v>
      </c>
      <c r="O537" s="14" t="str">
        <f t="shared" si="226"/>
        <v>张郃9突</v>
      </c>
      <c r="P537" s="29" t="s">
        <v>470</v>
      </c>
      <c r="Q537" s="14">
        <f t="shared" si="227"/>
        <v>2</v>
      </c>
      <c r="R537" s="14">
        <f t="shared" si="228"/>
        <v>9</v>
      </c>
      <c r="S537" s="14" t="s">
        <v>39</v>
      </c>
      <c r="T537" s="14">
        <f>ROUND(((IF(Q537=1,INDEX(新属性投放!$J$14:$J$34,卡牌属性!R537),INDEX(新属性投放!$J$42:$J$62,卡牌属性!R537)))*INDEX($G$5:$G$42,L537)+IF(Q537=1,INDEX(新属性投放!R$20:R$23,卡牌属性!M537-1),INDEX(新属性投放!R$25:R$28,卡牌属性!M537-1)))/SQRT(INDEX($I$5:$I$42,L537)),2)</f>
        <v>6668.4</v>
      </c>
      <c r="U537" s="29" t="s">
        <v>178</v>
      </c>
      <c r="V537" s="14">
        <f>ROUND((IF(Q537=1,INDEX(新属性投放!$K$14:$K$34,卡牌属性!R537),INDEX(新属性投放!$K$42:$K$62,卡牌属性!R537))+IF(Q537=1,INDEX(新属性投放!S$20:S$23,卡牌属性!M537-1),INDEX(新属性投放!S$25:S$28,卡牌属性!M537-1)))*INDEX($G$5:$G$42,L537),2)</f>
        <v>2992.95</v>
      </c>
      <c r="W537" s="29" t="s">
        <v>179</v>
      </c>
      <c r="X537" s="14">
        <f>ROUND((IF(Q537=1,INDEX(新属性投放!$L$14:$L$34,卡牌属性!R537),INDEX(新属性投放!$L$42:$L$62,卡牌属性!R537))*INDEX($G$5:$G$42,L537)+IF(Q537=1,INDEX(新属性投放!T$20:T$23,卡牌属性!M537-1),INDEX(新属性投放!T$25:T$28,卡牌属性!M537-1)))*SQRT(INDEX($I$5:$I$42,L537)),2)</f>
        <v>34243</v>
      </c>
      <c r="Y537" s="29" t="s">
        <v>177</v>
      </c>
      <c r="Z537" s="14">
        <f>ROUND(IF(Q537=1,INDEX(新属性投放!$D$14:$D$34,卡牌属性!R537),INDEX(新属性投放!$D$42:$D$62,卡牌属性!R537))*INDEX($G$5:$G$42,L537)/SQRT(INDEX($I$5:$I$42,L537)),2)</f>
        <v>146.69</v>
      </c>
      <c r="AA537" s="29" t="s">
        <v>178</v>
      </c>
      <c r="AB537" s="14">
        <f>ROUND(IF(Q537=1,INDEX(新属性投放!$E$14:$E$34,卡牌属性!R537),INDEX(新属性投放!$E$42:$E$62,卡牌属性!R537))*INDEX($G$5:$G$42,L537),2)</f>
        <v>73.34</v>
      </c>
      <c r="AC537" s="29" t="s">
        <v>179</v>
      </c>
      <c r="AD537" s="14">
        <f>ROUND(IF(Q537=1,INDEX(新属性投放!$F$14:$F$34,卡牌属性!R537),INDEX(新属性投放!$F$42:$F$62,卡牌属性!R537))*INDEX($G$5:$G$42,L537)*SQRT(INDEX($I$5:$I$42,L537)),2)</f>
        <v>660</v>
      </c>
      <c r="AF537" s="14">
        <f t="shared" si="229"/>
        <v>1466</v>
      </c>
      <c r="AG537" s="14">
        <f t="shared" si="230"/>
        <v>733</v>
      </c>
      <c r="AH537" s="14">
        <f t="shared" si="231"/>
        <v>6600</v>
      </c>
      <c r="AJ537" s="14">
        <f t="shared" si="235"/>
        <v>6051</v>
      </c>
      <c r="AK537" s="14">
        <f t="shared" si="236"/>
        <v>3024</v>
      </c>
      <c r="AL537" s="14">
        <f t="shared" si="237"/>
        <v>27180</v>
      </c>
    </row>
    <row r="538" spans="11:38" ht="16.5" x14ac:dyDescent="0.2">
      <c r="K538" s="13">
        <v>535</v>
      </c>
      <c r="L538" s="13">
        <f t="shared" si="223"/>
        <v>26</v>
      </c>
      <c r="M538" s="13">
        <f t="shared" si="224"/>
        <v>5</v>
      </c>
      <c r="N538" s="14">
        <f t="shared" si="225"/>
        <v>1102010</v>
      </c>
      <c r="O538" s="14" t="str">
        <f t="shared" si="226"/>
        <v>张郃10突</v>
      </c>
      <c r="P538" s="29" t="s">
        <v>470</v>
      </c>
      <c r="Q538" s="14">
        <f t="shared" si="227"/>
        <v>2</v>
      </c>
      <c r="R538" s="14">
        <f t="shared" si="228"/>
        <v>10</v>
      </c>
      <c r="S538" s="14" t="s">
        <v>39</v>
      </c>
      <c r="T538" s="14">
        <f>ROUND(((IF(Q538=1,INDEX(新属性投放!$J$14:$J$34,卡牌属性!R538),INDEX(新属性投放!$J$42:$J$62,卡牌属性!R538)))*INDEX($G$5:$G$42,L538)+IF(Q538=1,INDEX(新属性投放!R$20:R$23,卡牌属性!M538-1),INDEX(新属性投放!R$25:R$28,卡牌属性!M538-1)))/SQRT(INDEX($I$5:$I$42,L538)),2)</f>
        <v>7584.83</v>
      </c>
      <c r="U538" s="29" t="s">
        <v>178</v>
      </c>
      <c r="V538" s="14">
        <f>ROUND((IF(Q538=1,INDEX(新属性投放!$K$14:$K$34,卡牌属性!R538),INDEX(新属性投放!$K$42:$K$62,卡牌属性!R538))+IF(Q538=1,INDEX(新属性投放!S$20:S$23,卡牌属性!M538-1),INDEX(新属性投放!S$25:S$28,卡牌属性!M538-1)))*INDEX($G$5:$G$42,L538),2)</f>
        <v>3451.16</v>
      </c>
      <c r="W538" s="29" t="s">
        <v>179</v>
      </c>
      <c r="X538" s="14">
        <f>ROUND((IF(Q538=1,INDEX(新属性投放!$L$14:$L$34,卡牌属性!R538),INDEX(新属性投放!$L$42:$L$62,卡牌属性!R538))*INDEX($G$5:$G$42,L538)+IF(Q538=1,INDEX(新属性投放!T$20:T$23,卡牌属性!M538-1),INDEX(新属性投放!T$25:T$28,卡牌属性!M538-1)))*SQRT(INDEX($I$5:$I$42,L538)),2)</f>
        <v>39190</v>
      </c>
      <c r="Y538" s="29" t="s">
        <v>177</v>
      </c>
      <c r="Z538" s="14">
        <f>ROUND(IF(Q538=1,INDEX(新属性投放!$D$14:$D$34,卡牌属性!R538),INDEX(新属性投放!$D$42:$D$62,卡牌属性!R538))*INDEX($G$5:$G$42,L538)/SQRT(INDEX($I$5:$I$42,L538)),2)</f>
        <v>169.25</v>
      </c>
      <c r="AA538" s="29" t="s">
        <v>178</v>
      </c>
      <c r="AB538" s="14">
        <f>ROUND(IF(Q538=1,INDEX(新属性投放!$E$14:$E$34,卡牌属性!R538),INDEX(新属性投放!$E$42:$E$62,卡牌属性!R538))*INDEX($G$5:$G$42,L538),2)</f>
        <v>84.62</v>
      </c>
      <c r="AC538" s="29" t="s">
        <v>179</v>
      </c>
      <c r="AD538" s="14">
        <f>ROUND(IF(Q538=1,INDEX(新属性投放!$F$14:$F$34,卡牌属性!R538),INDEX(新属性投放!$F$42:$F$62,卡牌属性!R538))*INDEX($G$5:$G$42,L538)*SQRT(INDEX($I$5:$I$42,L538)),2)</f>
        <v>760.5</v>
      </c>
      <c r="AF538" s="14">
        <f t="shared" si="229"/>
        <v>1692</v>
      </c>
      <c r="AG538" s="14">
        <f t="shared" si="230"/>
        <v>846</v>
      </c>
      <c r="AH538" s="14">
        <f t="shared" si="231"/>
        <v>7605</v>
      </c>
      <c r="AJ538" s="14">
        <f t="shared" si="235"/>
        <v>7743</v>
      </c>
      <c r="AK538" s="14">
        <f t="shared" si="236"/>
        <v>3870</v>
      </c>
      <c r="AL538" s="14">
        <f t="shared" si="237"/>
        <v>34785</v>
      </c>
    </row>
    <row r="539" spans="11:38" ht="16.5" x14ac:dyDescent="0.2">
      <c r="K539" s="13">
        <v>536</v>
      </c>
      <c r="L539" s="13">
        <f t="shared" si="223"/>
        <v>26</v>
      </c>
      <c r="M539" s="13">
        <f t="shared" si="224"/>
        <v>5</v>
      </c>
      <c r="N539" s="14">
        <f t="shared" si="225"/>
        <v>1102010</v>
      </c>
      <c r="O539" s="14" t="str">
        <f t="shared" si="226"/>
        <v>张郃11突</v>
      </c>
      <c r="P539" s="29" t="s">
        <v>470</v>
      </c>
      <c r="Q539" s="14">
        <f t="shared" si="227"/>
        <v>2</v>
      </c>
      <c r="R539" s="14">
        <f t="shared" si="228"/>
        <v>11</v>
      </c>
      <c r="S539" s="14" t="s">
        <v>39</v>
      </c>
      <c r="T539" s="14">
        <f>ROUND(((IF(Q539=1,INDEX(新属性投放!$J$14:$J$34,卡牌属性!R539),INDEX(新属性投放!$J$42:$J$62,卡牌属性!R539)))*INDEX($G$5:$G$42,L539)+IF(Q539=1,INDEX(新属性投放!R$20:R$23,卡牌属性!M539-1),INDEX(新属性投放!R$25:R$28,卡牌属性!M539-1)))/SQRT(INDEX($I$5:$I$42,L539)),2)</f>
        <v>8642.5499999999993</v>
      </c>
      <c r="U539" s="29" t="s">
        <v>178</v>
      </c>
      <c r="V539" s="14">
        <f>ROUND((IF(Q539=1,INDEX(新属性投放!$K$14:$K$34,卡牌属性!R539),INDEX(新属性投放!$K$42:$K$62,卡牌属性!R539))+IF(Q539=1,INDEX(新属性投放!S$20:S$23,卡牌属性!M539-1),INDEX(新属性投放!S$25:S$28,卡牌属性!M539-1)))*INDEX($G$5:$G$42,L539),2)</f>
        <v>3980.78</v>
      </c>
      <c r="W539" s="29" t="s">
        <v>179</v>
      </c>
      <c r="X539" s="14">
        <f>ROUND((IF(Q539=1,INDEX(新属性投放!$L$14:$L$34,卡牌属性!R539),INDEX(新属性投放!$L$42:$L$62,卡牌属性!R539))*INDEX($G$5:$G$42,L539)+IF(Q539=1,INDEX(新属性投放!T$20:T$23,卡牌属性!M539-1),INDEX(新属性投放!T$25:T$28,卡牌属性!M539-1)))*SQRT(INDEX($I$5:$I$42,L539)),2)</f>
        <v>44896</v>
      </c>
      <c r="Y539" s="29" t="s">
        <v>177</v>
      </c>
      <c r="Z539" s="14">
        <f>ROUND(IF(Q539=1,INDEX(新属性投放!$D$14:$D$34,卡牌属性!R539),INDEX(新属性投放!$D$42:$D$62,卡牌属性!R539))*INDEX($G$5:$G$42,L539)/SQRT(INDEX($I$5:$I$42,L539)),2)</f>
        <v>197.37</v>
      </c>
      <c r="AA539" s="29" t="s">
        <v>178</v>
      </c>
      <c r="AB539" s="14">
        <f>ROUND(IF(Q539=1,INDEX(新属性投放!$E$14:$E$34,卡牌属性!R539),INDEX(新属性投放!$E$42:$E$62,卡牌属性!R539))*INDEX($G$5:$G$42,L539),2)</f>
        <v>98.69</v>
      </c>
      <c r="AC539" s="29" t="s">
        <v>179</v>
      </c>
      <c r="AD539" s="14">
        <f>ROUND(IF(Q539=1,INDEX(新属性投放!$F$14:$F$34,卡牌属性!R539),INDEX(新属性投放!$F$42:$F$62,卡牌属性!R539))*INDEX($G$5:$G$42,L539)*SQRT(INDEX($I$5:$I$42,L539)),2)</f>
        <v>888</v>
      </c>
      <c r="AF539" s="14">
        <f t="shared" si="229"/>
        <v>1973</v>
      </c>
      <c r="AG539" s="14">
        <f t="shared" si="230"/>
        <v>986</v>
      </c>
      <c r="AH539" s="14">
        <f t="shared" si="231"/>
        <v>8880</v>
      </c>
      <c r="AJ539" s="14">
        <f t="shared" si="235"/>
        <v>9716</v>
      </c>
      <c r="AK539" s="14">
        <f t="shared" si="236"/>
        <v>4856</v>
      </c>
      <c r="AL539" s="14">
        <f t="shared" si="237"/>
        <v>43665</v>
      </c>
    </row>
    <row r="540" spans="11:38" ht="16.5" x14ac:dyDescent="0.2">
      <c r="K540" s="13">
        <v>537</v>
      </c>
      <c r="L540" s="13">
        <f t="shared" si="223"/>
        <v>26</v>
      </c>
      <c r="M540" s="13">
        <f t="shared" si="224"/>
        <v>5</v>
      </c>
      <c r="N540" s="14">
        <f t="shared" si="225"/>
        <v>1102010</v>
      </c>
      <c r="O540" s="14" t="str">
        <f t="shared" si="226"/>
        <v>张郃12突</v>
      </c>
      <c r="P540" s="29" t="s">
        <v>470</v>
      </c>
      <c r="Q540" s="14">
        <f t="shared" si="227"/>
        <v>2</v>
      </c>
      <c r="R540" s="14">
        <f t="shared" si="228"/>
        <v>12</v>
      </c>
      <c r="S540" s="14" t="s">
        <v>39</v>
      </c>
      <c r="T540" s="14">
        <f>ROUND(((IF(Q540=1,INDEX(新属性投放!$J$14:$J$34,卡牌属性!R540),INDEX(新属性投放!$J$42:$J$62,卡牌属性!R540)))*INDEX($G$5:$G$42,L540)+IF(Q540=1,INDEX(新属性投放!R$20:R$23,卡牌属性!M540-1),INDEX(新属性投放!R$25:R$28,卡牌属性!M540-1)))/SQRT(INDEX($I$5:$I$42,L540)),2)</f>
        <v>9875.4</v>
      </c>
      <c r="U540" s="29" t="s">
        <v>178</v>
      </c>
      <c r="V540" s="14">
        <f>ROUND((IF(Q540=1,INDEX(新属性投放!$K$14:$K$34,卡牌属性!R540),INDEX(新属性投放!$K$42:$K$62,卡牌属性!R540))+IF(Q540=1,INDEX(新属性投放!S$20:S$23,卡牌属性!M540-1),INDEX(新属性投放!S$25:S$28,卡牌属性!M540-1)))*INDEX($G$5:$G$42,L540),2)</f>
        <v>4597.2</v>
      </c>
      <c r="W540" s="29" t="s">
        <v>179</v>
      </c>
      <c r="X540" s="14">
        <f>ROUND((IF(Q540=1,INDEX(新属性投放!$L$14:$L$34,卡牌属性!R540),INDEX(新属性投放!$L$42:$L$62,卡牌属性!R540))*INDEX($G$5:$G$42,L540)+IF(Q540=1,INDEX(新属性投放!T$20:T$23,卡牌属性!M540-1),INDEX(新属性投放!T$25:T$28,卡牌属性!M540-1)))*SQRT(INDEX($I$5:$I$42,L540)),2)</f>
        <v>51550</v>
      </c>
      <c r="Y540" s="29" t="s">
        <v>177</v>
      </c>
      <c r="Z540" s="14">
        <f>ROUND(IF(Q540=1,INDEX(新属性投放!$D$14:$D$34,卡牌属性!R540),INDEX(新属性投放!$D$42:$D$62,卡牌属性!R540))*INDEX($G$5:$G$42,L540)/SQRT(INDEX($I$5:$I$42,L540)),2)</f>
        <v>225.71</v>
      </c>
      <c r="AA540" s="29" t="s">
        <v>178</v>
      </c>
      <c r="AB540" s="14">
        <f>ROUND(IF(Q540=1,INDEX(新属性投放!$E$14:$E$34,卡牌属性!R540),INDEX(新属性投放!$E$42:$E$62,卡牌属性!R540))*INDEX($G$5:$G$42,L540),2)</f>
        <v>112.85</v>
      </c>
      <c r="AC540" s="29" t="s">
        <v>179</v>
      </c>
      <c r="AD540" s="14">
        <f>ROUND(IF(Q540=1,INDEX(新属性投放!$F$14:$F$34,卡牌属性!R540),INDEX(新属性投放!$F$42:$F$62,卡牌属性!R540))*INDEX($G$5:$G$42,L540)*SQRT(INDEX($I$5:$I$42,L540)),2)</f>
        <v>1015.5</v>
      </c>
      <c r="AF540" s="14">
        <f t="shared" si="229"/>
        <v>2257</v>
      </c>
      <c r="AG540" s="14">
        <f t="shared" si="230"/>
        <v>1128</v>
      </c>
      <c r="AH540" s="14">
        <f t="shared" si="231"/>
        <v>10155</v>
      </c>
      <c r="AJ540" s="14">
        <f t="shared" si="235"/>
        <v>11973</v>
      </c>
      <c r="AK540" s="14">
        <f t="shared" si="236"/>
        <v>5984</v>
      </c>
      <c r="AL540" s="14">
        <f t="shared" si="237"/>
        <v>53820</v>
      </c>
    </row>
    <row r="541" spans="11:38" ht="16.5" x14ac:dyDescent="0.2">
      <c r="K541" s="13">
        <v>538</v>
      </c>
      <c r="L541" s="13">
        <f t="shared" si="223"/>
        <v>26</v>
      </c>
      <c r="M541" s="13">
        <f t="shared" si="224"/>
        <v>5</v>
      </c>
      <c r="N541" s="14">
        <f t="shared" si="225"/>
        <v>1102010</v>
      </c>
      <c r="O541" s="14" t="str">
        <f t="shared" si="226"/>
        <v>张郃13突</v>
      </c>
      <c r="P541" s="29" t="s">
        <v>470</v>
      </c>
      <c r="Q541" s="14">
        <f t="shared" si="227"/>
        <v>2</v>
      </c>
      <c r="R541" s="14">
        <f t="shared" si="228"/>
        <v>13</v>
      </c>
      <c r="S541" s="14" t="s">
        <v>39</v>
      </c>
      <c r="T541" s="14">
        <f>ROUND(((IF(Q541=1,INDEX(新属性投放!$J$14:$J$34,卡牌属性!R541),INDEX(新属性投放!$J$42:$J$62,卡牌属性!R541)))*INDEX($G$5:$G$42,L541)+IF(Q541=1,INDEX(新属性投放!R$20:R$23,卡牌属性!M541-1),INDEX(新属性投放!R$25:R$28,卡牌属性!M541-1)))/SQRT(INDEX($I$5:$I$42,L541)),2)</f>
        <v>11285.93</v>
      </c>
      <c r="U541" s="29" t="s">
        <v>178</v>
      </c>
      <c r="V541" s="14">
        <f>ROUND((IF(Q541=1,INDEX(新属性投放!$K$14:$K$34,卡牌属性!R541),INDEX(新属性投放!$K$42:$K$62,卡牌属性!R541))+IF(Q541=1,INDEX(新属性投放!S$20:S$23,卡牌属性!M541-1),INDEX(新属性投放!S$25:S$28,卡牌属性!M541-1)))*INDEX($G$5:$G$42,L541),2)</f>
        <v>5302.46</v>
      </c>
      <c r="W541" s="29" t="s">
        <v>179</v>
      </c>
      <c r="X541" s="14">
        <f>ROUND((IF(Q541=1,INDEX(新属性投放!$L$14:$L$34,卡牌属性!R541),INDEX(新属性投放!$L$42:$L$62,卡牌属性!R541))*INDEX($G$5:$G$42,L541)+IF(Q541=1,INDEX(新属性投放!T$20:T$23,卡牌属性!M541-1),INDEX(新属性投放!T$25:T$28,卡牌属性!M541-1)))*SQRT(INDEX($I$5:$I$42,L541)),2)</f>
        <v>59165.5</v>
      </c>
      <c r="Y541" s="29" t="s">
        <v>177</v>
      </c>
      <c r="Z541" s="14">
        <f>ROUND(IF(Q541=1,INDEX(新属性投放!$D$14:$D$34,卡牌属性!R541),INDEX(新属性投放!$D$42:$D$62,卡牌属性!R541))*INDEX($G$5:$G$42,L541)/SQRT(INDEX($I$5:$I$42,L541)),2)</f>
        <v>260.95999999999998</v>
      </c>
      <c r="AA541" s="29" t="s">
        <v>178</v>
      </c>
      <c r="AB541" s="14">
        <f>ROUND(IF(Q541=1,INDEX(新属性投放!$E$14:$E$34,卡牌属性!R541),INDEX(新属性投放!$E$42:$E$62,卡牌属性!R541))*INDEX($G$5:$G$42,L541),2)</f>
        <v>130.47999999999999</v>
      </c>
      <c r="AC541" s="29" t="s">
        <v>179</v>
      </c>
      <c r="AD541" s="14">
        <f>ROUND(IF(Q541=1,INDEX(新属性投放!$F$14:$F$34,卡牌属性!R541),INDEX(新属性投放!$F$42:$F$62,卡牌属性!R541))*INDEX($G$5:$G$42,L541)*SQRT(INDEX($I$5:$I$42,L541)),2)</f>
        <v>1173</v>
      </c>
      <c r="AF541" s="14">
        <f t="shared" si="229"/>
        <v>2609</v>
      </c>
      <c r="AG541" s="14">
        <f t="shared" si="230"/>
        <v>1304</v>
      </c>
      <c r="AH541" s="14">
        <f t="shared" si="231"/>
        <v>11730</v>
      </c>
      <c r="AJ541" s="14">
        <f t="shared" si="235"/>
        <v>14582</v>
      </c>
      <c r="AK541" s="14">
        <f t="shared" si="236"/>
        <v>7288</v>
      </c>
      <c r="AL541" s="14">
        <f t="shared" si="237"/>
        <v>65550</v>
      </c>
    </row>
    <row r="542" spans="11:38" ht="16.5" x14ac:dyDescent="0.2">
      <c r="K542" s="13">
        <v>539</v>
      </c>
      <c r="L542" s="13">
        <f t="shared" si="223"/>
        <v>26</v>
      </c>
      <c r="M542" s="13">
        <f t="shared" si="224"/>
        <v>5</v>
      </c>
      <c r="N542" s="14">
        <f t="shared" si="225"/>
        <v>1102010</v>
      </c>
      <c r="O542" s="14" t="str">
        <f t="shared" si="226"/>
        <v>张郃14突</v>
      </c>
      <c r="P542" s="29" t="s">
        <v>470</v>
      </c>
      <c r="Q542" s="14">
        <f t="shared" si="227"/>
        <v>2</v>
      </c>
      <c r="R542" s="14">
        <f t="shared" si="228"/>
        <v>14</v>
      </c>
      <c r="S542" s="14" t="s">
        <v>39</v>
      </c>
      <c r="T542" s="14">
        <f>ROUND(((IF(Q542=1,INDEX(新属性投放!$J$14:$J$34,卡牌属性!R542),INDEX(新属性投放!$J$42:$J$62,卡牌属性!R542)))*INDEX($G$5:$G$42,L542)+IF(Q542=1,INDEX(新属性投放!R$20:R$23,卡牌属性!M542-1),INDEX(新属性投放!R$25:R$28,卡牌属性!M542-1)))/SQRT(INDEX($I$5:$I$42,L542)),2)</f>
        <v>12916.2</v>
      </c>
      <c r="U542" s="29" t="s">
        <v>178</v>
      </c>
      <c r="V542" s="14">
        <f>ROUND((IF(Q542=1,INDEX(新属性投放!$K$14:$K$34,卡牌属性!R542),INDEX(新属性投放!$K$42:$K$62,卡牌属性!R542))+IF(Q542=1,INDEX(新属性投放!S$20:S$23,卡牌属性!M542-1),INDEX(新属性投放!S$25:S$28,卡牌属性!M542-1)))*INDEX($G$5:$G$42,L542),2)</f>
        <v>6118.35</v>
      </c>
      <c r="W542" s="29" t="s">
        <v>179</v>
      </c>
      <c r="X542" s="14">
        <f>ROUND((IF(Q542=1,INDEX(新属性投放!$L$14:$L$34,卡牌属性!R542),INDEX(新属性投放!$L$42:$L$62,卡牌属性!R542))*INDEX($G$5:$G$42,L542)+IF(Q542=1,INDEX(新属性投放!T$20:T$23,卡牌属性!M542-1),INDEX(新属性投放!T$25:T$28,卡牌属性!M542-1)))*SQRT(INDEX($I$5:$I$42,L542)),2)</f>
        <v>67960</v>
      </c>
      <c r="Y542" s="29" t="s">
        <v>177</v>
      </c>
      <c r="Z542" s="14">
        <f>ROUND(IF(Q542=1,INDEX(新属性投放!$D$14:$D$34,卡牌属性!R542),INDEX(新属性投放!$D$42:$D$62,卡牌属性!R542))*INDEX($G$5:$G$42,L542)/SQRT(INDEX($I$5:$I$42,L542)),2)</f>
        <v>301.73</v>
      </c>
      <c r="AA542" s="29" t="s">
        <v>178</v>
      </c>
      <c r="AB542" s="14">
        <f>ROUND(IF(Q542=1,INDEX(新属性投放!$E$14:$E$34,卡牌属性!R542),INDEX(新属性投放!$E$42:$E$62,卡牌属性!R542))*INDEX($G$5:$G$42,L542),2)</f>
        <v>150.86000000000001</v>
      </c>
      <c r="AC542" s="29" t="s">
        <v>179</v>
      </c>
      <c r="AD542" s="14">
        <f>ROUND(IF(Q542=1,INDEX(新属性投放!$F$14:$F$34,卡牌属性!R542),INDEX(新属性投放!$F$42:$F$62,卡牌属性!R542))*INDEX($G$5:$G$42,L542)*SQRT(INDEX($I$5:$I$42,L542)),2)</f>
        <v>1357.5</v>
      </c>
      <c r="AF542" s="14">
        <f t="shared" si="229"/>
        <v>3017</v>
      </c>
      <c r="AG542" s="14">
        <f t="shared" si="230"/>
        <v>1508</v>
      </c>
      <c r="AH542" s="14">
        <f t="shared" si="231"/>
        <v>13575</v>
      </c>
      <c r="AJ542" s="14">
        <f t="shared" si="235"/>
        <v>17599</v>
      </c>
      <c r="AK542" s="14">
        <f t="shared" si="236"/>
        <v>8796</v>
      </c>
      <c r="AL542" s="14">
        <f t="shared" si="237"/>
        <v>79125</v>
      </c>
    </row>
    <row r="543" spans="11:38" ht="16.5" x14ac:dyDescent="0.2">
      <c r="K543" s="13">
        <v>540</v>
      </c>
      <c r="L543" s="13">
        <f t="shared" si="223"/>
        <v>26</v>
      </c>
      <c r="M543" s="13">
        <f t="shared" si="224"/>
        <v>5</v>
      </c>
      <c r="N543" s="14">
        <f t="shared" si="225"/>
        <v>1102010</v>
      </c>
      <c r="O543" s="14" t="str">
        <f t="shared" si="226"/>
        <v>张郃15突</v>
      </c>
      <c r="P543" s="29" t="s">
        <v>470</v>
      </c>
      <c r="Q543" s="14">
        <f t="shared" si="227"/>
        <v>2</v>
      </c>
      <c r="R543" s="14">
        <f t="shared" si="228"/>
        <v>15</v>
      </c>
      <c r="S543" s="14" t="s">
        <v>39</v>
      </c>
      <c r="T543" s="14">
        <f>ROUND(((IF(Q543=1,INDEX(新属性投放!$J$14:$J$34,卡牌属性!R543),INDEX(新属性投放!$J$42:$J$62,卡牌属性!R543)))*INDEX($G$5:$G$42,L543)+IF(Q543=1,INDEX(新属性投放!R$20:R$23,卡牌属性!M543-1),INDEX(新属性投放!R$25:R$28,卡牌属性!M543-1)))/SQRT(INDEX($I$5:$I$42,L543)),2)</f>
        <v>14801.33</v>
      </c>
      <c r="U543" s="29" t="s">
        <v>178</v>
      </c>
      <c r="V543" s="14">
        <f>ROUND((IF(Q543=1,INDEX(新属性投放!$K$14:$K$34,卡牌属性!R543),INDEX(新属性投放!$K$42:$K$62,卡牌属性!R543))+IF(Q543=1,INDEX(新属性投放!S$20:S$23,卡牌属性!M543-1),INDEX(新属性投放!S$25:S$28,卡牌属性!M543-1)))*INDEX($G$5:$G$42,L543),2)</f>
        <v>7061.66</v>
      </c>
      <c r="W543" s="29" t="s">
        <v>179</v>
      </c>
      <c r="X543" s="14">
        <f>ROUND((IF(Q543=1,INDEX(新属性投放!$L$14:$L$34,卡牌属性!R543),INDEX(新属性投放!$L$42:$L$62,卡牌属性!R543))*INDEX($G$5:$G$42,L543)+IF(Q543=1,INDEX(新属性投放!T$20:T$23,卡牌属性!M543-1),INDEX(新属性投放!T$25:T$28,卡牌属性!M543-1)))*SQRT(INDEX($I$5:$I$42,L543)),2)</f>
        <v>78136</v>
      </c>
      <c r="Y543" s="29" t="s">
        <v>177</v>
      </c>
      <c r="Z543" s="14">
        <f>ROUND(IF(Q543=1,INDEX(新属性投放!$D$14:$D$34,卡牌属性!R543),INDEX(新属性投放!$D$42:$D$62,卡牌属性!R543))*INDEX($G$5:$G$42,L543)/SQRT(INDEX($I$5:$I$42,L543)),2)</f>
        <v>348.84</v>
      </c>
      <c r="AA543" s="29" t="s">
        <v>178</v>
      </c>
      <c r="AB543" s="14">
        <f>ROUND(IF(Q543=1,INDEX(新属性投放!$E$14:$E$34,卡牌属性!R543),INDEX(新属性投放!$E$42:$E$62,卡牌属性!R543))*INDEX($G$5:$G$42,L543),2)</f>
        <v>174.42</v>
      </c>
      <c r="AC543" s="29" t="s">
        <v>179</v>
      </c>
      <c r="AD543" s="14">
        <f>ROUND(IF(Q543=1,INDEX(新属性投放!$F$14:$F$34,卡牌属性!R543),INDEX(新属性投放!$F$42:$F$62,卡牌属性!R543))*INDEX($G$5:$G$42,L543)*SQRT(INDEX($I$5:$I$42,L543)),2)</f>
        <v>1569</v>
      </c>
      <c r="AF543" s="14">
        <f t="shared" si="229"/>
        <v>3488</v>
      </c>
      <c r="AG543" s="14">
        <f t="shared" si="230"/>
        <v>1744</v>
      </c>
      <c r="AH543" s="14">
        <f t="shared" si="231"/>
        <v>15690</v>
      </c>
      <c r="AJ543" s="14">
        <f t="shared" si="235"/>
        <v>21087</v>
      </c>
      <c r="AK543" s="14">
        <f t="shared" si="236"/>
        <v>10540</v>
      </c>
      <c r="AL543" s="14">
        <f t="shared" si="237"/>
        <v>94815</v>
      </c>
    </row>
    <row r="544" spans="11:38" ht="16.5" x14ac:dyDescent="0.2">
      <c r="K544" s="13">
        <v>541</v>
      </c>
      <c r="L544" s="13">
        <f t="shared" si="223"/>
        <v>26</v>
      </c>
      <c r="M544" s="13">
        <f t="shared" si="224"/>
        <v>5</v>
      </c>
      <c r="N544" s="14">
        <f t="shared" si="225"/>
        <v>1102010</v>
      </c>
      <c r="O544" s="14" t="str">
        <f t="shared" si="226"/>
        <v>张郃16突</v>
      </c>
      <c r="P544" s="29" t="s">
        <v>470</v>
      </c>
      <c r="Q544" s="14">
        <f t="shared" si="227"/>
        <v>2</v>
      </c>
      <c r="R544" s="14">
        <f t="shared" si="228"/>
        <v>16</v>
      </c>
      <c r="S544" s="14" t="s">
        <v>39</v>
      </c>
      <c r="T544" s="14">
        <f>ROUND(((IF(Q544=1,INDEX(新属性投放!$J$14:$J$34,卡牌属性!R544),INDEX(新属性投放!$J$42:$J$62,卡牌属性!R544)))*INDEX($G$5:$G$42,L544)+IF(Q544=1,INDEX(新属性投放!R$20:R$23,卡牌属性!M544-1),INDEX(新属性投放!R$25:R$28,卡牌属性!M544-1)))/SQRT(INDEX($I$5:$I$42,L544)),2)</f>
        <v>16982.03</v>
      </c>
      <c r="U544" s="29" t="s">
        <v>178</v>
      </c>
      <c r="V544" s="14">
        <f>ROUND((IF(Q544=1,INDEX(新属性投放!$K$14:$K$34,卡牌属性!R544),INDEX(新属性投放!$K$42:$K$62,卡牌属性!R544))+IF(Q544=1,INDEX(新属性投放!S$20:S$23,卡牌属性!M544-1),INDEX(新属性投放!S$25:S$28,卡牌属性!M544-1)))*INDEX($G$5:$G$42,L544),2)</f>
        <v>8151.26</v>
      </c>
      <c r="W544" s="29" t="s">
        <v>179</v>
      </c>
      <c r="X544" s="14">
        <f>ROUND((IF(Q544=1,INDEX(新属性投放!$L$14:$L$34,卡牌属性!R544),INDEX(新属性投放!$L$42:$L$62,卡牌属性!R544))*INDEX($G$5:$G$42,L544)+IF(Q544=1,INDEX(新属性投放!T$20:T$23,卡牌属性!M544-1),INDEX(新属性投放!T$25:T$28,卡牌属性!M544-1)))*SQRT(INDEX($I$5:$I$42,L544)),2)</f>
        <v>89909.5</v>
      </c>
      <c r="Y544" s="29" t="s">
        <v>177</v>
      </c>
      <c r="Z544" s="14">
        <f>ROUND(IF(Q544=1,INDEX(新属性投放!$D$14:$D$34,卡牌属性!R544),INDEX(新属性投放!$D$42:$D$62,卡牌属性!R544))*INDEX($G$5:$G$42,L544)/SQRT(INDEX($I$5:$I$42,L544)),2)</f>
        <v>403.37</v>
      </c>
      <c r="AA544" s="29" t="s">
        <v>178</v>
      </c>
      <c r="AB544" s="14">
        <f>ROUND(IF(Q544=1,INDEX(新属性投放!$E$14:$E$34,卡牌属性!R544),INDEX(新属性投放!$E$42:$E$62,卡牌属性!R544))*INDEX($G$5:$G$42,L544),2)</f>
        <v>201.68</v>
      </c>
      <c r="AC544" s="29" t="s">
        <v>179</v>
      </c>
      <c r="AD544" s="14">
        <f>ROUND(IF(Q544=1,INDEX(新属性投放!$F$14:$F$34,卡牌属性!R544),INDEX(新属性投放!$F$42:$F$62,卡牌属性!R544))*INDEX($G$5:$G$42,L544)*SQRT(INDEX($I$5:$I$42,L544)),2)</f>
        <v>1815</v>
      </c>
      <c r="AF544" s="14">
        <f t="shared" si="229"/>
        <v>4033</v>
      </c>
      <c r="AG544" s="14">
        <f t="shared" si="230"/>
        <v>2016</v>
      </c>
      <c r="AH544" s="14">
        <f t="shared" si="231"/>
        <v>18150</v>
      </c>
      <c r="AJ544" s="14">
        <f t="shared" si="235"/>
        <v>25120</v>
      </c>
      <c r="AK544" s="14">
        <f t="shared" si="236"/>
        <v>12556</v>
      </c>
      <c r="AL544" s="14">
        <f t="shared" si="237"/>
        <v>112965</v>
      </c>
    </row>
    <row r="545" spans="11:38" ht="16.5" x14ac:dyDescent="0.2">
      <c r="K545" s="13">
        <v>542</v>
      </c>
      <c r="L545" s="13">
        <f t="shared" si="223"/>
        <v>26</v>
      </c>
      <c r="M545" s="13">
        <f t="shared" si="224"/>
        <v>5</v>
      </c>
      <c r="N545" s="14">
        <f t="shared" si="225"/>
        <v>1102010</v>
      </c>
      <c r="O545" s="14" t="str">
        <f t="shared" si="226"/>
        <v>张郃17突</v>
      </c>
      <c r="P545" s="29" t="s">
        <v>470</v>
      </c>
      <c r="Q545" s="14">
        <f t="shared" si="227"/>
        <v>2</v>
      </c>
      <c r="R545" s="14">
        <f t="shared" si="228"/>
        <v>17</v>
      </c>
      <c r="S545" s="14" t="s">
        <v>39</v>
      </c>
      <c r="T545" s="14">
        <f>ROUND(((IF(Q545=1,INDEX(新属性投放!$J$14:$J$34,卡牌属性!R545),INDEX(新属性投放!$J$42:$J$62,卡牌属性!R545)))*INDEX($G$5:$G$42,L545)+IF(Q545=1,INDEX(新属性投放!R$20:R$23,卡牌属性!M545-1),INDEX(新属性投放!R$25:R$28,卡牌属性!M545-1)))/SQRT(INDEX($I$5:$I$42,L545)),2)</f>
        <v>19502.849999999999</v>
      </c>
      <c r="U545" s="29" t="s">
        <v>178</v>
      </c>
      <c r="V545" s="14">
        <f>ROUND((IF(Q545=1,INDEX(新属性投放!$K$14:$K$34,卡牌属性!R545),INDEX(新属性投放!$K$42:$K$62,卡牌属性!R545))+IF(Q545=1,INDEX(新属性投放!S$20:S$23,卡牌属性!M545-1),INDEX(新属性投放!S$25:S$28,卡牌属性!M545-1)))*INDEX($G$5:$G$42,L545),2)</f>
        <v>9411.68</v>
      </c>
      <c r="W545" s="29" t="s">
        <v>179</v>
      </c>
      <c r="X545" s="14">
        <f>ROUND((IF(Q545=1,INDEX(新属性投放!$L$14:$L$34,卡牌属性!R545),INDEX(新属性投放!$L$42:$L$62,卡牌属性!R545))*INDEX($G$5:$G$42,L545)+IF(Q545=1,INDEX(新属性投放!T$20:T$23,卡牌属性!M545-1),INDEX(新属性投放!T$25:T$28,卡牌属性!M545-1)))*SQRT(INDEX($I$5:$I$42,L545)),2)</f>
        <v>103520.5</v>
      </c>
      <c r="Y545" s="29" t="s">
        <v>177</v>
      </c>
      <c r="Z545" s="14">
        <f>ROUND(IF(Q545=1,INDEX(新属性投放!$D$14:$D$34,卡牌属性!R545),INDEX(新属性投放!$D$42:$D$62,卡牌属性!R545))*INDEX($G$5:$G$42,L545)/SQRT(INDEX($I$5:$I$42,L545)),2)</f>
        <v>466.38</v>
      </c>
      <c r="AA545" s="29" t="s">
        <v>178</v>
      </c>
      <c r="AB545" s="14">
        <f>ROUND(IF(Q545=1,INDEX(新属性投放!$E$14:$E$34,卡牌属性!R545),INDEX(新属性投放!$E$42:$E$62,卡牌属性!R545))*INDEX($G$5:$G$42,L545),2)</f>
        <v>233.19</v>
      </c>
      <c r="AC545" s="29" t="s">
        <v>179</v>
      </c>
      <c r="AD545" s="14">
        <f>ROUND(IF(Q545=1,INDEX(新属性投放!$F$14:$F$34,卡牌属性!R545),INDEX(新属性投放!$F$42:$F$62,卡牌属性!R545))*INDEX($G$5:$G$42,L545)*SQRT(INDEX($I$5:$I$42,L545)),2)</f>
        <v>2098.5</v>
      </c>
      <c r="AF545" s="14">
        <f t="shared" si="229"/>
        <v>4663</v>
      </c>
      <c r="AG545" s="14">
        <f t="shared" si="230"/>
        <v>2331</v>
      </c>
      <c r="AH545" s="14">
        <f t="shared" si="231"/>
        <v>20985</v>
      </c>
      <c r="AJ545" s="14">
        <f t="shared" si="235"/>
        <v>29783</v>
      </c>
      <c r="AK545" s="14">
        <f t="shared" si="236"/>
        <v>14887</v>
      </c>
      <c r="AL545" s="14">
        <f t="shared" si="237"/>
        <v>133950</v>
      </c>
    </row>
    <row r="546" spans="11:38" ht="16.5" x14ac:dyDescent="0.2">
      <c r="K546" s="13">
        <v>543</v>
      </c>
      <c r="L546" s="13">
        <f t="shared" si="223"/>
        <v>26</v>
      </c>
      <c r="M546" s="13">
        <f t="shared" si="224"/>
        <v>5</v>
      </c>
      <c r="N546" s="14">
        <f t="shared" si="225"/>
        <v>1102010</v>
      </c>
      <c r="O546" s="14" t="str">
        <f t="shared" si="226"/>
        <v>张郃18突</v>
      </c>
      <c r="P546" s="29" t="s">
        <v>470</v>
      </c>
      <c r="Q546" s="14">
        <f t="shared" si="227"/>
        <v>2</v>
      </c>
      <c r="R546" s="14">
        <f t="shared" si="228"/>
        <v>18</v>
      </c>
      <c r="S546" s="14" t="s">
        <v>39</v>
      </c>
      <c r="T546" s="14">
        <f>ROUND(((IF(Q546=1,INDEX(新属性投放!$J$14:$J$34,卡牌属性!R546),INDEX(新属性投放!$J$42:$J$62,卡牌属性!R546)))*INDEX($G$5:$G$42,L546)+IF(Q546=1,INDEX(新属性投放!R$20:R$23,卡牌属性!M546-1),INDEX(新属性投放!R$25:R$28,卡牌属性!M546-1)))/SQRT(INDEX($I$5:$I$42,L546)),2)</f>
        <v>22418.25</v>
      </c>
      <c r="U546" s="29" t="s">
        <v>178</v>
      </c>
      <c r="V546" s="14">
        <f>ROUND((IF(Q546=1,INDEX(新属性投放!$K$14:$K$34,卡牌属性!R546),INDEX(新属性投放!$K$42:$K$62,卡牌属性!R546))+IF(Q546=1,INDEX(新属性投放!S$20:S$23,卡牌属性!M546-1),INDEX(新属性投放!S$25:S$28,卡牌属性!M546-1)))*INDEX($G$5:$G$42,L546),2)</f>
        <v>10868.63</v>
      </c>
      <c r="W546" s="29" t="s">
        <v>179</v>
      </c>
      <c r="X546" s="14">
        <f>ROUND((IF(Q546=1,INDEX(新属性投放!$L$14:$L$34,卡牌属性!R546),INDEX(新属性投放!$L$42:$L$62,卡牌属性!R546))*INDEX($G$5:$G$42,L546)+IF(Q546=1,INDEX(新属性投放!T$20:T$23,卡牌属性!M546-1),INDEX(新属性投放!T$25:T$28,卡牌属性!M546-1)))*SQRT(INDEX($I$5:$I$42,L546)),2)</f>
        <v>119264.5</v>
      </c>
      <c r="Y546" s="29" t="s">
        <v>177</v>
      </c>
      <c r="Z546" s="14">
        <f>ROUND(IF(Q546=1,INDEX(新属性投放!$D$14:$D$34,卡牌属性!R546),INDEX(新属性投放!$D$42:$D$62,卡牌属性!R546))*INDEX($G$5:$G$42,L546)/SQRT(INDEX($I$5:$I$42,L546)),2)</f>
        <v>539.27</v>
      </c>
      <c r="AA546" s="29" t="s">
        <v>178</v>
      </c>
      <c r="AB546" s="14">
        <f>ROUND(IF(Q546=1,INDEX(新属性投放!$E$14:$E$34,卡牌属性!R546),INDEX(新属性投放!$E$42:$E$62,卡牌属性!R546))*INDEX($G$5:$G$42,L546),2)</f>
        <v>269.63</v>
      </c>
      <c r="AC546" s="29" t="s">
        <v>179</v>
      </c>
      <c r="AD546" s="14">
        <f>ROUND(IF(Q546=1,INDEX(新属性投放!$F$14:$F$34,卡牌属性!R546),INDEX(新属性投放!$F$42:$F$62,卡牌属性!R546))*INDEX($G$5:$G$42,L546)*SQRT(INDEX($I$5:$I$42,L546)),2)</f>
        <v>2425.5</v>
      </c>
      <c r="AF546" s="14">
        <f t="shared" si="229"/>
        <v>5392</v>
      </c>
      <c r="AG546" s="14">
        <f t="shared" si="230"/>
        <v>2696</v>
      </c>
      <c r="AH546" s="14">
        <f t="shared" si="231"/>
        <v>24255</v>
      </c>
      <c r="AJ546" s="14">
        <f t="shared" si="235"/>
        <v>35175</v>
      </c>
      <c r="AK546" s="14">
        <f t="shared" si="236"/>
        <v>17583</v>
      </c>
      <c r="AL546" s="14">
        <f t="shared" si="237"/>
        <v>158205</v>
      </c>
    </row>
    <row r="547" spans="11:38" ht="16.5" x14ac:dyDescent="0.2">
      <c r="K547" s="13">
        <v>544</v>
      </c>
      <c r="L547" s="13">
        <f t="shared" si="223"/>
        <v>26</v>
      </c>
      <c r="M547" s="13">
        <f t="shared" si="224"/>
        <v>5</v>
      </c>
      <c r="N547" s="14">
        <f t="shared" si="225"/>
        <v>1102010</v>
      </c>
      <c r="O547" s="14" t="str">
        <f t="shared" si="226"/>
        <v>张郃19突</v>
      </c>
      <c r="P547" s="29" t="s">
        <v>470</v>
      </c>
      <c r="Q547" s="14">
        <f t="shared" si="227"/>
        <v>2</v>
      </c>
      <c r="R547" s="14">
        <f t="shared" si="228"/>
        <v>19</v>
      </c>
      <c r="S547" s="14" t="s">
        <v>39</v>
      </c>
      <c r="T547" s="14">
        <f>ROUND(((IF(Q547=1,INDEX(新属性投放!$J$14:$J$34,卡牌属性!R547),INDEX(新属性投放!$J$42:$J$62,卡牌属性!R547)))*INDEX($G$5:$G$42,L547)+IF(Q547=1,INDEX(新属性投放!R$20:R$23,卡牌属性!M547-1),INDEX(新属性投放!R$25:R$28,卡牌属性!M547-1)))/SQRT(INDEX($I$5:$I$42,L547)),2)</f>
        <v>25788.080000000002</v>
      </c>
      <c r="U547" s="29" t="s">
        <v>178</v>
      </c>
      <c r="V547" s="14">
        <f>ROUND((IF(Q547=1,INDEX(新属性投放!$K$14:$K$34,卡牌属性!R547),INDEX(新属性投放!$K$42:$K$62,卡牌属性!R547))+IF(Q547=1,INDEX(新属性投放!S$20:S$23,卡牌属性!M547-1),INDEX(新属性投放!S$25:S$28,卡牌属性!M547-1)))*INDEX($G$5:$G$42,L547),2)</f>
        <v>12554.29</v>
      </c>
      <c r="W547" s="29" t="s">
        <v>179</v>
      </c>
      <c r="X547" s="14">
        <f>ROUND((IF(Q547=1,INDEX(新属性投放!$L$14:$L$34,卡牌属性!R547),INDEX(新属性投放!$L$42:$L$62,卡牌属性!R547))*INDEX($G$5:$G$42,L547)+IF(Q547=1,INDEX(新属性投放!T$20:T$23,卡牌属性!M547-1),INDEX(新属性投放!T$25:T$28,卡牌属性!M547-1)))*SQRT(INDEX($I$5:$I$42,L547)),2)</f>
        <v>137453.5</v>
      </c>
      <c r="Y547" s="29" t="s">
        <v>177</v>
      </c>
      <c r="Z547" s="14">
        <f>ROUND(IF(Q547=1,INDEX(新属性投放!$D$14:$D$34,卡牌属性!R547),INDEX(新属性投放!$D$42:$D$62,卡牌属性!R547))*INDEX($G$5:$G$42,L547)/SQRT(INDEX($I$5:$I$42,L547)),2)</f>
        <v>623.52</v>
      </c>
      <c r="AA547" s="29" t="s">
        <v>178</v>
      </c>
      <c r="AB547" s="14">
        <f>ROUND(IF(Q547=1,INDEX(新属性投放!$E$14:$E$34,卡牌属性!R547),INDEX(新属性投放!$E$42:$E$62,卡牌属性!R547))*INDEX($G$5:$G$42,L547),2)</f>
        <v>311.76</v>
      </c>
      <c r="AC547" s="29" t="s">
        <v>179</v>
      </c>
      <c r="AD547" s="14">
        <f>ROUND(IF(Q547=1,INDEX(新属性投放!$F$14:$F$34,卡牌属性!R547),INDEX(新属性投放!$F$42:$F$62,卡牌属性!R547))*INDEX($G$5:$G$42,L547)*SQRT(INDEX($I$5:$I$42,L547)),2)</f>
        <v>2805</v>
      </c>
      <c r="AF547" s="14">
        <f t="shared" si="229"/>
        <v>6235</v>
      </c>
      <c r="AG547" s="14">
        <f t="shared" si="230"/>
        <v>3117</v>
      </c>
      <c r="AH547" s="14">
        <f t="shared" si="231"/>
        <v>28050</v>
      </c>
      <c r="AJ547" s="14">
        <f t="shared" si="235"/>
        <v>41410</v>
      </c>
      <c r="AK547" s="14">
        <f t="shared" si="236"/>
        <v>20700</v>
      </c>
      <c r="AL547" s="14">
        <f t="shared" si="237"/>
        <v>186255</v>
      </c>
    </row>
    <row r="548" spans="11:38" ht="16.5" x14ac:dyDescent="0.2">
      <c r="K548" s="13">
        <v>545</v>
      </c>
      <c r="L548" s="13">
        <f t="shared" si="223"/>
        <v>26</v>
      </c>
      <c r="M548" s="13">
        <f t="shared" si="224"/>
        <v>5</v>
      </c>
      <c r="N548" s="14">
        <f t="shared" si="225"/>
        <v>1102010</v>
      </c>
      <c r="O548" s="14" t="str">
        <f t="shared" si="226"/>
        <v>张郃20突</v>
      </c>
      <c r="P548" s="29" t="s">
        <v>470</v>
      </c>
      <c r="Q548" s="14">
        <f t="shared" si="227"/>
        <v>2</v>
      </c>
      <c r="R548" s="14">
        <f t="shared" si="228"/>
        <v>20</v>
      </c>
      <c r="S548" s="14" t="s">
        <v>39</v>
      </c>
      <c r="T548" s="14">
        <f>ROUND(((IF(Q548=1,INDEX(新属性投放!$J$14:$J$34,卡牌属性!R548),INDEX(新属性投放!$J$42:$J$62,卡牌属性!R548)))*INDEX($G$5:$G$42,L548)+IF(Q548=1,INDEX(新属性投放!R$20:R$23,卡牌属性!M548-1),INDEX(新属性投放!R$25:R$28,卡牌属性!M548-1)))/SQRT(INDEX($I$5:$I$42,L548)),2)</f>
        <v>29685.68</v>
      </c>
      <c r="U548" s="29" t="s">
        <v>178</v>
      </c>
      <c r="V548" s="14">
        <f>ROUND((IF(Q548=1,INDEX(新属性投放!$K$14:$K$34,卡牌属性!R548),INDEX(新属性投放!$K$42:$K$62,卡牌属性!R548))+IF(Q548=1,INDEX(新属性投放!S$20:S$23,卡牌属性!M548-1),INDEX(新属性投放!S$25:S$28,卡牌属性!M548-1)))*INDEX($G$5:$G$42,L548),2)</f>
        <v>14503.09</v>
      </c>
      <c r="W548" s="29" t="s">
        <v>179</v>
      </c>
      <c r="X548" s="14">
        <f>ROUND((IF(Q548=1,INDEX(新属性投放!$L$14:$L$34,卡牌属性!R548),INDEX(新属性投放!$L$42:$L$62,卡牌属性!R548))*INDEX($G$5:$G$42,L548)+IF(Q548=1,INDEX(新属性投放!T$20:T$23,卡牌属性!M548-1),INDEX(新属性投放!T$25:T$28,卡牌属性!M548-1)))*SQRT(INDEX($I$5:$I$42,L548)),2)</f>
        <v>158498.5</v>
      </c>
      <c r="Y548" s="29" t="s">
        <v>177</v>
      </c>
      <c r="Z548" s="14">
        <f>ROUND(IF(Q548=1,INDEX(新属性投放!$D$14:$D$34,卡牌属性!R548),INDEX(新属性投放!$D$42:$D$62,卡牌属性!R548))*INDEX($G$5:$G$42,L548)/SQRT(INDEX($I$5:$I$42,L548)),2)</f>
        <v>720.96</v>
      </c>
      <c r="AA548" s="29" t="s">
        <v>178</v>
      </c>
      <c r="AB548" s="14">
        <f>ROUND(IF(Q548=1,INDEX(新属性投放!$E$14:$E$34,卡牌属性!R548),INDEX(新属性投放!$E$42:$E$62,卡牌属性!R548))*INDEX($G$5:$G$42,L548),2)</f>
        <v>360.48</v>
      </c>
      <c r="AC548" s="29" t="s">
        <v>179</v>
      </c>
      <c r="AD548" s="14">
        <f>ROUND(IF(Q548=1,INDEX(新属性投放!$F$14:$F$34,卡牌属性!R548),INDEX(新属性投放!$F$42:$F$62,卡牌属性!R548))*INDEX($G$5:$G$42,L548)*SQRT(INDEX($I$5:$I$42,L548)),2)</f>
        <v>3243</v>
      </c>
      <c r="AF548" s="14">
        <f t="shared" si="229"/>
        <v>7209</v>
      </c>
      <c r="AG548" s="14">
        <f t="shared" si="230"/>
        <v>3604</v>
      </c>
      <c r="AH548" s="14">
        <f t="shared" si="231"/>
        <v>32430</v>
      </c>
      <c r="AJ548" s="14">
        <f t="shared" si="235"/>
        <v>48619</v>
      </c>
      <c r="AK548" s="14">
        <f t="shared" si="236"/>
        <v>24304</v>
      </c>
      <c r="AL548" s="14">
        <f t="shared" si="237"/>
        <v>218685</v>
      </c>
    </row>
    <row r="549" spans="11:38" ht="16.5" x14ac:dyDescent="0.2">
      <c r="K549" s="13">
        <v>546</v>
      </c>
      <c r="L549" s="13">
        <f t="shared" si="223"/>
        <v>26</v>
      </c>
      <c r="M549" s="13">
        <f t="shared" si="224"/>
        <v>5</v>
      </c>
      <c r="N549" s="14">
        <f t="shared" si="225"/>
        <v>1102010</v>
      </c>
      <c r="O549" s="14" t="str">
        <f t="shared" si="226"/>
        <v>张郃21突</v>
      </c>
      <c r="P549" s="29" t="s">
        <v>470</v>
      </c>
      <c r="Q549" s="14">
        <f t="shared" si="227"/>
        <v>2</v>
      </c>
      <c r="R549" s="14">
        <f t="shared" si="228"/>
        <v>21</v>
      </c>
      <c r="S549" s="14" t="s">
        <v>39</v>
      </c>
      <c r="T549" s="14">
        <f>ROUND(((IF(Q549=1,INDEX(新属性投放!$J$14:$J$34,卡牌属性!R549),INDEX(新属性投放!$J$42:$J$62,卡牌属性!R549)))*INDEX($G$5:$G$42,L549)+IF(Q549=1,INDEX(新属性投放!R$20:R$23,卡牌属性!M549-1),INDEX(新属性投放!R$25:R$28,卡牌属性!M549-1)))/SQRT(INDEX($I$5:$I$42,L549)),2)</f>
        <v>34191.980000000003</v>
      </c>
      <c r="U549" s="29" t="s">
        <v>178</v>
      </c>
      <c r="V549" s="14">
        <f>ROUND((IF(Q549=1,INDEX(新属性投放!$K$14:$K$34,卡牌属性!R549),INDEX(新属性投放!$K$42:$K$62,卡牌属性!R549))+IF(Q549=1,INDEX(新属性投放!S$20:S$23,卡牌属性!M549-1),INDEX(新属性投放!S$25:S$28,卡牌属性!M549-1)))*INDEX($G$5:$G$42,L549),2)</f>
        <v>16755.490000000002</v>
      </c>
      <c r="W549" s="29" t="s">
        <v>179</v>
      </c>
      <c r="X549" s="14">
        <f>ROUND((IF(Q549=1,INDEX(新属性投放!$L$14:$L$34,卡牌属性!R549),INDEX(新属性投放!$L$42:$L$62,卡牌属性!R549))*INDEX($G$5:$G$42,L549)+IF(Q549=1,INDEX(新属性投放!T$20:T$23,卡牌属性!M549-1),INDEX(新属性投放!T$25:T$28,卡牌属性!M549-1)))*SQRT(INDEX($I$5:$I$42,L549)),2)</f>
        <v>182827</v>
      </c>
      <c r="Y549" s="29" t="s">
        <v>177</v>
      </c>
      <c r="Z549" s="14">
        <f>ROUND(IF(Q549=1,INDEX(新属性投放!$D$14:$D$34,卡牌属性!R549),INDEX(新属性投放!$D$42:$D$62,卡牌属性!R549))*INDEX($G$5:$G$42,L549)/SQRT(INDEX($I$5:$I$42,L549)),2)</f>
        <v>833.61</v>
      </c>
      <c r="AA549" s="29" t="s">
        <v>178</v>
      </c>
      <c r="AB549" s="14">
        <f>ROUND(IF(Q549=1,INDEX(新属性投放!$E$14:$E$34,卡牌属性!R549),INDEX(新属性投放!$E$42:$E$62,卡牌属性!R549))*INDEX($G$5:$G$42,L549),2)</f>
        <v>416.81</v>
      </c>
      <c r="AC549" s="29" t="s">
        <v>179</v>
      </c>
      <c r="AD549" s="14">
        <f>ROUND(IF(Q549=1,INDEX(新属性投放!$F$14:$F$34,卡牌属性!R549),INDEX(新属性投放!$F$42:$F$62,卡牌属性!R549))*INDEX($G$5:$G$42,L549)*SQRT(INDEX($I$5:$I$42,L549)),2)</f>
        <v>3750</v>
      </c>
      <c r="AF549" s="14">
        <f t="shared" si="229"/>
        <v>8336</v>
      </c>
      <c r="AG549" s="14">
        <f t="shared" si="230"/>
        <v>4168</v>
      </c>
      <c r="AH549" s="14">
        <f t="shared" si="231"/>
        <v>37500</v>
      </c>
      <c r="AJ549" s="14">
        <f t="shared" si="235"/>
        <v>56955</v>
      </c>
      <c r="AK549" s="14">
        <f t="shared" si="236"/>
        <v>28472</v>
      </c>
      <c r="AL549" s="14">
        <f t="shared" si="237"/>
        <v>256185</v>
      </c>
    </row>
    <row r="550" spans="11:38" ht="16.5" x14ac:dyDescent="0.2">
      <c r="K550" s="13">
        <v>547</v>
      </c>
      <c r="L550" s="13">
        <f t="shared" si="223"/>
        <v>27</v>
      </c>
      <c r="M550" s="13">
        <f t="shared" si="224"/>
        <v>5</v>
      </c>
      <c r="N550" s="14">
        <f t="shared" si="225"/>
        <v>1102011</v>
      </c>
      <c r="O550" s="14" t="str">
        <f t="shared" si="226"/>
        <v>张飞1突</v>
      </c>
      <c r="P550" s="29" t="s">
        <v>470</v>
      </c>
      <c r="Q550" s="14">
        <f t="shared" si="227"/>
        <v>2</v>
      </c>
      <c r="R550" s="14">
        <f t="shared" si="228"/>
        <v>1</v>
      </c>
      <c r="S550" s="14" t="s">
        <v>39</v>
      </c>
      <c r="T550" s="14">
        <f>ROUND(((IF(Q550=1,INDEX(新属性投放!$J$14:$J$34,卡牌属性!R550),INDEX(新属性投放!$J$42:$J$62,卡牌属性!R550)))*INDEX($G$5:$G$42,L550)+IF(Q550=1,INDEX(新属性投放!R$20:R$23,卡牌属性!M550-1),INDEX(新属性投放!R$25:R$28,卡牌属性!M550-1)))/SQRT(INDEX($I$5:$I$42,L550)),2)</f>
        <v>975</v>
      </c>
      <c r="U550" s="29" t="s">
        <v>178</v>
      </c>
      <c r="V550" s="14">
        <f>ROUND((IF(Q550=1,INDEX(新属性投放!$K$14:$K$34,卡牌属性!R550),INDEX(新属性投放!$K$42:$K$62,卡牌属性!R550))+IF(Q550=1,INDEX(新属性投放!S$20:S$23,卡牌属性!M550-1),INDEX(新属性投放!S$25:S$28,卡牌属性!M550-1)))*INDEX($G$5:$G$42,L550),2)</f>
        <v>150</v>
      </c>
      <c r="W550" s="29" t="s">
        <v>179</v>
      </c>
      <c r="X550" s="14">
        <f>ROUND((IF(Q550=1,INDEX(新属性投放!$L$14:$L$34,卡牌属性!R550),INDEX(新属性投放!$L$42:$L$62,卡牌属性!R550))*INDEX($G$5:$G$42,L550)+IF(Q550=1,INDEX(新属性投放!T$20:T$23,卡牌属性!M550-1),INDEX(新属性投放!T$25:T$28,卡牌属性!M550-1)))*SQRT(INDEX($I$5:$I$42,L550)),2)</f>
        <v>3625</v>
      </c>
      <c r="Y550" s="29" t="s">
        <v>177</v>
      </c>
      <c r="Z550" s="14">
        <f>ROUND(IF(Q550=1,INDEX(新属性投放!$D$14:$D$34,卡牌属性!R550),INDEX(新属性投放!$D$42:$D$62,卡牌属性!R550))*INDEX($G$5:$G$42,L550)/SQRT(INDEX($I$5:$I$42,L550)),2)</f>
        <v>22.5</v>
      </c>
      <c r="AA550" s="29" t="s">
        <v>178</v>
      </c>
      <c r="AB550" s="14">
        <f>ROUND(IF(Q550=1,INDEX(新属性投放!$E$14:$E$34,卡牌属性!R550),INDEX(新属性投放!$E$42:$E$62,卡牌属性!R550))*INDEX($G$5:$G$42,L550),2)</f>
        <v>11.25</v>
      </c>
      <c r="AC550" s="29" t="s">
        <v>179</v>
      </c>
      <c r="AD550" s="14">
        <f>ROUND(IF(Q550=1,INDEX(新属性投放!$F$14:$F$34,卡牌属性!R550),INDEX(新属性投放!$F$42:$F$62,卡牌属性!R550))*INDEX($G$5:$G$42,L550)*SQRT(INDEX($I$5:$I$42,L550)),2)</f>
        <v>100.5</v>
      </c>
      <c r="AF550" s="14">
        <f t="shared" si="229"/>
        <v>225</v>
      </c>
      <c r="AG550" s="14">
        <f t="shared" si="230"/>
        <v>112</v>
      </c>
      <c r="AH550" s="14">
        <f t="shared" si="231"/>
        <v>1005</v>
      </c>
      <c r="AJ550" s="14">
        <f t="shared" ref="AJ550" si="238">AF550</f>
        <v>225</v>
      </c>
      <c r="AK550" s="14">
        <f t="shared" ref="AK550" si="239">AG550</f>
        <v>112</v>
      </c>
      <c r="AL550" s="14">
        <f t="shared" ref="AL550" si="240">AH550</f>
        <v>1005</v>
      </c>
    </row>
    <row r="551" spans="11:38" ht="16.5" x14ac:dyDescent="0.2">
      <c r="K551" s="13">
        <v>548</v>
      </c>
      <c r="L551" s="13">
        <f t="shared" si="223"/>
        <v>27</v>
      </c>
      <c r="M551" s="13">
        <f t="shared" si="224"/>
        <v>5</v>
      </c>
      <c r="N551" s="14">
        <f t="shared" si="225"/>
        <v>1102011</v>
      </c>
      <c r="O551" s="14" t="str">
        <f t="shared" si="226"/>
        <v>张飞2突</v>
      </c>
      <c r="P551" s="29" t="s">
        <v>470</v>
      </c>
      <c r="Q551" s="14">
        <f t="shared" si="227"/>
        <v>2</v>
      </c>
      <c r="R551" s="14">
        <f t="shared" si="228"/>
        <v>2</v>
      </c>
      <c r="S551" s="14" t="s">
        <v>39</v>
      </c>
      <c r="T551" s="14">
        <f>ROUND(((IF(Q551=1,INDEX(新属性投放!$J$14:$J$34,卡牌属性!R551),INDEX(新属性投放!$J$42:$J$62,卡牌属性!R551)))*INDEX($G$5:$G$42,L551)+IF(Q551=1,INDEX(新属性投放!R$20:R$23,卡牌属性!M551-1),INDEX(新属性投放!R$25:R$28,卡牌属性!M551-1)))/SQRT(INDEX($I$5:$I$42,L551)),2)</f>
        <v>1215</v>
      </c>
      <c r="U551" s="29" t="s">
        <v>178</v>
      </c>
      <c r="V551" s="14">
        <f>ROUND((IF(Q551=1,INDEX(新属性投放!$K$14:$K$34,卡牌属性!R551),INDEX(新属性投放!$K$42:$K$62,卡牌属性!R551))+IF(Q551=1,INDEX(新属性投放!S$20:S$23,卡牌属性!M551-1),INDEX(新属性投放!S$25:S$28,卡牌属性!M551-1)))*INDEX($G$5:$G$42,L551),2)</f>
        <v>266.25</v>
      </c>
      <c r="W551" s="29" t="s">
        <v>179</v>
      </c>
      <c r="X551" s="14">
        <f>ROUND((IF(Q551=1,INDEX(新属性投放!$L$14:$L$34,卡牌属性!R551),INDEX(新属性投放!$L$42:$L$62,卡牌属性!R551))*INDEX($G$5:$G$42,L551)+IF(Q551=1,INDEX(新属性投放!T$20:T$23,卡牌属性!M551-1),INDEX(新属性投放!T$25:T$28,卡牌属性!M551-1)))*SQRT(INDEX($I$5:$I$42,L551)),2)</f>
        <v>4867</v>
      </c>
      <c r="Y551" s="29" t="s">
        <v>177</v>
      </c>
      <c r="Z551" s="14">
        <f>ROUND(IF(Q551=1,INDEX(新属性投放!$D$14:$D$34,卡牌属性!R551),INDEX(新属性投放!$D$42:$D$62,卡牌属性!R551))*INDEX($G$5:$G$42,L551)/SQRT(INDEX($I$5:$I$42,L551)),2)</f>
        <v>20.66</v>
      </c>
      <c r="AA551" s="29" t="s">
        <v>178</v>
      </c>
      <c r="AB551" s="14">
        <f>ROUND(IF(Q551=1,INDEX(新属性投放!$E$14:$E$34,卡牌属性!R551),INDEX(新属性投放!$E$42:$E$62,卡牌属性!R551))*INDEX($G$5:$G$42,L551),2)</f>
        <v>10.33</v>
      </c>
      <c r="AC551" s="29" t="s">
        <v>179</v>
      </c>
      <c r="AD551" s="14">
        <f>ROUND(IF(Q551=1,INDEX(新属性投放!$F$14:$F$34,卡牌属性!R551),INDEX(新属性投放!$F$42:$F$62,卡牌属性!R551))*INDEX($G$5:$G$42,L551)*SQRT(INDEX($I$5:$I$42,L551)),2)</f>
        <v>91.5</v>
      </c>
      <c r="AF551" s="14">
        <f t="shared" si="229"/>
        <v>206</v>
      </c>
      <c r="AG551" s="14">
        <f t="shared" si="230"/>
        <v>103</v>
      </c>
      <c r="AH551" s="14">
        <f t="shared" si="231"/>
        <v>915</v>
      </c>
      <c r="AJ551" s="14">
        <f t="shared" ref="AJ551:AJ570" si="241">AJ550+AF551</f>
        <v>431</v>
      </c>
      <c r="AK551" s="14">
        <f t="shared" ref="AK551:AK570" si="242">AK550+AG551</f>
        <v>215</v>
      </c>
      <c r="AL551" s="14">
        <f t="shared" ref="AL551:AL570" si="243">AL550+AH551</f>
        <v>1920</v>
      </c>
    </row>
    <row r="552" spans="11:38" ht="16.5" x14ac:dyDescent="0.2">
      <c r="K552" s="13">
        <v>549</v>
      </c>
      <c r="L552" s="13">
        <f t="shared" si="223"/>
        <v>27</v>
      </c>
      <c r="M552" s="13">
        <f t="shared" si="224"/>
        <v>5</v>
      </c>
      <c r="N552" s="14">
        <f t="shared" si="225"/>
        <v>1102011</v>
      </c>
      <c r="O552" s="14" t="str">
        <f t="shared" si="226"/>
        <v>张飞3突</v>
      </c>
      <c r="P552" s="29" t="s">
        <v>470</v>
      </c>
      <c r="Q552" s="14">
        <f t="shared" si="227"/>
        <v>2</v>
      </c>
      <c r="R552" s="14">
        <f t="shared" si="228"/>
        <v>3</v>
      </c>
      <c r="S552" s="14" t="s">
        <v>39</v>
      </c>
      <c r="T552" s="14">
        <f>ROUND(((IF(Q552=1,INDEX(新属性投放!$J$14:$J$34,卡牌属性!R552),INDEX(新属性投放!$J$42:$J$62,卡牌属性!R552)))*INDEX($G$5:$G$42,L552)+IF(Q552=1,INDEX(新属性投放!R$20:R$23,卡牌属性!M552-1),INDEX(新属性投放!R$25:R$28,卡牌属性!M552-1)))/SQRT(INDEX($I$5:$I$42,L552)),2)</f>
        <v>1472.55</v>
      </c>
      <c r="U552" s="29" t="s">
        <v>178</v>
      </c>
      <c r="V552" s="14">
        <f>ROUND((IF(Q552=1,INDEX(新属性投放!$K$14:$K$34,卡牌属性!R552),INDEX(新属性投放!$K$42:$K$62,卡牌属性!R552))+IF(Q552=1,INDEX(新属性投放!S$20:S$23,卡牌属性!M552-1),INDEX(新属性投放!S$25:S$28,卡牌属性!M552-1)))*INDEX($G$5:$G$42,L552),2)</f>
        <v>395.03</v>
      </c>
      <c r="W552" s="29" t="s">
        <v>179</v>
      </c>
      <c r="X552" s="14">
        <f>ROUND((IF(Q552=1,INDEX(新属性投放!$L$14:$L$34,卡牌属性!R552),INDEX(新属性投放!$L$42:$L$62,卡牌属性!R552))*INDEX($G$5:$G$42,L552)+IF(Q552=1,INDEX(新属性投放!T$20:T$23,卡牌属性!M552-1),INDEX(新属性投放!T$25:T$28,卡牌属性!M552-1)))*SQRT(INDEX($I$5:$I$42,L552)),2)</f>
        <v>6241</v>
      </c>
      <c r="Y552" s="29" t="s">
        <v>177</v>
      </c>
      <c r="Z552" s="14">
        <f>ROUND(IF(Q552=1,INDEX(新属性投放!$D$14:$D$34,卡牌属性!R552),INDEX(新属性投放!$D$42:$D$62,卡牌属性!R552))*INDEX($G$5:$G$42,L552)/SQRT(INDEX($I$5:$I$42,L552)),2)</f>
        <v>37.76</v>
      </c>
      <c r="AA552" s="29" t="s">
        <v>178</v>
      </c>
      <c r="AB552" s="14">
        <f>ROUND(IF(Q552=1,INDEX(新属性投放!$E$14:$E$34,卡牌属性!R552),INDEX(新属性投放!$E$42:$E$62,卡牌属性!R552))*INDEX($G$5:$G$42,L552),2)</f>
        <v>18.88</v>
      </c>
      <c r="AC552" s="29" t="s">
        <v>179</v>
      </c>
      <c r="AD552" s="14">
        <f>ROUND(IF(Q552=1,INDEX(新属性投放!$F$14:$F$34,卡牌属性!R552),INDEX(新属性投放!$F$42:$F$62,卡牌属性!R552))*INDEX($G$5:$G$42,L552)*SQRT(INDEX($I$5:$I$42,L552)),2)</f>
        <v>169.5</v>
      </c>
      <c r="AF552" s="14">
        <f t="shared" si="229"/>
        <v>377</v>
      </c>
      <c r="AG552" s="14">
        <f t="shared" si="230"/>
        <v>188</v>
      </c>
      <c r="AH552" s="14">
        <f t="shared" si="231"/>
        <v>1695</v>
      </c>
      <c r="AJ552" s="14">
        <f t="shared" si="241"/>
        <v>808</v>
      </c>
      <c r="AK552" s="14">
        <f t="shared" si="242"/>
        <v>403</v>
      </c>
      <c r="AL552" s="14">
        <f t="shared" si="243"/>
        <v>3615</v>
      </c>
    </row>
    <row r="553" spans="11:38" ht="16.5" x14ac:dyDescent="0.2">
      <c r="K553" s="13">
        <v>550</v>
      </c>
      <c r="L553" s="13">
        <f t="shared" si="223"/>
        <v>27</v>
      </c>
      <c r="M553" s="13">
        <f t="shared" si="224"/>
        <v>5</v>
      </c>
      <c r="N553" s="14">
        <f t="shared" si="225"/>
        <v>1102011</v>
      </c>
      <c r="O553" s="14" t="str">
        <f t="shared" si="226"/>
        <v>张飞4突</v>
      </c>
      <c r="P553" s="29" t="s">
        <v>470</v>
      </c>
      <c r="Q553" s="14">
        <f t="shared" si="227"/>
        <v>2</v>
      </c>
      <c r="R553" s="14">
        <f t="shared" si="228"/>
        <v>4</v>
      </c>
      <c r="S553" s="14" t="s">
        <v>39</v>
      </c>
      <c r="T553" s="14">
        <f>ROUND(((IF(Q553=1,INDEX(新属性投放!$J$14:$J$34,卡牌属性!R553),INDEX(新属性投放!$J$42:$J$62,卡牌属性!R553)))*INDEX($G$5:$G$42,L553)+IF(Q553=1,INDEX(新属性投放!R$20:R$23,卡牌属性!M553-1),INDEX(新属性投放!R$25:R$28,卡牌属性!M553-1)))/SQRT(INDEX($I$5:$I$42,L553)),2)</f>
        <v>1944.6</v>
      </c>
      <c r="U553" s="29" t="s">
        <v>178</v>
      </c>
      <c r="V553" s="14">
        <f>ROUND((IF(Q553=1,INDEX(新属性投放!$K$14:$K$34,卡牌属性!R553),INDEX(新属性投放!$K$42:$K$62,卡牌属性!R553))+IF(Q553=1,INDEX(新属性投放!S$20:S$23,卡牌属性!M553-1),INDEX(新属性投放!S$25:S$28,卡牌属性!M553-1)))*INDEX($G$5:$G$42,L553),2)</f>
        <v>630.29999999999995</v>
      </c>
      <c r="W553" s="29" t="s">
        <v>179</v>
      </c>
      <c r="X553" s="14">
        <f>ROUND((IF(Q553=1,INDEX(新属性投放!$L$14:$L$34,卡牌属性!R553),INDEX(新属性投放!$L$42:$L$62,卡牌属性!R553))*INDEX($G$5:$G$42,L553)+IF(Q553=1,INDEX(新属性投放!T$20:T$23,卡牌属性!M553-1),INDEX(新属性投放!T$25:T$28,卡牌属性!M553-1)))*SQRT(INDEX($I$5:$I$42,L553)),2)</f>
        <v>8786.5</v>
      </c>
      <c r="Y553" s="29" t="s">
        <v>177</v>
      </c>
      <c r="Z553" s="14">
        <f>ROUND(IF(Q553=1,INDEX(新属性投放!$D$14:$D$34,卡牌属性!R553),INDEX(新属性投放!$D$42:$D$62,卡牌属性!R553))*INDEX($G$5:$G$42,L553)/SQRT(INDEX($I$5:$I$42,L553)),2)</f>
        <v>45.2</v>
      </c>
      <c r="AA553" s="29" t="s">
        <v>178</v>
      </c>
      <c r="AB553" s="14">
        <f>ROUND(IF(Q553=1,INDEX(新属性投放!$E$14:$E$34,卡牌属性!R553),INDEX(新属性投放!$E$42:$E$62,卡牌属性!R553))*INDEX($G$5:$G$42,L553),2)</f>
        <v>22.6</v>
      </c>
      <c r="AC553" s="29" t="s">
        <v>179</v>
      </c>
      <c r="AD553" s="14">
        <f>ROUND(IF(Q553=1,INDEX(新属性投放!$F$14:$F$34,卡牌属性!R553),INDEX(新属性投放!$F$42:$F$62,卡牌属性!R553))*INDEX($G$5:$G$42,L553)*SQRT(INDEX($I$5:$I$42,L553)),2)</f>
        <v>202.5</v>
      </c>
      <c r="AF553" s="14">
        <f t="shared" si="229"/>
        <v>452</v>
      </c>
      <c r="AG553" s="14">
        <f t="shared" si="230"/>
        <v>226</v>
      </c>
      <c r="AH553" s="14">
        <f t="shared" si="231"/>
        <v>2025</v>
      </c>
      <c r="AJ553" s="14">
        <f t="shared" si="241"/>
        <v>1260</v>
      </c>
      <c r="AK553" s="14">
        <f t="shared" si="242"/>
        <v>629</v>
      </c>
      <c r="AL553" s="14">
        <f t="shared" si="243"/>
        <v>5640</v>
      </c>
    </row>
    <row r="554" spans="11:38" ht="16.5" x14ac:dyDescent="0.2">
      <c r="K554" s="13">
        <v>551</v>
      </c>
      <c r="L554" s="13">
        <f t="shared" si="223"/>
        <v>27</v>
      </c>
      <c r="M554" s="13">
        <f t="shared" si="224"/>
        <v>5</v>
      </c>
      <c r="N554" s="14">
        <f t="shared" si="225"/>
        <v>1102011</v>
      </c>
      <c r="O554" s="14" t="str">
        <f t="shared" si="226"/>
        <v>张飞5突</v>
      </c>
      <c r="P554" s="29" t="s">
        <v>470</v>
      </c>
      <c r="Q554" s="14">
        <f t="shared" si="227"/>
        <v>2</v>
      </c>
      <c r="R554" s="14">
        <f t="shared" si="228"/>
        <v>5</v>
      </c>
      <c r="S554" s="14" t="s">
        <v>39</v>
      </c>
      <c r="T554" s="14">
        <f>ROUND(((IF(Q554=1,INDEX(新属性投放!$J$14:$J$34,卡牌属性!R554),INDEX(新属性投放!$J$42:$J$62,卡牌属性!R554)))*INDEX($G$5:$G$42,L554)+IF(Q554=1,INDEX(新属性投放!R$20:R$23,卡牌属性!M554-1),INDEX(新属性投放!R$25:R$28,卡牌属性!M554-1)))/SQRT(INDEX($I$5:$I$42,L554)),2)</f>
        <v>2509.0500000000002</v>
      </c>
      <c r="U554" s="29" t="s">
        <v>178</v>
      </c>
      <c r="V554" s="14">
        <f>ROUND((IF(Q554=1,INDEX(新属性投放!$K$14:$K$34,卡牌属性!R554),INDEX(新属性投放!$K$42:$K$62,卡牌属性!R554))+IF(Q554=1,INDEX(新属性投放!S$20:S$23,卡牌属性!M554-1),INDEX(新属性投放!S$25:S$28,卡牌属性!M554-1)))*INDEX($G$5:$G$42,L554),2)</f>
        <v>913.28</v>
      </c>
      <c r="W554" s="29" t="s">
        <v>179</v>
      </c>
      <c r="X554" s="14">
        <f>ROUND((IF(Q554=1,INDEX(新属性投放!$L$14:$L$34,卡牌属性!R554),INDEX(新属性投放!$L$42:$L$62,卡牌属性!R554))*INDEX($G$5:$G$42,L554)+IF(Q554=1,INDEX(新属性投放!T$20:T$23,卡牌属性!M554-1),INDEX(新属性投放!T$25:T$28,卡牌属性!M554-1)))*SQRT(INDEX($I$5:$I$42,L554)),2)</f>
        <v>11824</v>
      </c>
      <c r="Y554" s="29" t="s">
        <v>177</v>
      </c>
      <c r="Z554" s="14">
        <f>ROUND(IF(Q554=1,INDEX(新属性投放!$D$14:$D$34,卡牌属性!R554),INDEX(新属性投放!$D$42:$D$62,卡牌属性!R554))*INDEX($G$5:$G$42,L554)/SQRT(INDEX($I$5:$I$42,L554)),2)</f>
        <v>56.49</v>
      </c>
      <c r="AA554" s="29" t="s">
        <v>178</v>
      </c>
      <c r="AB554" s="14">
        <f>ROUND(IF(Q554=1,INDEX(新属性投放!$E$14:$E$34,卡牌属性!R554),INDEX(新属性投放!$E$42:$E$62,卡牌属性!R554))*INDEX($G$5:$G$42,L554),2)</f>
        <v>28.25</v>
      </c>
      <c r="AC554" s="29" t="s">
        <v>179</v>
      </c>
      <c r="AD554" s="14">
        <f>ROUND(IF(Q554=1,INDEX(新属性投放!$F$14:$F$34,卡牌属性!R554),INDEX(新属性投放!$F$42:$F$62,卡牌属性!R554))*INDEX($G$5:$G$42,L554)*SQRT(INDEX($I$5:$I$42,L554)),2)</f>
        <v>253.5</v>
      </c>
      <c r="AF554" s="14">
        <f t="shared" si="229"/>
        <v>564</v>
      </c>
      <c r="AG554" s="14">
        <f t="shared" si="230"/>
        <v>282</v>
      </c>
      <c r="AH554" s="14">
        <f t="shared" si="231"/>
        <v>2535</v>
      </c>
      <c r="AJ554" s="14">
        <f t="shared" si="241"/>
        <v>1824</v>
      </c>
      <c r="AK554" s="14">
        <f t="shared" si="242"/>
        <v>911</v>
      </c>
      <c r="AL554" s="14">
        <f t="shared" si="243"/>
        <v>8175</v>
      </c>
    </row>
    <row r="555" spans="11:38" ht="16.5" x14ac:dyDescent="0.2">
      <c r="K555" s="13">
        <v>552</v>
      </c>
      <c r="L555" s="13">
        <f t="shared" si="223"/>
        <v>27</v>
      </c>
      <c r="M555" s="13">
        <f t="shared" si="224"/>
        <v>5</v>
      </c>
      <c r="N555" s="14">
        <f t="shared" si="225"/>
        <v>1102011</v>
      </c>
      <c r="O555" s="14" t="str">
        <f t="shared" si="226"/>
        <v>张飞6突</v>
      </c>
      <c r="P555" s="29" t="s">
        <v>470</v>
      </c>
      <c r="Q555" s="14">
        <f t="shared" si="227"/>
        <v>2</v>
      </c>
      <c r="R555" s="14">
        <f t="shared" si="228"/>
        <v>6</v>
      </c>
      <c r="S555" s="14" t="s">
        <v>39</v>
      </c>
      <c r="T555" s="14">
        <f>ROUND(((IF(Q555=1,INDEX(新属性投放!$J$14:$J$34,卡牌属性!R555),INDEX(新属性投放!$J$42:$J$62,卡牌属性!R555)))*INDEX($G$5:$G$42,L555)+IF(Q555=1,INDEX(新属性投放!R$20:R$23,卡牌属性!M555-1),INDEX(新属性投放!R$25:R$28,卡牌属性!M555-1)))/SQRT(INDEX($I$5:$I$42,L555)),2)</f>
        <v>3214.95</v>
      </c>
      <c r="U555" s="29" t="s">
        <v>178</v>
      </c>
      <c r="V555" s="14">
        <f>ROUND((IF(Q555=1,INDEX(新属性投放!$K$14:$K$34,卡牌属性!R555),INDEX(新属性投放!$K$42:$K$62,卡牌属性!R555))+IF(Q555=1,INDEX(新属性投放!S$20:S$23,卡牌属性!M555-1),INDEX(新属性投放!S$25:S$28,卡牌属性!M555-1)))*INDEX($G$5:$G$42,L555),2)</f>
        <v>1266.23</v>
      </c>
      <c r="W555" s="29" t="s">
        <v>179</v>
      </c>
      <c r="X555" s="14">
        <f>ROUND((IF(Q555=1,INDEX(新属性投放!$L$14:$L$34,卡牌属性!R555),INDEX(新属性投放!$L$42:$L$62,卡牌属性!R555))*INDEX($G$5:$G$42,L555)+IF(Q555=1,INDEX(新属性投放!T$20:T$23,卡牌属性!M555-1),INDEX(新属性投放!T$25:T$28,卡牌属性!M555-1)))*SQRT(INDEX($I$5:$I$42,L555)),2)</f>
        <v>15628</v>
      </c>
      <c r="Y555" s="29" t="s">
        <v>177</v>
      </c>
      <c r="Z555" s="14">
        <f>ROUND(IF(Q555=1,INDEX(新属性投放!$D$14:$D$34,卡牌属性!R555),INDEX(新属性投放!$D$42:$D$62,卡牌属性!R555))*INDEX($G$5:$G$42,L555)/SQRT(INDEX($I$5:$I$42,L555)),2)</f>
        <v>73.28</v>
      </c>
      <c r="AA555" s="29" t="s">
        <v>178</v>
      </c>
      <c r="AB555" s="14">
        <f>ROUND(IF(Q555=1,INDEX(新属性投放!$E$14:$E$34,卡牌属性!R555),INDEX(新属性投放!$E$42:$E$62,卡牌属性!R555))*INDEX($G$5:$G$42,L555),2)</f>
        <v>36.64</v>
      </c>
      <c r="AC555" s="29" t="s">
        <v>179</v>
      </c>
      <c r="AD555" s="14">
        <f>ROUND(IF(Q555=1,INDEX(新属性投放!$F$14:$F$34,卡牌属性!R555),INDEX(新属性投放!$F$42:$F$62,卡牌属性!R555))*INDEX($G$5:$G$42,L555)*SQRT(INDEX($I$5:$I$42,L555)),2)</f>
        <v>328.5</v>
      </c>
      <c r="AF555" s="14">
        <f t="shared" si="229"/>
        <v>732</v>
      </c>
      <c r="AG555" s="14">
        <f t="shared" si="230"/>
        <v>366</v>
      </c>
      <c r="AH555" s="14">
        <f t="shared" si="231"/>
        <v>3285</v>
      </c>
      <c r="AJ555" s="14">
        <f t="shared" si="241"/>
        <v>2556</v>
      </c>
      <c r="AK555" s="14">
        <f t="shared" si="242"/>
        <v>1277</v>
      </c>
      <c r="AL555" s="14">
        <f t="shared" si="243"/>
        <v>11460</v>
      </c>
    </row>
    <row r="556" spans="11:38" ht="16.5" x14ac:dyDescent="0.2">
      <c r="K556" s="13">
        <v>553</v>
      </c>
      <c r="L556" s="13">
        <f t="shared" si="223"/>
        <v>27</v>
      </c>
      <c r="M556" s="13">
        <f t="shared" si="224"/>
        <v>5</v>
      </c>
      <c r="N556" s="14">
        <f t="shared" si="225"/>
        <v>1102011</v>
      </c>
      <c r="O556" s="14" t="str">
        <f t="shared" si="226"/>
        <v>张飞7突</v>
      </c>
      <c r="P556" s="29" t="s">
        <v>470</v>
      </c>
      <c r="Q556" s="14">
        <f t="shared" si="227"/>
        <v>2</v>
      </c>
      <c r="R556" s="14">
        <f t="shared" si="228"/>
        <v>7</v>
      </c>
      <c r="S556" s="14" t="s">
        <v>39</v>
      </c>
      <c r="T556" s="14">
        <f>ROUND(((IF(Q556=1,INDEX(新属性投放!$J$14:$J$34,卡牌属性!R556),INDEX(新属性投放!$J$42:$J$62,卡牌属性!R556)))*INDEX($G$5:$G$42,L556)+IF(Q556=1,INDEX(新属性投放!R$20:R$23,卡牌属性!M556-1),INDEX(新属性投放!R$25:R$28,卡牌属性!M556-1)))/SQRT(INDEX($I$5:$I$42,L556)),2)</f>
        <v>4130.7</v>
      </c>
      <c r="U556" s="29" t="s">
        <v>178</v>
      </c>
      <c r="V556" s="14">
        <f>ROUND((IF(Q556=1,INDEX(新属性投放!$K$14:$K$34,卡牌属性!R556),INDEX(新属性投放!$K$42:$K$62,卡牌属性!R556))+IF(Q556=1,INDEX(新属性投放!S$20:S$23,卡牌属性!M556-1),INDEX(新属性投放!S$25:S$28,卡牌属性!M556-1)))*INDEX($G$5:$G$42,L556),2)</f>
        <v>1724.1</v>
      </c>
      <c r="W556" s="29" t="s">
        <v>179</v>
      </c>
      <c r="X556" s="14">
        <f>ROUND((IF(Q556=1,INDEX(新属性投放!$L$14:$L$34,卡牌属性!R556),INDEX(新属性投放!$L$42:$L$62,卡牌属性!R556))*INDEX($G$5:$G$42,L556)+IF(Q556=1,INDEX(新属性投放!T$20:T$23,卡牌属性!M556-1),INDEX(新属性投放!T$25:T$28,卡牌属性!M556-1)))*SQRT(INDEX($I$5:$I$42,L556)),2)</f>
        <v>20560</v>
      </c>
      <c r="Y556" s="29" t="s">
        <v>177</v>
      </c>
      <c r="Z556" s="14">
        <f>ROUND(IF(Q556=1,INDEX(新属性投放!$D$14:$D$34,卡牌属性!R556),INDEX(新属性投放!$D$42:$D$62,卡牌属性!R556))*INDEX($G$5:$G$42,L556)/SQRT(INDEX($I$5:$I$42,L556)),2)</f>
        <v>90.29</v>
      </c>
      <c r="AA556" s="29" t="s">
        <v>178</v>
      </c>
      <c r="AB556" s="14">
        <f>ROUND(IF(Q556=1,INDEX(新属性投放!$E$14:$E$34,卡牌属性!R556),INDEX(新属性投放!$E$42:$E$62,卡牌属性!R556))*INDEX($G$5:$G$42,L556),2)</f>
        <v>45.14</v>
      </c>
      <c r="AC556" s="29" t="s">
        <v>179</v>
      </c>
      <c r="AD556" s="14">
        <f>ROUND(IF(Q556=1,INDEX(新属性投放!$F$14:$F$34,卡牌属性!R556),INDEX(新属性投放!$F$42:$F$62,卡牌属性!R556))*INDEX($G$5:$G$42,L556)*SQRT(INDEX($I$5:$I$42,L556)),2)</f>
        <v>405</v>
      </c>
      <c r="AF556" s="14">
        <f t="shared" si="229"/>
        <v>902</v>
      </c>
      <c r="AG556" s="14">
        <f t="shared" si="230"/>
        <v>451</v>
      </c>
      <c r="AH556" s="14">
        <f t="shared" si="231"/>
        <v>4050</v>
      </c>
      <c r="AJ556" s="14">
        <f t="shared" si="241"/>
        <v>3458</v>
      </c>
      <c r="AK556" s="14">
        <f t="shared" si="242"/>
        <v>1728</v>
      </c>
      <c r="AL556" s="14">
        <f t="shared" si="243"/>
        <v>15510</v>
      </c>
    </row>
    <row r="557" spans="11:38" ht="16.5" x14ac:dyDescent="0.2">
      <c r="K557" s="13">
        <v>554</v>
      </c>
      <c r="L557" s="13">
        <f t="shared" si="223"/>
        <v>27</v>
      </c>
      <c r="M557" s="13">
        <f t="shared" si="224"/>
        <v>5</v>
      </c>
      <c r="N557" s="14">
        <f t="shared" si="225"/>
        <v>1102011</v>
      </c>
      <c r="O557" s="14" t="str">
        <f t="shared" si="226"/>
        <v>张飞8突</v>
      </c>
      <c r="P557" s="29" t="s">
        <v>470</v>
      </c>
      <c r="Q557" s="14">
        <f t="shared" si="227"/>
        <v>2</v>
      </c>
      <c r="R557" s="14">
        <f t="shared" si="228"/>
        <v>8</v>
      </c>
      <c r="S557" s="14" t="s">
        <v>39</v>
      </c>
      <c r="T557" s="14">
        <f>ROUND(((IF(Q557=1,INDEX(新属性投放!$J$14:$J$34,卡牌属性!R557),INDEX(新属性投放!$J$42:$J$62,卡牌属性!R557)))*INDEX($G$5:$G$42,L557)+IF(Q557=1,INDEX(新属性投放!R$20:R$23,卡牌属性!M557-1),INDEX(新属性投放!R$25:R$28,卡牌属性!M557-1)))/SQRT(INDEX($I$5:$I$42,L557)),2)</f>
        <v>5258.55</v>
      </c>
      <c r="U557" s="29" t="s">
        <v>178</v>
      </c>
      <c r="V557" s="14">
        <f>ROUND((IF(Q557=1,INDEX(新属性投放!$K$14:$K$34,卡牌属性!R557),INDEX(新属性投放!$K$42:$K$62,卡牌属性!R557))+IF(Q557=1,INDEX(新属性投放!S$20:S$23,卡牌属性!M557-1),INDEX(新属性投放!S$25:S$28,卡牌属性!M557-1)))*INDEX($G$5:$G$42,L557),2)</f>
        <v>2288.0300000000002</v>
      </c>
      <c r="W557" s="29" t="s">
        <v>179</v>
      </c>
      <c r="X557" s="14">
        <f>ROUND((IF(Q557=1,INDEX(新属性投放!$L$14:$L$34,卡牌属性!R557),INDEX(新属性投放!$L$42:$L$62,卡牌属性!R557))*INDEX($G$5:$G$42,L557)+IF(Q557=1,INDEX(新属性投放!T$20:T$23,卡牌属性!M557-1),INDEX(新属性投放!T$25:T$28,卡牌属性!M557-1)))*SQRT(INDEX($I$5:$I$42,L557)),2)</f>
        <v>26635</v>
      </c>
      <c r="Y557" s="29" t="s">
        <v>177</v>
      </c>
      <c r="Z557" s="14">
        <f>ROUND(IF(Q557=1,INDEX(新属性投放!$D$14:$D$34,卡牌属性!R557),INDEX(新属性投放!$D$42:$D$62,卡牌属性!R557))*INDEX($G$5:$G$42,L557)/SQRT(INDEX($I$5:$I$42,L557)),2)</f>
        <v>112.79</v>
      </c>
      <c r="AA557" s="29" t="s">
        <v>178</v>
      </c>
      <c r="AB557" s="14">
        <f>ROUND(IF(Q557=1,INDEX(新属性投放!$E$14:$E$34,卡牌属性!R557),INDEX(新属性投放!$E$42:$E$62,卡牌属性!R557))*INDEX($G$5:$G$42,L557),2)</f>
        <v>56.39</v>
      </c>
      <c r="AC557" s="29" t="s">
        <v>179</v>
      </c>
      <c r="AD557" s="14">
        <f>ROUND(IF(Q557=1,INDEX(新属性投放!$F$14:$F$34,卡牌属性!R557),INDEX(新属性投放!$F$42:$F$62,卡牌属性!R557))*INDEX($G$5:$G$42,L557)*SQRT(INDEX($I$5:$I$42,L557)),2)</f>
        <v>507</v>
      </c>
      <c r="AF557" s="14">
        <f t="shared" si="229"/>
        <v>1127</v>
      </c>
      <c r="AG557" s="14">
        <f t="shared" si="230"/>
        <v>563</v>
      </c>
      <c r="AH557" s="14">
        <f t="shared" si="231"/>
        <v>5070</v>
      </c>
      <c r="AJ557" s="14">
        <f t="shared" si="241"/>
        <v>4585</v>
      </c>
      <c r="AK557" s="14">
        <f t="shared" si="242"/>
        <v>2291</v>
      </c>
      <c r="AL557" s="14">
        <f t="shared" si="243"/>
        <v>20580</v>
      </c>
    </row>
    <row r="558" spans="11:38" ht="16.5" x14ac:dyDescent="0.2">
      <c r="K558" s="13">
        <v>555</v>
      </c>
      <c r="L558" s="13">
        <f t="shared" si="223"/>
        <v>27</v>
      </c>
      <c r="M558" s="13">
        <f t="shared" si="224"/>
        <v>5</v>
      </c>
      <c r="N558" s="14">
        <f t="shared" si="225"/>
        <v>1102011</v>
      </c>
      <c r="O558" s="14" t="str">
        <f t="shared" si="226"/>
        <v>张飞9突</v>
      </c>
      <c r="P558" s="29" t="s">
        <v>470</v>
      </c>
      <c r="Q558" s="14">
        <f t="shared" si="227"/>
        <v>2</v>
      </c>
      <c r="R558" s="14">
        <f t="shared" si="228"/>
        <v>9</v>
      </c>
      <c r="S558" s="14" t="s">
        <v>39</v>
      </c>
      <c r="T558" s="14">
        <f>ROUND(((IF(Q558=1,INDEX(新属性投放!$J$14:$J$34,卡牌属性!R558),INDEX(新属性投放!$J$42:$J$62,卡牌属性!R558)))*INDEX($G$5:$G$42,L558)+IF(Q558=1,INDEX(新属性投放!R$20:R$23,卡牌属性!M558-1),INDEX(新属性投放!R$25:R$28,卡牌属性!M558-1)))/SQRT(INDEX($I$5:$I$42,L558)),2)</f>
        <v>6668.4</v>
      </c>
      <c r="U558" s="29" t="s">
        <v>178</v>
      </c>
      <c r="V558" s="14">
        <f>ROUND((IF(Q558=1,INDEX(新属性投放!$K$14:$K$34,卡牌属性!R558),INDEX(新属性投放!$K$42:$K$62,卡牌属性!R558))+IF(Q558=1,INDEX(新属性投放!S$20:S$23,卡牌属性!M558-1),INDEX(新属性投放!S$25:S$28,卡牌属性!M558-1)))*INDEX($G$5:$G$42,L558),2)</f>
        <v>2992.95</v>
      </c>
      <c r="W558" s="29" t="s">
        <v>179</v>
      </c>
      <c r="X558" s="14">
        <f>ROUND((IF(Q558=1,INDEX(新属性投放!$L$14:$L$34,卡牌属性!R558),INDEX(新属性投放!$L$42:$L$62,卡牌属性!R558))*INDEX($G$5:$G$42,L558)+IF(Q558=1,INDEX(新属性投放!T$20:T$23,卡牌属性!M558-1),INDEX(新属性投放!T$25:T$28,卡牌属性!M558-1)))*SQRT(INDEX($I$5:$I$42,L558)),2)</f>
        <v>34243</v>
      </c>
      <c r="Y558" s="29" t="s">
        <v>177</v>
      </c>
      <c r="Z558" s="14">
        <f>ROUND(IF(Q558=1,INDEX(新属性投放!$D$14:$D$34,卡牌属性!R558),INDEX(新属性投放!$D$42:$D$62,卡牌属性!R558))*INDEX($G$5:$G$42,L558)/SQRT(INDEX($I$5:$I$42,L558)),2)</f>
        <v>146.69</v>
      </c>
      <c r="AA558" s="29" t="s">
        <v>178</v>
      </c>
      <c r="AB558" s="14">
        <f>ROUND(IF(Q558=1,INDEX(新属性投放!$E$14:$E$34,卡牌属性!R558),INDEX(新属性投放!$E$42:$E$62,卡牌属性!R558))*INDEX($G$5:$G$42,L558),2)</f>
        <v>73.34</v>
      </c>
      <c r="AC558" s="29" t="s">
        <v>179</v>
      </c>
      <c r="AD558" s="14">
        <f>ROUND(IF(Q558=1,INDEX(新属性投放!$F$14:$F$34,卡牌属性!R558),INDEX(新属性投放!$F$42:$F$62,卡牌属性!R558))*INDEX($G$5:$G$42,L558)*SQRT(INDEX($I$5:$I$42,L558)),2)</f>
        <v>660</v>
      </c>
      <c r="AF558" s="14">
        <f t="shared" si="229"/>
        <v>1466</v>
      </c>
      <c r="AG558" s="14">
        <f t="shared" si="230"/>
        <v>733</v>
      </c>
      <c r="AH558" s="14">
        <f t="shared" si="231"/>
        <v>6600</v>
      </c>
      <c r="AJ558" s="14">
        <f t="shared" si="241"/>
        <v>6051</v>
      </c>
      <c r="AK558" s="14">
        <f t="shared" si="242"/>
        <v>3024</v>
      </c>
      <c r="AL558" s="14">
        <f t="shared" si="243"/>
        <v>27180</v>
      </c>
    </row>
    <row r="559" spans="11:38" ht="16.5" x14ac:dyDescent="0.2">
      <c r="K559" s="13">
        <v>556</v>
      </c>
      <c r="L559" s="13">
        <f t="shared" si="223"/>
        <v>27</v>
      </c>
      <c r="M559" s="13">
        <f t="shared" si="224"/>
        <v>5</v>
      </c>
      <c r="N559" s="14">
        <f t="shared" si="225"/>
        <v>1102011</v>
      </c>
      <c r="O559" s="14" t="str">
        <f t="shared" si="226"/>
        <v>张飞10突</v>
      </c>
      <c r="P559" s="29" t="s">
        <v>470</v>
      </c>
      <c r="Q559" s="14">
        <f t="shared" si="227"/>
        <v>2</v>
      </c>
      <c r="R559" s="14">
        <f t="shared" si="228"/>
        <v>10</v>
      </c>
      <c r="S559" s="14" t="s">
        <v>39</v>
      </c>
      <c r="T559" s="14">
        <f>ROUND(((IF(Q559=1,INDEX(新属性投放!$J$14:$J$34,卡牌属性!R559),INDEX(新属性投放!$J$42:$J$62,卡牌属性!R559)))*INDEX($G$5:$G$42,L559)+IF(Q559=1,INDEX(新属性投放!R$20:R$23,卡牌属性!M559-1),INDEX(新属性投放!R$25:R$28,卡牌属性!M559-1)))/SQRT(INDEX($I$5:$I$42,L559)),2)</f>
        <v>7584.83</v>
      </c>
      <c r="U559" s="29" t="s">
        <v>178</v>
      </c>
      <c r="V559" s="14">
        <f>ROUND((IF(Q559=1,INDEX(新属性投放!$K$14:$K$34,卡牌属性!R559),INDEX(新属性投放!$K$42:$K$62,卡牌属性!R559))+IF(Q559=1,INDEX(新属性投放!S$20:S$23,卡牌属性!M559-1),INDEX(新属性投放!S$25:S$28,卡牌属性!M559-1)))*INDEX($G$5:$G$42,L559),2)</f>
        <v>3451.16</v>
      </c>
      <c r="W559" s="29" t="s">
        <v>179</v>
      </c>
      <c r="X559" s="14">
        <f>ROUND((IF(Q559=1,INDEX(新属性投放!$L$14:$L$34,卡牌属性!R559),INDEX(新属性投放!$L$42:$L$62,卡牌属性!R559))*INDEX($G$5:$G$42,L559)+IF(Q559=1,INDEX(新属性投放!T$20:T$23,卡牌属性!M559-1),INDEX(新属性投放!T$25:T$28,卡牌属性!M559-1)))*SQRT(INDEX($I$5:$I$42,L559)),2)</f>
        <v>39190</v>
      </c>
      <c r="Y559" s="29" t="s">
        <v>177</v>
      </c>
      <c r="Z559" s="14">
        <f>ROUND(IF(Q559=1,INDEX(新属性投放!$D$14:$D$34,卡牌属性!R559),INDEX(新属性投放!$D$42:$D$62,卡牌属性!R559))*INDEX($G$5:$G$42,L559)/SQRT(INDEX($I$5:$I$42,L559)),2)</f>
        <v>169.25</v>
      </c>
      <c r="AA559" s="29" t="s">
        <v>178</v>
      </c>
      <c r="AB559" s="14">
        <f>ROUND(IF(Q559=1,INDEX(新属性投放!$E$14:$E$34,卡牌属性!R559),INDEX(新属性投放!$E$42:$E$62,卡牌属性!R559))*INDEX($G$5:$G$42,L559),2)</f>
        <v>84.62</v>
      </c>
      <c r="AC559" s="29" t="s">
        <v>179</v>
      </c>
      <c r="AD559" s="14">
        <f>ROUND(IF(Q559=1,INDEX(新属性投放!$F$14:$F$34,卡牌属性!R559),INDEX(新属性投放!$F$42:$F$62,卡牌属性!R559))*INDEX($G$5:$G$42,L559)*SQRT(INDEX($I$5:$I$42,L559)),2)</f>
        <v>760.5</v>
      </c>
      <c r="AF559" s="14">
        <f t="shared" si="229"/>
        <v>1692</v>
      </c>
      <c r="AG559" s="14">
        <f t="shared" si="230"/>
        <v>846</v>
      </c>
      <c r="AH559" s="14">
        <f t="shared" si="231"/>
        <v>7605</v>
      </c>
      <c r="AJ559" s="14">
        <f t="shared" si="241"/>
        <v>7743</v>
      </c>
      <c r="AK559" s="14">
        <f t="shared" si="242"/>
        <v>3870</v>
      </c>
      <c r="AL559" s="14">
        <f t="shared" si="243"/>
        <v>34785</v>
      </c>
    </row>
    <row r="560" spans="11:38" ht="16.5" x14ac:dyDescent="0.2">
      <c r="K560" s="13">
        <v>557</v>
      </c>
      <c r="L560" s="13">
        <f t="shared" si="223"/>
        <v>27</v>
      </c>
      <c r="M560" s="13">
        <f t="shared" si="224"/>
        <v>5</v>
      </c>
      <c r="N560" s="14">
        <f t="shared" si="225"/>
        <v>1102011</v>
      </c>
      <c r="O560" s="14" t="str">
        <f t="shared" si="226"/>
        <v>张飞11突</v>
      </c>
      <c r="P560" s="29" t="s">
        <v>470</v>
      </c>
      <c r="Q560" s="14">
        <f t="shared" si="227"/>
        <v>2</v>
      </c>
      <c r="R560" s="14">
        <f t="shared" si="228"/>
        <v>11</v>
      </c>
      <c r="S560" s="14" t="s">
        <v>39</v>
      </c>
      <c r="T560" s="14">
        <f>ROUND(((IF(Q560=1,INDEX(新属性投放!$J$14:$J$34,卡牌属性!R560),INDEX(新属性投放!$J$42:$J$62,卡牌属性!R560)))*INDEX($G$5:$G$42,L560)+IF(Q560=1,INDEX(新属性投放!R$20:R$23,卡牌属性!M560-1),INDEX(新属性投放!R$25:R$28,卡牌属性!M560-1)))/SQRT(INDEX($I$5:$I$42,L560)),2)</f>
        <v>8642.5499999999993</v>
      </c>
      <c r="U560" s="29" t="s">
        <v>178</v>
      </c>
      <c r="V560" s="14">
        <f>ROUND((IF(Q560=1,INDEX(新属性投放!$K$14:$K$34,卡牌属性!R560),INDEX(新属性投放!$K$42:$K$62,卡牌属性!R560))+IF(Q560=1,INDEX(新属性投放!S$20:S$23,卡牌属性!M560-1),INDEX(新属性投放!S$25:S$28,卡牌属性!M560-1)))*INDEX($G$5:$G$42,L560),2)</f>
        <v>3980.78</v>
      </c>
      <c r="W560" s="29" t="s">
        <v>179</v>
      </c>
      <c r="X560" s="14">
        <f>ROUND((IF(Q560=1,INDEX(新属性投放!$L$14:$L$34,卡牌属性!R560),INDEX(新属性投放!$L$42:$L$62,卡牌属性!R560))*INDEX($G$5:$G$42,L560)+IF(Q560=1,INDEX(新属性投放!T$20:T$23,卡牌属性!M560-1),INDEX(新属性投放!T$25:T$28,卡牌属性!M560-1)))*SQRT(INDEX($I$5:$I$42,L560)),2)</f>
        <v>44896</v>
      </c>
      <c r="Y560" s="29" t="s">
        <v>177</v>
      </c>
      <c r="Z560" s="14">
        <f>ROUND(IF(Q560=1,INDEX(新属性投放!$D$14:$D$34,卡牌属性!R560),INDEX(新属性投放!$D$42:$D$62,卡牌属性!R560))*INDEX($G$5:$G$42,L560)/SQRT(INDEX($I$5:$I$42,L560)),2)</f>
        <v>197.37</v>
      </c>
      <c r="AA560" s="29" t="s">
        <v>178</v>
      </c>
      <c r="AB560" s="14">
        <f>ROUND(IF(Q560=1,INDEX(新属性投放!$E$14:$E$34,卡牌属性!R560),INDEX(新属性投放!$E$42:$E$62,卡牌属性!R560))*INDEX($G$5:$G$42,L560),2)</f>
        <v>98.69</v>
      </c>
      <c r="AC560" s="29" t="s">
        <v>179</v>
      </c>
      <c r="AD560" s="14">
        <f>ROUND(IF(Q560=1,INDEX(新属性投放!$F$14:$F$34,卡牌属性!R560),INDEX(新属性投放!$F$42:$F$62,卡牌属性!R560))*INDEX($G$5:$G$42,L560)*SQRT(INDEX($I$5:$I$42,L560)),2)</f>
        <v>888</v>
      </c>
      <c r="AF560" s="14">
        <f t="shared" si="229"/>
        <v>1973</v>
      </c>
      <c r="AG560" s="14">
        <f t="shared" si="230"/>
        <v>986</v>
      </c>
      <c r="AH560" s="14">
        <f t="shared" si="231"/>
        <v>8880</v>
      </c>
      <c r="AJ560" s="14">
        <f t="shared" si="241"/>
        <v>9716</v>
      </c>
      <c r="AK560" s="14">
        <f t="shared" si="242"/>
        <v>4856</v>
      </c>
      <c r="AL560" s="14">
        <f t="shared" si="243"/>
        <v>43665</v>
      </c>
    </row>
    <row r="561" spans="11:38" ht="16.5" x14ac:dyDescent="0.2">
      <c r="K561" s="13">
        <v>558</v>
      </c>
      <c r="L561" s="13">
        <f t="shared" si="223"/>
        <v>27</v>
      </c>
      <c r="M561" s="13">
        <f t="shared" si="224"/>
        <v>5</v>
      </c>
      <c r="N561" s="14">
        <f t="shared" si="225"/>
        <v>1102011</v>
      </c>
      <c r="O561" s="14" t="str">
        <f t="shared" si="226"/>
        <v>张飞12突</v>
      </c>
      <c r="P561" s="29" t="s">
        <v>470</v>
      </c>
      <c r="Q561" s="14">
        <f t="shared" si="227"/>
        <v>2</v>
      </c>
      <c r="R561" s="14">
        <f t="shared" si="228"/>
        <v>12</v>
      </c>
      <c r="S561" s="14" t="s">
        <v>39</v>
      </c>
      <c r="T561" s="14">
        <f>ROUND(((IF(Q561=1,INDEX(新属性投放!$J$14:$J$34,卡牌属性!R561),INDEX(新属性投放!$J$42:$J$62,卡牌属性!R561)))*INDEX($G$5:$G$42,L561)+IF(Q561=1,INDEX(新属性投放!R$20:R$23,卡牌属性!M561-1),INDEX(新属性投放!R$25:R$28,卡牌属性!M561-1)))/SQRT(INDEX($I$5:$I$42,L561)),2)</f>
        <v>9875.4</v>
      </c>
      <c r="U561" s="29" t="s">
        <v>178</v>
      </c>
      <c r="V561" s="14">
        <f>ROUND((IF(Q561=1,INDEX(新属性投放!$K$14:$K$34,卡牌属性!R561),INDEX(新属性投放!$K$42:$K$62,卡牌属性!R561))+IF(Q561=1,INDEX(新属性投放!S$20:S$23,卡牌属性!M561-1),INDEX(新属性投放!S$25:S$28,卡牌属性!M561-1)))*INDEX($G$5:$G$42,L561),2)</f>
        <v>4597.2</v>
      </c>
      <c r="W561" s="29" t="s">
        <v>179</v>
      </c>
      <c r="X561" s="14">
        <f>ROUND((IF(Q561=1,INDEX(新属性投放!$L$14:$L$34,卡牌属性!R561),INDEX(新属性投放!$L$42:$L$62,卡牌属性!R561))*INDEX($G$5:$G$42,L561)+IF(Q561=1,INDEX(新属性投放!T$20:T$23,卡牌属性!M561-1),INDEX(新属性投放!T$25:T$28,卡牌属性!M561-1)))*SQRT(INDEX($I$5:$I$42,L561)),2)</f>
        <v>51550</v>
      </c>
      <c r="Y561" s="29" t="s">
        <v>177</v>
      </c>
      <c r="Z561" s="14">
        <f>ROUND(IF(Q561=1,INDEX(新属性投放!$D$14:$D$34,卡牌属性!R561),INDEX(新属性投放!$D$42:$D$62,卡牌属性!R561))*INDEX($G$5:$G$42,L561)/SQRT(INDEX($I$5:$I$42,L561)),2)</f>
        <v>225.71</v>
      </c>
      <c r="AA561" s="29" t="s">
        <v>178</v>
      </c>
      <c r="AB561" s="14">
        <f>ROUND(IF(Q561=1,INDEX(新属性投放!$E$14:$E$34,卡牌属性!R561),INDEX(新属性投放!$E$42:$E$62,卡牌属性!R561))*INDEX($G$5:$G$42,L561),2)</f>
        <v>112.85</v>
      </c>
      <c r="AC561" s="29" t="s">
        <v>179</v>
      </c>
      <c r="AD561" s="14">
        <f>ROUND(IF(Q561=1,INDEX(新属性投放!$F$14:$F$34,卡牌属性!R561),INDEX(新属性投放!$F$42:$F$62,卡牌属性!R561))*INDEX($G$5:$G$42,L561)*SQRT(INDEX($I$5:$I$42,L561)),2)</f>
        <v>1015.5</v>
      </c>
      <c r="AF561" s="14">
        <f t="shared" si="229"/>
        <v>2257</v>
      </c>
      <c r="AG561" s="14">
        <f t="shared" si="230"/>
        <v>1128</v>
      </c>
      <c r="AH561" s="14">
        <f t="shared" si="231"/>
        <v>10155</v>
      </c>
      <c r="AJ561" s="14">
        <f t="shared" si="241"/>
        <v>11973</v>
      </c>
      <c r="AK561" s="14">
        <f t="shared" si="242"/>
        <v>5984</v>
      </c>
      <c r="AL561" s="14">
        <f t="shared" si="243"/>
        <v>53820</v>
      </c>
    </row>
    <row r="562" spans="11:38" ht="16.5" x14ac:dyDescent="0.2">
      <c r="K562" s="13">
        <v>559</v>
      </c>
      <c r="L562" s="13">
        <f t="shared" si="223"/>
        <v>27</v>
      </c>
      <c r="M562" s="13">
        <f t="shared" si="224"/>
        <v>5</v>
      </c>
      <c r="N562" s="14">
        <f t="shared" si="225"/>
        <v>1102011</v>
      </c>
      <c r="O562" s="14" t="str">
        <f t="shared" si="226"/>
        <v>张飞13突</v>
      </c>
      <c r="P562" s="29" t="s">
        <v>470</v>
      </c>
      <c r="Q562" s="14">
        <f t="shared" si="227"/>
        <v>2</v>
      </c>
      <c r="R562" s="14">
        <f t="shared" si="228"/>
        <v>13</v>
      </c>
      <c r="S562" s="14" t="s">
        <v>39</v>
      </c>
      <c r="T562" s="14">
        <f>ROUND(((IF(Q562=1,INDEX(新属性投放!$J$14:$J$34,卡牌属性!R562),INDEX(新属性投放!$J$42:$J$62,卡牌属性!R562)))*INDEX($G$5:$G$42,L562)+IF(Q562=1,INDEX(新属性投放!R$20:R$23,卡牌属性!M562-1),INDEX(新属性投放!R$25:R$28,卡牌属性!M562-1)))/SQRT(INDEX($I$5:$I$42,L562)),2)</f>
        <v>11285.93</v>
      </c>
      <c r="U562" s="29" t="s">
        <v>178</v>
      </c>
      <c r="V562" s="14">
        <f>ROUND((IF(Q562=1,INDEX(新属性投放!$K$14:$K$34,卡牌属性!R562),INDEX(新属性投放!$K$42:$K$62,卡牌属性!R562))+IF(Q562=1,INDEX(新属性投放!S$20:S$23,卡牌属性!M562-1),INDEX(新属性投放!S$25:S$28,卡牌属性!M562-1)))*INDEX($G$5:$G$42,L562),2)</f>
        <v>5302.46</v>
      </c>
      <c r="W562" s="29" t="s">
        <v>179</v>
      </c>
      <c r="X562" s="14">
        <f>ROUND((IF(Q562=1,INDEX(新属性投放!$L$14:$L$34,卡牌属性!R562),INDEX(新属性投放!$L$42:$L$62,卡牌属性!R562))*INDEX($G$5:$G$42,L562)+IF(Q562=1,INDEX(新属性投放!T$20:T$23,卡牌属性!M562-1),INDEX(新属性投放!T$25:T$28,卡牌属性!M562-1)))*SQRT(INDEX($I$5:$I$42,L562)),2)</f>
        <v>59165.5</v>
      </c>
      <c r="Y562" s="29" t="s">
        <v>177</v>
      </c>
      <c r="Z562" s="14">
        <f>ROUND(IF(Q562=1,INDEX(新属性投放!$D$14:$D$34,卡牌属性!R562),INDEX(新属性投放!$D$42:$D$62,卡牌属性!R562))*INDEX($G$5:$G$42,L562)/SQRT(INDEX($I$5:$I$42,L562)),2)</f>
        <v>260.95999999999998</v>
      </c>
      <c r="AA562" s="29" t="s">
        <v>178</v>
      </c>
      <c r="AB562" s="14">
        <f>ROUND(IF(Q562=1,INDEX(新属性投放!$E$14:$E$34,卡牌属性!R562),INDEX(新属性投放!$E$42:$E$62,卡牌属性!R562))*INDEX($G$5:$G$42,L562),2)</f>
        <v>130.47999999999999</v>
      </c>
      <c r="AC562" s="29" t="s">
        <v>179</v>
      </c>
      <c r="AD562" s="14">
        <f>ROUND(IF(Q562=1,INDEX(新属性投放!$F$14:$F$34,卡牌属性!R562),INDEX(新属性投放!$F$42:$F$62,卡牌属性!R562))*INDEX($G$5:$G$42,L562)*SQRT(INDEX($I$5:$I$42,L562)),2)</f>
        <v>1173</v>
      </c>
      <c r="AF562" s="14">
        <f t="shared" si="229"/>
        <v>2609</v>
      </c>
      <c r="AG562" s="14">
        <f t="shared" si="230"/>
        <v>1304</v>
      </c>
      <c r="AH562" s="14">
        <f t="shared" si="231"/>
        <v>11730</v>
      </c>
      <c r="AJ562" s="14">
        <f t="shared" si="241"/>
        <v>14582</v>
      </c>
      <c r="AK562" s="14">
        <f t="shared" si="242"/>
        <v>7288</v>
      </c>
      <c r="AL562" s="14">
        <f t="shared" si="243"/>
        <v>65550</v>
      </c>
    </row>
    <row r="563" spans="11:38" ht="16.5" x14ac:dyDescent="0.2">
      <c r="K563" s="13">
        <v>560</v>
      </c>
      <c r="L563" s="13">
        <f t="shared" si="223"/>
        <v>27</v>
      </c>
      <c r="M563" s="13">
        <f t="shared" si="224"/>
        <v>5</v>
      </c>
      <c r="N563" s="14">
        <f t="shared" si="225"/>
        <v>1102011</v>
      </c>
      <c r="O563" s="14" t="str">
        <f t="shared" si="226"/>
        <v>张飞14突</v>
      </c>
      <c r="P563" s="29" t="s">
        <v>470</v>
      </c>
      <c r="Q563" s="14">
        <f t="shared" si="227"/>
        <v>2</v>
      </c>
      <c r="R563" s="14">
        <f t="shared" si="228"/>
        <v>14</v>
      </c>
      <c r="S563" s="14" t="s">
        <v>39</v>
      </c>
      <c r="T563" s="14">
        <f>ROUND(((IF(Q563=1,INDEX(新属性投放!$J$14:$J$34,卡牌属性!R563),INDEX(新属性投放!$J$42:$J$62,卡牌属性!R563)))*INDEX($G$5:$G$42,L563)+IF(Q563=1,INDEX(新属性投放!R$20:R$23,卡牌属性!M563-1),INDEX(新属性投放!R$25:R$28,卡牌属性!M563-1)))/SQRT(INDEX($I$5:$I$42,L563)),2)</f>
        <v>12916.2</v>
      </c>
      <c r="U563" s="29" t="s">
        <v>178</v>
      </c>
      <c r="V563" s="14">
        <f>ROUND((IF(Q563=1,INDEX(新属性投放!$K$14:$K$34,卡牌属性!R563),INDEX(新属性投放!$K$42:$K$62,卡牌属性!R563))+IF(Q563=1,INDEX(新属性投放!S$20:S$23,卡牌属性!M563-1),INDEX(新属性投放!S$25:S$28,卡牌属性!M563-1)))*INDEX($G$5:$G$42,L563),2)</f>
        <v>6118.35</v>
      </c>
      <c r="W563" s="29" t="s">
        <v>179</v>
      </c>
      <c r="X563" s="14">
        <f>ROUND((IF(Q563=1,INDEX(新属性投放!$L$14:$L$34,卡牌属性!R563),INDEX(新属性投放!$L$42:$L$62,卡牌属性!R563))*INDEX($G$5:$G$42,L563)+IF(Q563=1,INDEX(新属性投放!T$20:T$23,卡牌属性!M563-1),INDEX(新属性投放!T$25:T$28,卡牌属性!M563-1)))*SQRT(INDEX($I$5:$I$42,L563)),2)</f>
        <v>67960</v>
      </c>
      <c r="Y563" s="29" t="s">
        <v>177</v>
      </c>
      <c r="Z563" s="14">
        <f>ROUND(IF(Q563=1,INDEX(新属性投放!$D$14:$D$34,卡牌属性!R563),INDEX(新属性投放!$D$42:$D$62,卡牌属性!R563))*INDEX($G$5:$G$42,L563)/SQRT(INDEX($I$5:$I$42,L563)),2)</f>
        <v>301.73</v>
      </c>
      <c r="AA563" s="29" t="s">
        <v>178</v>
      </c>
      <c r="AB563" s="14">
        <f>ROUND(IF(Q563=1,INDEX(新属性投放!$E$14:$E$34,卡牌属性!R563),INDEX(新属性投放!$E$42:$E$62,卡牌属性!R563))*INDEX($G$5:$G$42,L563),2)</f>
        <v>150.86000000000001</v>
      </c>
      <c r="AC563" s="29" t="s">
        <v>179</v>
      </c>
      <c r="AD563" s="14">
        <f>ROUND(IF(Q563=1,INDEX(新属性投放!$F$14:$F$34,卡牌属性!R563),INDEX(新属性投放!$F$42:$F$62,卡牌属性!R563))*INDEX($G$5:$G$42,L563)*SQRT(INDEX($I$5:$I$42,L563)),2)</f>
        <v>1357.5</v>
      </c>
      <c r="AF563" s="14">
        <f t="shared" si="229"/>
        <v>3017</v>
      </c>
      <c r="AG563" s="14">
        <f t="shared" si="230"/>
        <v>1508</v>
      </c>
      <c r="AH563" s="14">
        <f t="shared" si="231"/>
        <v>13575</v>
      </c>
      <c r="AJ563" s="14">
        <f t="shared" si="241"/>
        <v>17599</v>
      </c>
      <c r="AK563" s="14">
        <f t="shared" si="242"/>
        <v>8796</v>
      </c>
      <c r="AL563" s="14">
        <f t="shared" si="243"/>
        <v>79125</v>
      </c>
    </row>
    <row r="564" spans="11:38" ht="16.5" x14ac:dyDescent="0.2">
      <c r="K564" s="13">
        <v>561</v>
      </c>
      <c r="L564" s="13">
        <f t="shared" si="223"/>
        <v>27</v>
      </c>
      <c r="M564" s="13">
        <f t="shared" si="224"/>
        <v>5</v>
      </c>
      <c r="N564" s="14">
        <f t="shared" si="225"/>
        <v>1102011</v>
      </c>
      <c r="O564" s="14" t="str">
        <f t="shared" si="226"/>
        <v>张飞15突</v>
      </c>
      <c r="P564" s="29" t="s">
        <v>470</v>
      </c>
      <c r="Q564" s="14">
        <f t="shared" si="227"/>
        <v>2</v>
      </c>
      <c r="R564" s="14">
        <f t="shared" si="228"/>
        <v>15</v>
      </c>
      <c r="S564" s="14" t="s">
        <v>39</v>
      </c>
      <c r="T564" s="14">
        <f>ROUND(((IF(Q564=1,INDEX(新属性投放!$J$14:$J$34,卡牌属性!R564),INDEX(新属性投放!$J$42:$J$62,卡牌属性!R564)))*INDEX($G$5:$G$42,L564)+IF(Q564=1,INDEX(新属性投放!R$20:R$23,卡牌属性!M564-1),INDEX(新属性投放!R$25:R$28,卡牌属性!M564-1)))/SQRT(INDEX($I$5:$I$42,L564)),2)</f>
        <v>14801.33</v>
      </c>
      <c r="U564" s="29" t="s">
        <v>178</v>
      </c>
      <c r="V564" s="14">
        <f>ROUND((IF(Q564=1,INDEX(新属性投放!$K$14:$K$34,卡牌属性!R564),INDEX(新属性投放!$K$42:$K$62,卡牌属性!R564))+IF(Q564=1,INDEX(新属性投放!S$20:S$23,卡牌属性!M564-1),INDEX(新属性投放!S$25:S$28,卡牌属性!M564-1)))*INDEX($G$5:$G$42,L564),2)</f>
        <v>7061.66</v>
      </c>
      <c r="W564" s="29" t="s">
        <v>179</v>
      </c>
      <c r="X564" s="14">
        <f>ROUND((IF(Q564=1,INDEX(新属性投放!$L$14:$L$34,卡牌属性!R564),INDEX(新属性投放!$L$42:$L$62,卡牌属性!R564))*INDEX($G$5:$G$42,L564)+IF(Q564=1,INDEX(新属性投放!T$20:T$23,卡牌属性!M564-1),INDEX(新属性投放!T$25:T$28,卡牌属性!M564-1)))*SQRT(INDEX($I$5:$I$42,L564)),2)</f>
        <v>78136</v>
      </c>
      <c r="Y564" s="29" t="s">
        <v>177</v>
      </c>
      <c r="Z564" s="14">
        <f>ROUND(IF(Q564=1,INDEX(新属性投放!$D$14:$D$34,卡牌属性!R564),INDEX(新属性投放!$D$42:$D$62,卡牌属性!R564))*INDEX($G$5:$G$42,L564)/SQRT(INDEX($I$5:$I$42,L564)),2)</f>
        <v>348.84</v>
      </c>
      <c r="AA564" s="29" t="s">
        <v>178</v>
      </c>
      <c r="AB564" s="14">
        <f>ROUND(IF(Q564=1,INDEX(新属性投放!$E$14:$E$34,卡牌属性!R564),INDEX(新属性投放!$E$42:$E$62,卡牌属性!R564))*INDEX($G$5:$G$42,L564),2)</f>
        <v>174.42</v>
      </c>
      <c r="AC564" s="29" t="s">
        <v>179</v>
      </c>
      <c r="AD564" s="14">
        <f>ROUND(IF(Q564=1,INDEX(新属性投放!$F$14:$F$34,卡牌属性!R564),INDEX(新属性投放!$F$42:$F$62,卡牌属性!R564))*INDEX($G$5:$G$42,L564)*SQRT(INDEX($I$5:$I$42,L564)),2)</f>
        <v>1569</v>
      </c>
      <c r="AF564" s="14">
        <f t="shared" si="229"/>
        <v>3488</v>
      </c>
      <c r="AG564" s="14">
        <f t="shared" si="230"/>
        <v>1744</v>
      </c>
      <c r="AH564" s="14">
        <f t="shared" si="231"/>
        <v>15690</v>
      </c>
      <c r="AJ564" s="14">
        <f t="shared" si="241"/>
        <v>21087</v>
      </c>
      <c r="AK564" s="14">
        <f t="shared" si="242"/>
        <v>10540</v>
      </c>
      <c r="AL564" s="14">
        <f t="shared" si="243"/>
        <v>94815</v>
      </c>
    </row>
    <row r="565" spans="11:38" ht="16.5" x14ac:dyDescent="0.2">
      <c r="K565" s="13">
        <v>562</v>
      </c>
      <c r="L565" s="13">
        <f t="shared" si="223"/>
        <v>27</v>
      </c>
      <c r="M565" s="13">
        <f t="shared" si="224"/>
        <v>5</v>
      </c>
      <c r="N565" s="14">
        <f t="shared" si="225"/>
        <v>1102011</v>
      </c>
      <c r="O565" s="14" t="str">
        <f t="shared" si="226"/>
        <v>张飞16突</v>
      </c>
      <c r="P565" s="29" t="s">
        <v>470</v>
      </c>
      <c r="Q565" s="14">
        <f t="shared" si="227"/>
        <v>2</v>
      </c>
      <c r="R565" s="14">
        <f t="shared" si="228"/>
        <v>16</v>
      </c>
      <c r="S565" s="14" t="s">
        <v>39</v>
      </c>
      <c r="T565" s="14">
        <f>ROUND(((IF(Q565=1,INDEX(新属性投放!$J$14:$J$34,卡牌属性!R565),INDEX(新属性投放!$J$42:$J$62,卡牌属性!R565)))*INDEX($G$5:$G$42,L565)+IF(Q565=1,INDEX(新属性投放!R$20:R$23,卡牌属性!M565-1),INDEX(新属性投放!R$25:R$28,卡牌属性!M565-1)))/SQRT(INDEX($I$5:$I$42,L565)),2)</f>
        <v>16982.03</v>
      </c>
      <c r="U565" s="29" t="s">
        <v>178</v>
      </c>
      <c r="V565" s="14">
        <f>ROUND((IF(Q565=1,INDEX(新属性投放!$K$14:$K$34,卡牌属性!R565),INDEX(新属性投放!$K$42:$K$62,卡牌属性!R565))+IF(Q565=1,INDEX(新属性投放!S$20:S$23,卡牌属性!M565-1),INDEX(新属性投放!S$25:S$28,卡牌属性!M565-1)))*INDEX($G$5:$G$42,L565),2)</f>
        <v>8151.26</v>
      </c>
      <c r="W565" s="29" t="s">
        <v>179</v>
      </c>
      <c r="X565" s="14">
        <f>ROUND((IF(Q565=1,INDEX(新属性投放!$L$14:$L$34,卡牌属性!R565),INDEX(新属性投放!$L$42:$L$62,卡牌属性!R565))*INDEX($G$5:$G$42,L565)+IF(Q565=1,INDEX(新属性投放!T$20:T$23,卡牌属性!M565-1),INDEX(新属性投放!T$25:T$28,卡牌属性!M565-1)))*SQRT(INDEX($I$5:$I$42,L565)),2)</f>
        <v>89909.5</v>
      </c>
      <c r="Y565" s="29" t="s">
        <v>177</v>
      </c>
      <c r="Z565" s="14">
        <f>ROUND(IF(Q565=1,INDEX(新属性投放!$D$14:$D$34,卡牌属性!R565),INDEX(新属性投放!$D$42:$D$62,卡牌属性!R565))*INDEX($G$5:$G$42,L565)/SQRT(INDEX($I$5:$I$42,L565)),2)</f>
        <v>403.37</v>
      </c>
      <c r="AA565" s="29" t="s">
        <v>178</v>
      </c>
      <c r="AB565" s="14">
        <f>ROUND(IF(Q565=1,INDEX(新属性投放!$E$14:$E$34,卡牌属性!R565),INDEX(新属性投放!$E$42:$E$62,卡牌属性!R565))*INDEX($G$5:$G$42,L565),2)</f>
        <v>201.68</v>
      </c>
      <c r="AC565" s="29" t="s">
        <v>179</v>
      </c>
      <c r="AD565" s="14">
        <f>ROUND(IF(Q565=1,INDEX(新属性投放!$F$14:$F$34,卡牌属性!R565),INDEX(新属性投放!$F$42:$F$62,卡牌属性!R565))*INDEX($G$5:$G$42,L565)*SQRT(INDEX($I$5:$I$42,L565)),2)</f>
        <v>1815</v>
      </c>
      <c r="AF565" s="14">
        <f t="shared" si="229"/>
        <v>4033</v>
      </c>
      <c r="AG565" s="14">
        <f t="shared" si="230"/>
        <v>2016</v>
      </c>
      <c r="AH565" s="14">
        <f t="shared" si="231"/>
        <v>18150</v>
      </c>
      <c r="AJ565" s="14">
        <f t="shared" si="241"/>
        <v>25120</v>
      </c>
      <c r="AK565" s="14">
        <f t="shared" si="242"/>
        <v>12556</v>
      </c>
      <c r="AL565" s="14">
        <f t="shared" si="243"/>
        <v>112965</v>
      </c>
    </row>
    <row r="566" spans="11:38" ht="16.5" x14ac:dyDescent="0.2">
      <c r="K566" s="13">
        <v>563</v>
      </c>
      <c r="L566" s="13">
        <f t="shared" si="223"/>
        <v>27</v>
      </c>
      <c r="M566" s="13">
        <f t="shared" si="224"/>
        <v>5</v>
      </c>
      <c r="N566" s="14">
        <f t="shared" si="225"/>
        <v>1102011</v>
      </c>
      <c r="O566" s="14" t="str">
        <f t="shared" si="226"/>
        <v>张飞17突</v>
      </c>
      <c r="P566" s="29" t="s">
        <v>470</v>
      </c>
      <c r="Q566" s="14">
        <f t="shared" si="227"/>
        <v>2</v>
      </c>
      <c r="R566" s="14">
        <f t="shared" si="228"/>
        <v>17</v>
      </c>
      <c r="S566" s="14" t="s">
        <v>39</v>
      </c>
      <c r="T566" s="14">
        <f>ROUND(((IF(Q566=1,INDEX(新属性投放!$J$14:$J$34,卡牌属性!R566),INDEX(新属性投放!$J$42:$J$62,卡牌属性!R566)))*INDEX($G$5:$G$42,L566)+IF(Q566=1,INDEX(新属性投放!R$20:R$23,卡牌属性!M566-1),INDEX(新属性投放!R$25:R$28,卡牌属性!M566-1)))/SQRT(INDEX($I$5:$I$42,L566)),2)</f>
        <v>19502.849999999999</v>
      </c>
      <c r="U566" s="29" t="s">
        <v>178</v>
      </c>
      <c r="V566" s="14">
        <f>ROUND((IF(Q566=1,INDEX(新属性投放!$K$14:$K$34,卡牌属性!R566),INDEX(新属性投放!$K$42:$K$62,卡牌属性!R566))+IF(Q566=1,INDEX(新属性投放!S$20:S$23,卡牌属性!M566-1),INDEX(新属性投放!S$25:S$28,卡牌属性!M566-1)))*INDEX($G$5:$G$42,L566),2)</f>
        <v>9411.68</v>
      </c>
      <c r="W566" s="29" t="s">
        <v>179</v>
      </c>
      <c r="X566" s="14">
        <f>ROUND((IF(Q566=1,INDEX(新属性投放!$L$14:$L$34,卡牌属性!R566),INDEX(新属性投放!$L$42:$L$62,卡牌属性!R566))*INDEX($G$5:$G$42,L566)+IF(Q566=1,INDEX(新属性投放!T$20:T$23,卡牌属性!M566-1),INDEX(新属性投放!T$25:T$28,卡牌属性!M566-1)))*SQRT(INDEX($I$5:$I$42,L566)),2)</f>
        <v>103520.5</v>
      </c>
      <c r="Y566" s="29" t="s">
        <v>177</v>
      </c>
      <c r="Z566" s="14">
        <f>ROUND(IF(Q566=1,INDEX(新属性投放!$D$14:$D$34,卡牌属性!R566),INDEX(新属性投放!$D$42:$D$62,卡牌属性!R566))*INDEX($G$5:$G$42,L566)/SQRT(INDEX($I$5:$I$42,L566)),2)</f>
        <v>466.38</v>
      </c>
      <c r="AA566" s="29" t="s">
        <v>178</v>
      </c>
      <c r="AB566" s="14">
        <f>ROUND(IF(Q566=1,INDEX(新属性投放!$E$14:$E$34,卡牌属性!R566),INDEX(新属性投放!$E$42:$E$62,卡牌属性!R566))*INDEX($G$5:$G$42,L566),2)</f>
        <v>233.19</v>
      </c>
      <c r="AC566" s="29" t="s">
        <v>179</v>
      </c>
      <c r="AD566" s="14">
        <f>ROUND(IF(Q566=1,INDEX(新属性投放!$F$14:$F$34,卡牌属性!R566),INDEX(新属性投放!$F$42:$F$62,卡牌属性!R566))*INDEX($G$5:$G$42,L566)*SQRT(INDEX($I$5:$I$42,L566)),2)</f>
        <v>2098.5</v>
      </c>
      <c r="AF566" s="14">
        <f t="shared" si="229"/>
        <v>4663</v>
      </c>
      <c r="AG566" s="14">
        <f t="shared" si="230"/>
        <v>2331</v>
      </c>
      <c r="AH566" s="14">
        <f t="shared" si="231"/>
        <v>20985</v>
      </c>
      <c r="AJ566" s="14">
        <f t="shared" si="241"/>
        <v>29783</v>
      </c>
      <c r="AK566" s="14">
        <f t="shared" si="242"/>
        <v>14887</v>
      </c>
      <c r="AL566" s="14">
        <f t="shared" si="243"/>
        <v>133950</v>
      </c>
    </row>
    <row r="567" spans="11:38" ht="16.5" x14ac:dyDescent="0.2">
      <c r="K567" s="13">
        <v>564</v>
      </c>
      <c r="L567" s="13">
        <f t="shared" si="223"/>
        <v>27</v>
      </c>
      <c r="M567" s="13">
        <f t="shared" si="224"/>
        <v>5</v>
      </c>
      <c r="N567" s="14">
        <f t="shared" si="225"/>
        <v>1102011</v>
      </c>
      <c r="O567" s="14" t="str">
        <f t="shared" si="226"/>
        <v>张飞18突</v>
      </c>
      <c r="P567" s="29" t="s">
        <v>470</v>
      </c>
      <c r="Q567" s="14">
        <f t="shared" si="227"/>
        <v>2</v>
      </c>
      <c r="R567" s="14">
        <f t="shared" si="228"/>
        <v>18</v>
      </c>
      <c r="S567" s="14" t="s">
        <v>39</v>
      </c>
      <c r="T567" s="14">
        <f>ROUND(((IF(Q567=1,INDEX(新属性投放!$J$14:$J$34,卡牌属性!R567),INDEX(新属性投放!$J$42:$J$62,卡牌属性!R567)))*INDEX($G$5:$G$42,L567)+IF(Q567=1,INDEX(新属性投放!R$20:R$23,卡牌属性!M567-1),INDEX(新属性投放!R$25:R$28,卡牌属性!M567-1)))/SQRT(INDEX($I$5:$I$42,L567)),2)</f>
        <v>22418.25</v>
      </c>
      <c r="U567" s="29" t="s">
        <v>178</v>
      </c>
      <c r="V567" s="14">
        <f>ROUND((IF(Q567=1,INDEX(新属性投放!$K$14:$K$34,卡牌属性!R567),INDEX(新属性投放!$K$42:$K$62,卡牌属性!R567))+IF(Q567=1,INDEX(新属性投放!S$20:S$23,卡牌属性!M567-1),INDEX(新属性投放!S$25:S$28,卡牌属性!M567-1)))*INDEX($G$5:$G$42,L567),2)</f>
        <v>10868.63</v>
      </c>
      <c r="W567" s="29" t="s">
        <v>179</v>
      </c>
      <c r="X567" s="14">
        <f>ROUND((IF(Q567=1,INDEX(新属性投放!$L$14:$L$34,卡牌属性!R567),INDEX(新属性投放!$L$42:$L$62,卡牌属性!R567))*INDEX($G$5:$G$42,L567)+IF(Q567=1,INDEX(新属性投放!T$20:T$23,卡牌属性!M567-1),INDEX(新属性投放!T$25:T$28,卡牌属性!M567-1)))*SQRT(INDEX($I$5:$I$42,L567)),2)</f>
        <v>119264.5</v>
      </c>
      <c r="Y567" s="29" t="s">
        <v>177</v>
      </c>
      <c r="Z567" s="14">
        <f>ROUND(IF(Q567=1,INDEX(新属性投放!$D$14:$D$34,卡牌属性!R567),INDEX(新属性投放!$D$42:$D$62,卡牌属性!R567))*INDEX($G$5:$G$42,L567)/SQRT(INDEX($I$5:$I$42,L567)),2)</f>
        <v>539.27</v>
      </c>
      <c r="AA567" s="29" t="s">
        <v>178</v>
      </c>
      <c r="AB567" s="14">
        <f>ROUND(IF(Q567=1,INDEX(新属性投放!$E$14:$E$34,卡牌属性!R567),INDEX(新属性投放!$E$42:$E$62,卡牌属性!R567))*INDEX($G$5:$G$42,L567),2)</f>
        <v>269.63</v>
      </c>
      <c r="AC567" s="29" t="s">
        <v>179</v>
      </c>
      <c r="AD567" s="14">
        <f>ROUND(IF(Q567=1,INDEX(新属性投放!$F$14:$F$34,卡牌属性!R567),INDEX(新属性投放!$F$42:$F$62,卡牌属性!R567))*INDEX($G$5:$G$42,L567)*SQRT(INDEX($I$5:$I$42,L567)),2)</f>
        <v>2425.5</v>
      </c>
      <c r="AF567" s="14">
        <f t="shared" si="229"/>
        <v>5392</v>
      </c>
      <c r="AG567" s="14">
        <f t="shared" si="230"/>
        <v>2696</v>
      </c>
      <c r="AH567" s="14">
        <f t="shared" si="231"/>
        <v>24255</v>
      </c>
      <c r="AJ567" s="14">
        <f t="shared" si="241"/>
        <v>35175</v>
      </c>
      <c r="AK567" s="14">
        <f t="shared" si="242"/>
        <v>17583</v>
      </c>
      <c r="AL567" s="14">
        <f t="shared" si="243"/>
        <v>158205</v>
      </c>
    </row>
    <row r="568" spans="11:38" ht="16.5" x14ac:dyDescent="0.2">
      <c r="K568" s="13">
        <v>565</v>
      </c>
      <c r="L568" s="13">
        <f t="shared" si="223"/>
        <v>27</v>
      </c>
      <c r="M568" s="13">
        <f t="shared" si="224"/>
        <v>5</v>
      </c>
      <c r="N568" s="14">
        <f t="shared" si="225"/>
        <v>1102011</v>
      </c>
      <c r="O568" s="14" t="str">
        <f t="shared" si="226"/>
        <v>张飞19突</v>
      </c>
      <c r="P568" s="29" t="s">
        <v>470</v>
      </c>
      <c r="Q568" s="14">
        <f t="shared" si="227"/>
        <v>2</v>
      </c>
      <c r="R568" s="14">
        <f t="shared" si="228"/>
        <v>19</v>
      </c>
      <c r="S568" s="14" t="s">
        <v>39</v>
      </c>
      <c r="T568" s="14">
        <f>ROUND(((IF(Q568=1,INDEX(新属性投放!$J$14:$J$34,卡牌属性!R568),INDEX(新属性投放!$J$42:$J$62,卡牌属性!R568)))*INDEX($G$5:$G$42,L568)+IF(Q568=1,INDEX(新属性投放!R$20:R$23,卡牌属性!M568-1),INDEX(新属性投放!R$25:R$28,卡牌属性!M568-1)))/SQRT(INDEX($I$5:$I$42,L568)),2)</f>
        <v>25788.080000000002</v>
      </c>
      <c r="U568" s="29" t="s">
        <v>178</v>
      </c>
      <c r="V568" s="14">
        <f>ROUND((IF(Q568=1,INDEX(新属性投放!$K$14:$K$34,卡牌属性!R568),INDEX(新属性投放!$K$42:$K$62,卡牌属性!R568))+IF(Q568=1,INDEX(新属性投放!S$20:S$23,卡牌属性!M568-1),INDEX(新属性投放!S$25:S$28,卡牌属性!M568-1)))*INDEX($G$5:$G$42,L568),2)</f>
        <v>12554.29</v>
      </c>
      <c r="W568" s="29" t="s">
        <v>179</v>
      </c>
      <c r="X568" s="14">
        <f>ROUND((IF(Q568=1,INDEX(新属性投放!$L$14:$L$34,卡牌属性!R568),INDEX(新属性投放!$L$42:$L$62,卡牌属性!R568))*INDEX($G$5:$G$42,L568)+IF(Q568=1,INDEX(新属性投放!T$20:T$23,卡牌属性!M568-1),INDEX(新属性投放!T$25:T$28,卡牌属性!M568-1)))*SQRT(INDEX($I$5:$I$42,L568)),2)</f>
        <v>137453.5</v>
      </c>
      <c r="Y568" s="29" t="s">
        <v>177</v>
      </c>
      <c r="Z568" s="14">
        <f>ROUND(IF(Q568=1,INDEX(新属性投放!$D$14:$D$34,卡牌属性!R568),INDEX(新属性投放!$D$42:$D$62,卡牌属性!R568))*INDEX($G$5:$G$42,L568)/SQRT(INDEX($I$5:$I$42,L568)),2)</f>
        <v>623.52</v>
      </c>
      <c r="AA568" s="29" t="s">
        <v>178</v>
      </c>
      <c r="AB568" s="14">
        <f>ROUND(IF(Q568=1,INDEX(新属性投放!$E$14:$E$34,卡牌属性!R568),INDEX(新属性投放!$E$42:$E$62,卡牌属性!R568))*INDEX($G$5:$G$42,L568),2)</f>
        <v>311.76</v>
      </c>
      <c r="AC568" s="29" t="s">
        <v>179</v>
      </c>
      <c r="AD568" s="14">
        <f>ROUND(IF(Q568=1,INDEX(新属性投放!$F$14:$F$34,卡牌属性!R568),INDEX(新属性投放!$F$42:$F$62,卡牌属性!R568))*INDEX($G$5:$G$42,L568)*SQRT(INDEX($I$5:$I$42,L568)),2)</f>
        <v>2805</v>
      </c>
      <c r="AF568" s="14">
        <f t="shared" si="229"/>
        <v>6235</v>
      </c>
      <c r="AG568" s="14">
        <f t="shared" si="230"/>
        <v>3117</v>
      </c>
      <c r="AH568" s="14">
        <f t="shared" si="231"/>
        <v>28050</v>
      </c>
      <c r="AJ568" s="14">
        <f t="shared" si="241"/>
        <v>41410</v>
      </c>
      <c r="AK568" s="14">
        <f t="shared" si="242"/>
        <v>20700</v>
      </c>
      <c r="AL568" s="14">
        <f t="shared" si="243"/>
        <v>186255</v>
      </c>
    </row>
    <row r="569" spans="11:38" ht="16.5" x14ac:dyDescent="0.2">
      <c r="K569" s="13">
        <v>566</v>
      </c>
      <c r="L569" s="13">
        <f t="shared" si="223"/>
        <v>27</v>
      </c>
      <c r="M569" s="13">
        <f t="shared" si="224"/>
        <v>5</v>
      </c>
      <c r="N569" s="14">
        <f t="shared" si="225"/>
        <v>1102011</v>
      </c>
      <c r="O569" s="14" t="str">
        <f t="shared" si="226"/>
        <v>张飞20突</v>
      </c>
      <c r="P569" s="29" t="s">
        <v>470</v>
      </c>
      <c r="Q569" s="14">
        <f t="shared" si="227"/>
        <v>2</v>
      </c>
      <c r="R569" s="14">
        <f t="shared" si="228"/>
        <v>20</v>
      </c>
      <c r="S569" s="14" t="s">
        <v>39</v>
      </c>
      <c r="T569" s="14">
        <f>ROUND(((IF(Q569=1,INDEX(新属性投放!$J$14:$J$34,卡牌属性!R569),INDEX(新属性投放!$J$42:$J$62,卡牌属性!R569)))*INDEX($G$5:$G$42,L569)+IF(Q569=1,INDEX(新属性投放!R$20:R$23,卡牌属性!M569-1),INDEX(新属性投放!R$25:R$28,卡牌属性!M569-1)))/SQRT(INDEX($I$5:$I$42,L569)),2)</f>
        <v>29685.68</v>
      </c>
      <c r="U569" s="29" t="s">
        <v>178</v>
      </c>
      <c r="V569" s="14">
        <f>ROUND((IF(Q569=1,INDEX(新属性投放!$K$14:$K$34,卡牌属性!R569),INDEX(新属性投放!$K$42:$K$62,卡牌属性!R569))+IF(Q569=1,INDEX(新属性投放!S$20:S$23,卡牌属性!M569-1),INDEX(新属性投放!S$25:S$28,卡牌属性!M569-1)))*INDEX($G$5:$G$42,L569),2)</f>
        <v>14503.09</v>
      </c>
      <c r="W569" s="29" t="s">
        <v>179</v>
      </c>
      <c r="X569" s="14">
        <f>ROUND((IF(Q569=1,INDEX(新属性投放!$L$14:$L$34,卡牌属性!R569),INDEX(新属性投放!$L$42:$L$62,卡牌属性!R569))*INDEX($G$5:$G$42,L569)+IF(Q569=1,INDEX(新属性投放!T$20:T$23,卡牌属性!M569-1),INDEX(新属性投放!T$25:T$28,卡牌属性!M569-1)))*SQRT(INDEX($I$5:$I$42,L569)),2)</f>
        <v>158498.5</v>
      </c>
      <c r="Y569" s="29" t="s">
        <v>177</v>
      </c>
      <c r="Z569" s="14">
        <f>ROUND(IF(Q569=1,INDEX(新属性投放!$D$14:$D$34,卡牌属性!R569),INDEX(新属性投放!$D$42:$D$62,卡牌属性!R569))*INDEX($G$5:$G$42,L569)/SQRT(INDEX($I$5:$I$42,L569)),2)</f>
        <v>720.96</v>
      </c>
      <c r="AA569" s="29" t="s">
        <v>178</v>
      </c>
      <c r="AB569" s="14">
        <f>ROUND(IF(Q569=1,INDEX(新属性投放!$E$14:$E$34,卡牌属性!R569),INDEX(新属性投放!$E$42:$E$62,卡牌属性!R569))*INDEX($G$5:$G$42,L569),2)</f>
        <v>360.48</v>
      </c>
      <c r="AC569" s="29" t="s">
        <v>179</v>
      </c>
      <c r="AD569" s="14">
        <f>ROUND(IF(Q569=1,INDEX(新属性投放!$F$14:$F$34,卡牌属性!R569),INDEX(新属性投放!$F$42:$F$62,卡牌属性!R569))*INDEX($G$5:$G$42,L569)*SQRT(INDEX($I$5:$I$42,L569)),2)</f>
        <v>3243</v>
      </c>
      <c r="AF569" s="14">
        <f t="shared" si="229"/>
        <v>7209</v>
      </c>
      <c r="AG569" s="14">
        <f t="shared" si="230"/>
        <v>3604</v>
      </c>
      <c r="AH569" s="14">
        <f t="shared" si="231"/>
        <v>32430</v>
      </c>
      <c r="AJ569" s="14">
        <f t="shared" si="241"/>
        <v>48619</v>
      </c>
      <c r="AK569" s="14">
        <f t="shared" si="242"/>
        <v>24304</v>
      </c>
      <c r="AL569" s="14">
        <f t="shared" si="243"/>
        <v>218685</v>
      </c>
    </row>
    <row r="570" spans="11:38" ht="16.5" x14ac:dyDescent="0.2">
      <c r="K570" s="13">
        <v>567</v>
      </c>
      <c r="L570" s="13">
        <f t="shared" si="223"/>
        <v>27</v>
      </c>
      <c r="M570" s="13">
        <f t="shared" si="224"/>
        <v>5</v>
      </c>
      <c r="N570" s="14">
        <f t="shared" si="225"/>
        <v>1102011</v>
      </c>
      <c r="O570" s="14" t="str">
        <f t="shared" si="226"/>
        <v>张飞21突</v>
      </c>
      <c r="P570" s="29" t="s">
        <v>470</v>
      </c>
      <c r="Q570" s="14">
        <f t="shared" si="227"/>
        <v>2</v>
      </c>
      <c r="R570" s="14">
        <f t="shared" si="228"/>
        <v>21</v>
      </c>
      <c r="S570" s="14" t="s">
        <v>39</v>
      </c>
      <c r="T570" s="14">
        <f>ROUND(((IF(Q570=1,INDEX(新属性投放!$J$14:$J$34,卡牌属性!R570),INDEX(新属性投放!$J$42:$J$62,卡牌属性!R570)))*INDEX($G$5:$G$42,L570)+IF(Q570=1,INDEX(新属性投放!R$20:R$23,卡牌属性!M570-1),INDEX(新属性投放!R$25:R$28,卡牌属性!M570-1)))/SQRT(INDEX($I$5:$I$42,L570)),2)</f>
        <v>34191.980000000003</v>
      </c>
      <c r="U570" s="29" t="s">
        <v>178</v>
      </c>
      <c r="V570" s="14">
        <f>ROUND((IF(Q570=1,INDEX(新属性投放!$K$14:$K$34,卡牌属性!R570),INDEX(新属性投放!$K$42:$K$62,卡牌属性!R570))+IF(Q570=1,INDEX(新属性投放!S$20:S$23,卡牌属性!M570-1),INDEX(新属性投放!S$25:S$28,卡牌属性!M570-1)))*INDEX($G$5:$G$42,L570),2)</f>
        <v>16755.490000000002</v>
      </c>
      <c r="W570" s="29" t="s">
        <v>179</v>
      </c>
      <c r="X570" s="14">
        <f>ROUND((IF(Q570=1,INDEX(新属性投放!$L$14:$L$34,卡牌属性!R570),INDEX(新属性投放!$L$42:$L$62,卡牌属性!R570))*INDEX($G$5:$G$42,L570)+IF(Q570=1,INDEX(新属性投放!T$20:T$23,卡牌属性!M570-1),INDEX(新属性投放!T$25:T$28,卡牌属性!M570-1)))*SQRT(INDEX($I$5:$I$42,L570)),2)</f>
        <v>182827</v>
      </c>
      <c r="Y570" s="29" t="s">
        <v>177</v>
      </c>
      <c r="Z570" s="14">
        <f>ROUND(IF(Q570=1,INDEX(新属性投放!$D$14:$D$34,卡牌属性!R570),INDEX(新属性投放!$D$42:$D$62,卡牌属性!R570))*INDEX($G$5:$G$42,L570)/SQRT(INDEX($I$5:$I$42,L570)),2)</f>
        <v>833.61</v>
      </c>
      <c r="AA570" s="29" t="s">
        <v>178</v>
      </c>
      <c r="AB570" s="14">
        <f>ROUND(IF(Q570=1,INDEX(新属性投放!$E$14:$E$34,卡牌属性!R570),INDEX(新属性投放!$E$42:$E$62,卡牌属性!R570))*INDEX($G$5:$G$42,L570),2)</f>
        <v>416.81</v>
      </c>
      <c r="AC570" s="29" t="s">
        <v>179</v>
      </c>
      <c r="AD570" s="14">
        <f>ROUND(IF(Q570=1,INDEX(新属性投放!$F$14:$F$34,卡牌属性!R570),INDEX(新属性投放!$F$42:$F$62,卡牌属性!R570))*INDEX($G$5:$G$42,L570)*SQRT(INDEX($I$5:$I$42,L570)),2)</f>
        <v>3750</v>
      </c>
      <c r="AF570" s="14">
        <f t="shared" si="229"/>
        <v>8336</v>
      </c>
      <c r="AG570" s="14">
        <f t="shared" si="230"/>
        <v>4168</v>
      </c>
      <c r="AH570" s="14">
        <f t="shared" si="231"/>
        <v>37500</v>
      </c>
      <c r="AJ570" s="14">
        <f t="shared" si="241"/>
        <v>56955</v>
      </c>
      <c r="AK570" s="14">
        <f t="shared" si="242"/>
        <v>28472</v>
      </c>
      <c r="AL570" s="14">
        <f t="shared" si="243"/>
        <v>256185</v>
      </c>
    </row>
    <row r="571" spans="11:38" ht="16.5" x14ac:dyDescent="0.2">
      <c r="K571" s="13">
        <v>568</v>
      </c>
      <c r="L571" s="13">
        <f t="shared" si="223"/>
        <v>28</v>
      </c>
      <c r="M571" s="13">
        <f t="shared" si="224"/>
        <v>5</v>
      </c>
      <c r="N571" s="14">
        <f t="shared" si="225"/>
        <v>1102012</v>
      </c>
      <c r="O571" s="14" t="str">
        <f t="shared" si="226"/>
        <v>夏侯惇1突</v>
      </c>
      <c r="P571" s="29" t="s">
        <v>470</v>
      </c>
      <c r="Q571" s="14">
        <f t="shared" si="227"/>
        <v>2</v>
      </c>
      <c r="R571" s="14">
        <f t="shared" si="228"/>
        <v>1</v>
      </c>
      <c r="S571" s="14" t="s">
        <v>39</v>
      </c>
      <c r="T571" s="14">
        <f>ROUND(((IF(Q571=1,INDEX(新属性投放!$J$14:$J$34,卡牌属性!R571),INDEX(新属性投放!$J$42:$J$62,卡牌属性!R571)))*INDEX($G$5:$G$42,L571)+IF(Q571=1,INDEX(新属性投放!R$20:R$23,卡牌属性!M571-1),INDEX(新属性投放!R$25:R$28,卡牌属性!M571-1)))/SQRT(INDEX($I$5:$I$42,L571)),2)</f>
        <v>975</v>
      </c>
      <c r="U571" s="29" t="s">
        <v>178</v>
      </c>
      <c r="V571" s="14">
        <f>ROUND((IF(Q571=1,INDEX(新属性投放!$K$14:$K$34,卡牌属性!R571),INDEX(新属性投放!$K$42:$K$62,卡牌属性!R571))+IF(Q571=1,INDEX(新属性投放!S$20:S$23,卡牌属性!M571-1),INDEX(新属性投放!S$25:S$28,卡牌属性!M571-1)))*INDEX($G$5:$G$42,L571),2)</f>
        <v>150</v>
      </c>
      <c r="W571" s="29" t="s">
        <v>179</v>
      </c>
      <c r="X571" s="14">
        <f>ROUND((IF(Q571=1,INDEX(新属性投放!$L$14:$L$34,卡牌属性!R571),INDEX(新属性投放!$L$42:$L$62,卡牌属性!R571))*INDEX($G$5:$G$42,L571)+IF(Q571=1,INDEX(新属性投放!T$20:T$23,卡牌属性!M571-1),INDEX(新属性投放!T$25:T$28,卡牌属性!M571-1)))*SQRT(INDEX($I$5:$I$42,L571)),2)</f>
        <v>3625</v>
      </c>
      <c r="Y571" s="29" t="s">
        <v>177</v>
      </c>
      <c r="Z571" s="14">
        <f>ROUND(IF(Q571=1,INDEX(新属性投放!$D$14:$D$34,卡牌属性!R571),INDEX(新属性投放!$D$42:$D$62,卡牌属性!R571))*INDEX($G$5:$G$42,L571)/SQRT(INDEX($I$5:$I$42,L571)),2)</f>
        <v>22.5</v>
      </c>
      <c r="AA571" s="29" t="s">
        <v>178</v>
      </c>
      <c r="AB571" s="14">
        <f>ROUND(IF(Q571=1,INDEX(新属性投放!$E$14:$E$34,卡牌属性!R571),INDEX(新属性投放!$E$42:$E$62,卡牌属性!R571))*INDEX($G$5:$G$42,L571),2)</f>
        <v>11.25</v>
      </c>
      <c r="AC571" s="29" t="s">
        <v>179</v>
      </c>
      <c r="AD571" s="14">
        <f>ROUND(IF(Q571=1,INDEX(新属性投放!$F$14:$F$34,卡牌属性!R571),INDEX(新属性投放!$F$42:$F$62,卡牌属性!R571))*INDEX($G$5:$G$42,L571)*SQRT(INDEX($I$5:$I$42,L571)),2)</f>
        <v>100.5</v>
      </c>
      <c r="AF571" s="14">
        <f t="shared" si="229"/>
        <v>225</v>
      </c>
      <c r="AG571" s="14">
        <f t="shared" si="230"/>
        <v>112</v>
      </c>
      <c r="AH571" s="14">
        <f t="shared" si="231"/>
        <v>1005</v>
      </c>
      <c r="AJ571" s="14">
        <f t="shared" ref="AJ571" si="244">AF571</f>
        <v>225</v>
      </c>
      <c r="AK571" s="14">
        <f t="shared" ref="AK571" si="245">AG571</f>
        <v>112</v>
      </c>
      <c r="AL571" s="14">
        <f t="shared" ref="AL571" si="246">AH571</f>
        <v>1005</v>
      </c>
    </row>
    <row r="572" spans="11:38" ht="16.5" x14ac:dyDescent="0.2">
      <c r="K572" s="13">
        <v>569</v>
      </c>
      <c r="L572" s="13">
        <f t="shared" si="223"/>
        <v>28</v>
      </c>
      <c r="M572" s="13">
        <f t="shared" si="224"/>
        <v>5</v>
      </c>
      <c r="N572" s="14">
        <f t="shared" si="225"/>
        <v>1102012</v>
      </c>
      <c r="O572" s="14" t="str">
        <f t="shared" si="226"/>
        <v>夏侯惇2突</v>
      </c>
      <c r="P572" s="29" t="s">
        <v>470</v>
      </c>
      <c r="Q572" s="14">
        <f t="shared" si="227"/>
        <v>2</v>
      </c>
      <c r="R572" s="14">
        <f t="shared" si="228"/>
        <v>2</v>
      </c>
      <c r="S572" s="14" t="s">
        <v>39</v>
      </c>
      <c r="T572" s="14">
        <f>ROUND(((IF(Q572=1,INDEX(新属性投放!$J$14:$J$34,卡牌属性!R572),INDEX(新属性投放!$J$42:$J$62,卡牌属性!R572)))*INDEX($G$5:$G$42,L572)+IF(Q572=1,INDEX(新属性投放!R$20:R$23,卡牌属性!M572-1),INDEX(新属性投放!R$25:R$28,卡牌属性!M572-1)))/SQRT(INDEX($I$5:$I$42,L572)),2)</f>
        <v>1215</v>
      </c>
      <c r="U572" s="29" t="s">
        <v>178</v>
      </c>
      <c r="V572" s="14">
        <f>ROUND((IF(Q572=1,INDEX(新属性投放!$K$14:$K$34,卡牌属性!R572),INDEX(新属性投放!$K$42:$K$62,卡牌属性!R572))+IF(Q572=1,INDEX(新属性投放!S$20:S$23,卡牌属性!M572-1),INDEX(新属性投放!S$25:S$28,卡牌属性!M572-1)))*INDEX($G$5:$G$42,L572),2)</f>
        <v>266.25</v>
      </c>
      <c r="W572" s="29" t="s">
        <v>179</v>
      </c>
      <c r="X572" s="14">
        <f>ROUND((IF(Q572=1,INDEX(新属性投放!$L$14:$L$34,卡牌属性!R572),INDEX(新属性投放!$L$42:$L$62,卡牌属性!R572))*INDEX($G$5:$G$42,L572)+IF(Q572=1,INDEX(新属性投放!T$20:T$23,卡牌属性!M572-1),INDEX(新属性投放!T$25:T$28,卡牌属性!M572-1)))*SQRT(INDEX($I$5:$I$42,L572)),2)</f>
        <v>4867</v>
      </c>
      <c r="Y572" s="29" t="s">
        <v>177</v>
      </c>
      <c r="Z572" s="14">
        <f>ROUND(IF(Q572=1,INDEX(新属性投放!$D$14:$D$34,卡牌属性!R572),INDEX(新属性投放!$D$42:$D$62,卡牌属性!R572))*INDEX($G$5:$G$42,L572)/SQRT(INDEX($I$5:$I$42,L572)),2)</f>
        <v>20.66</v>
      </c>
      <c r="AA572" s="29" t="s">
        <v>178</v>
      </c>
      <c r="AB572" s="14">
        <f>ROUND(IF(Q572=1,INDEX(新属性投放!$E$14:$E$34,卡牌属性!R572),INDEX(新属性投放!$E$42:$E$62,卡牌属性!R572))*INDEX($G$5:$G$42,L572),2)</f>
        <v>10.33</v>
      </c>
      <c r="AC572" s="29" t="s">
        <v>179</v>
      </c>
      <c r="AD572" s="14">
        <f>ROUND(IF(Q572=1,INDEX(新属性投放!$F$14:$F$34,卡牌属性!R572),INDEX(新属性投放!$F$42:$F$62,卡牌属性!R572))*INDEX($G$5:$G$42,L572)*SQRT(INDEX($I$5:$I$42,L572)),2)</f>
        <v>91.5</v>
      </c>
      <c r="AF572" s="14">
        <f t="shared" si="229"/>
        <v>206</v>
      </c>
      <c r="AG572" s="14">
        <f t="shared" si="230"/>
        <v>103</v>
      </c>
      <c r="AH572" s="14">
        <f t="shared" si="231"/>
        <v>915</v>
      </c>
      <c r="AJ572" s="14">
        <f t="shared" ref="AJ572:AJ591" si="247">AJ571+AF572</f>
        <v>431</v>
      </c>
      <c r="AK572" s="14">
        <f t="shared" ref="AK572:AK591" si="248">AK571+AG572</f>
        <v>215</v>
      </c>
      <c r="AL572" s="14">
        <f t="shared" ref="AL572:AL591" si="249">AL571+AH572</f>
        <v>1920</v>
      </c>
    </row>
    <row r="573" spans="11:38" ht="16.5" x14ac:dyDescent="0.2">
      <c r="K573" s="13">
        <v>570</v>
      </c>
      <c r="L573" s="13">
        <f t="shared" si="223"/>
        <v>28</v>
      </c>
      <c r="M573" s="13">
        <f t="shared" si="224"/>
        <v>5</v>
      </c>
      <c r="N573" s="14">
        <f t="shared" si="225"/>
        <v>1102012</v>
      </c>
      <c r="O573" s="14" t="str">
        <f t="shared" si="226"/>
        <v>夏侯惇3突</v>
      </c>
      <c r="P573" s="29" t="s">
        <v>470</v>
      </c>
      <c r="Q573" s="14">
        <f t="shared" si="227"/>
        <v>2</v>
      </c>
      <c r="R573" s="14">
        <f t="shared" si="228"/>
        <v>3</v>
      </c>
      <c r="S573" s="14" t="s">
        <v>39</v>
      </c>
      <c r="T573" s="14">
        <f>ROUND(((IF(Q573=1,INDEX(新属性投放!$J$14:$J$34,卡牌属性!R573),INDEX(新属性投放!$J$42:$J$62,卡牌属性!R573)))*INDEX($G$5:$G$42,L573)+IF(Q573=1,INDEX(新属性投放!R$20:R$23,卡牌属性!M573-1),INDEX(新属性投放!R$25:R$28,卡牌属性!M573-1)))/SQRT(INDEX($I$5:$I$42,L573)),2)</f>
        <v>1472.55</v>
      </c>
      <c r="U573" s="29" t="s">
        <v>178</v>
      </c>
      <c r="V573" s="14">
        <f>ROUND((IF(Q573=1,INDEX(新属性投放!$K$14:$K$34,卡牌属性!R573),INDEX(新属性投放!$K$42:$K$62,卡牌属性!R573))+IF(Q573=1,INDEX(新属性投放!S$20:S$23,卡牌属性!M573-1),INDEX(新属性投放!S$25:S$28,卡牌属性!M573-1)))*INDEX($G$5:$G$42,L573),2)</f>
        <v>395.03</v>
      </c>
      <c r="W573" s="29" t="s">
        <v>179</v>
      </c>
      <c r="X573" s="14">
        <f>ROUND((IF(Q573=1,INDEX(新属性投放!$L$14:$L$34,卡牌属性!R573),INDEX(新属性投放!$L$42:$L$62,卡牌属性!R573))*INDEX($G$5:$G$42,L573)+IF(Q573=1,INDEX(新属性投放!T$20:T$23,卡牌属性!M573-1),INDEX(新属性投放!T$25:T$28,卡牌属性!M573-1)))*SQRT(INDEX($I$5:$I$42,L573)),2)</f>
        <v>6241</v>
      </c>
      <c r="Y573" s="29" t="s">
        <v>177</v>
      </c>
      <c r="Z573" s="14">
        <f>ROUND(IF(Q573=1,INDEX(新属性投放!$D$14:$D$34,卡牌属性!R573),INDEX(新属性投放!$D$42:$D$62,卡牌属性!R573))*INDEX($G$5:$G$42,L573)/SQRT(INDEX($I$5:$I$42,L573)),2)</f>
        <v>37.76</v>
      </c>
      <c r="AA573" s="29" t="s">
        <v>178</v>
      </c>
      <c r="AB573" s="14">
        <f>ROUND(IF(Q573=1,INDEX(新属性投放!$E$14:$E$34,卡牌属性!R573),INDEX(新属性投放!$E$42:$E$62,卡牌属性!R573))*INDEX($G$5:$G$42,L573),2)</f>
        <v>18.88</v>
      </c>
      <c r="AC573" s="29" t="s">
        <v>179</v>
      </c>
      <c r="AD573" s="14">
        <f>ROUND(IF(Q573=1,INDEX(新属性投放!$F$14:$F$34,卡牌属性!R573),INDEX(新属性投放!$F$42:$F$62,卡牌属性!R573))*INDEX($G$5:$G$42,L573)*SQRT(INDEX($I$5:$I$42,L573)),2)</f>
        <v>169.5</v>
      </c>
      <c r="AF573" s="14">
        <f t="shared" si="229"/>
        <v>377</v>
      </c>
      <c r="AG573" s="14">
        <f t="shared" si="230"/>
        <v>188</v>
      </c>
      <c r="AH573" s="14">
        <f t="shared" si="231"/>
        <v>1695</v>
      </c>
      <c r="AJ573" s="14">
        <f t="shared" si="247"/>
        <v>808</v>
      </c>
      <c r="AK573" s="14">
        <f t="shared" si="248"/>
        <v>403</v>
      </c>
      <c r="AL573" s="14">
        <f t="shared" si="249"/>
        <v>3615</v>
      </c>
    </row>
    <row r="574" spans="11:38" ht="16.5" x14ac:dyDescent="0.2">
      <c r="K574" s="13">
        <v>571</v>
      </c>
      <c r="L574" s="13">
        <f t="shared" si="223"/>
        <v>28</v>
      </c>
      <c r="M574" s="13">
        <f t="shared" si="224"/>
        <v>5</v>
      </c>
      <c r="N574" s="14">
        <f t="shared" si="225"/>
        <v>1102012</v>
      </c>
      <c r="O574" s="14" t="str">
        <f t="shared" si="226"/>
        <v>夏侯惇4突</v>
      </c>
      <c r="P574" s="29" t="s">
        <v>470</v>
      </c>
      <c r="Q574" s="14">
        <f t="shared" si="227"/>
        <v>2</v>
      </c>
      <c r="R574" s="14">
        <f t="shared" si="228"/>
        <v>4</v>
      </c>
      <c r="S574" s="14" t="s">
        <v>39</v>
      </c>
      <c r="T574" s="14">
        <f>ROUND(((IF(Q574=1,INDEX(新属性投放!$J$14:$J$34,卡牌属性!R574),INDEX(新属性投放!$J$42:$J$62,卡牌属性!R574)))*INDEX($G$5:$G$42,L574)+IF(Q574=1,INDEX(新属性投放!R$20:R$23,卡牌属性!M574-1),INDEX(新属性投放!R$25:R$28,卡牌属性!M574-1)))/SQRT(INDEX($I$5:$I$42,L574)),2)</f>
        <v>1944.6</v>
      </c>
      <c r="U574" s="29" t="s">
        <v>178</v>
      </c>
      <c r="V574" s="14">
        <f>ROUND((IF(Q574=1,INDEX(新属性投放!$K$14:$K$34,卡牌属性!R574),INDEX(新属性投放!$K$42:$K$62,卡牌属性!R574))+IF(Q574=1,INDEX(新属性投放!S$20:S$23,卡牌属性!M574-1),INDEX(新属性投放!S$25:S$28,卡牌属性!M574-1)))*INDEX($G$5:$G$42,L574),2)</f>
        <v>630.29999999999995</v>
      </c>
      <c r="W574" s="29" t="s">
        <v>179</v>
      </c>
      <c r="X574" s="14">
        <f>ROUND((IF(Q574=1,INDEX(新属性投放!$L$14:$L$34,卡牌属性!R574),INDEX(新属性投放!$L$42:$L$62,卡牌属性!R574))*INDEX($G$5:$G$42,L574)+IF(Q574=1,INDEX(新属性投放!T$20:T$23,卡牌属性!M574-1),INDEX(新属性投放!T$25:T$28,卡牌属性!M574-1)))*SQRT(INDEX($I$5:$I$42,L574)),2)</f>
        <v>8786.5</v>
      </c>
      <c r="Y574" s="29" t="s">
        <v>177</v>
      </c>
      <c r="Z574" s="14">
        <f>ROUND(IF(Q574=1,INDEX(新属性投放!$D$14:$D$34,卡牌属性!R574),INDEX(新属性投放!$D$42:$D$62,卡牌属性!R574))*INDEX($G$5:$G$42,L574)/SQRT(INDEX($I$5:$I$42,L574)),2)</f>
        <v>45.2</v>
      </c>
      <c r="AA574" s="29" t="s">
        <v>178</v>
      </c>
      <c r="AB574" s="14">
        <f>ROUND(IF(Q574=1,INDEX(新属性投放!$E$14:$E$34,卡牌属性!R574),INDEX(新属性投放!$E$42:$E$62,卡牌属性!R574))*INDEX($G$5:$G$42,L574),2)</f>
        <v>22.6</v>
      </c>
      <c r="AC574" s="29" t="s">
        <v>179</v>
      </c>
      <c r="AD574" s="14">
        <f>ROUND(IF(Q574=1,INDEX(新属性投放!$F$14:$F$34,卡牌属性!R574),INDEX(新属性投放!$F$42:$F$62,卡牌属性!R574))*INDEX($G$5:$G$42,L574)*SQRT(INDEX($I$5:$I$42,L574)),2)</f>
        <v>202.5</v>
      </c>
      <c r="AF574" s="14">
        <f t="shared" si="229"/>
        <v>452</v>
      </c>
      <c r="AG574" s="14">
        <f t="shared" si="230"/>
        <v>226</v>
      </c>
      <c r="AH574" s="14">
        <f t="shared" si="231"/>
        <v>2025</v>
      </c>
      <c r="AJ574" s="14">
        <f t="shared" si="247"/>
        <v>1260</v>
      </c>
      <c r="AK574" s="14">
        <f t="shared" si="248"/>
        <v>629</v>
      </c>
      <c r="AL574" s="14">
        <f t="shared" si="249"/>
        <v>5640</v>
      </c>
    </row>
    <row r="575" spans="11:38" ht="16.5" x14ac:dyDescent="0.2">
      <c r="K575" s="13">
        <v>572</v>
      </c>
      <c r="L575" s="13">
        <f t="shared" si="223"/>
        <v>28</v>
      </c>
      <c r="M575" s="13">
        <f t="shared" si="224"/>
        <v>5</v>
      </c>
      <c r="N575" s="14">
        <f t="shared" si="225"/>
        <v>1102012</v>
      </c>
      <c r="O575" s="14" t="str">
        <f t="shared" si="226"/>
        <v>夏侯惇5突</v>
      </c>
      <c r="P575" s="29" t="s">
        <v>470</v>
      </c>
      <c r="Q575" s="14">
        <f t="shared" si="227"/>
        <v>2</v>
      </c>
      <c r="R575" s="14">
        <f t="shared" si="228"/>
        <v>5</v>
      </c>
      <c r="S575" s="14" t="s">
        <v>39</v>
      </c>
      <c r="T575" s="14">
        <f>ROUND(((IF(Q575=1,INDEX(新属性投放!$J$14:$J$34,卡牌属性!R575),INDEX(新属性投放!$J$42:$J$62,卡牌属性!R575)))*INDEX($G$5:$G$42,L575)+IF(Q575=1,INDEX(新属性投放!R$20:R$23,卡牌属性!M575-1),INDEX(新属性投放!R$25:R$28,卡牌属性!M575-1)))/SQRT(INDEX($I$5:$I$42,L575)),2)</f>
        <v>2509.0500000000002</v>
      </c>
      <c r="U575" s="29" t="s">
        <v>178</v>
      </c>
      <c r="V575" s="14">
        <f>ROUND((IF(Q575=1,INDEX(新属性投放!$K$14:$K$34,卡牌属性!R575),INDEX(新属性投放!$K$42:$K$62,卡牌属性!R575))+IF(Q575=1,INDEX(新属性投放!S$20:S$23,卡牌属性!M575-1),INDEX(新属性投放!S$25:S$28,卡牌属性!M575-1)))*INDEX($G$5:$G$42,L575),2)</f>
        <v>913.28</v>
      </c>
      <c r="W575" s="29" t="s">
        <v>179</v>
      </c>
      <c r="X575" s="14">
        <f>ROUND((IF(Q575=1,INDEX(新属性投放!$L$14:$L$34,卡牌属性!R575),INDEX(新属性投放!$L$42:$L$62,卡牌属性!R575))*INDEX($G$5:$G$42,L575)+IF(Q575=1,INDEX(新属性投放!T$20:T$23,卡牌属性!M575-1),INDEX(新属性投放!T$25:T$28,卡牌属性!M575-1)))*SQRT(INDEX($I$5:$I$42,L575)),2)</f>
        <v>11824</v>
      </c>
      <c r="Y575" s="29" t="s">
        <v>177</v>
      </c>
      <c r="Z575" s="14">
        <f>ROUND(IF(Q575=1,INDEX(新属性投放!$D$14:$D$34,卡牌属性!R575),INDEX(新属性投放!$D$42:$D$62,卡牌属性!R575))*INDEX($G$5:$G$42,L575)/SQRT(INDEX($I$5:$I$42,L575)),2)</f>
        <v>56.49</v>
      </c>
      <c r="AA575" s="29" t="s">
        <v>178</v>
      </c>
      <c r="AB575" s="14">
        <f>ROUND(IF(Q575=1,INDEX(新属性投放!$E$14:$E$34,卡牌属性!R575),INDEX(新属性投放!$E$42:$E$62,卡牌属性!R575))*INDEX($G$5:$G$42,L575),2)</f>
        <v>28.25</v>
      </c>
      <c r="AC575" s="29" t="s">
        <v>179</v>
      </c>
      <c r="AD575" s="14">
        <f>ROUND(IF(Q575=1,INDEX(新属性投放!$F$14:$F$34,卡牌属性!R575),INDEX(新属性投放!$F$42:$F$62,卡牌属性!R575))*INDEX($G$5:$G$42,L575)*SQRT(INDEX($I$5:$I$42,L575)),2)</f>
        <v>253.5</v>
      </c>
      <c r="AF575" s="14">
        <f t="shared" si="229"/>
        <v>564</v>
      </c>
      <c r="AG575" s="14">
        <f t="shared" si="230"/>
        <v>282</v>
      </c>
      <c r="AH575" s="14">
        <f t="shared" si="231"/>
        <v>2535</v>
      </c>
      <c r="AJ575" s="14">
        <f t="shared" si="247"/>
        <v>1824</v>
      </c>
      <c r="AK575" s="14">
        <f t="shared" si="248"/>
        <v>911</v>
      </c>
      <c r="AL575" s="14">
        <f t="shared" si="249"/>
        <v>8175</v>
      </c>
    </row>
    <row r="576" spans="11:38" ht="16.5" x14ac:dyDescent="0.2">
      <c r="K576" s="13">
        <v>573</v>
      </c>
      <c r="L576" s="13">
        <f t="shared" si="223"/>
        <v>28</v>
      </c>
      <c r="M576" s="13">
        <f t="shared" si="224"/>
        <v>5</v>
      </c>
      <c r="N576" s="14">
        <f t="shared" si="225"/>
        <v>1102012</v>
      </c>
      <c r="O576" s="14" t="str">
        <f t="shared" si="226"/>
        <v>夏侯惇6突</v>
      </c>
      <c r="P576" s="29" t="s">
        <v>470</v>
      </c>
      <c r="Q576" s="14">
        <f t="shared" si="227"/>
        <v>2</v>
      </c>
      <c r="R576" s="14">
        <f t="shared" si="228"/>
        <v>6</v>
      </c>
      <c r="S576" s="14" t="s">
        <v>39</v>
      </c>
      <c r="T576" s="14">
        <f>ROUND(((IF(Q576=1,INDEX(新属性投放!$J$14:$J$34,卡牌属性!R576),INDEX(新属性投放!$J$42:$J$62,卡牌属性!R576)))*INDEX($G$5:$G$42,L576)+IF(Q576=1,INDEX(新属性投放!R$20:R$23,卡牌属性!M576-1),INDEX(新属性投放!R$25:R$28,卡牌属性!M576-1)))/SQRT(INDEX($I$5:$I$42,L576)),2)</f>
        <v>3214.95</v>
      </c>
      <c r="U576" s="29" t="s">
        <v>178</v>
      </c>
      <c r="V576" s="14">
        <f>ROUND((IF(Q576=1,INDEX(新属性投放!$K$14:$K$34,卡牌属性!R576),INDEX(新属性投放!$K$42:$K$62,卡牌属性!R576))+IF(Q576=1,INDEX(新属性投放!S$20:S$23,卡牌属性!M576-1),INDEX(新属性投放!S$25:S$28,卡牌属性!M576-1)))*INDEX($G$5:$G$42,L576),2)</f>
        <v>1266.23</v>
      </c>
      <c r="W576" s="29" t="s">
        <v>179</v>
      </c>
      <c r="X576" s="14">
        <f>ROUND((IF(Q576=1,INDEX(新属性投放!$L$14:$L$34,卡牌属性!R576),INDEX(新属性投放!$L$42:$L$62,卡牌属性!R576))*INDEX($G$5:$G$42,L576)+IF(Q576=1,INDEX(新属性投放!T$20:T$23,卡牌属性!M576-1),INDEX(新属性投放!T$25:T$28,卡牌属性!M576-1)))*SQRT(INDEX($I$5:$I$42,L576)),2)</f>
        <v>15628</v>
      </c>
      <c r="Y576" s="29" t="s">
        <v>177</v>
      </c>
      <c r="Z576" s="14">
        <f>ROUND(IF(Q576=1,INDEX(新属性投放!$D$14:$D$34,卡牌属性!R576),INDEX(新属性投放!$D$42:$D$62,卡牌属性!R576))*INDEX($G$5:$G$42,L576)/SQRT(INDEX($I$5:$I$42,L576)),2)</f>
        <v>73.28</v>
      </c>
      <c r="AA576" s="29" t="s">
        <v>178</v>
      </c>
      <c r="AB576" s="14">
        <f>ROUND(IF(Q576=1,INDEX(新属性投放!$E$14:$E$34,卡牌属性!R576),INDEX(新属性投放!$E$42:$E$62,卡牌属性!R576))*INDEX($G$5:$G$42,L576),2)</f>
        <v>36.64</v>
      </c>
      <c r="AC576" s="29" t="s">
        <v>179</v>
      </c>
      <c r="AD576" s="14">
        <f>ROUND(IF(Q576=1,INDEX(新属性投放!$F$14:$F$34,卡牌属性!R576),INDEX(新属性投放!$F$42:$F$62,卡牌属性!R576))*INDEX($G$5:$G$42,L576)*SQRT(INDEX($I$5:$I$42,L576)),2)</f>
        <v>328.5</v>
      </c>
      <c r="AF576" s="14">
        <f t="shared" si="229"/>
        <v>732</v>
      </c>
      <c r="AG576" s="14">
        <f t="shared" si="230"/>
        <v>366</v>
      </c>
      <c r="AH576" s="14">
        <f t="shared" si="231"/>
        <v>3285</v>
      </c>
      <c r="AJ576" s="14">
        <f t="shared" si="247"/>
        <v>2556</v>
      </c>
      <c r="AK576" s="14">
        <f t="shared" si="248"/>
        <v>1277</v>
      </c>
      <c r="AL576" s="14">
        <f t="shared" si="249"/>
        <v>11460</v>
      </c>
    </row>
    <row r="577" spans="11:38" ht="16.5" x14ac:dyDescent="0.2">
      <c r="K577" s="13">
        <v>574</v>
      </c>
      <c r="L577" s="13">
        <f t="shared" si="223"/>
        <v>28</v>
      </c>
      <c r="M577" s="13">
        <f t="shared" si="224"/>
        <v>5</v>
      </c>
      <c r="N577" s="14">
        <f t="shared" si="225"/>
        <v>1102012</v>
      </c>
      <c r="O577" s="14" t="str">
        <f t="shared" si="226"/>
        <v>夏侯惇7突</v>
      </c>
      <c r="P577" s="29" t="s">
        <v>470</v>
      </c>
      <c r="Q577" s="14">
        <f t="shared" si="227"/>
        <v>2</v>
      </c>
      <c r="R577" s="14">
        <f t="shared" si="228"/>
        <v>7</v>
      </c>
      <c r="S577" s="14" t="s">
        <v>39</v>
      </c>
      <c r="T577" s="14">
        <f>ROUND(((IF(Q577=1,INDEX(新属性投放!$J$14:$J$34,卡牌属性!R577),INDEX(新属性投放!$J$42:$J$62,卡牌属性!R577)))*INDEX($G$5:$G$42,L577)+IF(Q577=1,INDEX(新属性投放!R$20:R$23,卡牌属性!M577-1),INDEX(新属性投放!R$25:R$28,卡牌属性!M577-1)))/SQRT(INDEX($I$5:$I$42,L577)),2)</f>
        <v>4130.7</v>
      </c>
      <c r="U577" s="29" t="s">
        <v>178</v>
      </c>
      <c r="V577" s="14">
        <f>ROUND((IF(Q577=1,INDEX(新属性投放!$K$14:$K$34,卡牌属性!R577),INDEX(新属性投放!$K$42:$K$62,卡牌属性!R577))+IF(Q577=1,INDEX(新属性投放!S$20:S$23,卡牌属性!M577-1),INDEX(新属性投放!S$25:S$28,卡牌属性!M577-1)))*INDEX($G$5:$G$42,L577),2)</f>
        <v>1724.1</v>
      </c>
      <c r="W577" s="29" t="s">
        <v>179</v>
      </c>
      <c r="X577" s="14">
        <f>ROUND((IF(Q577=1,INDEX(新属性投放!$L$14:$L$34,卡牌属性!R577),INDEX(新属性投放!$L$42:$L$62,卡牌属性!R577))*INDEX($G$5:$G$42,L577)+IF(Q577=1,INDEX(新属性投放!T$20:T$23,卡牌属性!M577-1),INDEX(新属性投放!T$25:T$28,卡牌属性!M577-1)))*SQRT(INDEX($I$5:$I$42,L577)),2)</f>
        <v>20560</v>
      </c>
      <c r="Y577" s="29" t="s">
        <v>177</v>
      </c>
      <c r="Z577" s="14">
        <f>ROUND(IF(Q577=1,INDEX(新属性投放!$D$14:$D$34,卡牌属性!R577),INDEX(新属性投放!$D$42:$D$62,卡牌属性!R577))*INDEX($G$5:$G$42,L577)/SQRT(INDEX($I$5:$I$42,L577)),2)</f>
        <v>90.29</v>
      </c>
      <c r="AA577" s="29" t="s">
        <v>178</v>
      </c>
      <c r="AB577" s="14">
        <f>ROUND(IF(Q577=1,INDEX(新属性投放!$E$14:$E$34,卡牌属性!R577),INDEX(新属性投放!$E$42:$E$62,卡牌属性!R577))*INDEX($G$5:$G$42,L577),2)</f>
        <v>45.14</v>
      </c>
      <c r="AC577" s="29" t="s">
        <v>179</v>
      </c>
      <c r="AD577" s="14">
        <f>ROUND(IF(Q577=1,INDEX(新属性投放!$F$14:$F$34,卡牌属性!R577),INDEX(新属性投放!$F$42:$F$62,卡牌属性!R577))*INDEX($G$5:$G$42,L577)*SQRT(INDEX($I$5:$I$42,L577)),2)</f>
        <v>405</v>
      </c>
      <c r="AF577" s="14">
        <f t="shared" si="229"/>
        <v>902</v>
      </c>
      <c r="AG577" s="14">
        <f t="shared" si="230"/>
        <v>451</v>
      </c>
      <c r="AH577" s="14">
        <f t="shared" si="231"/>
        <v>4050</v>
      </c>
      <c r="AJ577" s="14">
        <f t="shared" si="247"/>
        <v>3458</v>
      </c>
      <c r="AK577" s="14">
        <f t="shared" si="248"/>
        <v>1728</v>
      </c>
      <c r="AL577" s="14">
        <f t="shared" si="249"/>
        <v>15510</v>
      </c>
    </row>
    <row r="578" spans="11:38" ht="16.5" x14ac:dyDescent="0.2">
      <c r="K578" s="13">
        <v>575</v>
      </c>
      <c r="L578" s="13">
        <f t="shared" si="223"/>
        <v>28</v>
      </c>
      <c r="M578" s="13">
        <f t="shared" si="224"/>
        <v>5</v>
      </c>
      <c r="N578" s="14">
        <f t="shared" si="225"/>
        <v>1102012</v>
      </c>
      <c r="O578" s="14" t="str">
        <f t="shared" si="226"/>
        <v>夏侯惇8突</v>
      </c>
      <c r="P578" s="29" t="s">
        <v>470</v>
      </c>
      <c r="Q578" s="14">
        <f t="shared" si="227"/>
        <v>2</v>
      </c>
      <c r="R578" s="14">
        <f t="shared" si="228"/>
        <v>8</v>
      </c>
      <c r="S578" s="14" t="s">
        <v>39</v>
      </c>
      <c r="T578" s="14">
        <f>ROUND(((IF(Q578=1,INDEX(新属性投放!$J$14:$J$34,卡牌属性!R578),INDEX(新属性投放!$J$42:$J$62,卡牌属性!R578)))*INDEX($G$5:$G$42,L578)+IF(Q578=1,INDEX(新属性投放!R$20:R$23,卡牌属性!M578-1),INDEX(新属性投放!R$25:R$28,卡牌属性!M578-1)))/SQRT(INDEX($I$5:$I$42,L578)),2)</f>
        <v>5258.55</v>
      </c>
      <c r="U578" s="29" t="s">
        <v>178</v>
      </c>
      <c r="V578" s="14">
        <f>ROUND((IF(Q578=1,INDEX(新属性投放!$K$14:$K$34,卡牌属性!R578),INDEX(新属性投放!$K$42:$K$62,卡牌属性!R578))+IF(Q578=1,INDEX(新属性投放!S$20:S$23,卡牌属性!M578-1),INDEX(新属性投放!S$25:S$28,卡牌属性!M578-1)))*INDEX($G$5:$G$42,L578),2)</f>
        <v>2288.0300000000002</v>
      </c>
      <c r="W578" s="29" t="s">
        <v>179</v>
      </c>
      <c r="X578" s="14">
        <f>ROUND((IF(Q578=1,INDEX(新属性投放!$L$14:$L$34,卡牌属性!R578),INDEX(新属性投放!$L$42:$L$62,卡牌属性!R578))*INDEX($G$5:$G$42,L578)+IF(Q578=1,INDEX(新属性投放!T$20:T$23,卡牌属性!M578-1),INDEX(新属性投放!T$25:T$28,卡牌属性!M578-1)))*SQRT(INDEX($I$5:$I$42,L578)),2)</f>
        <v>26635</v>
      </c>
      <c r="Y578" s="29" t="s">
        <v>177</v>
      </c>
      <c r="Z578" s="14">
        <f>ROUND(IF(Q578=1,INDEX(新属性投放!$D$14:$D$34,卡牌属性!R578),INDEX(新属性投放!$D$42:$D$62,卡牌属性!R578))*INDEX($G$5:$G$42,L578)/SQRT(INDEX($I$5:$I$42,L578)),2)</f>
        <v>112.79</v>
      </c>
      <c r="AA578" s="29" t="s">
        <v>178</v>
      </c>
      <c r="AB578" s="14">
        <f>ROUND(IF(Q578=1,INDEX(新属性投放!$E$14:$E$34,卡牌属性!R578),INDEX(新属性投放!$E$42:$E$62,卡牌属性!R578))*INDEX($G$5:$G$42,L578),2)</f>
        <v>56.39</v>
      </c>
      <c r="AC578" s="29" t="s">
        <v>179</v>
      </c>
      <c r="AD578" s="14">
        <f>ROUND(IF(Q578=1,INDEX(新属性投放!$F$14:$F$34,卡牌属性!R578),INDEX(新属性投放!$F$42:$F$62,卡牌属性!R578))*INDEX($G$5:$G$42,L578)*SQRT(INDEX($I$5:$I$42,L578)),2)</f>
        <v>507</v>
      </c>
      <c r="AF578" s="14">
        <f t="shared" si="229"/>
        <v>1127</v>
      </c>
      <c r="AG578" s="14">
        <f t="shared" si="230"/>
        <v>563</v>
      </c>
      <c r="AH578" s="14">
        <f t="shared" si="231"/>
        <v>5070</v>
      </c>
      <c r="AJ578" s="14">
        <f t="shared" si="247"/>
        <v>4585</v>
      </c>
      <c r="AK578" s="14">
        <f t="shared" si="248"/>
        <v>2291</v>
      </c>
      <c r="AL578" s="14">
        <f t="shared" si="249"/>
        <v>20580</v>
      </c>
    </row>
    <row r="579" spans="11:38" ht="16.5" x14ac:dyDescent="0.2">
      <c r="K579" s="13">
        <v>576</v>
      </c>
      <c r="L579" s="13">
        <f t="shared" si="223"/>
        <v>28</v>
      </c>
      <c r="M579" s="13">
        <f t="shared" si="224"/>
        <v>5</v>
      </c>
      <c r="N579" s="14">
        <f t="shared" si="225"/>
        <v>1102012</v>
      </c>
      <c r="O579" s="14" t="str">
        <f t="shared" si="226"/>
        <v>夏侯惇9突</v>
      </c>
      <c r="P579" s="29" t="s">
        <v>470</v>
      </c>
      <c r="Q579" s="14">
        <f t="shared" si="227"/>
        <v>2</v>
      </c>
      <c r="R579" s="14">
        <f t="shared" si="228"/>
        <v>9</v>
      </c>
      <c r="S579" s="14" t="s">
        <v>39</v>
      </c>
      <c r="T579" s="14">
        <f>ROUND(((IF(Q579=1,INDEX(新属性投放!$J$14:$J$34,卡牌属性!R579),INDEX(新属性投放!$J$42:$J$62,卡牌属性!R579)))*INDEX($G$5:$G$42,L579)+IF(Q579=1,INDEX(新属性投放!R$20:R$23,卡牌属性!M579-1),INDEX(新属性投放!R$25:R$28,卡牌属性!M579-1)))/SQRT(INDEX($I$5:$I$42,L579)),2)</f>
        <v>6668.4</v>
      </c>
      <c r="U579" s="29" t="s">
        <v>178</v>
      </c>
      <c r="V579" s="14">
        <f>ROUND((IF(Q579=1,INDEX(新属性投放!$K$14:$K$34,卡牌属性!R579),INDEX(新属性投放!$K$42:$K$62,卡牌属性!R579))+IF(Q579=1,INDEX(新属性投放!S$20:S$23,卡牌属性!M579-1),INDEX(新属性投放!S$25:S$28,卡牌属性!M579-1)))*INDEX($G$5:$G$42,L579),2)</f>
        <v>2992.95</v>
      </c>
      <c r="W579" s="29" t="s">
        <v>179</v>
      </c>
      <c r="X579" s="14">
        <f>ROUND((IF(Q579=1,INDEX(新属性投放!$L$14:$L$34,卡牌属性!R579),INDEX(新属性投放!$L$42:$L$62,卡牌属性!R579))*INDEX($G$5:$G$42,L579)+IF(Q579=1,INDEX(新属性投放!T$20:T$23,卡牌属性!M579-1),INDEX(新属性投放!T$25:T$28,卡牌属性!M579-1)))*SQRT(INDEX($I$5:$I$42,L579)),2)</f>
        <v>34243</v>
      </c>
      <c r="Y579" s="29" t="s">
        <v>177</v>
      </c>
      <c r="Z579" s="14">
        <f>ROUND(IF(Q579=1,INDEX(新属性投放!$D$14:$D$34,卡牌属性!R579),INDEX(新属性投放!$D$42:$D$62,卡牌属性!R579))*INDEX($G$5:$G$42,L579)/SQRT(INDEX($I$5:$I$42,L579)),2)</f>
        <v>146.69</v>
      </c>
      <c r="AA579" s="29" t="s">
        <v>178</v>
      </c>
      <c r="AB579" s="14">
        <f>ROUND(IF(Q579=1,INDEX(新属性投放!$E$14:$E$34,卡牌属性!R579),INDEX(新属性投放!$E$42:$E$62,卡牌属性!R579))*INDEX($G$5:$G$42,L579),2)</f>
        <v>73.34</v>
      </c>
      <c r="AC579" s="29" t="s">
        <v>179</v>
      </c>
      <c r="AD579" s="14">
        <f>ROUND(IF(Q579=1,INDEX(新属性投放!$F$14:$F$34,卡牌属性!R579),INDEX(新属性投放!$F$42:$F$62,卡牌属性!R579))*INDEX($G$5:$G$42,L579)*SQRT(INDEX($I$5:$I$42,L579)),2)</f>
        <v>660</v>
      </c>
      <c r="AF579" s="14">
        <f t="shared" si="229"/>
        <v>1466</v>
      </c>
      <c r="AG579" s="14">
        <f t="shared" si="230"/>
        <v>733</v>
      </c>
      <c r="AH579" s="14">
        <f t="shared" si="231"/>
        <v>6600</v>
      </c>
      <c r="AJ579" s="14">
        <f t="shared" si="247"/>
        <v>6051</v>
      </c>
      <c r="AK579" s="14">
        <f t="shared" si="248"/>
        <v>3024</v>
      </c>
      <c r="AL579" s="14">
        <f t="shared" si="249"/>
        <v>27180</v>
      </c>
    </row>
    <row r="580" spans="11:38" ht="16.5" x14ac:dyDescent="0.2">
      <c r="K580" s="13">
        <v>577</v>
      </c>
      <c r="L580" s="13">
        <f t="shared" si="223"/>
        <v>28</v>
      </c>
      <c r="M580" s="13">
        <f t="shared" si="224"/>
        <v>5</v>
      </c>
      <c r="N580" s="14">
        <f t="shared" si="225"/>
        <v>1102012</v>
      </c>
      <c r="O580" s="14" t="str">
        <f t="shared" si="226"/>
        <v>夏侯惇10突</v>
      </c>
      <c r="P580" s="29" t="s">
        <v>470</v>
      </c>
      <c r="Q580" s="14">
        <f t="shared" si="227"/>
        <v>2</v>
      </c>
      <c r="R580" s="14">
        <f t="shared" si="228"/>
        <v>10</v>
      </c>
      <c r="S580" s="14" t="s">
        <v>39</v>
      </c>
      <c r="T580" s="14">
        <f>ROUND(((IF(Q580=1,INDEX(新属性投放!$J$14:$J$34,卡牌属性!R580),INDEX(新属性投放!$J$42:$J$62,卡牌属性!R580)))*INDEX($G$5:$G$42,L580)+IF(Q580=1,INDEX(新属性投放!R$20:R$23,卡牌属性!M580-1),INDEX(新属性投放!R$25:R$28,卡牌属性!M580-1)))/SQRT(INDEX($I$5:$I$42,L580)),2)</f>
        <v>7584.83</v>
      </c>
      <c r="U580" s="29" t="s">
        <v>178</v>
      </c>
      <c r="V580" s="14">
        <f>ROUND((IF(Q580=1,INDEX(新属性投放!$K$14:$K$34,卡牌属性!R580),INDEX(新属性投放!$K$42:$K$62,卡牌属性!R580))+IF(Q580=1,INDEX(新属性投放!S$20:S$23,卡牌属性!M580-1),INDEX(新属性投放!S$25:S$28,卡牌属性!M580-1)))*INDEX($G$5:$G$42,L580),2)</f>
        <v>3451.16</v>
      </c>
      <c r="W580" s="29" t="s">
        <v>179</v>
      </c>
      <c r="X580" s="14">
        <f>ROUND((IF(Q580=1,INDEX(新属性投放!$L$14:$L$34,卡牌属性!R580),INDEX(新属性投放!$L$42:$L$62,卡牌属性!R580))*INDEX($G$5:$G$42,L580)+IF(Q580=1,INDEX(新属性投放!T$20:T$23,卡牌属性!M580-1),INDEX(新属性投放!T$25:T$28,卡牌属性!M580-1)))*SQRT(INDEX($I$5:$I$42,L580)),2)</f>
        <v>39190</v>
      </c>
      <c r="Y580" s="29" t="s">
        <v>177</v>
      </c>
      <c r="Z580" s="14">
        <f>ROUND(IF(Q580=1,INDEX(新属性投放!$D$14:$D$34,卡牌属性!R580),INDEX(新属性投放!$D$42:$D$62,卡牌属性!R580))*INDEX($G$5:$G$42,L580)/SQRT(INDEX($I$5:$I$42,L580)),2)</f>
        <v>169.25</v>
      </c>
      <c r="AA580" s="29" t="s">
        <v>178</v>
      </c>
      <c r="AB580" s="14">
        <f>ROUND(IF(Q580=1,INDEX(新属性投放!$E$14:$E$34,卡牌属性!R580),INDEX(新属性投放!$E$42:$E$62,卡牌属性!R580))*INDEX($G$5:$G$42,L580),2)</f>
        <v>84.62</v>
      </c>
      <c r="AC580" s="29" t="s">
        <v>179</v>
      </c>
      <c r="AD580" s="14">
        <f>ROUND(IF(Q580=1,INDEX(新属性投放!$F$14:$F$34,卡牌属性!R580),INDEX(新属性投放!$F$42:$F$62,卡牌属性!R580))*INDEX($G$5:$G$42,L580)*SQRT(INDEX($I$5:$I$42,L580)),2)</f>
        <v>760.5</v>
      </c>
      <c r="AF580" s="14">
        <f t="shared" si="229"/>
        <v>1692</v>
      </c>
      <c r="AG580" s="14">
        <f t="shared" si="230"/>
        <v>846</v>
      </c>
      <c r="AH580" s="14">
        <f t="shared" si="231"/>
        <v>7605</v>
      </c>
      <c r="AJ580" s="14">
        <f t="shared" si="247"/>
        <v>7743</v>
      </c>
      <c r="AK580" s="14">
        <f t="shared" si="248"/>
        <v>3870</v>
      </c>
      <c r="AL580" s="14">
        <f t="shared" si="249"/>
        <v>34785</v>
      </c>
    </row>
    <row r="581" spans="11:38" ht="16.5" x14ac:dyDescent="0.2">
      <c r="K581" s="13">
        <v>578</v>
      </c>
      <c r="L581" s="13">
        <f t="shared" ref="L581:L644" si="250">MATCH(K581-1,$F$4:$F$41,1)</f>
        <v>28</v>
      </c>
      <c r="M581" s="13">
        <f t="shared" ref="M581:M644" si="251">INDEX($D$5:$D$42,L581)</f>
        <v>5</v>
      </c>
      <c r="N581" s="14">
        <f t="shared" ref="N581:N644" si="252">INDEX($A$4:$A$42,L581+1)</f>
        <v>1102012</v>
      </c>
      <c r="O581" s="14" t="str">
        <f t="shared" ref="O581:O644" si="253">INDEX($B$4:$B$42,MATCH(N581,$A$4:$A$42,0))&amp;R581&amp;"突"</f>
        <v>夏侯惇11突</v>
      </c>
      <c r="P581" s="29" t="s">
        <v>470</v>
      </c>
      <c r="Q581" s="14">
        <f t="shared" ref="Q581:Q644" si="254">INDEX($C$4:$C$42,L581+1)</f>
        <v>2</v>
      </c>
      <c r="R581" s="14">
        <f t="shared" ref="R581:R644" si="255">K581-INDEX($F$4:$F$42,L581)</f>
        <v>11</v>
      </c>
      <c r="S581" s="14" t="s">
        <v>39</v>
      </c>
      <c r="T581" s="14">
        <f>ROUND(((IF(Q581=1,INDEX(新属性投放!$J$14:$J$34,卡牌属性!R581),INDEX(新属性投放!$J$42:$J$62,卡牌属性!R581)))*INDEX($G$5:$G$42,L581)+IF(Q581=1,INDEX(新属性投放!R$20:R$23,卡牌属性!M581-1),INDEX(新属性投放!R$25:R$28,卡牌属性!M581-1)))/SQRT(INDEX($I$5:$I$42,L581)),2)</f>
        <v>8642.5499999999993</v>
      </c>
      <c r="U581" s="29" t="s">
        <v>178</v>
      </c>
      <c r="V581" s="14">
        <f>ROUND((IF(Q581=1,INDEX(新属性投放!$K$14:$K$34,卡牌属性!R581),INDEX(新属性投放!$K$42:$K$62,卡牌属性!R581))+IF(Q581=1,INDEX(新属性投放!S$20:S$23,卡牌属性!M581-1),INDEX(新属性投放!S$25:S$28,卡牌属性!M581-1)))*INDEX($G$5:$G$42,L581),2)</f>
        <v>3980.78</v>
      </c>
      <c r="W581" s="29" t="s">
        <v>179</v>
      </c>
      <c r="X581" s="14">
        <f>ROUND((IF(Q581=1,INDEX(新属性投放!$L$14:$L$34,卡牌属性!R581),INDEX(新属性投放!$L$42:$L$62,卡牌属性!R581))*INDEX($G$5:$G$42,L581)+IF(Q581=1,INDEX(新属性投放!T$20:T$23,卡牌属性!M581-1),INDEX(新属性投放!T$25:T$28,卡牌属性!M581-1)))*SQRT(INDEX($I$5:$I$42,L581)),2)</f>
        <v>44896</v>
      </c>
      <c r="Y581" s="29" t="s">
        <v>177</v>
      </c>
      <c r="Z581" s="14">
        <f>ROUND(IF(Q581=1,INDEX(新属性投放!$D$14:$D$34,卡牌属性!R581),INDEX(新属性投放!$D$42:$D$62,卡牌属性!R581))*INDEX($G$5:$G$42,L581)/SQRT(INDEX($I$5:$I$42,L581)),2)</f>
        <v>197.37</v>
      </c>
      <c r="AA581" s="29" t="s">
        <v>178</v>
      </c>
      <c r="AB581" s="14">
        <f>ROUND(IF(Q581=1,INDEX(新属性投放!$E$14:$E$34,卡牌属性!R581),INDEX(新属性投放!$E$42:$E$62,卡牌属性!R581))*INDEX($G$5:$G$42,L581),2)</f>
        <v>98.69</v>
      </c>
      <c r="AC581" s="29" t="s">
        <v>179</v>
      </c>
      <c r="AD581" s="14">
        <f>ROUND(IF(Q581=1,INDEX(新属性投放!$F$14:$F$34,卡牌属性!R581),INDEX(新属性投放!$F$42:$F$62,卡牌属性!R581))*INDEX($G$5:$G$42,L581)*SQRT(INDEX($I$5:$I$42,L581)),2)</f>
        <v>888</v>
      </c>
      <c r="AF581" s="14">
        <f t="shared" ref="AF581:AF644" si="256">INT(Z581*AF$2*10)</f>
        <v>1973</v>
      </c>
      <c r="AG581" s="14">
        <f t="shared" ref="AG581:AG644" si="257">INT(AB581*AF$2*10)</f>
        <v>986</v>
      </c>
      <c r="AH581" s="14">
        <f t="shared" ref="AH581:AH644" si="258">INT(AD581*AF$2*10)</f>
        <v>8880</v>
      </c>
      <c r="AJ581" s="14">
        <f t="shared" si="247"/>
        <v>9716</v>
      </c>
      <c r="AK581" s="14">
        <f t="shared" si="248"/>
        <v>4856</v>
      </c>
      <c r="AL581" s="14">
        <f t="shared" si="249"/>
        <v>43665</v>
      </c>
    </row>
    <row r="582" spans="11:38" ht="16.5" x14ac:dyDescent="0.2">
      <c r="K582" s="13">
        <v>579</v>
      </c>
      <c r="L582" s="13">
        <f t="shared" si="250"/>
        <v>28</v>
      </c>
      <c r="M582" s="13">
        <f t="shared" si="251"/>
        <v>5</v>
      </c>
      <c r="N582" s="14">
        <f t="shared" si="252"/>
        <v>1102012</v>
      </c>
      <c r="O582" s="14" t="str">
        <f t="shared" si="253"/>
        <v>夏侯惇12突</v>
      </c>
      <c r="P582" s="29" t="s">
        <v>470</v>
      </c>
      <c r="Q582" s="14">
        <f t="shared" si="254"/>
        <v>2</v>
      </c>
      <c r="R582" s="14">
        <f t="shared" si="255"/>
        <v>12</v>
      </c>
      <c r="S582" s="14" t="s">
        <v>39</v>
      </c>
      <c r="T582" s="14">
        <f>ROUND(((IF(Q582=1,INDEX(新属性投放!$J$14:$J$34,卡牌属性!R582),INDEX(新属性投放!$J$42:$J$62,卡牌属性!R582)))*INDEX($G$5:$G$42,L582)+IF(Q582=1,INDEX(新属性投放!R$20:R$23,卡牌属性!M582-1),INDEX(新属性投放!R$25:R$28,卡牌属性!M582-1)))/SQRT(INDEX($I$5:$I$42,L582)),2)</f>
        <v>9875.4</v>
      </c>
      <c r="U582" s="29" t="s">
        <v>178</v>
      </c>
      <c r="V582" s="14">
        <f>ROUND((IF(Q582=1,INDEX(新属性投放!$K$14:$K$34,卡牌属性!R582),INDEX(新属性投放!$K$42:$K$62,卡牌属性!R582))+IF(Q582=1,INDEX(新属性投放!S$20:S$23,卡牌属性!M582-1),INDEX(新属性投放!S$25:S$28,卡牌属性!M582-1)))*INDEX($G$5:$G$42,L582),2)</f>
        <v>4597.2</v>
      </c>
      <c r="W582" s="29" t="s">
        <v>179</v>
      </c>
      <c r="X582" s="14">
        <f>ROUND((IF(Q582=1,INDEX(新属性投放!$L$14:$L$34,卡牌属性!R582),INDEX(新属性投放!$L$42:$L$62,卡牌属性!R582))*INDEX($G$5:$G$42,L582)+IF(Q582=1,INDEX(新属性投放!T$20:T$23,卡牌属性!M582-1),INDEX(新属性投放!T$25:T$28,卡牌属性!M582-1)))*SQRT(INDEX($I$5:$I$42,L582)),2)</f>
        <v>51550</v>
      </c>
      <c r="Y582" s="29" t="s">
        <v>177</v>
      </c>
      <c r="Z582" s="14">
        <f>ROUND(IF(Q582=1,INDEX(新属性投放!$D$14:$D$34,卡牌属性!R582),INDEX(新属性投放!$D$42:$D$62,卡牌属性!R582))*INDEX($G$5:$G$42,L582)/SQRT(INDEX($I$5:$I$42,L582)),2)</f>
        <v>225.71</v>
      </c>
      <c r="AA582" s="29" t="s">
        <v>178</v>
      </c>
      <c r="AB582" s="14">
        <f>ROUND(IF(Q582=1,INDEX(新属性投放!$E$14:$E$34,卡牌属性!R582),INDEX(新属性投放!$E$42:$E$62,卡牌属性!R582))*INDEX($G$5:$G$42,L582),2)</f>
        <v>112.85</v>
      </c>
      <c r="AC582" s="29" t="s">
        <v>179</v>
      </c>
      <c r="AD582" s="14">
        <f>ROUND(IF(Q582=1,INDEX(新属性投放!$F$14:$F$34,卡牌属性!R582),INDEX(新属性投放!$F$42:$F$62,卡牌属性!R582))*INDEX($G$5:$G$42,L582)*SQRT(INDEX($I$5:$I$42,L582)),2)</f>
        <v>1015.5</v>
      </c>
      <c r="AF582" s="14">
        <f t="shared" si="256"/>
        <v>2257</v>
      </c>
      <c r="AG582" s="14">
        <f t="shared" si="257"/>
        <v>1128</v>
      </c>
      <c r="AH582" s="14">
        <f t="shared" si="258"/>
        <v>10155</v>
      </c>
      <c r="AJ582" s="14">
        <f t="shared" si="247"/>
        <v>11973</v>
      </c>
      <c r="AK582" s="14">
        <f t="shared" si="248"/>
        <v>5984</v>
      </c>
      <c r="AL582" s="14">
        <f t="shared" si="249"/>
        <v>53820</v>
      </c>
    </row>
    <row r="583" spans="11:38" ht="16.5" x14ac:dyDescent="0.2">
      <c r="K583" s="13">
        <v>580</v>
      </c>
      <c r="L583" s="13">
        <f t="shared" si="250"/>
        <v>28</v>
      </c>
      <c r="M583" s="13">
        <f t="shared" si="251"/>
        <v>5</v>
      </c>
      <c r="N583" s="14">
        <f t="shared" si="252"/>
        <v>1102012</v>
      </c>
      <c r="O583" s="14" t="str">
        <f t="shared" si="253"/>
        <v>夏侯惇13突</v>
      </c>
      <c r="P583" s="29" t="s">
        <v>470</v>
      </c>
      <c r="Q583" s="14">
        <f t="shared" si="254"/>
        <v>2</v>
      </c>
      <c r="R583" s="14">
        <f t="shared" si="255"/>
        <v>13</v>
      </c>
      <c r="S583" s="14" t="s">
        <v>39</v>
      </c>
      <c r="T583" s="14">
        <f>ROUND(((IF(Q583=1,INDEX(新属性投放!$J$14:$J$34,卡牌属性!R583),INDEX(新属性投放!$J$42:$J$62,卡牌属性!R583)))*INDEX($G$5:$G$42,L583)+IF(Q583=1,INDEX(新属性投放!R$20:R$23,卡牌属性!M583-1),INDEX(新属性投放!R$25:R$28,卡牌属性!M583-1)))/SQRT(INDEX($I$5:$I$42,L583)),2)</f>
        <v>11285.93</v>
      </c>
      <c r="U583" s="29" t="s">
        <v>178</v>
      </c>
      <c r="V583" s="14">
        <f>ROUND((IF(Q583=1,INDEX(新属性投放!$K$14:$K$34,卡牌属性!R583),INDEX(新属性投放!$K$42:$K$62,卡牌属性!R583))+IF(Q583=1,INDEX(新属性投放!S$20:S$23,卡牌属性!M583-1),INDEX(新属性投放!S$25:S$28,卡牌属性!M583-1)))*INDEX($G$5:$G$42,L583),2)</f>
        <v>5302.46</v>
      </c>
      <c r="W583" s="29" t="s">
        <v>179</v>
      </c>
      <c r="X583" s="14">
        <f>ROUND((IF(Q583=1,INDEX(新属性投放!$L$14:$L$34,卡牌属性!R583),INDEX(新属性投放!$L$42:$L$62,卡牌属性!R583))*INDEX($G$5:$G$42,L583)+IF(Q583=1,INDEX(新属性投放!T$20:T$23,卡牌属性!M583-1),INDEX(新属性投放!T$25:T$28,卡牌属性!M583-1)))*SQRT(INDEX($I$5:$I$42,L583)),2)</f>
        <v>59165.5</v>
      </c>
      <c r="Y583" s="29" t="s">
        <v>177</v>
      </c>
      <c r="Z583" s="14">
        <f>ROUND(IF(Q583=1,INDEX(新属性投放!$D$14:$D$34,卡牌属性!R583),INDEX(新属性投放!$D$42:$D$62,卡牌属性!R583))*INDEX($G$5:$G$42,L583)/SQRT(INDEX($I$5:$I$42,L583)),2)</f>
        <v>260.95999999999998</v>
      </c>
      <c r="AA583" s="29" t="s">
        <v>178</v>
      </c>
      <c r="AB583" s="14">
        <f>ROUND(IF(Q583=1,INDEX(新属性投放!$E$14:$E$34,卡牌属性!R583),INDEX(新属性投放!$E$42:$E$62,卡牌属性!R583))*INDEX($G$5:$G$42,L583),2)</f>
        <v>130.47999999999999</v>
      </c>
      <c r="AC583" s="29" t="s">
        <v>179</v>
      </c>
      <c r="AD583" s="14">
        <f>ROUND(IF(Q583=1,INDEX(新属性投放!$F$14:$F$34,卡牌属性!R583),INDEX(新属性投放!$F$42:$F$62,卡牌属性!R583))*INDEX($G$5:$G$42,L583)*SQRT(INDEX($I$5:$I$42,L583)),2)</f>
        <v>1173</v>
      </c>
      <c r="AF583" s="14">
        <f t="shared" si="256"/>
        <v>2609</v>
      </c>
      <c r="AG583" s="14">
        <f t="shared" si="257"/>
        <v>1304</v>
      </c>
      <c r="AH583" s="14">
        <f t="shared" si="258"/>
        <v>11730</v>
      </c>
      <c r="AJ583" s="14">
        <f t="shared" si="247"/>
        <v>14582</v>
      </c>
      <c r="AK583" s="14">
        <f t="shared" si="248"/>
        <v>7288</v>
      </c>
      <c r="AL583" s="14">
        <f t="shared" si="249"/>
        <v>65550</v>
      </c>
    </row>
    <row r="584" spans="11:38" ht="16.5" x14ac:dyDescent="0.2">
      <c r="K584" s="13">
        <v>581</v>
      </c>
      <c r="L584" s="13">
        <f t="shared" si="250"/>
        <v>28</v>
      </c>
      <c r="M584" s="13">
        <f t="shared" si="251"/>
        <v>5</v>
      </c>
      <c r="N584" s="14">
        <f t="shared" si="252"/>
        <v>1102012</v>
      </c>
      <c r="O584" s="14" t="str">
        <f t="shared" si="253"/>
        <v>夏侯惇14突</v>
      </c>
      <c r="P584" s="29" t="s">
        <v>470</v>
      </c>
      <c r="Q584" s="14">
        <f t="shared" si="254"/>
        <v>2</v>
      </c>
      <c r="R584" s="14">
        <f t="shared" si="255"/>
        <v>14</v>
      </c>
      <c r="S584" s="14" t="s">
        <v>39</v>
      </c>
      <c r="T584" s="14">
        <f>ROUND(((IF(Q584=1,INDEX(新属性投放!$J$14:$J$34,卡牌属性!R584),INDEX(新属性投放!$J$42:$J$62,卡牌属性!R584)))*INDEX($G$5:$G$42,L584)+IF(Q584=1,INDEX(新属性投放!R$20:R$23,卡牌属性!M584-1),INDEX(新属性投放!R$25:R$28,卡牌属性!M584-1)))/SQRT(INDEX($I$5:$I$42,L584)),2)</f>
        <v>12916.2</v>
      </c>
      <c r="U584" s="29" t="s">
        <v>178</v>
      </c>
      <c r="V584" s="14">
        <f>ROUND((IF(Q584=1,INDEX(新属性投放!$K$14:$K$34,卡牌属性!R584),INDEX(新属性投放!$K$42:$K$62,卡牌属性!R584))+IF(Q584=1,INDEX(新属性投放!S$20:S$23,卡牌属性!M584-1),INDEX(新属性投放!S$25:S$28,卡牌属性!M584-1)))*INDEX($G$5:$G$42,L584),2)</f>
        <v>6118.35</v>
      </c>
      <c r="W584" s="29" t="s">
        <v>179</v>
      </c>
      <c r="X584" s="14">
        <f>ROUND((IF(Q584=1,INDEX(新属性投放!$L$14:$L$34,卡牌属性!R584),INDEX(新属性投放!$L$42:$L$62,卡牌属性!R584))*INDEX($G$5:$G$42,L584)+IF(Q584=1,INDEX(新属性投放!T$20:T$23,卡牌属性!M584-1),INDEX(新属性投放!T$25:T$28,卡牌属性!M584-1)))*SQRT(INDEX($I$5:$I$42,L584)),2)</f>
        <v>67960</v>
      </c>
      <c r="Y584" s="29" t="s">
        <v>177</v>
      </c>
      <c r="Z584" s="14">
        <f>ROUND(IF(Q584=1,INDEX(新属性投放!$D$14:$D$34,卡牌属性!R584),INDEX(新属性投放!$D$42:$D$62,卡牌属性!R584))*INDEX($G$5:$G$42,L584)/SQRT(INDEX($I$5:$I$42,L584)),2)</f>
        <v>301.73</v>
      </c>
      <c r="AA584" s="29" t="s">
        <v>178</v>
      </c>
      <c r="AB584" s="14">
        <f>ROUND(IF(Q584=1,INDEX(新属性投放!$E$14:$E$34,卡牌属性!R584),INDEX(新属性投放!$E$42:$E$62,卡牌属性!R584))*INDEX($G$5:$G$42,L584),2)</f>
        <v>150.86000000000001</v>
      </c>
      <c r="AC584" s="29" t="s">
        <v>179</v>
      </c>
      <c r="AD584" s="14">
        <f>ROUND(IF(Q584=1,INDEX(新属性投放!$F$14:$F$34,卡牌属性!R584),INDEX(新属性投放!$F$42:$F$62,卡牌属性!R584))*INDEX($G$5:$G$42,L584)*SQRT(INDEX($I$5:$I$42,L584)),2)</f>
        <v>1357.5</v>
      </c>
      <c r="AF584" s="14">
        <f t="shared" si="256"/>
        <v>3017</v>
      </c>
      <c r="AG584" s="14">
        <f t="shared" si="257"/>
        <v>1508</v>
      </c>
      <c r="AH584" s="14">
        <f t="shared" si="258"/>
        <v>13575</v>
      </c>
      <c r="AJ584" s="14">
        <f t="shared" si="247"/>
        <v>17599</v>
      </c>
      <c r="AK584" s="14">
        <f t="shared" si="248"/>
        <v>8796</v>
      </c>
      <c r="AL584" s="14">
        <f t="shared" si="249"/>
        <v>79125</v>
      </c>
    </row>
    <row r="585" spans="11:38" ht="16.5" x14ac:dyDescent="0.2">
      <c r="K585" s="13">
        <v>582</v>
      </c>
      <c r="L585" s="13">
        <f t="shared" si="250"/>
        <v>28</v>
      </c>
      <c r="M585" s="13">
        <f t="shared" si="251"/>
        <v>5</v>
      </c>
      <c r="N585" s="14">
        <f t="shared" si="252"/>
        <v>1102012</v>
      </c>
      <c r="O585" s="14" t="str">
        <f t="shared" si="253"/>
        <v>夏侯惇15突</v>
      </c>
      <c r="P585" s="29" t="s">
        <v>470</v>
      </c>
      <c r="Q585" s="14">
        <f t="shared" si="254"/>
        <v>2</v>
      </c>
      <c r="R585" s="14">
        <f t="shared" si="255"/>
        <v>15</v>
      </c>
      <c r="S585" s="14" t="s">
        <v>39</v>
      </c>
      <c r="T585" s="14">
        <f>ROUND(((IF(Q585=1,INDEX(新属性投放!$J$14:$J$34,卡牌属性!R585),INDEX(新属性投放!$J$42:$J$62,卡牌属性!R585)))*INDEX($G$5:$G$42,L585)+IF(Q585=1,INDEX(新属性投放!R$20:R$23,卡牌属性!M585-1),INDEX(新属性投放!R$25:R$28,卡牌属性!M585-1)))/SQRT(INDEX($I$5:$I$42,L585)),2)</f>
        <v>14801.33</v>
      </c>
      <c r="U585" s="29" t="s">
        <v>178</v>
      </c>
      <c r="V585" s="14">
        <f>ROUND((IF(Q585=1,INDEX(新属性投放!$K$14:$K$34,卡牌属性!R585),INDEX(新属性投放!$K$42:$K$62,卡牌属性!R585))+IF(Q585=1,INDEX(新属性投放!S$20:S$23,卡牌属性!M585-1),INDEX(新属性投放!S$25:S$28,卡牌属性!M585-1)))*INDEX($G$5:$G$42,L585),2)</f>
        <v>7061.66</v>
      </c>
      <c r="W585" s="29" t="s">
        <v>179</v>
      </c>
      <c r="X585" s="14">
        <f>ROUND((IF(Q585=1,INDEX(新属性投放!$L$14:$L$34,卡牌属性!R585),INDEX(新属性投放!$L$42:$L$62,卡牌属性!R585))*INDEX($G$5:$G$42,L585)+IF(Q585=1,INDEX(新属性投放!T$20:T$23,卡牌属性!M585-1),INDEX(新属性投放!T$25:T$28,卡牌属性!M585-1)))*SQRT(INDEX($I$5:$I$42,L585)),2)</f>
        <v>78136</v>
      </c>
      <c r="Y585" s="29" t="s">
        <v>177</v>
      </c>
      <c r="Z585" s="14">
        <f>ROUND(IF(Q585=1,INDEX(新属性投放!$D$14:$D$34,卡牌属性!R585),INDEX(新属性投放!$D$42:$D$62,卡牌属性!R585))*INDEX($G$5:$G$42,L585)/SQRT(INDEX($I$5:$I$42,L585)),2)</f>
        <v>348.84</v>
      </c>
      <c r="AA585" s="29" t="s">
        <v>178</v>
      </c>
      <c r="AB585" s="14">
        <f>ROUND(IF(Q585=1,INDEX(新属性投放!$E$14:$E$34,卡牌属性!R585),INDEX(新属性投放!$E$42:$E$62,卡牌属性!R585))*INDEX($G$5:$G$42,L585),2)</f>
        <v>174.42</v>
      </c>
      <c r="AC585" s="29" t="s">
        <v>179</v>
      </c>
      <c r="AD585" s="14">
        <f>ROUND(IF(Q585=1,INDEX(新属性投放!$F$14:$F$34,卡牌属性!R585),INDEX(新属性投放!$F$42:$F$62,卡牌属性!R585))*INDEX($G$5:$G$42,L585)*SQRT(INDEX($I$5:$I$42,L585)),2)</f>
        <v>1569</v>
      </c>
      <c r="AF585" s="14">
        <f t="shared" si="256"/>
        <v>3488</v>
      </c>
      <c r="AG585" s="14">
        <f t="shared" si="257"/>
        <v>1744</v>
      </c>
      <c r="AH585" s="14">
        <f t="shared" si="258"/>
        <v>15690</v>
      </c>
      <c r="AJ585" s="14">
        <f t="shared" si="247"/>
        <v>21087</v>
      </c>
      <c r="AK585" s="14">
        <f t="shared" si="248"/>
        <v>10540</v>
      </c>
      <c r="AL585" s="14">
        <f t="shared" si="249"/>
        <v>94815</v>
      </c>
    </row>
    <row r="586" spans="11:38" ht="16.5" x14ac:dyDescent="0.2">
      <c r="K586" s="13">
        <v>583</v>
      </c>
      <c r="L586" s="13">
        <f t="shared" si="250"/>
        <v>28</v>
      </c>
      <c r="M586" s="13">
        <f t="shared" si="251"/>
        <v>5</v>
      </c>
      <c r="N586" s="14">
        <f t="shared" si="252"/>
        <v>1102012</v>
      </c>
      <c r="O586" s="14" t="str">
        <f t="shared" si="253"/>
        <v>夏侯惇16突</v>
      </c>
      <c r="P586" s="29" t="s">
        <v>470</v>
      </c>
      <c r="Q586" s="14">
        <f t="shared" si="254"/>
        <v>2</v>
      </c>
      <c r="R586" s="14">
        <f t="shared" si="255"/>
        <v>16</v>
      </c>
      <c r="S586" s="14" t="s">
        <v>39</v>
      </c>
      <c r="T586" s="14">
        <f>ROUND(((IF(Q586=1,INDEX(新属性投放!$J$14:$J$34,卡牌属性!R586),INDEX(新属性投放!$J$42:$J$62,卡牌属性!R586)))*INDEX($G$5:$G$42,L586)+IF(Q586=1,INDEX(新属性投放!R$20:R$23,卡牌属性!M586-1),INDEX(新属性投放!R$25:R$28,卡牌属性!M586-1)))/SQRT(INDEX($I$5:$I$42,L586)),2)</f>
        <v>16982.03</v>
      </c>
      <c r="U586" s="29" t="s">
        <v>178</v>
      </c>
      <c r="V586" s="14">
        <f>ROUND((IF(Q586=1,INDEX(新属性投放!$K$14:$K$34,卡牌属性!R586),INDEX(新属性投放!$K$42:$K$62,卡牌属性!R586))+IF(Q586=1,INDEX(新属性投放!S$20:S$23,卡牌属性!M586-1),INDEX(新属性投放!S$25:S$28,卡牌属性!M586-1)))*INDEX($G$5:$G$42,L586),2)</f>
        <v>8151.26</v>
      </c>
      <c r="W586" s="29" t="s">
        <v>179</v>
      </c>
      <c r="X586" s="14">
        <f>ROUND((IF(Q586=1,INDEX(新属性投放!$L$14:$L$34,卡牌属性!R586),INDEX(新属性投放!$L$42:$L$62,卡牌属性!R586))*INDEX($G$5:$G$42,L586)+IF(Q586=1,INDEX(新属性投放!T$20:T$23,卡牌属性!M586-1),INDEX(新属性投放!T$25:T$28,卡牌属性!M586-1)))*SQRT(INDEX($I$5:$I$42,L586)),2)</f>
        <v>89909.5</v>
      </c>
      <c r="Y586" s="29" t="s">
        <v>177</v>
      </c>
      <c r="Z586" s="14">
        <f>ROUND(IF(Q586=1,INDEX(新属性投放!$D$14:$D$34,卡牌属性!R586),INDEX(新属性投放!$D$42:$D$62,卡牌属性!R586))*INDEX($G$5:$G$42,L586)/SQRT(INDEX($I$5:$I$42,L586)),2)</f>
        <v>403.37</v>
      </c>
      <c r="AA586" s="29" t="s">
        <v>178</v>
      </c>
      <c r="AB586" s="14">
        <f>ROUND(IF(Q586=1,INDEX(新属性投放!$E$14:$E$34,卡牌属性!R586),INDEX(新属性投放!$E$42:$E$62,卡牌属性!R586))*INDEX($G$5:$G$42,L586),2)</f>
        <v>201.68</v>
      </c>
      <c r="AC586" s="29" t="s">
        <v>179</v>
      </c>
      <c r="AD586" s="14">
        <f>ROUND(IF(Q586=1,INDEX(新属性投放!$F$14:$F$34,卡牌属性!R586),INDEX(新属性投放!$F$42:$F$62,卡牌属性!R586))*INDEX($G$5:$G$42,L586)*SQRT(INDEX($I$5:$I$42,L586)),2)</f>
        <v>1815</v>
      </c>
      <c r="AF586" s="14">
        <f t="shared" si="256"/>
        <v>4033</v>
      </c>
      <c r="AG586" s="14">
        <f t="shared" si="257"/>
        <v>2016</v>
      </c>
      <c r="AH586" s="14">
        <f t="shared" si="258"/>
        <v>18150</v>
      </c>
      <c r="AJ586" s="14">
        <f t="shared" si="247"/>
        <v>25120</v>
      </c>
      <c r="AK586" s="14">
        <f t="shared" si="248"/>
        <v>12556</v>
      </c>
      <c r="AL586" s="14">
        <f t="shared" si="249"/>
        <v>112965</v>
      </c>
    </row>
    <row r="587" spans="11:38" ht="16.5" x14ac:dyDescent="0.2">
      <c r="K587" s="13">
        <v>584</v>
      </c>
      <c r="L587" s="13">
        <f t="shared" si="250"/>
        <v>28</v>
      </c>
      <c r="M587" s="13">
        <f t="shared" si="251"/>
        <v>5</v>
      </c>
      <c r="N587" s="14">
        <f t="shared" si="252"/>
        <v>1102012</v>
      </c>
      <c r="O587" s="14" t="str">
        <f t="shared" si="253"/>
        <v>夏侯惇17突</v>
      </c>
      <c r="P587" s="29" t="s">
        <v>470</v>
      </c>
      <c r="Q587" s="14">
        <f t="shared" si="254"/>
        <v>2</v>
      </c>
      <c r="R587" s="14">
        <f t="shared" si="255"/>
        <v>17</v>
      </c>
      <c r="S587" s="14" t="s">
        <v>39</v>
      </c>
      <c r="T587" s="14">
        <f>ROUND(((IF(Q587=1,INDEX(新属性投放!$J$14:$J$34,卡牌属性!R587),INDEX(新属性投放!$J$42:$J$62,卡牌属性!R587)))*INDEX($G$5:$G$42,L587)+IF(Q587=1,INDEX(新属性投放!R$20:R$23,卡牌属性!M587-1),INDEX(新属性投放!R$25:R$28,卡牌属性!M587-1)))/SQRT(INDEX($I$5:$I$42,L587)),2)</f>
        <v>19502.849999999999</v>
      </c>
      <c r="U587" s="29" t="s">
        <v>178</v>
      </c>
      <c r="V587" s="14">
        <f>ROUND((IF(Q587=1,INDEX(新属性投放!$K$14:$K$34,卡牌属性!R587),INDEX(新属性投放!$K$42:$K$62,卡牌属性!R587))+IF(Q587=1,INDEX(新属性投放!S$20:S$23,卡牌属性!M587-1),INDEX(新属性投放!S$25:S$28,卡牌属性!M587-1)))*INDEX($G$5:$G$42,L587),2)</f>
        <v>9411.68</v>
      </c>
      <c r="W587" s="29" t="s">
        <v>179</v>
      </c>
      <c r="X587" s="14">
        <f>ROUND((IF(Q587=1,INDEX(新属性投放!$L$14:$L$34,卡牌属性!R587),INDEX(新属性投放!$L$42:$L$62,卡牌属性!R587))*INDEX($G$5:$G$42,L587)+IF(Q587=1,INDEX(新属性投放!T$20:T$23,卡牌属性!M587-1),INDEX(新属性投放!T$25:T$28,卡牌属性!M587-1)))*SQRT(INDEX($I$5:$I$42,L587)),2)</f>
        <v>103520.5</v>
      </c>
      <c r="Y587" s="29" t="s">
        <v>177</v>
      </c>
      <c r="Z587" s="14">
        <f>ROUND(IF(Q587=1,INDEX(新属性投放!$D$14:$D$34,卡牌属性!R587),INDEX(新属性投放!$D$42:$D$62,卡牌属性!R587))*INDEX($G$5:$G$42,L587)/SQRT(INDEX($I$5:$I$42,L587)),2)</f>
        <v>466.38</v>
      </c>
      <c r="AA587" s="29" t="s">
        <v>178</v>
      </c>
      <c r="AB587" s="14">
        <f>ROUND(IF(Q587=1,INDEX(新属性投放!$E$14:$E$34,卡牌属性!R587),INDEX(新属性投放!$E$42:$E$62,卡牌属性!R587))*INDEX($G$5:$G$42,L587),2)</f>
        <v>233.19</v>
      </c>
      <c r="AC587" s="29" t="s">
        <v>179</v>
      </c>
      <c r="AD587" s="14">
        <f>ROUND(IF(Q587=1,INDEX(新属性投放!$F$14:$F$34,卡牌属性!R587),INDEX(新属性投放!$F$42:$F$62,卡牌属性!R587))*INDEX($G$5:$G$42,L587)*SQRT(INDEX($I$5:$I$42,L587)),2)</f>
        <v>2098.5</v>
      </c>
      <c r="AF587" s="14">
        <f t="shared" si="256"/>
        <v>4663</v>
      </c>
      <c r="AG587" s="14">
        <f t="shared" si="257"/>
        <v>2331</v>
      </c>
      <c r="AH587" s="14">
        <f t="shared" si="258"/>
        <v>20985</v>
      </c>
      <c r="AJ587" s="14">
        <f t="shared" si="247"/>
        <v>29783</v>
      </c>
      <c r="AK587" s="14">
        <f t="shared" si="248"/>
        <v>14887</v>
      </c>
      <c r="AL587" s="14">
        <f t="shared" si="249"/>
        <v>133950</v>
      </c>
    </row>
    <row r="588" spans="11:38" ht="16.5" x14ac:dyDescent="0.2">
      <c r="K588" s="13">
        <v>585</v>
      </c>
      <c r="L588" s="13">
        <f t="shared" si="250"/>
        <v>28</v>
      </c>
      <c r="M588" s="13">
        <f t="shared" si="251"/>
        <v>5</v>
      </c>
      <c r="N588" s="14">
        <f t="shared" si="252"/>
        <v>1102012</v>
      </c>
      <c r="O588" s="14" t="str">
        <f t="shared" si="253"/>
        <v>夏侯惇18突</v>
      </c>
      <c r="P588" s="29" t="s">
        <v>470</v>
      </c>
      <c r="Q588" s="14">
        <f t="shared" si="254"/>
        <v>2</v>
      </c>
      <c r="R588" s="14">
        <f t="shared" si="255"/>
        <v>18</v>
      </c>
      <c r="S588" s="14" t="s">
        <v>39</v>
      </c>
      <c r="T588" s="14">
        <f>ROUND(((IF(Q588=1,INDEX(新属性投放!$J$14:$J$34,卡牌属性!R588),INDEX(新属性投放!$J$42:$J$62,卡牌属性!R588)))*INDEX($G$5:$G$42,L588)+IF(Q588=1,INDEX(新属性投放!R$20:R$23,卡牌属性!M588-1),INDEX(新属性投放!R$25:R$28,卡牌属性!M588-1)))/SQRT(INDEX($I$5:$I$42,L588)),2)</f>
        <v>22418.25</v>
      </c>
      <c r="U588" s="29" t="s">
        <v>178</v>
      </c>
      <c r="V588" s="14">
        <f>ROUND((IF(Q588=1,INDEX(新属性投放!$K$14:$K$34,卡牌属性!R588),INDEX(新属性投放!$K$42:$K$62,卡牌属性!R588))+IF(Q588=1,INDEX(新属性投放!S$20:S$23,卡牌属性!M588-1),INDEX(新属性投放!S$25:S$28,卡牌属性!M588-1)))*INDEX($G$5:$G$42,L588),2)</f>
        <v>10868.63</v>
      </c>
      <c r="W588" s="29" t="s">
        <v>179</v>
      </c>
      <c r="X588" s="14">
        <f>ROUND((IF(Q588=1,INDEX(新属性投放!$L$14:$L$34,卡牌属性!R588),INDEX(新属性投放!$L$42:$L$62,卡牌属性!R588))*INDEX($G$5:$G$42,L588)+IF(Q588=1,INDEX(新属性投放!T$20:T$23,卡牌属性!M588-1),INDEX(新属性投放!T$25:T$28,卡牌属性!M588-1)))*SQRT(INDEX($I$5:$I$42,L588)),2)</f>
        <v>119264.5</v>
      </c>
      <c r="Y588" s="29" t="s">
        <v>177</v>
      </c>
      <c r="Z588" s="14">
        <f>ROUND(IF(Q588=1,INDEX(新属性投放!$D$14:$D$34,卡牌属性!R588),INDEX(新属性投放!$D$42:$D$62,卡牌属性!R588))*INDEX($G$5:$G$42,L588)/SQRT(INDEX($I$5:$I$42,L588)),2)</f>
        <v>539.27</v>
      </c>
      <c r="AA588" s="29" t="s">
        <v>178</v>
      </c>
      <c r="AB588" s="14">
        <f>ROUND(IF(Q588=1,INDEX(新属性投放!$E$14:$E$34,卡牌属性!R588),INDEX(新属性投放!$E$42:$E$62,卡牌属性!R588))*INDEX($G$5:$G$42,L588),2)</f>
        <v>269.63</v>
      </c>
      <c r="AC588" s="29" t="s">
        <v>179</v>
      </c>
      <c r="AD588" s="14">
        <f>ROUND(IF(Q588=1,INDEX(新属性投放!$F$14:$F$34,卡牌属性!R588),INDEX(新属性投放!$F$42:$F$62,卡牌属性!R588))*INDEX($G$5:$G$42,L588)*SQRT(INDEX($I$5:$I$42,L588)),2)</f>
        <v>2425.5</v>
      </c>
      <c r="AF588" s="14">
        <f t="shared" si="256"/>
        <v>5392</v>
      </c>
      <c r="AG588" s="14">
        <f t="shared" si="257"/>
        <v>2696</v>
      </c>
      <c r="AH588" s="14">
        <f t="shared" si="258"/>
        <v>24255</v>
      </c>
      <c r="AJ588" s="14">
        <f t="shared" si="247"/>
        <v>35175</v>
      </c>
      <c r="AK588" s="14">
        <f t="shared" si="248"/>
        <v>17583</v>
      </c>
      <c r="AL588" s="14">
        <f t="shared" si="249"/>
        <v>158205</v>
      </c>
    </row>
    <row r="589" spans="11:38" ht="16.5" x14ac:dyDescent="0.2">
      <c r="K589" s="13">
        <v>586</v>
      </c>
      <c r="L589" s="13">
        <f t="shared" si="250"/>
        <v>28</v>
      </c>
      <c r="M589" s="13">
        <f t="shared" si="251"/>
        <v>5</v>
      </c>
      <c r="N589" s="14">
        <f t="shared" si="252"/>
        <v>1102012</v>
      </c>
      <c r="O589" s="14" t="str">
        <f t="shared" si="253"/>
        <v>夏侯惇19突</v>
      </c>
      <c r="P589" s="29" t="s">
        <v>470</v>
      </c>
      <c r="Q589" s="14">
        <f t="shared" si="254"/>
        <v>2</v>
      </c>
      <c r="R589" s="14">
        <f t="shared" si="255"/>
        <v>19</v>
      </c>
      <c r="S589" s="14" t="s">
        <v>39</v>
      </c>
      <c r="T589" s="14">
        <f>ROUND(((IF(Q589=1,INDEX(新属性投放!$J$14:$J$34,卡牌属性!R589),INDEX(新属性投放!$J$42:$J$62,卡牌属性!R589)))*INDEX($G$5:$G$42,L589)+IF(Q589=1,INDEX(新属性投放!R$20:R$23,卡牌属性!M589-1),INDEX(新属性投放!R$25:R$28,卡牌属性!M589-1)))/SQRT(INDEX($I$5:$I$42,L589)),2)</f>
        <v>25788.080000000002</v>
      </c>
      <c r="U589" s="29" t="s">
        <v>178</v>
      </c>
      <c r="V589" s="14">
        <f>ROUND((IF(Q589=1,INDEX(新属性投放!$K$14:$K$34,卡牌属性!R589),INDEX(新属性投放!$K$42:$K$62,卡牌属性!R589))+IF(Q589=1,INDEX(新属性投放!S$20:S$23,卡牌属性!M589-1),INDEX(新属性投放!S$25:S$28,卡牌属性!M589-1)))*INDEX($G$5:$G$42,L589),2)</f>
        <v>12554.29</v>
      </c>
      <c r="W589" s="29" t="s">
        <v>179</v>
      </c>
      <c r="X589" s="14">
        <f>ROUND((IF(Q589=1,INDEX(新属性投放!$L$14:$L$34,卡牌属性!R589),INDEX(新属性投放!$L$42:$L$62,卡牌属性!R589))*INDEX($G$5:$G$42,L589)+IF(Q589=1,INDEX(新属性投放!T$20:T$23,卡牌属性!M589-1),INDEX(新属性投放!T$25:T$28,卡牌属性!M589-1)))*SQRT(INDEX($I$5:$I$42,L589)),2)</f>
        <v>137453.5</v>
      </c>
      <c r="Y589" s="29" t="s">
        <v>177</v>
      </c>
      <c r="Z589" s="14">
        <f>ROUND(IF(Q589=1,INDEX(新属性投放!$D$14:$D$34,卡牌属性!R589),INDEX(新属性投放!$D$42:$D$62,卡牌属性!R589))*INDEX($G$5:$G$42,L589)/SQRT(INDEX($I$5:$I$42,L589)),2)</f>
        <v>623.52</v>
      </c>
      <c r="AA589" s="29" t="s">
        <v>178</v>
      </c>
      <c r="AB589" s="14">
        <f>ROUND(IF(Q589=1,INDEX(新属性投放!$E$14:$E$34,卡牌属性!R589),INDEX(新属性投放!$E$42:$E$62,卡牌属性!R589))*INDEX($G$5:$G$42,L589),2)</f>
        <v>311.76</v>
      </c>
      <c r="AC589" s="29" t="s">
        <v>179</v>
      </c>
      <c r="AD589" s="14">
        <f>ROUND(IF(Q589=1,INDEX(新属性投放!$F$14:$F$34,卡牌属性!R589),INDEX(新属性投放!$F$42:$F$62,卡牌属性!R589))*INDEX($G$5:$G$42,L589)*SQRT(INDEX($I$5:$I$42,L589)),2)</f>
        <v>2805</v>
      </c>
      <c r="AF589" s="14">
        <f t="shared" si="256"/>
        <v>6235</v>
      </c>
      <c r="AG589" s="14">
        <f t="shared" si="257"/>
        <v>3117</v>
      </c>
      <c r="AH589" s="14">
        <f t="shared" si="258"/>
        <v>28050</v>
      </c>
      <c r="AJ589" s="14">
        <f t="shared" si="247"/>
        <v>41410</v>
      </c>
      <c r="AK589" s="14">
        <f t="shared" si="248"/>
        <v>20700</v>
      </c>
      <c r="AL589" s="14">
        <f t="shared" si="249"/>
        <v>186255</v>
      </c>
    </row>
    <row r="590" spans="11:38" ht="16.5" x14ac:dyDescent="0.2">
      <c r="K590" s="13">
        <v>587</v>
      </c>
      <c r="L590" s="13">
        <f t="shared" si="250"/>
        <v>28</v>
      </c>
      <c r="M590" s="13">
        <f t="shared" si="251"/>
        <v>5</v>
      </c>
      <c r="N590" s="14">
        <f t="shared" si="252"/>
        <v>1102012</v>
      </c>
      <c r="O590" s="14" t="str">
        <f t="shared" si="253"/>
        <v>夏侯惇20突</v>
      </c>
      <c r="P590" s="29" t="s">
        <v>470</v>
      </c>
      <c r="Q590" s="14">
        <f t="shared" si="254"/>
        <v>2</v>
      </c>
      <c r="R590" s="14">
        <f t="shared" si="255"/>
        <v>20</v>
      </c>
      <c r="S590" s="14" t="s">
        <v>39</v>
      </c>
      <c r="T590" s="14">
        <f>ROUND(((IF(Q590=1,INDEX(新属性投放!$J$14:$J$34,卡牌属性!R590),INDEX(新属性投放!$J$42:$J$62,卡牌属性!R590)))*INDEX($G$5:$G$42,L590)+IF(Q590=1,INDEX(新属性投放!R$20:R$23,卡牌属性!M590-1),INDEX(新属性投放!R$25:R$28,卡牌属性!M590-1)))/SQRT(INDEX($I$5:$I$42,L590)),2)</f>
        <v>29685.68</v>
      </c>
      <c r="U590" s="29" t="s">
        <v>178</v>
      </c>
      <c r="V590" s="14">
        <f>ROUND((IF(Q590=1,INDEX(新属性投放!$K$14:$K$34,卡牌属性!R590),INDEX(新属性投放!$K$42:$K$62,卡牌属性!R590))+IF(Q590=1,INDEX(新属性投放!S$20:S$23,卡牌属性!M590-1),INDEX(新属性投放!S$25:S$28,卡牌属性!M590-1)))*INDEX($G$5:$G$42,L590),2)</f>
        <v>14503.09</v>
      </c>
      <c r="W590" s="29" t="s">
        <v>179</v>
      </c>
      <c r="X590" s="14">
        <f>ROUND((IF(Q590=1,INDEX(新属性投放!$L$14:$L$34,卡牌属性!R590),INDEX(新属性投放!$L$42:$L$62,卡牌属性!R590))*INDEX($G$5:$G$42,L590)+IF(Q590=1,INDEX(新属性投放!T$20:T$23,卡牌属性!M590-1),INDEX(新属性投放!T$25:T$28,卡牌属性!M590-1)))*SQRT(INDEX($I$5:$I$42,L590)),2)</f>
        <v>158498.5</v>
      </c>
      <c r="Y590" s="29" t="s">
        <v>177</v>
      </c>
      <c r="Z590" s="14">
        <f>ROUND(IF(Q590=1,INDEX(新属性投放!$D$14:$D$34,卡牌属性!R590),INDEX(新属性投放!$D$42:$D$62,卡牌属性!R590))*INDEX($G$5:$G$42,L590)/SQRT(INDEX($I$5:$I$42,L590)),2)</f>
        <v>720.96</v>
      </c>
      <c r="AA590" s="29" t="s">
        <v>178</v>
      </c>
      <c r="AB590" s="14">
        <f>ROUND(IF(Q590=1,INDEX(新属性投放!$E$14:$E$34,卡牌属性!R590),INDEX(新属性投放!$E$42:$E$62,卡牌属性!R590))*INDEX($G$5:$G$42,L590),2)</f>
        <v>360.48</v>
      </c>
      <c r="AC590" s="29" t="s">
        <v>179</v>
      </c>
      <c r="AD590" s="14">
        <f>ROUND(IF(Q590=1,INDEX(新属性投放!$F$14:$F$34,卡牌属性!R590),INDEX(新属性投放!$F$42:$F$62,卡牌属性!R590))*INDEX($G$5:$G$42,L590)*SQRT(INDEX($I$5:$I$42,L590)),2)</f>
        <v>3243</v>
      </c>
      <c r="AF590" s="14">
        <f t="shared" si="256"/>
        <v>7209</v>
      </c>
      <c r="AG590" s="14">
        <f t="shared" si="257"/>
        <v>3604</v>
      </c>
      <c r="AH590" s="14">
        <f t="shared" si="258"/>
        <v>32430</v>
      </c>
      <c r="AJ590" s="14">
        <f t="shared" si="247"/>
        <v>48619</v>
      </c>
      <c r="AK590" s="14">
        <f t="shared" si="248"/>
        <v>24304</v>
      </c>
      <c r="AL590" s="14">
        <f t="shared" si="249"/>
        <v>218685</v>
      </c>
    </row>
    <row r="591" spans="11:38" ht="16.5" x14ac:dyDescent="0.2">
      <c r="K591" s="13">
        <v>588</v>
      </c>
      <c r="L591" s="13">
        <f t="shared" si="250"/>
        <v>28</v>
      </c>
      <c r="M591" s="13">
        <f t="shared" si="251"/>
        <v>5</v>
      </c>
      <c r="N591" s="14">
        <f t="shared" si="252"/>
        <v>1102012</v>
      </c>
      <c r="O591" s="14" t="str">
        <f t="shared" si="253"/>
        <v>夏侯惇21突</v>
      </c>
      <c r="P591" s="29" t="s">
        <v>470</v>
      </c>
      <c r="Q591" s="14">
        <f t="shared" si="254"/>
        <v>2</v>
      </c>
      <c r="R591" s="14">
        <f t="shared" si="255"/>
        <v>21</v>
      </c>
      <c r="S591" s="14" t="s">
        <v>39</v>
      </c>
      <c r="T591" s="14">
        <f>ROUND(((IF(Q591=1,INDEX(新属性投放!$J$14:$J$34,卡牌属性!R591),INDEX(新属性投放!$J$42:$J$62,卡牌属性!R591)))*INDEX($G$5:$G$42,L591)+IF(Q591=1,INDEX(新属性投放!R$20:R$23,卡牌属性!M591-1),INDEX(新属性投放!R$25:R$28,卡牌属性!M591-1)))/SQRT(INDEX($I$5:$I$42,L591)),2)</f>
        <v>34191.980000000003</v>
      </c>
      <c r="U591" s="29" t="s">
        <v>178</v>
      </c>
      <c r="V591" s="14">
        <f>ROUND((IF(Q591=1,INDEX(新属性投放!$K$14:$K$34,卡牌属性!R591),INDEX(新属性投放!$K$42:$K$62,卡牌属性!R591))+IF(Q591=1,INDEX(新属性投放!S$20:S$23,卡牌属性!M591-1),INDEX(新属性投放!S$25:S$28,卡牌属性!M591-1)))*INDEX($G$5:$G$42,L591),2)</f>
        <v>16755.490000000002</v>
      </c>
      <c r="W591" s="29" t="s">
        <v>179</v>
      </c>
      <c r="X591" s="14">
        <f>ROUND((IF(Q591=1,INDEX(新属性投放!$L$14:$L$34,卡牌属性!R591),INDEX(新属性投放!$L$42:$L$62,卡牌属性!R591))*INDEX($G$5:$G$42,L591)+IF(Q591=1,INDEX(新属性投放!T$20:T$23,卡牌属性!M591-1),INDEX(新属性投放!T$25:T$28,卡牌属性!M591-1)))*SQRT(INDEX($I$5:$I$42,L591)),2)</f>
        <v>182827</v>
      </c>
      <c r="Y591" s="29" t="s">
        <v>177</v>
      </c>
      <c r="Z591" s="14">
        <f>ROUND(IF(Q591=1,INDEX(新属性投放!$D$14:$D$34,卡牌属性!R591),INDEX(新属性投放!$D$42:$D$62,卡牌属性!R591))*INDEX($G$5:$G$42,L591)/SQRT(INDEX($I$5:$I$42,L591)),2)</f>
        <v>833.61</v>
      </c>
      <c r="AA591" s="29" t="s">
        <v>178</v>
      </c>
      <c r="AB591" s="14">
        <f>ROUND(IF(Q591=1,INDEX(新属性投放!$E$14:$E$34,卡牌属性!R591),INDEX(新属性投放!$E$42:$E$62,卡牌属性!R591))*INDEX($G$5:$G$42,L591),2)</f>
        <v>416.81</v>
      </c>
      <c r="AC591" s="29" t="s">
        <v>179</v>
      </c>
      <c r="AD591" s="14">
        <f>ROUND(IF(Q591=1,INDEX(新属性投放!$F$14:$F$34,卡牌属性!R591),INDEX(新属性投放!$F$42:$F$62,卡牌属性!R591))*INDEX($G$5:$G$42,L591)*SQRT(INDEX($I$5:$I$42,L591)),2)</f>
        <v>3750</v>
      </c>
      <c r="AF591" s="14">
        <f t="shared" si="256"/>
        <v>8336</v>
      </c>
      <c r="AG591" s="14">
        <f t="shared" si="257"/>
        <v>4168</v>
      </c>
      <c r="AH591" s="14">
        <f t="shared" si="258"/>
        <v>37500</v>
      </c>
      <c r="AJ591" s="14">
        <f t="shared" si="247"/>
        <v>56955</v>
      </c>
      <c r="AK591" s="14">
        <f t="shared" si="248"/>
        <v>28472</v>
      </c>
      <c r="AL591" s="14">
        <f t="shared" si="249"/>
        <v>256185</v>
      </c>
    </row>
    <row r="592" spans="11:38" ht="16.5" x14ac:dyDescent="0.2">
      <c r="K592" s="13">
        <v>589</v>
      </c>
      <c r="L592" s="13">
        <f t="shared" si="250"/>
        <v>29</v>
      </c>
      <c r="M592" s="13">
        <f t="shared" si="251"/>
        <v>2</v>
      </c>
      <c r="N592" s="14">
        <f t="shared" si="252"/>
        <v>1102013</v>
      </c>
      <c r="O592" s="14" t="str">
        <f t="shared" si="253"/>
        <v>塞伯罗斯1突</v>
      </c>
      <c r="P592" s="29" t="s">
        <v>470</v>
      </c>
      <c r="Q592" s="14">
        <f t="shared" si="254"/>
        <v>2</v>
      </c>
      <c r="R592" s="14">
        <f t="shared" si="255"/>
        <v>1</v>
      </c>
      <c r="S592" s="14" t="s">
        <v>39</v>
      </c>
      <c r="T592" s="14">
        <f>ROUND(((IF(Q592=1,INDEX(新属性投放!$J$14:$J$34,卡牌属性!R592),INDEX(新属性投放!$J$42:$J$62,卡牌属性!R592)))*INDEX($G$5:$G$42,L592)+IF(Q592=1,INDEX(新属性投放!R$20:R$23,卡牌属性!M592-1),INDEX(新属性投放!R$25:R$28,卡牌属性!M592-1)))/SQRT(INDEX($I$5:$I$42,L592)),2)</f>
        <v>350</v>
      </c>
      <c r="U592" s="29" t="s">
        <v>178</v>
      </c>
      <c r="V592" s="14">
        <f>ROUND((IF(Q592=1,INDEX(新属性投放!$K$14:$K$34,卡牌属性!R592),INDEX(新属性投放!$K$42:$K$62,卡牌属性!R592))+IF(Q592=1,INDEX(新属性投放!S$20:S$23,卡牌属性!M592-1),INDEX(新属性投放!S$25:S$28,卡牌属性!M592-1)))*INDEX($G$5:$G$42,L592),2)</f>
        <v>100</v>
      </c>
      <c r="W592" s="29" t="s">
        <v>179</v>
      </c>
      <c r="X592" s="14">
        <f>ROUND((IF(Q592=1,INDEX(新属性投放!$L$14:$L$34,卡牌属性!R592),INDEX(新属性投放!$L$42:$L$62,卡牌属性!R592))*INDEX($G$5:$G$42,L592)+IF(Q592=1,INDEX(新属性投放!T$20:T$23,卡牌属性!M592-1),INDEX(新属性投放!T$25:T$28,卡牌属性!M592-1)))*SQRT(INDEX($I$5:$I$42,L592)),2)</f>
        <v>750</v>
      </c>
      <c r="Y592" s="29" t="s">
        <v>177</v>
      </c>
      <c r="Z592" s="14">
        <f>ROUND(IF(Q592=1,INDEX(新属性投放!$D$14:$D$34,卡牌属性!R592),INDEX(新属性投放!$D$42:$D$62,卡牌属性!R592))*INDEX($G$5:$G$42,L592)/SQRT(INDEX($I$5:$I$42,L592)),2)</f>
        <v>15</v>
      </c>
      <c r="AA592" s="29" t="s">
        <v>178</v>
      </c>
      <c r="AB592" s="14">
        <f>ROUND(IF(Q592=1,INDEX(新属性投放!$E$14:$E$34,卡牌属性!R592),INDEX(新属性投放!$E$42:$E$62,卡牌属性!R592))*INDEX($G$5:$G$42,L592),2)</f>
        <v>7.5</v>
      </c>
      <c r="AC592" s="29" t="s">
        <v>179</v>
      </c>
      <c r="AD592" s="14">
        <f>ROUND(IF(Q592=1,INDEX(新属性投放!$F$14:$F$34,卡牌属性!R592),INDEX(新属性投放!$F$42:$F$62,卡牌属性!R592))*INDEX($G$5:$G$42,L592)*SQRT(INDEX($I$5:$I$42,L592)),2)</f>
        <v>67</v>
      </c>
      <c r="AF592" s="14">
        <f t="shared" si="256"/>
        <v>150</v>
      </c>
      <c r="AG592" s="14">
        <f t="shared" si="257"/>
        <v>75</v>
      </c>
      <c r="AH592" s="14">
        <f t="shared" si="258"/>
        <v>670</v>
      </c>
      <c r="AJ592" s="14">
        <f t="shared" ref="AJ592" si="259">AF592</f>
        <v>150</v>
      </c>
      <c r="AK592" s="14">
        <f t="shared" ref="AK592" si="260">AG592</f>
        <v>75</v>
      </c>
      <c r="AL592" s="14">
        <f t="shared" ref="AL592" si="261">AH592</f>
        <v>670</v>
      </c>
    </row>
    <row r="593" spans="11:38" ht="16.5" x14ac:dyDescent="0.2">
      <c r="K593" s="13">
        <v>590</v>
      </c>
      <c r="L593" s="13">
        <f t="shared" si="250"/>
        <v>29</v>
      </c>
      <c r="M593" s="13">
        <f t="shared" si="251"/>
        <v>2</v>
      </c>
      <c r="N593" s="14">
        <f t="shared" si="252"/>
        <v>1102013</v>
      </c>
      <c r="O593" s="14" t="str">
        <f t="shared" si="253"/>
        <v>塞伯罗斯2突</v>
      </c>
      <c r="P593" s="29" t="s">
        <v>470</v>
      </c>
      <c r="Q593" s="14">
        <f t="shared" si="254"/>
        <v>2</v>
      </c>
      <c r="R593" s="14">
        <f t="shared" si="255"/>
        <v>2</v>
      </c>
      <c r="S593" s="14" t="s">
        <v>39</v>
      </c>
      <c r="T593" s="14">
        <f>ROUND(((IF(Q593=1,INDEX(新属性投放!$J$14:$J$34,卡牌属性!R593),INDEX(新属性投放!$J$42:$J$62,卡牌属性!R593)))*INDEX($G$5:$G$42,L593)+IF(Q593=1,INDEX(新属性投放!R$20:R$23,卡牌属性!M593-1),INDEX(新属性投放!R$25:R$28,卡牌属性!M593-1)))/SQRT(INDEX($I$5:$I$42,L593)),2)</f>
        <v>510</v>
      </c>
      <c r="U593" s="29" t="s">
        <v>178</v>
      </c>
      <c r="V593" s="14">
        <f>ROUND((IF(Q593=1,INDEX(新属性投放!$K$14:$K$34,卡牌属性!R593),INDEX(新属性投放!$K$42:$K$62,卡牌属性!R593))+IF(Q593=1,INDEX(新属性投放!S$20:S$23,卡牌属性!M593-1),INDEX(新属性投放!S$25:S$28,卡牌属性!M593-1)))*INDEX($G$5:$G$42,L593),2)</f>
        <v>177.5</v>
      </c>
      <c r="W593" s="29" t="s">
        <v>179</v>
      </c>
      <c r="X593" s="14">
        <f>ROUND((IF(Q593=1,INDEX(新属性投放!$L$14:$L$34,卡牌属性!R593),INDEX(新属性投放!$L$42:$L$62,卡牌属性!R593))*INDEX($G$5:$G$42,L593)+IF(Q593=1,INDEX(新属性投放!T$20:T$23,卡牌属性!M593-1),INDEX(新属性投放!T$25:T$28,卡牌属性!M593-1)))*SQRT(INDEX($I$5:$I$42,L593)),2)</f>
        <v>1578</v>
      </c>
      <c r="Y593" s="29" t="s">
        <v>177</v>
      </c>
      <c r="Z593" s="14">
        <f>ROUND(IF(Q593=1,INDEX(新属性投放!$D$14:$D$34,卡牌属性!R593),INDEX(新属性投放!$D$42:$D$62,卡牌属性!R593))*INDEX($G$5:$G$42,L593)/SQRT(INDEX($I$5:$I$42,L593)),2)</f>
        <v>13.77</v>
      </c>
      <c r="AA593" s="29" t="s">
        <v>178</v>
      </c>
      <c r="AB593" s="14">
        <f>ROUND(IF(Q593=1,INDEX(新属性投放!$E$14:$E$34,卡牌属性!R593),INDEX(新属性投放!$E$42:$E$62,卡牌属性!R593))*INDEX($G$5:$G$42,L593),2)</f>
        <v>6.89</v>
      </c>
      <c r="AC593" s="29" t="s">
        <v>179</v>
      </c>
      <c r="AD593" s="14">
        <f>ROUND(IF(Q593=1,INDEX(新属性投放!$F$14:$F$34,卡牌属性!R593),INDEX(新属性投放!$F$42:$F$62,卡牌属性!R593))*INDEX($G$5:$G$42,L593)*SQRT(INDEX($I$5:$I$42,L593)),2)</f>
        <v>61</v>
      </c>
      <c r="AF593" s="14">
        <f t="shared" si="256"/>
        <v>137</v>
      </c>
      <c r="AG593" s="14">
        <f t="shared" si="257"/>
        <v>68</v>
      </c>
      <c r="AH593" s="14">
        <f t="shared" si="258"/>
        <v>610</v>
      </c>
      <c r="AJ593" s="14">
        <f t="shared" ref="AJ593:AJ612" si="262">AJ592+AF593</f>
        <v>287</v>
      </c>
      <c r="AK593" s="14">
        <f t="shared" ref="AK593:AK612" si="263">AK592+AG593</f>
        <v>143</v>
      </c>
      <c r="AL593" s="14">
        <f t="shared" ref="AL593:AL612" si="264">AL592+AH593</f>
        <v>1280</v>
      </c>
    </row>
    <row r="594" spans="11:38" ht="16.5" x14ac:dyDescent="0.2">
      <c r="K594" s="13">
        <v>591</v>
      </c>
      <c r="L594" s="13">
        <f t="shared" si="250"/>
        <v>29</v>
      </c>
      <c r="M594" s="13">
        <f t="shared" si="251"/>
        <v>2</v>
      </c>
      <c r="N594" s="14">
        <f t="shared" si="252"/>
        <v>1102013</v>
      </c>
      <c r="O594" s="14" t="str">
        <f t="shared" si="253"/>
        <v>塞伯罗斯3突</v>
      </c>
      <c r="P594" s="29" t="s">
        <v>470</v>
      </c>
      <c r="Q594" s="14">
        <f t="shared" si="254"/>
        <v>2</v>
      </c>
      <c r="R594" s="14">
        <f t="shared" si="255"/>
        <v>3</v>
      </c>
      <c r="S594" s="14" t="s">
        <v>39</v>
      </c>
      <c r="T594" s="14">
        <f>ROUND(((IF(Q594=1,INDEX(新属性投放!$J$14:$J$34,卡牌属性!R594),INDEX(新属性投放!$J$42:$J$62,卡牌属性!R594)))*INDEX($G$5:$G$42,L594)+IF(Q594=1,INDEX(新属性投放!R$20:R$23,卡牌属性!M594-1),INDEX(新属性投放!R$25:R$28,卡牌属性!M594-1)))/SQRT(INDEX($I$5:$I$42,L594)),2)</f>
        <v>681.7</v>
      </c>
      <c r="U594" s="29" t="s">
        <v>178</v>
      </c>
      <c r="V594" s="14">
        <f>ROUND((IF(Q594=1,INDEX(新属性投放!$K$14:$K$34,卡牌属性!R594),INDEX(新属性投放!$K$42:$K$62,卡牌属性!R594))+IF(Q594=1,INDEX(新属性投放!S$20:S$23,卡牌属性!M594-1),INDEX(新属性投放!S$25:S$28,卡牌属性!M594-1)))*INDEX($G$5:$G$42,L594),2)</f>
        <v>263.35000000000002</v>
      </c>
      <c r="W594" s="29" t="s">
        <v>179</v>
      </c>
      <c r="X594" s="14">
        <f>ROUND((IF(Q594=1,INDEX(新属性投放!$L$14:$L$34,卡牌属性!R594),INDEX(新属性投放!$L$42:$L$62,卡牌属性!R594))*INDEX($G$5:$G$42,L594)+IF(Q594=1,INDEX(新属性投放!T$20:T$23,卡牌属性!M594-1),INDEX(新属性投放!T$25:T$28,卡牌属性!M594-1)))*SQRT(INDEX($I$5:$I$42,L594)),2)</f>
        <v>2494</v>
      </c>
      <c r="Y594" s="29" t="s">
        <v>177</v>
      </c>
      <c r="Z594" s="14">
        <f>ROUND(IF(Q594=1,INDEX(新属性投放!$D$14:$D$34,卡牌属性!R594),INDEX(新属性投放!$D$42:$D$62,卡牌属性!R594))*INDEX($G$5:$G$42,L594)/SQRT(INDEX($I$5:$I$42,L594)),2)</f>
        <v>25.17</v>
      </c>
      <c r="AA594" s="29" t="s">
        <v>178</v>
      </c>
      <c r="AB594" s="14">
        <f>ROUND(IF(Q594=1,INDEX(新属性投放!$E$14:$E$34,卡牌属性!R594),INDEX(新属性投放!$E$42:$E$62,卡牌属性!R594))*INDEX($G$5:$G$42,L594),2)</f>
        <v>12.59</v>
      </c>
      <c r="AC594" s="29" t="s">
        <v>179</v>
      </c>
      <c r="AD594" s="14">
        <f>ROUND(IF(Q594=1,INDEX(新属性投放!$F$14:$F$34,卡牌属性!R594),INDEX(新属性投放!$F$42:$F$62,卡牌属性!R594))*INDEX($G$5:$G$42,L594)*SQRT(INDEX($I$5:$I$42,L594)),2)</f>
        <v>113</v>
      </c>
      <c r="AF594" s="14">
        <f t="shared" si="256"/>
        <v>251</v>
      </c>
      <c r="AG594" s="14">
        <f t="shared" si="257"/>
        <v>125</v>
      </c>
      <c r="AH594" s="14">
        <f t="shared" si="258"/>
        <v>1130</v>
      </c>
      <c r="AJ594" s="14">
        <f t="shared" si="262"/>
        <v>538</v>
      </c>
      <c r="AK594" s="14">
        <f t="shared" si="263"/>
        <v>268</v>
      </c>
      <c r="AL594" s="14">
        <f t="shared" si="264"/>
        <v>2410</v>
      </c>
    </row>
    <row r="595" spans="11:38" ht="16.5" x14ac:dyDescent="0.2">
      <c r="K595" s="13">
        <v>592</v>
      </c>
      <c r="L595" s="13">
        <f t="shared" si="250"/>
        <v>29</v>
      </c>
      <c r="M595" s="13">
        <f t="shared" si="251"/>
        <v>2</v>
      </c>
      <c r="N595" s="14">
        <f t="shared" si="252"/>
        <v>1102013</v>
      </c>
      <c r="O595" s="14" t="str">
        <f t="shared" si="253"/>
        <v>塞伯罗斯4突</v>
      </c>
      <c r="P595" s="29" t="s">
        <v>470</v>
      </c>
      <c r="Q595" s="14">
        <f t="shared" si="254"/>
        <v>2</v>
      </c>
      <c r="R595" s="14">
        <f t="shared" si="255"/>
        <v>4</v>
      </c>
      <c r="S595" s="14" t="s">
        <v>39</v>
      </c>
      <c r="T595" s="14">
        <f>ROUND(((IF(Q595=1,INDEX(新属性投放!$J$14:$J$34,卡牌属性!R595),INDEX(新属性投放!$J$42:$J$62,卡牌属性!R595)))*INDEX($G$5:$G$42,L595)+IF(Q595=1,INDEX(新属性投放!R$20:R$23,卡牌属性!M595-1),INDEX(新属性投放!R$25:R$28,卡牌属性!M595-1)))/SQRT(INDEX($I$5:$I$42,L595)),2)</f>
        <v>996.4</v>
      </c>
      <c r="U595" s="29" t="s">
        <v>178</v>
      </c>
      <c r="V595" s="14">
        <f>ROUND((IF(Q595=1,INDEX(新属性投放!$K$14:$K$34,卡牌属性!R595),INDEX(新属性投放!$K$42:$K$62,卡牌属性!R595))+IF(Q595=1,INDEX(新属性投放!S$20:S$23,卡牌属性!M595-1),INDEX(新属性投放!S$25:S$28,卡牌属性!M595-1)))*INDEX($G$5:$G$42,L595),2)</f>
        <v>420.2</v>
      </c>
      <c r="W595" s="29" t="s">
        <v>179</v>
      </c>
      <c r="X595" s="14">
        <f>ROUND((IF(Q595=1,INDEX(新属性投放!$L$14:$L$34,卡牌属性!R595),INDEX(新属性投放!$L$42:$L$62,卡牌属性!R595))*INDEX($G$5:$G$42,L595)+IF(Q595=1,INDEX(新属性投放!T$20:T$23,卡牌属性!M595-1),INDEX(新属性投放!T$25:T$28,卡牌属性!M595-1)))*SQRT(INDEX($I$5:$I$42,L595)),2)</f>
        <v>4191</v>
      </c>
      <c r="Y595" s="29" t="s">
        <v>177</v>
      </c>
      <c r="Z595" s="14">
        <f>ROUND(IF(Q595=1,INDEX(新属性投放!$D$14:$D$34,卡牌属性!R595),INDEX(新属性投放!$D$42:$D$62,卡牌属性!R595))*INDEX($G$5:$G$42,L595)/SQRT(INDEX($I$5:$I$42,L595)),2)</f>
        <v>30.13</v>
      </c>
      <c r="AA595" s="29" t="s">
        <v>178</v>
      </c>
      <c r="AB595" s="14">
        <f>ROUND(IF(Q595=1,INDEX(新属性投放!$E$14:$E$34,卡牌属性!R595),INDEX(新属性投放!$E$42:$E$62,卡牌属性!R595))*INDEX($G$5:$G$42,L595),2)</f>
        <v>15.07</v>
      </c>
      <c r="AC595" s="29" t="s">
        <v>179</v>
      </c>
      <c r="AD595" s="14">
        <f>ROUND(IF(Q595=1,INDEX(新属性投放!$F$14:$F$34,卡牌属性!R595),INDEX(新属性投放!$F$42:$F$62,卡牌属性!R595))*INDEX($G$5:$G$42,L595)*SQRT(INDEX($I$5:$I$42,L595)),2)</f>
        <v>135</v>
      </c>
      <c r="AF595" s="14">
        <f t="shared" si="256"/>
        <v>301</v>
      </c>
      <c r="AG595" s="14">
        <f t="shared" si="257"/>
        <v>150</v>
      </c>
      <c r="AH595" s="14">
        <f t="shared" si="258"/>
        <v>1350</v>
      </c>
      <c r="AJ595" s="14">
        <f t="shared" si="262"/>
        <v>839</v>
      </c>
      <c r="AK595" s="14">
        <f t="shared" si="263"/>
        <v>418</v>
      </c>
      <c r="AL595" s="14">
        <f t="shared" si="264"/>
        <v>3760</v>
      </c>
    </row>
    <row r="596" spans="11:38" ht="16.5" x14ac:dyDescent="0.2">
      <c r="K596" s="13">
        <v>593</v>
      </c>
      <c r="L596" s="13">
        <f t="shared" si="250"/>
        <v>29</v>
      </c>
      <c r="M596" s="13">
        <f t="shared" si="251"/>
        <v>2</v>
      </c>
      <c r="N596" s="14">
        <f t="shared" si="252"/>
        <v>1102013</v>
      </c>
      <c r="O596" s="14" t="str">
        <f t="shared" si="253"/>
        <v>塞伯罗斯5突</v>
      </c>
      <c r="P596" s="29" t="s">
        <v>470</v>
      </c>
      <c r="Q596" s="14">
        <f t="shared" si="254"/>
        <v>2</v>
      </c>
      <c r="R596" s="14">
        <f t="shared" si="255"/>
        <v>5</v>
      </c>
      <c r="S596" s="14" t="s">
        <v>39</v>
      </c>
      <c r="T596" s="14">
        <f>ROUND(((IF(Q596=1,INDEX(新属性投放!$J$14:$J$34,卡牌属性!R596),INDEX(新属性投放!$J$42:$J$62,卡牌属性!R596)))*INDEX($G$5:$G$42,L596)+IF(Q596=1,INDEX(新属性投放!R$20:R$23,卡牌属性!M596-1),INDEX(新属性投放!R$25:R$28,卡牌属性!M596-1)))/SQRT(INDEX($I$5:$I$42,L596)),2)</f>
        <v>1372.7</v>
      </c>
      <c r="U596" s="29" t="s">
        <v>178</v>
      </c>
      <c r="V596" s="14">
        <f>ROUND((IF(Q596=1,INDEX(新属性投放!$K$14:$K$34,卡牌属性!R596),INDEX(新属性投放!$K$42:$K$62,卡牌属性!R596))+IF(Q596=1,INDEX(新属性投放!S$20:S$23,卡牌属性!M596-1),INDEX(新属性投放!S$25:S$28,卡牌属性!M596-1)))*INDEX($G$5:$G$42,L596),2)</f>
        <v>608.85</v>
      </c>
      <c r="W596" s="29" t="s">
        <v>179</v>
      </c>
      <c r="X596" s="14">
        <f>ROUND((IF(Q596=1,INDEX(新属性投放!$L$14:$L$34,卡牌属性!R596),INDEX(新属性投放!$L$42:$L$62,卡牌属性!R596))*INDEX($G$5:$G$42,L596)+IF(Q596=1,INDEX(新属性投放!T$20:T$23,卡牌属性!M596-1),INDEX(新属性投放!T$25:T$28,卡牌属性!M596-1)))*SQRT(INDEX($I$5:$I$42,L596)),2)</f>
        <v>6216</v>
      </c>
      <c r="Y596" s="29" t="s">
        <v>177</v>
      </c>
      <c r="Z596" s="14">
        <f>ROUND(IF(Q596=1,INDEX(新属性投放!$D$14:$D$34,卡牌属性!R596),INDEX(新属性投放!$D$42:$D$62,卡牌属性!R596))*INDEX($G$5:$G$42,L596)/SQRT(INDEX($I$5:$I$42,L596)),2)</f>
        <v>37.659999999999997</v>
      </c>
      <c r="AA596" s="29" t="s">
        <v>178</v>
      </c>
      <c r="AB596" s="14">
        <f>ROUND(IF(Q596=1,INDEX(新属性投放!$E$14:$E$34,卡牌属性!R596),INDEX(新属性投放!$E$42:$E$62,卡牌属性!R596))*INDEX($G$5:$G$42,L596),2)</f>
        <v>18.829999999999998</v>
      </c>
      <c r="AC596" s="29" t="s">
        <v>179</v>
      </c>
      <c r="AD596" s="14">
        <f>ROUND(IF(Q596=1,INDEX(新属性投放!$F$14:$F$34,卡牌属性!R596),INDEX(新属性投放!$F$42:$F$62,卡牌属性!R596))*INDEX($G$5:$G$42,L596)*SQRT(INDEX($I$5:$I$42,L596)),2)</f>
        <v>169</v>
      </c>
      <c r="AF596" s="14">
        <f t="shared" si="256"/>
        <v>376</v>
      </c>
      <c r="AG596" s="14">
        <f t="shared" si="257"/>
        <v>188</v>
      </c>
      <c r="AH596" s="14">
        <f t="shared" si="258"/>
        <v>1690</v>
      </c>
      <c r="AJ596" s="14">
        <f t="shared" si="262"/>
        <v>1215</v>
      </c>
      <c r="AK596" s="14">
        <f t="shared" si="263"/>
        <v>606</v>
      </c>
      <c r="AL596" s="14">
        <f t="shared" si="264"/>
        <v>5450</v>
      </c>
    </row>
    <row r="597" spans="11:38" ht="16.5" x14ac:dyDescent="0.2">
      <c r="K597" s="13">
        <v>594</v>
      </c>
      <c r="L597" s="13">
        <f t="shared" si="250"/>
        <v>29</v>
      </c>
      <c r="M597" s="13">
        <f t="shared" si="251"/>
        <v>2</v>
      </c>
      <c r="N597" s="14">
        <f t="shared" si="252"/>
        <v>1102013</v>
      </c>
      <c r="O597" s="14" t="str">
        <f t="shared" si="253"/>
        <v>塞伯罗斯6突</v>
      </c>
      <c r="P597" s="29" t="s">
        <v>470</v>
      </c>
      <c r="Q597" s="14">
        <f t="shared" si="254"/>
        <v>2</v>
      </c>
      <c r="R597" s="14">
        <f t="shared" si="255"/>
        <v>6</v>
      </c>
      <c r="S597" s="14" t="s">
        <v>39</v>
      </c>
      <c r="T597" s="14">
        <f>ROUND(((IF(Q597=1,INDEX(新属性投放!$J$14:$J$34,卡牌属性!R597),INDEX(新属性投放!$J$42:$J$62,卡牌属性!R597)))*INDEX($G$5:$G$42,L597)+IF(Q597=1,INDEX(新属性投放!R$20:R$23,卡牌属性!M597-1),INDEX(新属性投放!R$25:R$28,卡牌属性!M597-1)))/SQRT(INDEX($I$5:$I$42,L597)),2)</f>
        <v>1843.3</v>
      </c>
      <c r="U597" s="29" t="s">
        <v>178</v>
      </c>
      <c r="V597" s="14">
        <f>ROUND((IF(Q597=1,INDEX(新属性投放!$K$14:$K$34,卡牌属性!R597),INDEX(新属性投放!$K$42:$K$62,卡牌属性!R597))+IF(Q597=1,INDEX(新属性投放!S$20:S$23,卡牌属性!M597-1),INDEX(新属性投放!S$25:S$28,卡牌属性!M597-1)))*INDEX($G$5:$G$42,L597),2)</f>
        <v>844.15</v>
      </c>
      <c r="W597" s="29" t="s">
        <v>179</v>
      </c>
      <c r="X597" s="14">
        <f>ROUND((IF(Q597=1,INDEX(新属性投放!$L$14:$L$34,卡牌属性!R597),INDEX(新属性投放!$L$42:$L$62,卡牌属性!R597))*INDEX($G$5:$G$42,L597)+IF(Q597=1,INDEX(新属性投放!T$20:T$23,卡牌属性!M597-1),INDEX(新属性投放!T$25:T$28,卡牌属性!M597-1)))*SQRT(INDEX($I$5:$I$42,L597)),2)</f>
        <v>8752</v>
      </c>
      <c r="Y597" s="29" t="s">
        <v>177</v>
      </c>
      <c r="Z597" s="14">
        <f>ROUND(IF(Q597=1,INDEX(新属性投放!$D$14:$D$34,卡牌属性!R597),INDEX(新属性投放!$D$42:$D$62,卡牌属性!R597))*INDEX($G$5:$G$42,L597)/SQRT(INDEX($I$5:$I$42,L597)),2)</f>
        <v>48.85</v>
      </c>
      <c r="AA597" s="29" t="s">
        <v>178</v>
      </c>
      <c r="AB597" s="14">
        <f>ROUND(IF(Q597=1,INDEX(新属性投放!$E$14:$E$34,卡牌属性!R597),INDEX(新属性投放!$E$42:$E$62,卡牌属性!R597))*INDEX($G$5:$G$42,L597),2)</f>
        <v>24.43</v>
      </c>
      <c r="AC597" s="29" t="s">
        <v>179</v>
      </c>
      <c r="AD597" s="14">
        <f>ROUND(IF(Q597=1,INDEX(新属性投放!$F$14:$F$34,卡牌属性!R597),INDEX(新属性投放!$F$42:$F$62,卡牌属性!R597))*INDEX($G$5:$G$42,L597)*SQRT(INDEX($I$5:$I$42,L597)),2)</f>
        <v>219</v>
      </c>
      <c r="AF597" s="14">
        <f t="shared" si="256"/>
        <v>488</v>
      </c>
      <c r="AG597" s="14">
        <f t="shared" si="257"/>
        <v>244</v>
      </c>
      <c r="AH597" s="14">
        <f t="shared" si="258"/>
        <v>2190</v>
      </c>
      <c r="AJ597" s="14">
        <f t="shared" si="262"/>
        <v>1703</v>
      </c>
      <c r="AK597" s="14">
        <f t="shared" si="263"/>
        <v>850</v>
      </c>
      <c r="AL597" s="14">
        <f t="shared" si="264"/>
        <v>7640</v>
      </c>
    </row>
    <row r="598" spans="11:38" ht="16.5" x14ac:dyDescent="0.2">
      <c r="K598" s="13">
        <v>595</v>
      </c>
      <c r="L598" s="13">
        <f t="shared" si="250"/>
        <v>29</v>
      </c>
      <c r="M598" s="13">
        <f t="shared" si="251"/>
        <v>2</v>
      </c>
      <c r="N598" s="14">
        <f t="shared" si="252"/>
        <v>1102013</v>
      </c>
      <c r="O598" s="14" t="str">
        <f t="shared" si="253"/>
        <v>塞伯罗斯7突</v>
      </c>
      <c r="P598" s="29" t="s">
        <v>470</v>
      </c>
      <c r="Q598" s="14">
        <f t="shared" si="254"/>
        <v>2</v>
      </c>
      <c r="R598" s="14">
        <f t="shared" si="255"/>
        <v>7</v>
      </c>
      <c r="S598" s="14" t="s">
        <v>39</v>
      </c>
      <c r="T598" s="14">
        <f>ROUND(((IF(Q598=1,INDEX(新属性投放!$J$14:$J$34,卡牌属性!R598),INDEX(新属性投放!$J$42:$J$62,卡牌属性!R598)))*INDEX($G$5:$G$42,L598)+IF(Q598=1,INDEX(新属性投放!R$20:R$23,卡牌属性!M598-1),INDEX(新属性投放!R$25:R$28,卡牌属性!M598-1)))/SQRT(INDEX($I$5:$I$42,L598)),2)</f>
        <v>2453.8000000000002</v>
      </c>
      <c r="U598" s="29" t="s">
        <v>178</v>
      </c>
      <c r="V598" s="14">
        <f>ROUND((IF(Q598=1,INDEX(新属性投放!$K$14:$K$34,卡牌属性!R598),INDEX(新属性投放!$K$42:$K$62,卡牌属性!R598))+IF(Q598=1,INDEX(新属性投放!S$20:S$23,卡牌属性!M598-1),INDEX(新属性投放!S$25:S$28,卡牌属性!M598-1)))*INDEX($G$5:$G$42,L598),2)</f>
        <v>1149.4000000000001</v>
      </c>
      <c r="W598" s="29" t="s">
        <v>179</v>
      </c>
      <c r="X598" s="14">
        <f>ROUND((IF(Q598=1,INDEX(新属性投放!$L$14:$L$34,卡牌属性!R598),INDEX(新属性投放!$L$42:$L$62,卡牌属性!R598))*INDEX($G$5:$G$42,L598)+IF(Q598=1,INDEX(新属性投放!T$20:T$23,卡牌属性!M598-1),INDEX(新属性投放!T$25:T$28,卡牌属性!M598-1)))*SQRT(INDEX($I$5:$I$42,L598)),2)</f>
        <v>12040</v>
      </c>
      <c r="Y598" s="29" t="s">
        <v>177</v>
      </c>
      <c r="Z598" s="14">
        <f>ROUND(IF(Q598=1,INDEX(新属性投放!$D$14:$D$34,卡牌属性!R598),INDEX(新属性投放!$D$42:$D$62,卡牌属性!R598))*INDEX($G$5:$G$42,L598)/SQRT(INDEX($I$5:$I$42,L598)),2)</f>
        <v>60.19</v>
      </c>
      <c r="AA598" s="29" t="s">
        <v>178</v>
      </c>
      <c r="AB598" s="14">
        <f>ROUND(IF(Q598=1,INDEX(新属性投放!$E$14:$E$34,卡牌属性!R598),INDEX(新属性投放!$E$42:$E$62,卡牌属性!R598))*INDEX($G$5:$G$42,L598),2)</f>
        <v>30.1</v>
      </c>
      <c r="AC598" s="29" t="s">
        <v>179</v>
      </c>
      <c r="AD598" s="14">
        <f>ROUND(IF(Q598=1,INDEX(新属性投放!$F$14:$F$34,卡牌属性!R598),INDEX(新属性投放!$F$42:$F$62,卡牌属性!R598))*INDEX($G$5:$G$42,L598)*SQRT(INDEX($I$5:$I$42,L598)),2)</f>
        <v>270</v>
      </c>
      <c r="AF598" s="14">
        <f t="shared" si="256"/>
        <v>601</v>
      </c>
      <c r="AG598" s="14">
        <f t="shared" si="257"/>
        <v>301</v>
      </c>
      <c r="AH598" s="14">
        <f t="shared" si="258"/>
        <v>2700</v>
      </c>
      <c r="AJ598" s="14">
        <f t="shared" si="262"/>
        <v>2304</v>
      </c>
      <c r="AK598" s="14">
        <f t="shared" si="263"/>
        <v>1151</v>
      </c>
      <c r="AL598" s="14">
        <f t="shared" si="264"/>
        <v>10340</v>
      </c>
    </row>
    <row r="599" spans="11:38" ht="16.5" x14ac:dyDescent="0.2">
      <c r="K599" s="13">
        <v>596</v>
      </c>
      <c r="L599" s="13">
        <f t="shared" si="250"/>
        <v>29</v>
      </c>
      <c r="M599" s="13">
        <f t="shared" si="251"/>
        <v>2</v>
      </c>
      <c r="N599" s="14">
        <f t="shared" si="252"/>
        <v>1102013</v>
      </c>
      <c r="O599" s="14" t="str">
        <f t="shared" si="253"/>
        <v>塞伯罗斯8突</v>
      </c>
      <c r="P599" s="29" t="s">
        <v>470</v>
      </c>
      <c r="Q599" s="14">
        <f t="shared" si="254"/>
        <v>2</v>
      </c>
      <c r="R599" s="14">
        <f t="shared" si="255"/>
        <v>8</v>
      </c>
      <c r="S599" s="14" t="s">
        <v>39</v>
      </c>
      <c r="T599" s="14">
        <f>ROUND(((IF(Q599=1,INDEX(新属性投放!$J$14:$J$34,卡牌属性!R599),INDEX(新属性投放!$J$42:$J$62,卡牌属性!R599)))*INDEX($G$5:$G$42,L599)+IF(Q599=1,INDEX(新属性投放!R$20:R$23,卡牌属性!M599-1),INDEX(新属性投放!R$25:R$28,卡牌属性!M599-1)))/SQRT(INDEX($I$5:$I$42,L599)),2)</f>
        <v>3205.7</v>
      </c>
      <c r="U599" s="29" t="s">
        <v>178</v>
      </c>
      <c r="V599" s="14">
        <f>ROUND((IF(Q599=1,INDEX(新属性投放!$K$14:$K$34,卡牌属性!R599),INDEX(新属性投放!$K$42:$K$62,卡牌属性!R599))+IF(Q599=1,INDEX(新属性投放!S$20:S$23,卡牌属性!M599-1),INDEX(新属性投放!S$25:S$28,卡牌属性!M599-1)))*INDEX($G$5:$G$42,L599),2)</f>
        <v>1525.35</v>
      </c>
      <c r="W599" s="29" t="s">
        <v>179</v>
      </c>
      <c r="X599" s="14">
        <f>ROUND((IF(Q599=1,INDEX(新属性投放!$L$14:$L$34,卡牌属性!R599),INDEX(新属性投放!$L$42:$L$62,卡牌属性!R599))*INDEX($G$5:$G$42,L599)+IF(Q599=1,INDEX(新属性投放!T$20:T$23,卡牌属性!M599-1),INDEX(新属性投放!T$25:T$28,卡牌属性!M599-1)))*SQRT(INDEX($I$5:$I$42,L599)),2)</f>
        <v>16090</v>
      </c>
      <c r="Y599" s="29" t="s">
        <v>177</v>
      </c>
      <c r="Z599" s="14">
        <f>ROUND(IF(Q599=1,INDEX(新属性投放!$D$14:$D$34,卡牌属性!R599),INDEX(新属性投放!$D$42:$D$62,卡牌属性!R599))*INDEX($G$5:$G$42,L599)/SQRT(INDEX($I$5:$I$42,L599)),2)</f>
        <v>75.19</v>
      </c>
      <c r="AA599" s="29" t="s">
        <v>178</v>
      </c>
      <c r="AB599" s="14">
        <f>ROUND(IF(Q599=1,INDEX(新属性投放!$E$14:$E$34,卡牌属性!R599),INDEX(新属性投放!$E$42:$E$62,卡牌属性!R599))*INDEX($G$5:$G$42,L599),2)</f>
        <v>37.6</v>
      </c>
      <c r="AC599" s="29" t="s">
        <v>179</v>
      </c>
      <c r="AD599" s="14">
        <f>ROUND(IF(Q599=1,INDEX(新属性投放!$F$14:$F$34,卡牌属性!R599),INDEX(新属性投放!$F$42:$F$62,卡牌属性!R599))*INDEX($G$5:$G$42,L599)*SQRT(INDEX($I$5:$I$42,L599)),2)</f>
        <v>338</v>
      </c>
      <c r="AF599" s="14">
        <f t="shared" si="256"/>
        <v>751</v>
      </c>
      <c r="AG599" s="14">
        <f t="shared" si="257"/>
        <v>376</v>
      </c>
      <c r="AH599" s="14">
        <f t="shared" si="258"/>
        <v>3380</v>
      </c>
      <c r="AJ599" s="14">
        <f t="shared" si="262"/>
        <v>3055</v>
      </c>
      <c r="AK599" s="14">
        <f t="shared" si="263"/>
        <v>1527</v>
      </c>
      <c r="AL599" s="14">
        <f t="shared" si="264"/>
        <v>13720</v>
      </c>
    </row>
    <row r="600" spans="11:38" ht="16.5" x14ac:dyDescent="0.2">
      <c r="K600" s="13">
        <v>597</v>
      </c>
      <c r="L600" s="13">
        <f t="shared" si="250"/>
        <v>29</v>
      </c>
      <c r="M600" s="13">
        <f t="shared" si="251"/>
        <v>2</v>
      </c>
      <c r="N600" s="14">
        <f t="shared" si="252"/>
        <v>1102013</v>
      </c>
      <c r="O600" s="14" t="str">
        <f t="shared" si="253"/>
        <v>塞伯罗斯9突</v>
      </c>
      <c r="P600" s="29" t="s">
        <v>470</v>
      </c>
      <c r="Q600" s="14">
        <f t="shared" si="254"/>
        <v>2</v>
      </c>
      <c r="R600" s="14">
        <f t="shared" si="255"/>
        <v>9</v>
      </c>
      <c r="S600" s="14" t="s">
        <v>39</v>
      </c>
      <c r="T600" s="14">
        <f>ROUND(((IF(Q600=1,INDEX(新属性投放!$J$14:$J$34,卡牌属性!R600),INDEX(新属性投放!$J$42:$J$62,卡牌属性!R600)))*INDEX($G$5:$G$42,L600)+IF(Q600=1,INDEX(新属性投放!R$20:R$23,卡牌属性!M600-1),INDEX(新属性投放!R$25:R$28,卡牌属性!M600-1)))/SQRT(INDEX($I$5:$I$42,L600)),2)</f>
        <v>4145.6000000000004</v>
      </c>
      <c r="U600" s="29" t="s">
        <v>178</v>
      </c>
      <c r="V600" s="14">
        <f>ROUND((IF(Q600=1,INDEX(新属性投放!$K$14:$K$34,卡牌属性!R600),INDEX(新属性投放!$K$42:$K$62,卡牌属性!R600))+IF(Q600=1,INDEX(新属性投放!S$20:S$23,卡牌属性!M600-1),INDEX(新属性投放!S$25:S$28,卡牌属性!M600-1)))*INDEX($G$5:$G$42,L600),2)</f>
        <v>1995.3</v>
      </c>
      <c r="W600" s="29" t="s">
        <v>179</v>
      </c>
      <c r="X600" s="14">
        <f>ROUND((IF(Q600=1,INDEX(新属性投放!$L$14:$L$34,卡牌属性!R600),INDEX(新属性投放!$L$42:$L$62,卡牌属性!R600))*INDEX($G$5:$G$42,L600)+IF(Q600=1,INDEX(新属性投放!T$20:T$23,卡牌属性!M600-1),INDEX(新属性投放!T$25:T$28,卡牌属性!M600-1)))*SQRT(INDEX($I$5:$I$42,L600)),2)</f>
        <v>21162</v>
      </c>
      <c r="Y600" s="29" t="s">
        <v>177</v>
      </c>
      <c r="Z600" s="14">
        <f>ROUND(IF(Q600=1,INDEX(新属性投放!$D$14:$D$34,卡牌属性!R600),INDEX(新属性投放!$D$42:$D$62,卡牌属性!R600))*INDEX($G$5:$G$42,L600)/SQRT(INDEX($I$5:$I$42,L600)),2)</f>
        <v>97.79</v>
      </c>
      <c r="AA600" s="29" t="s">
        <v>178</v>
      </c>
      <c r="AB600" s="14">
        <f>ROUND(IF(Q600=1,INDEX(新属性投放!$E$14:$E$34,卡牌属性!R600),INDEX(新属性投放!$E$42:$E$62,卡牌属性!R600))*INDEX($G$5:$G$42,L600),2)</f>
        <v>48.9</v>
      </c>
      <c r="AC600" s="29" t="s">
        <v>179</v>
      </c>
      <c r="AD600" s="14">
        <f>ROUND(IF(Q600=1,INDEX(新属性投放!$F$14:$F$34,卡牌属性!R600),INDEX(新属性投放!$F$42:$F$62,卡牌属性!R600))*INDEX($G$5:$G$42,L600)*SQRT(INDEX($I$5:$I$42,L600)),2)</f>
        <v>440</v>
      </c>
      <c r="AF600" s="14">
        <f t="shared" si="256"/>
        <v>977</v>
      </c>
      <c r="AG600" s="14">
        <f t="shared" si="257"/>
        <v>489</v>
      </c>
      <c r="AH600" s="14">
        <f t="shared" si="258"/>
        <v>4400</v>
      </c>
      <c r="AJ600" s="14">
        <f t="shared" si="262"/>
        <v>4032</v>
      </c>
      <c r="AK600" s="14">
        <f t="shared" si="263"/>
        <v>2016</v>
      </c>
      <c r="AL600" s="14">
        <f t="shared" si="264"/>
        <v>18120</v>
      </c>
    </row>
    <row r="601" spans="11:38" ht="16.5" x14ac:dyDescent="0.2">
      <c r="K601" s="13">
        <v>598</v>
      </c>
      <c r="L601" s="13">
        <f t="shared" si="250"/>
        <v>29</v>
      </c>
      <c r="M601" s="13">
        <f t="shared" si="251"/>
        <v>2</v>
      </c>
      <c r="N601" s="14">
        <f t="shared" si="252"/>
        <v>1102013</v>
      </c>
      <c r="O601" s="14" t="str">
        <f t="shared" si="253"/>
        <v>塞伯罗斯10突</v>
      </c>
      <c r="P601" s="29" t="s">
        <v>470</v>
      </c>
      <c r="Q601" s="14">
        <f t="shared" si="254"/>
        <v>2</v>
      </c>
      <c r="R601" s="14">
        <f t="shared" si="255"/>
        <v>10</v>
      </c>
      <c r="S601" s="14" t="s">
        <v>39</v>
      </c>
      <c r="T601" s="14">
        <f>ROUND(((IF(Q601=1,INDEX(新属性投放!$J$14:$J$34,卡牌属性!R601),INDEX(新属性投放!$J$42:$J$62,卡牌属性!R601)))*INDEX($G$5:$G$42,L601)+IF(Q601=1,INDEX(新属性投放!R$20:R$23,卡牌属性!M601-1),INDEX(新属性投放!R$25:R$28,卡牌属性!M601-1)))/SQRT(INDEX($I$5:$I$42,L601)),2)</f>
        <v>4756.55</v>
      </c>
      <c r="U601" s="29" t="s">
        <v>178</v>
      </c>
      <c r="V601" s="14">
        <f>ROUND((IF(Q601=1,INDEX(新属性投放!$K$14:$K$34,卡牌属性!R601),INDEX(新属性投放!$K$42:$K$62,卡牌属性!R601))+IF(Q601=1,INDEX(新属性投放!S$20:S$23,卡牌属性!M601-1),INDEX(新属性投放!S$25:S$28,卡牌属性!M601-1)))*INDEX($G$5:$G$42,L601),2)</f>
        <v>2300.7800000000002</v>
      </c>
      <c r="W601" s="29" t="s">
        <v>179</v>
      </c>
      <c r="X601" s="14">
        <f>ROUND((IF(Q601=1,INDEX(新属性投放!$L$14:$L$34,卡牌属性!R601),INDEX(新属性投放!$L$42:$L$62,卡牌属性!R601))*INDEX($G$5:$G$42,L601)+IF(Q601=1,INDEX(新属性投放!T$20:T$23,卡牌属性!M601-1),INDEX(新属性投放!T$25:T$28,卡牌属性!M601-1)))*SQRT(INDEX($I$5:$I$42,L601)),2)</f>
        <v>24460</v>
      </c>
      <c r="Y601" s="29" t="s">
        <v>177</v>
      </c>
      <c r="Z601" s="14">
        <f>ROUND(IF(Q601=1,INDEX(新属性投放!$D$14:$D$34,卡牌属性!R601),INDEX(新属性投放!$D$42:$D$62,卡牌属性!R601))*INDEX($G$5:$G$42,L601)/SQRT(INDEX($I$5:$I$42,L601)),2)</f>
        <v>112.83</v>
      </c>
      <c r="AA601" s="29" t="s">
        <v>178</v>
      </c>
      <c r="AB601" s="14">
        <f>ROUND(IF(Q601=1,INDEX(新属性投放!$E$14:$E$34,卡牌属性!R601),INDEX(新属性投放!$E$42:$E$62,卡牌属性!R601))*INDEX($G$5:$G$42,L601),2)</f>
        <v>56.42</v>
      </c>
      <c r="AC601" s="29" t="s">
        <v>179</v>
      </c>
      <c r="AD601" s="14">
        <f>ROUND(IF(Q601=1,INDEX(新属性投放!$F$14:$F$34,卡牌属性!R601),INDEX(新属性投放!$F$42:$F$62,卡牌属性!R601))*INDEX($G$5:$G$42,L601)*SQRT(INDEX($I$5:$I$42,L601)),2)</f>
        <v>507</v>
      </c>
      <c r="AF601" s="14">
        <f t="shared" si="256"/>
        <v>1128</v>
      </c>
      <c r="AG601" s="14">
        <f t="shared" si="257"/>
        <v>564</v>
      </c>
      <c r="AH601" s="14">
        <f t="shared" si="258"/>
        <v>5070</v>
      </c>
      <c r="AJ601" s="14">
        <f t="shared" si="262"/>
        <v>5160</v>
      </c>
      <c r="AK601" s="14">
        <f t="shared" si="263"/>
        <v>2580</v>
      </c>
      <c r="AL601" s="14">
        <f t="shared" si="264"/>
        <v>23190</v>
      </c>
    </row>
    <row r="602" spans="11:38" ht="16.5" x14ac:dyDescent="0.2">
      <c r="K602" s="13">
        <v>599</v>
      </c>
      <c r="L602" s="13">
        <f t="shared" si="250"/>
        <v>29</v>
      </c>
      <c r="M602" s="13">
        <f t="shared" si="251"/>
        <v>2</v>
      </c>
      <c r="N602" s="14">
        <f t="shared" si="252"/>
        <v>1102013</v>
      </c>
      <c r="O602" s="14" t="str">
        <f t="shared" si="253"/>
        <v>塞伯罗斯11突</v>
      </c>
      <c r="P602" s="29" t="s">
        <v>470</v>
      </c>
      <c r="Q602" s="14">
        <f t="shared" si="254"/>
        <v>2</v>
      </c>
      <c r="R602" s="14">
        <f t="shared" si="255"/>
        <v>11</v>
      </c>
      <c r="S602" s="14" t="s">
        <v>39</v>
      </c>
      <c r="T602" s="14">
        <f>ROUND(((IF(Q602=1,INDEX(新属性投放!$J$14:$J$34,卡牌属性!R602),INDEX(新属性投放!$J$42:$J$62,卡牌属性!R602)))*INDEX($G$5:$G$42,L602)+IF(Q602=1,INDEX(新属性投放!R$20:R$23,卡牌属性!M602-1),INDEX(新属性投放!R$25:R$28,卡牌属性!M602-1)))/SQRT(INDEX($I$5:$I$42,L602)),2)</f>
        <v>5461.7</v>
      </c>
      <c r="U602" s="29" t="s">
        <v>178</v>
      </c>
      <c r="V602" s="14">
        <f>ROUND((IF(Q602=1,INDEX(新属性投放!$K$14:$K$34,卡牌属性!R602),INDEX(新属性投放!$K$42:$K$62,卡牌属性!R602))+IF(Q602=1,INDEX(新属性投放!S$20:S$23,卡牌属性!M602-1),INDEX(新属性投放!S$25:S$28,卡牌属性!M602-1)))*INDEX($G$5:$G$42,L602),2)</f>
        <v>2653.85</v>
      </c>
      <c r="W602" s="29" t="s">
        <v>179</v>
      </c>
      <c r="X602" s="14">
        <f>ROUND((IF(Q602=1,INDEX(新属性投放!$L$14:$L$34,卡牌属性!R602),INDEX(新属性投放!$L$42:$L$62,卡牌属性!R602))*INDEX($G$5:$G$42,L602)+IF(Q602=1,INDEX(新属性投放!T$20:T$23,卡牌属性!M602-1),INDEX(新属性投放!T$25:T$28,卡牌属性!M602-1)))*SQRT(INDEX($I$5:$I$42,L602)),2)</f>
        <v>28264</v>
      </c>
      <c r="Y602" s="29" t="s">
        <v>177</v>
      </c>
      <c r="Z602" s="14">
        <f>ROUND(IF(Q602=1,INDEX(新属性投放!$D$14:$D$34,卡牌属性!R602),INDEX(新属性投放!$D$42:$D$62,卡牌属性!R602))*INDEX($G$5:$G$42,L602)/SQRT(INDEX($I$5:$I$42,L602)),2)</f>
        <v>131.58000000000001</v>
      </c>
      <c r="AA602" s="29" t="s">
        <v>178</v>
      </c>
      <c r="AB602" s="14">
        <f>ROUND(IF(Q602=1,INDEX(新属性投放!$E$14:$E$34,卡牌属性!R602),INDEX(新属性投放!$E$42:$E$62,卡牌属性!R602))*INDEX($G$5:$G$42,L602),2)</f>
        <v>65.790000000000006</v>
      </c>
      <c r="AC602" s="29" t="s">
        <v>179</v>
      </c>
      <c r="AD602" s="14">
        <f>ROUND(IF(Q602=1,INDEX(新属性投放!$F$14:$F$34,卡牌属性!R602),INDEX(新属性投放!$F$42:$F$62,卡牌属性!R602))*INDEX($G$5:$G$42,L602)*SQRT(INDEX($I$5:$I$42,L602)),2)</f>
        <v>592</v>
      </c>
      <c r="AF602" s="14">
        <f t="shared" si="256"/>
        <v>1315</v>
      </c>
      <c r="AG602" s="14">
        <f t="shared" si="257"/>
        <v>657</v>
      </c>
      <c r="AH602" s="14">
        <f t="shared" si="258"/>
        <v>5920</v>
      </c>
      <c r="AJ602" s="14">
        <f t="shared" si="262"/>
        <v>6475</v>
      </c>
      <c r="AK602" s="14">
        <f t="shared" si="263"/>
        <v>3237</v>
      </c>
      <c r="AL602" s="14">
        <f t="shared" si="264"/>
        <v>29110</v>
      </c>
    </row>
    <row r="603" spans="11:38" ht="16.5" x14ac:dyDescent="0.2">
      <c r="K603" s="13">
        <v>600</v>
      </c>
      <c r="L603" s="13">
        <f t="shared" si="250"/>
        <v>29</v>
      </c>
      <c r="M603" s="13">
        <f t="shared" si="251"/>
        <v>2</v>
      </c>
      <c r="N603" s="14">
        <f t="shared" si="252"/>
        <v>1102013</v>
      </c>
      <c r="O603" s="14" t="str">
        <f t="shared" si="253"/>
        <v>塞伯罗斯12突</v>
      </c>
      <c r="P603" s="29" t="s">
        <v>470</v>
      </c>
      <c r="Q603" s="14">
        <f t="shared" si="254"/>
        <v>2</v>
      </c>
      <c r="R603" s="14">
        <f t="shared" si="255"/>
        <v>12</v>
      </c>
      <c r="S603" s="14" t="s">
        <v>39</v>
      </c>
      <c r="T603" s="14">
        <f>ROUND(((IF(Q603=1,INDEX(新属性投放!$J$14:$J$34,卡牌属性!R603),INDEX(新属性投放!$J$42:$J$62,卡牌属性!R603)))*INDEX($G$5:$G$42,L603)+IF(Q603=1,INDEX(新属性投放!R$20:R$23,卡牌属性!M603-1),INDEX(新属性投放!R$25:R$28,卡牌属性!M603-1)))/SQRT(INDEX($I$5:$I$42,L603)),2)</f>
        <v>6283.6</v>
      </c>
      <c r="U603" s="29" t="s">
        <v>178</v>
      </c>
      <c r="V603" s="14">
        <f>ROUND((IF(Q603=1,INDEX(新属性投放!$K$14:$K$34,卡牌属性!R603),INDEX(新属性投放!$K$42:$K$62,卡牌属性!R603))+IF(Q603=1,INDEX(新属性投放!S$20:S$23,卡牌属性!M603-1),INDEX(新属性投放!S$25:S$28,卡牌属性!M603-1)))*INDEX($G$5:$G$42,L603),2)</f>
        <v>3064.8</v>
      </c>
      <c r="W603" s="29" t="s">
        <v>179</v>
      </c>
      <c r="X603" s="14">
        <f>ROUND((IF(Q603=1,INDEX(新属性投放!$L$14:$L$34,卡牌属性!R603),INDEX(新属性投放!$L$42:$L$62,卡牌属性!R603))*INDEX($G$5:$G$42,L603)+IF(Q603=1,INDEX(新属性投放!T$20:T$23,卡牌属性!M603-1),INDEX(新属性投放!T$25:T$28,卡牌属性!M603-1)))*SQRT(INDEX($I$5:$I$42,L603)),2)</f>
        <v>32700</v>
      </c>
      <c r="Y603" s="29" t="s">
        <v>177</v>
      </c>
      <c r="Z603" s="14">
        <f>ROUND(IF(Q603=1,INDEX(新属性投放!$D$14:$D$34,卡牌属性!R603),INDEX(新属性投放!$D$42:$D$62,卡牌属性!R603))*INDEX($G$5:$G$42,L603)/SQRT(INDEX($I$5:$I$42,L603)),2)</f>
        <v>150.47</v>
      </c>
      <c r="AA603" s="29" t="s">
        <v>178</v>
      </c>
      <c r="AB603" s="14">
        <f>ROUND(IF(Q603=1,INDEX(新属性投放!$E$14:$E$34,卡牌属性!R603),INDEX(新属性投放!$E$42:$E$62,卡牌属性!R603))*INDEX($G$5:$G$42,L603),2)</f>
        <v>75.239999999999995</v>
      </c>
      <c r="AC603" s="29" t="s">
        <v>179</v>
      </c>
      <c r="AD603" s="14">
        <f>ROUND(IF(Q603=1,INDEX(新属性投放!$F$14:$F$34,卡牌属性!R603),INDEX(新属性投放!$F$42:$F$62,卡牌属性!R603))*INDEX($G$5:$G$42,L603)*SQRT(INDEX($I$5:$I$42,L603)),2)</f>
        <v>677</v>
      </c>
      <c r="AF603" s="14">
        <f t="shared" si="256"/>
        <v>1504</v>
      </c>
      <c r="AG603" s="14">
        <f t="shared" si="257"/>
        <v>752</v>
      </c>
      <c r="AH603" s="14">
        <f t="shared" si="258"/>
        <v>6770</v>
      </c>
      <c r="AJ603" s="14">
        <f t="shared" si="262"/>
        <v>7979</v>
      </c>
      <c r="AK603" s="14">
        <f t="shared" si="263"/>
        <v>3989</v>
      </c>
      <c r="AL603" s="14">
        <f t="shared" si="264"/>
        <v>35880</v>
      </c>
    </row>
    <row r="604" spans="11:38" ht="16.5" x14ac:dyDescent="0.2">
      <c r="K604" s="13">
        <v>601</v>
      </c>
      <c r="L604" s="13">
        <f t="shared" si="250"/>
        <v>29</v>
      </c>
      <c r="M604" s="13">
        <f t="shared" si="251"/>
        <v>2</v>
      </c>
      <c r="N604" s="14">
        <f t="shared" si="252"/>
        <v>1102013</v>
      </c>
      <c r="O604" s="14" t="str">
        <f t="shared" si="253"/>
        <v>塞伯罗斯13突</v>
      </c>
      <c r="P604" s="29" t="s">
        <v>470</v>
      </c>
      <c r="Q604" s="14">
        <f t="shared" si="254"/>
        <v>2</v>
      </c>
      <c r="R604" s="14">
        <f t="shared" si="255"/>
        <v>13</v>
      </c>
      <c r="S604" s="14" t="s">
        <v>39</v>
      </c>
      <c r="T604" s="14">
        <f>ROUND(((IF(Q604=1,INDEX(新属性投放!$J$14:$J$34,卡牌属性!R604),INDEX(新属性投放!$J$42:$J$62,卡牌属性!R604)))*INDEX($G$5:$G$42,L604)+IF(Q604=1,INDEX(新属性投放!R$20:R$23,卡牌属性!M604-1),INDEX(新属性投放!R$25:R$28,卡牌属性!M604-1)))/SQRT(INDEX($I$5:$I$42,L604)),2)</f>
        <v>7223.95</v>
      </c>
      <c r="U604" s="29" t="s">
        <v>178</v>
      </c>
      <c r="V604" s="14">
        <f>ROUND((IF(Q604=1,INDEX(新属性投放!$K$14:$K$34,卡牌属性!R604),INDEX(新属性投放!$K$42:$K$62,卡牌属性!R604))+IF(Q604=1,INDEX(新属性投放!S$20:S$23,卡牌属性!M604-1),INDEX(新属性投放!S$25:S$28,卡牌属性!M604-1)))*INDEX($G$5:$G$42,L604),2)</f>
        <v>3534.98</v>
      </c>
      <c r="W604" s="29" t="s">
        <v>179</v>
      </c>
      <c r="X604" s="14">
        <f>ROUND((IF(Q604=1,INDEX(新属性投放!$L$14:$L$34,卡牌属性!R604),INDEX(新属性投放!$L$42:$L$62,卡牌属性!R604))*INDEX($G$5:$G$42,L604)+IF(Q604=1,INDEX(新属性投放!T$20:T$23,卡牌属性!M604-1),INDEX(新属性投放!T$25:T$28,卡牌属性!M604-1)))*SQRT(INDEX($I$5:$I$42,L604)),2)</f>
        <v>37777</v>
      </c>
      <c r="Y604" s="29" t="s">
        <v>177</v>
      </c>
      <c r="Z604" s="14">
        <f>ROUND(IF(Q604=1,INDEX(新属性投放!$D$14:$D$34,卡牌属性!R604),INDEX(新属性投放!$D$42:$D$62,卡牌属性!R604))*INDEX($G$5:$G$42,L604)/SQRT(INDEX($I$5:$I$42,L604)),2)</f>
        <v>173.97</v>
      </c>
      <c r="AA604" s="29" t="s">
        <v>178</v>
      </c>
      <c r="AB604" s="14">
        <f>ROUND(IF(Q604=1,INDEX(新属性投放!$E$14:$E$34,卡牌属性!R604),INDEX(新属性投放!$E$42:$E$62,卡牌属性!R604))*INDEX($G$5:$G$42,L604),2)</f>
        <v>86.99</v>
      </c>
      <c r="AC604" s="29" t="s">
        <v>179</v>
      </c>
      <c r="AD604" s="14">
        <f>ROUND(IF(Q604=1,INDEX(新属性投放!$F$14:$F$34,卡牌属性!R604),INDEX(新属性投放!$F$42:$F$62,卡牌属性!R604))*INDEX($G$5:$G$42,L604)*SQRT(INDEX($I$5:$I$42,L604)),2)</f>
        <v>782</v>
      </c>
      <c r="AF604" s="14">
        <f t="shared" si="256"/>
        <v>1739</v>
      </c>
      <c r="AG604" s="14">
        <f t="shared" si="257"/>
        <v>869</v>
      </c>
      <c r="AH604" s="14">
        <f t="shared" si="258"/>
        <v>7820</v>
      </c>
      <c r="AJ604" s="14">
        <f t="shared" si="262"/>
        <v>9718</v>
      </c>
      <c r="AK604" s="14">
        <f t="shared" si="263"/>
        <v>4858</v>
      </c>
      <c r="AL604" s="14">
        <f t="shared" si="264"/>
        <v>43700</v>
      </c>
    </row>
    <row r="605" spans="11:38" ht="16.5" x14ac:dyDescent="0.2">
      <c r="K605" s="13">
        <v>602</v>
      </c>
      <c r="L605" s="13">
        <f t="shared" si="250"/>
        <v>29</v>
      </c>
      <c r="M605" s="13">
        <f t="shared" si="251"/>
        <v>2</v>
      </c>
      <c r="N605" s="14">
        <f t="shared" si="252"/>
        <v>1102013</v>
      </c>
      <c r="O605" s="14" t="str">
        <f t="shared" si="253"/>
        <v>塞伯罗斯14突</v>
      </c>
      <c r="P605" s="29" t="s">
        <v>470</v>
      </c>
      <c r="Q605" s="14">
        <f t="shared" si="254"/>
        <v>2</v>
      </c>
      <c r="R605" s="14">
        <f t="shared" si="255"/>
        <v>14</v>
      </c>
      <c r="S605" s="14" t="s">
        <v>39</v>
      </c>
      <c r="T605" s="14">
        <f>ROUND(((IF(Q605=1,INDEX(新属性投放!$J$14:$J$34,卡牌属性!R605),INDEX(新属性投放!$J$42:$J$62,卡牌属性!R605)))*INDEX($G$5:$G$42,L605)+IF(Q605=1,INDEX(新属性投放!R$20:R$23,卡牌属性!M605-1),INDEX(新属性投放!R$25:R$28,卡牌属性!M605-1)))/SQRT(INDEX($I$5:$I$42,L605)),2)</f>
        <v>8310.7999999999993</v>
      </c>
      <c r="U605" s="29" t="s">
        <v>178</v>
      </c>
      <c r="V605" s="14">
        <f>ROUND((IF(Q605=1,INDEX(新属性投放!$K$14:$K$34,卡牌属性!R605),INDEX(新属性投放!$K$42:$K$62,卡牌属性!R605))+IF(Q605=1,INDEX(新属性投放!S$20:S$23,卡牌属性!M605-1),INDEX(新属性投放!S$25:S$28,卡牌属性!M605-1)))*INDEX($G$5:$G$42,L605),2)</f>
        <v>4078.9</v>
      </c>
      <c r="W605" s="29" t="s">
        <v>179</v>
      </c>
      <c r="X605" s="14">
        <f>ROUND((IF(Q605=1,INDEX(新属性投放!$L$14:$L$34,卡牌属性!R605),INDEX(新属性投放!$L$42:$L$62,卡牌属性!R605))*INDEX($G$5:$G$42,L605)+IF(Q605=1,INDEX(新属性投放!T$20:T$23,卡牌属性!M605-1),INDEX(新属性投放!T$25:T$28,卡牌属性!M605-1)))*SQRT(INDEX($I$5:$I$42,L605)),2)</f>
        <v>43640</v>
      </c>
      <c r="Y605" s="29" t="s">
        <v>177</v>
      </c>
      <c r="Z605" s="14">
        <f>ROUND(IF(Q605=1,INDEX(新属性投放!$D$14:$D$34,卡牌属性!R605),INDEX(新属性投放!$D$42:$D$62,卡牌属性!R605))*INDEX($G$5:$G$42,L605)/SQRT(INDEX($I$5:$I$42,L605)),2)</f>
        <v>201.15</v>
      </c>
      <c r="AA605" s="29" t="s">
        <v>178</v>
      </c>
      <c r="AB605" s="14">
        <f>ROUND(IF(Q605=1,INDEX(新属性投放!$E$14:$E$34,卡牌属性!R605),INDEX(新属性投放!$E$42:$E$62,卡牌属性!R605))*INDEX($G$5:$G$42,L605),2)</f>
        <v>100.58</v>
      </c>
      <c r="AC605" s="29" t="s">
        <v>179</v>
      </c>
      <c r="AD605" s="14">
        <f>ROUND(IF(Q605=1,INDEX(新属性投放!$F$14:$F$34,卡牌属性!R605),INDEX(新属性投放!$F$42:$F$62,卡牌属性!R605))*INDEX($G$5:$G$42,L605)*SQRT(INDEX($I$5:$I$42,L605)),2)</f>
        <v>905</v>
      </c>
      <c r="AF605" s="14">
        <f t="shared" si="256"/>
        <v>2011</v>
      </c>
      <c r="AG605" s="14">
        <f t="shared" si="257"/>
        <v>1005</v>
      </c>
      <c r="AH605" s="14">
        <f t="shared" si="258"/>
        <v>9050</v>
      </c>
      <c r="AJ605" s="14">
        <f t="shared" si="262"/>
        <v>11729</v>
      </c>
      <c r="AK605" s="14">
        <f t="shared" si="263"/>
        <v>5863</v>
      </c>
      <c r="AL605" s="14">
        <f t="shared" si="264"/>
        <v>52750</v>
      </c>
    </row>
    <row r="606" spans="11:38" ht="16.5" x14ac:dyDescent="0.2">
      <c r="K606" s="13">
        <v>603</v>
      </c>
      <c r="L606" s="13">
        <f t="shared" si="250"/>
        <v>29</v>
      </c>
      <c r="M606" s="13">
        <f t="shared" si="251"/>
        <v>2</v>
      </c>
      <c r="N606" s="14">
        <f t="shared" si="252"/>
        <v>1102013</v>
      </c>
      <c r="O606" s="14" t="str">
        <f t="shared" si="253"/>
        <v>塞伯罗斯15突</v>
      </c>
      <c r="P606" s="29" t="s">
        <v>470</v>
      </c>
      <c r="Q606" s="14">
        <f t="shared" si="254"/>
        <v>2</v>
      </c>
      <c r="R606" s="14">
        <f t="shared" si="255"/>
        <v>15</v>
      </c>
      <c r="S606" s="14" t="s">
        <v>39</v>
      </c>
      <c r="T606" s="14">
        <f>ROUND(((IF(Q606=1,INDEX(新属性投放!$J$14:$J$34,卡牌属性!R606),INDEX(新属性投放!$J$42:$J$62,卡牌属性!R606)))*INDEX($G$5:$G$42,L606)+IF(Q606=1,INDEX(新属性投放!R$20:R$23,卡牌属性!M606-1),INDEX(新属性投放!R$25:R$28,卡牌属性!M606-1)))/SQRT(INDEX($I$5:$I$42,L606)),2)</f>
        <v>9567.5499999999993</v>
      </c>
      <c r="U606" s="29" t="s">
        <v>178</v>
      </c>
      <c r="V606" s="14">
        <f>ROUND((IF(Q606=1,INDEX(新属性投放!$K$14:$K$34,卡牌属性!R606),INDEX(新属性投放!$K$42:$K$62,卡牌属性!R606))+IF(Q606=1,INDEX(新属性投放!S$20:S$23,卡牌属性!M606-1),INDEX(新属性投放!S$25:S$28,卡牌属性!M606-1)))*INDEX($G$5:$G$42,L606),2)</f>
        <v>4707.78</v>
      </c>
      <c r="W606" s="29" t="s">
        <v>179</v>
      </c>
      <c r="X606" s="14">
        <f>ROUND((IF(Q606=1,INDEX(新属性投放!$L$14:$L$34,卡牌属性!R606),INDEX(新属性投放!$L$42:$L$62,卡牌属性!R606))*INDEX($G$5:$G$42,L606)+IF(Q606=1,INDEX(新属性投放!T$20:T$23,卡牌属性!M606-1),INDEX(新属性投放!T$25:T$28,卡牌属性!M606-1)))*SQRT(INDEX($I$5:$I$42,L606)),2)</f>
        <v>50424</v>
      </c>
      <c r="Y606" s="29" t="s">
        <v>177</v>
      </c>
      <c r="Z606" s="14">
        <f>ROUND(IF(Q606=1,INDEX(新属性投放!$D$14:$D$34,卡牌属性!R606),INDEX(新属性投放!$D$42:$D$62,卡牌属性!R606))*INDEX($G$5:$G$42,L606)/SQRT(INDEX($I$5:$I$42,L606)),2)</f>
        <v>232.56</v>
      </c>
      <c r="AA606" s="29" t="s">
        <v>178</v>
      </c>
      <c r="AB606" s="14">
        <f>ROUND(IF(Q606=1,INDEX(新属性投放!$E$14:$E$34,卡牌属性!R606),INDEX(新属性投放!$E$42:$E$62,卡牌属性!R606))*INDEX($G$5:$G$42,L606),2)</f>
        <v>116.28</v>
      </c>
      <c r="AC606" s="29" t="s">
        <v>179</v>
      </c>
      <c r="AD606" s="14">
        <f>ROUND(IF(Q606=1,INDEX(新属性投放!$F$14:$F$34,卡牌属性!R606),INDEX(新属性投放!$F$42:$F$62,卡牌属性!R606))*INDEX($G$5:$G$42,L606)*SQRT(INDEX($I$5:$I$42,L606)),2)</f>
        <v>1046</v>
      </c>
      <c r="AF606" s="14">
        <f t="shared" si="256"/>
        <v>2325</v>
      </c>
      <c r="AG606" s="14">
        <f t="shared" si="257"/>
        <v>1162</v>
      </c>
      <c r="AH606" s="14">
        <f t="shared" si="258"/>
        <v>10460</v>
      </c>
      <c r="AJ606" s="14">
        <f t="shared" si="262"/>
        <v>14054</v>
      </c>
      <c r="AK606" s="14">
        <f t="shared" si="263"/>
        <v>7025</v>
      </c>
      <c r="AL606" s="14">
        <f t="shared" si="264"/>
        <v>63210</v>
      </c>
    </row>
    <row r="607" spans="11:38" ht="16.5" x14ac:dyDescent="0.2">
      <c r="K607" s="13">
        <v>604</v>
      </c>
      <c r="L607" s="13">
        <f t="shared" si="250"/>
        <v>29</v>
      </c>
      <c r="M607" s="13">
        <f t="shared" si="251"/>
        <v>2</v>
      </c>
      <c r="N607" s="14">
        <f t="shared" si="252"/>
        <v>1102013</v>
      </c>
      <c r="O607" s="14" t="str">
        <f t="shared" si="253"/>
        <v>塞伯罗斯16突</v>
      </c>
      <c r="P607" s="29" t="s">
        <v>470</v>
      </c>
      <c r="Q607" s="14">
        <f t="shared" si="254"/>
        <v>2</v>
      </c>
      <c r="R607" s="14">
        <f t="shared" si="255"/>
        <v>16</v>
      </c>
      <c r="S607" s="14" t="s">
        <v>39</v>
      </c>
      <c r="T607" s="14">
        <f>ROUND(((IF(Q607=1,INDEX(新属性投放!$J$14:$J$34,卡牌属性!R607),INDEX(新属性投放!$J$42:$J$62,卡牌属性!R607)))*INDEX($G$5:$G$42,L607)+IF(Q607=1,INDEX(新属性投放!R$20:R$23,卡牌属性!M607-1),INDEX(新属性投放!R$25:R$28,卡牌属性!M607-1)))/SQRT(INDEX($I$5:$I$42,L607)),2)</f>
        <v>11021.35</v>
      </c>
      <c r="U607" s="29" t="s">
        <v>178</v>
      </c>
      <c r="V607" s="14">
        <f>ROUND((IF(Q607=1,INDEX(新属性投放!$K$14:$K$34,卡牌属性!R607),INDEX(新属性投放!$K$42:$K$62,卡牌属性!R607))+IF(Q607=1,INDEX(新属性投放!S$20:S$23,卡牌属性!M607-1),INDEX(新属性投放!S$25:S$28,卡牌属性!M607-1)))*INDEX($G$5:$G$42,L607),2)</f>
        <v>5434.18</v>
      </c>
      <c r="W607" s="29" t="s">
        <v>179</v>
      </c>
      <c r="X607" s="14">
        <f>ROUND((IF(Q607=1,INDEX(新属性投放!$L$14:$L$34,卡牌属性!R607),INDEX(新属性投放!$L$42:$L$62,卡牌属性!R607))*INDEX($G$5:$G$42,L607)+IF(Q607=1,INDEX(新属性投放!T$20:T$23,卡牌属性!M607-1),INDEX(新属性投放!T$25:T$28,卡牌属性!M607-1)))*SQRT(INDEX($I$5:$I$42,L607)),2)</f>
        <v>58273</v>
      </c>
      <c r="Y607" s="29" t="s">
        <v>177</v>
      </c>
      <c r="Z607" s="14">
        <f>ROUND(IF(Q607=1,INDEX(新属性投放!$D$14:$D$34,卡牌属性!R607),INDEX(新属性投放!$D$42:$D$62,卡牌属性!R607))*INDEX($G$5:$G$42,L607)/SQRT(INDEX($I$5:$I$42,L607)),2)</f>
        <v>268.91000000000003</v>
      </c>
      <c r="AA607" s="29" t="s">
        <v>178</v>
      </c>
      <c r="AB607" s="14">
        <f>ROUND(IF(Q607=1,INDEX(新属性投放!$E$14:$E$34,卡牌属性!R607),INDEX(新属性投放!$E$42:$E$62,卡牌属性!R607))*INDEX($G$5:$G$42,L607),2)</f>
        <v>134.46</v>
      </c>
      <c r="AC607" s="29" t="s">
        <v>179</v>
      </c>
      <c r="AD607" s="14">
        <f>ROUND(IF(Q607=1,INDEX(新属性投放!$F$14:$F$34,卡牌属性!R607),INDEX(新属性投放!$F$42:$F$62,卡牌属性!R607))*INDEX($G$5:$G$42,L607)*SQRT(INDEX($I$5:$I$42,L607)),2)</f>
        <v>1210</v>
      </c>
      <c r="AF607" s="14">
        <f t="shared" si="256"/>
        <v>2689</v>
      </c>
      <c r="AG607" s="14">
        <f t="shared" si="257"/>
        <v>1344</v>
      </c>
      <c r="AH607" s="14">
        <f t="shared" si="258"/>
        <v>12100</v>
      </c>
      <c r="AJ607" s="14">
        <f t="shared" si="262"/>
        <v>16743</v>
      </c>
      <c r="AK607" s="14">
        <f t="shared" si="263"/>
        <v>8369</v>
      </c>
      <c r="AL607" s="14">
        <f t="shared" si="264"/>
        <v>75310</v>
      </c>
    </row>
    <row r="608" spans="11:38" ht="16.5" x14ac:dyDescent="0.2">
      <c r="K608" s="13">
        <v>605</v>
      </c>
      <c r="L608" s="13">
        <f t="shared" si="250"/>
        <v>29</v>
      </c>
      <c r="M608" s="13">
        <f t="shared" si="251"/>
        <v>2</v>
      </c>
      <c r="N608" s="14">
        <f t="shared" si="252"/>
        <v>1102013</v>
      </c>
      <c r="O608" s="14" t="str">
        <f t="shared" si="253"/>
        <v>塞伯罗斯17突</v>
      </c>
      <c r="P608" s="29" t="s">
        <v>470</v>
      </c>
      <c r="Q608" s="14">
        <f t="shared" si="254"/>
        <v>2</v>
      </c>
      <c r="R608" s="14">
        <f t="shared" si="255"/>
        <v>17</v>
      </c>
      <c r="S608" s="14" t="s">
        <v>39</v>
      </c>
      <c r="T608" s="14">
        <f>ROUND(((IF(Q608=1,INDEX(新属性投放!$J$14:$J$34,卡牌属性!R608),INDEX(新属性投放!$J$42:$J$62,卡牌属性!R608)))*INDEX($G$5:$G$42,L608)+IF(Q608=1,INDEX(新属性投放!R$20:R$23,卡牌属性!M608-1),INDEX(新属性投放!R$25:R$28,卡牌属性!M608-1)))/SQRT(INDEX($I$5:$I$42,L608)),2)</f>
        <v>12701.9</v>
      </c>
      <c r="U608" s="29" t="s">
        <v>178</v>
      </c>
      <c r="V608" s="14">
        <f>ROUND((IF(Q608=1,INDEX(新属性投放!$K$14:$K$34,卡牌属性!R608),INDEX(新属性投放!$K$42:$K$62,卡牌属性!R608))+IF(Q608=1,INDEX(新属性投放!S$20:S$23,卡牌属性!M608-1),INDEX(新属性投放!S$25:S$28,卡牌属性!M608-1)))*INDEX($G$5:$G$42,L608),2)</f>
        <v>6274.45</v>
      </c>
      <c r="W608" s="29" t="s">
        <v>179</v>
      </c>
      <c r="X608" s="14">
        <f>ROUND((IF(Q608=1,INDEX(新属性投放!$L$14:$L$34,卡牌属性!R608),INDEX(新属性投放!$L$42:$L$62,卡牌属性!R608))*INDEX($G$5:$G$42,L608)+IF(Q608=1,INDEX(新属性投放!T$20:T$23,卡牌属性!M608-1),INDEX(新属性投放!T$25:T$28,卡牌属性!M608-1)))*SQRT(INDEX($I$5:$I$42,L608)),2)</f>
        <v>67347</v>
      </c>
      <c r="Y608" s="29" t="s">
        <v>177</v>
      </c>
      <c r="Z608" s="14">
        <f>ROUND(IF(Q608=1,INDEX(新属性投放!$D$14:$D$34,卡牌属性!R608),INDEX(新属性投放!$D$42:$D$62,卡牌属性!R608))*INDEX($G$5:$G$42,L608)/SQRT(INDEX($I$5:$I$42,L608)),2)</f>
        <v>310.92</v>
      </c>
      <c r="AA608" s="29" t="s">
        <v>178</v>
      </c>
      <c r="AB608" s="14">
        <f>ROUND(IF(Q608=1,INDEX(新属性投放!$E$14:$E$34,卡牌属性!R608),INDEX(新属性投放!$E$42:$E$62,卡牌属性!R608))*INDEX($G$5:$G$42,L608),2)</f>
        <v>155.46</v>
      </c>
      <c r="AC608" s="29" t="s">
        <v>179</v>
      </c>
      <c r="AD608" s="14">
        <f>ROUND(IF(Q608=1,INDEX(新属性投放!$F$14:$F$34,卡牌属性!R608),INDEX(新属性投放!$F$42:$F$62,卡牌属性!R608))*INDEX($G$5:$G$42,L608)*SQRT(INDEX($I$5:$I$42,L608)),2)</f>
        <v>1399</v>
      </c>
      <c r="AF608" s="14">
        <f t="shared" si="256"/>
        <v>3109</v>
      </c>
      <c r="AG608" s="14">
        <f t="shared" si="257"/>
        <v>1554</v>
      </c>
      <c r="AH608" s="14">
        <f t="shared" si="258"/>
        <v>13990</v>
      </c>
      <c r="AJ608" s="14">
        <f t="shared" si="262"/>
        <v>19852</v>
      </c>
      <c r="AK608" s="14">
        <f t="shared" si="263"/>
        <v>9923</v>
      </c>
      <c r="AL608" s="14">
        <f t="shared" si="264"/>
        <v>89300</v>
      </c>
    </row>
    <row r="609" spans="11:38" ht="16.5" x14ac:dyDescent="0.2">
      <c r="K609" s="13">
        <v>606</v>
      </c>
      <c r="L609" s="13">
        <f t="shared" si="250"/>
        <v>29</v>
      </c>
      <c r="M609" s="13">
        <f t="shared" si="251"/>
        <v>2</v>
      </c>
      <c r="N609" s="14">
        <f t="shared" si="252"/>
        <v>1102013</v>
      </c>
      <c r="O609" s="14" t="str">
        <f t="shared" si="253"/>
        <v>塞伯罗斯18突</v>
      </c>
      <c r="P609" s="29" t="s">
        <v>470</v>
      </c>
      <c r="Q609" s="14">
        <f t="shared" si="254"/>
        <v>2</v>
      </c>
      <c r="R609" s="14">
        <f t="shared" si="255"/>
        <v>18</v>
      </c>
      <c r="S609" s="14" t="s">
        <v>39</v>
      </c>
      <c r="T609" s="14">
        <f>ROUND(((IF(Q609=1,INDEX(新属性投放!$J$14:$J$34,卡牌属性!R609),INDEX(新属性投放!$J$42:$J$62,卡牌属性!R609)))*INDEX($G$5:$G$42,L609)+IF(Q609=1,INDEX(新属性投放!R$20:R$23,卡牌属性!M609-1),INDEX(新属性投放!R$25:R$28,卡牌属性!M609-1)))/SQRT(INDEX($I$5:$I$42,L609)),2)</f>
        <v>14645.5</v>
      </c>
      <c r="U609" s="29" t="s">
        <v>178</v>
      </c>
      <c r="V609" s="14">
        <f>ROUND((IF(Q609=1,INDEX(新属性投放!$K$14:$K$34,卡牌属性!R609),INDEX(新属性投放!$K$42:$K$62,卡牌属性!R609))+IF(Q609=1,INDEX(新属性投放!S$20:S$23,卡牌属性!M609-1),INDEX(新属性投放!S$25:S$28,卡牌属性!M609-1)))*INDEX($G$5:$G$42,L609),2)</f>
        <v>7245.75</v>
      </c>
      <c r="W609" s="29" t="s">
        <v>179</v>
      </c>
      <c r="X609" s="14">
        <f>ROUND((IF(Q609=1,INDEX(新属性投放!$L$14:$L$34,卡牌属性!R609),INDEX(新属性投放!$L$42:$L$62,卡牌属性!R609))*INDEX($G$5:$G$42,L609)+IF(Q609=1,INDEX(新属性投放!T$20:T$23,卡牌属性!M609-1),INDEX(新属性投放!T$25:T$28,卡牌属性!M609-1)))*SQRT(INDEX($I$5:$I$42,L609)),2)</f>
        <v>77843</v>
      </c>
      <c r="Y609" s="29" t="s">
        <v>177</v>
      </c>
      <c r="Z609" s="14">
        <f>ROUND(IF(Q609=1,INDEX(新属性投放!$D$14:$D$34,卡牌属性!R609),INDEX(新属性投放!$D$42:$D$62,卡牌属性!R609))*INDEX($G$5:$G$42,L609)/SQRT(INDEX($I$5:$I$42,L609)),2)</f>
        <v>359.51</v>
      </c>
      <c r="AA609" s="29" t="s">
        <v>178</v>
      </c>
      <c r="AB609" s="14">
        <f>ROUND(IF(Q609=1,INDEX(新属性投放!$E$14:$E$34,卡牌属性!R609),INDEX(新属性投放!$E$42:$E$62,卡牌属性!R609))*INDEX($G$5:$G$42,L609),2)</f>
        <v>179.76</v>
      </c>
      <c r="AC609" s="29" t="s">
        <v>179</v>
      </c>
      <c r="AD609" s="14">
        <f>ROUND(IF(Q609=1,INDEX(新属性投放!$F$14:$F$34,卡牌属性!R609),INDEX(新属性投放!$F$42:$F$62,卡牌属性!R609))*INDEX($G$5:$G$42,L609)*SQRT(INDEX($I$5:$I$42,L609)),2)</f>
        <v>1617</v>
      </c>
      <c r="AF609" s="14">
        <f t="shared" si="256"/>
        <v>3595</v>
      </c>
      <c r="AG609" s="14">
        <f t="shared" si="257"/>
        <v>1797</v>
      </c>
      <c r="AH609" s="14">
        <f t="shared" si="258"/>
        <v>16170</v>
      </c>
      <c r="AJ609" s="14">
        <f t="shared" si="262"/>
        <v>23447</v>
      </c>
      <c r="AK609" s="14">
        <f t="shared" si="263"/>
        <v>11720</v>
      </c>
      <c r="AL609" s="14">
        <f t="shared" si="264"/>
        <v>105470</v>
      </c>
    </row>
    <row r="610" spans="11:38" ht="16.5" x14ac:dyDescent="0.2">
      <c r="K610" s="13">
        <v>607</v>
      </c>
      <c r="L610" s="13">
        <f t="shared" si="250"/>
        <v>29</v>
      </c>
      <c r="M610" s="13">
        <f t="shared" si="251"/>
        <v>2</v>
      </c>
      <c r="N610" s="14">
        <f t="shared" si="252"/>
        <v>1102013</v>
      </c>
      <c r="O610" s="14" t="str">
        <f t="shared" si="253"/>
        <v>塞伯罗斯19突</v>
      </c>
      <c r="P610" s="29" t="s">
        <v>470</v>
      </c>
      <c r="Q610" s="14">
        <f t="shared" si="254"/>
        <v>2</v>
      </c>
      <c r="R610" s="14">
        <f t="shared" si="255"/>
        <v>19</v>
      </c>
      <c r="S610" s="14" t="s">
        <v>39</v>
      </c>
      <c r="T610" s="14">
        <f>ROUND(((IF(Q610=1,INDEX(新属性投放!$J$14:$J$34,卡牌属性!R610),INDEX(新属性投放!$J$42:$J$62,卡牌属性!R610)))*INDEX($G$5:$G$42,L610)+IF(Q610=1,INDEX(新属性投放!R$20:R$23,卡牌属性!M610-1),INDEX(新属性投放!R$25:R$28,卡牌属性!M610-1)))/SQRT(INDEX($I$5:$I$42,L610)),2)</f>
        <v>16892.05</v>
      </c>
      <c r="U610" s="29" t="s">
        <v>178</v>
      </c>
      <c r="V610" s="14">
        <f>ROUND((IF(Q610=1,INDEX(新属性投放!$K$14:$K$34,卡牌属性!R610),INDEX(新属性投放!$K$42:$K$62,卡牌属性!R610))+IF(Q610=1,INDEX(新属性投放!S$20:S$23,卡牌属性!M610-1),INDEX(新属性投放!S$25:S$28,卡牌属性!M610-1)))*INDEX($G$5:$G$42,L610),2)</f>
        <v>8369.5300000000007</v>
      </c>
      <c r="W610" s="29" t="s">
        <v>179</v>
      </c>
      <c r="X610" s="14">
        <f>ROUND((IF(Q610=1,INDEX(新属性投放!$L$14:$L$34,卡牌属性!R610),INDEX(新属性投放!$L$42:$L$62,卡牌属性!R610))*INDEX($G$5:$G$42,L610)+IF(Q610=1,INDEX(新属性投放!T$20:T$23,卡牌属性!M610-1),INDEX(新属性投放!T$25:T$28,卡牌属性!M610-1)))*SQRT(INDEX($I$5:$I$42,L610)),2)</f>
        <v>89969</v>
      </c>
      <c r="Y610" s="29" t="s">
        <v>177</v>
      </c>
      <c r="Z610" s="14">
        <f>ROUND(IF(Q610=1,INDEX(新属性投放!$D$14:$D$34,卡牌属性!R610),INDEX(新属性投放!$D$42:$D$62,卡牌属性!R610))*INDEX($G$5:$G$42,L610)/SQRT(INDEX($I$5:$I$42,L610)),2)</f>
        <v>415.68</v>
      </c>
      <c r="AA610" s="29" t="s">
        <v>178</v>
      </c>
      <c r="AB610" s="14">
        <f>ROUND(IF(Q610=1,INDEX(新属性投放!$E$14:$E$34,卡牌属性!R610),INDEX(新属性投放!$E$42:$E$62,卡牌属性!R610))*INDEX($G$5:$G$42,L610),2)</f>
        <v>207.84</v>
      </c>
      <c r="AC610" s="29" t="s">
        <v>179</v>
      </c>
      <c r="AD610" s="14">
        <f>ROUND(IF(Q610=1,INDEX(新属性投放!$F$14:$F$34,卡牌属性!R610),INDEX(新属性投放!$F$42:$F$62,卡牌属性!R610))*INDEX($G$5:$G$42,L610)*SQRT(INDEX($I$5:$I$42,L610)),2)</f>
        <v>1870</v>
      </c>
      <c r="AF610" s="14">
        <f t="shared" si="256"/>
        <v>4156</v>
      </c>
      <c r="AG610" s="14">
        <f t="shared" si="257"/>
        <v>2078</v>
      </c>
      <c r="AH610" s="14">
        <f t="shared" si="258"/>
        <v>18700</v>
      </c>
      <c r="AJ610" s="14">
        <f t="shared" si="262"/>
        <v>27603</v>
      </c>
      <c r="AK610" s="14">
        <f t="shared" si="263"/>
        <v>13798</v>
      </c>
      <c r="AL610" s="14">
        <f t="shared" si="264"/>
        <v>124170</v>
      </c>
    </row>
    <row r="611" spans="11:38" ht="16.5" x14ac:dyDescent="0.2">
      <c r="K611" s="13">
        <v>608</v>
      </c>
      <c r="L611" s="13">
        <f t="shared" si="250"/>
        <v>29</v>
      </c>
      <c r="M611" s="13">
        <f t="shared" si="251"/>
        <v>2</v>
      </c>
      <c r="N611" s="14">
        <f t="shared" si="252"/>
        <v>1102013</v>
      </c>
      <c r="O611" s="14" t="str">
        <f t="shared" si="253"/>
        <v>塞伯罗斯20突</v>
      </c>
      <c r="P611" s="29" t="s">
        <v>470</v>
      </c>
      <c r="Q611" s="14">
        <f t="shared" si="254"/>
        <v>2</v>
      </c>
      <c r="R611" s="14">
        <f t="shared" si="255"/>
        <v>20</v>
      </c>
      <c r="S611" s="14" t="s">
        <v>39</v>
      </c>
      <c r="T611" s="14">
        <f>ROUND(((IF(Q611=1,INDEX(新属性投放!$J$14:$J$34,卡牌属性!R611),INDEX(新属性投放!$J$42:$J$62,卡牌属性!R611)))*INDEX($G$5:$G$42,L611)+IF(Q611=1,INDEX(新属性投放!R$20:R$23,卡牌属性!M611-1),INDEX(新属性投放!R$25:R$28,卡牌属性!M611-1)))/SQRT(INDEX($I$5:$I$42,L611)),2)</f>
        <v>19490.45</v>
      </c>
      <c r="U611" s="29" t="s">
        <v>178</v>
      </c>
      <c r="V611" s="14">
        <f>ROUND((IF(Q611=1,INDEX(新属性投放!$K$14:$K$34,卡牌属性!R611),INDEX(新属性投放!$K$42:$K$62,卡牌属性!R611))+IF(Q611=1,INDEX(新属性投放!S$20:S$23,卡牌属性!M611-1),INDEX(新属性投放!S$25:S$28,卡牌属性!M611-1)))*INDEX($G$5:$G$42,L611),2)</f>
        <v>9668.73</v>
      </c>
      <c r="W611" s="29" t="s">
        <v>179</v>
      </c>
      <c r="X611" s="14">
        <f>ROUND((IF(Q611=1,INDEX(新属性投放!$L$14:$L$34,卡牌属性!R611),INDEX(新属性投放!$L$42:$L$62,卡牌属性!R611))*INDEX($G$5:$G$42,L611)+IF(Q611=1,INDEX(新属性投放!T$20:T$23,卡牌属性!M611-1),INDEX(新属性投放!T$25:T$28,卡牌属性!M611-1)))*SQRT(INDEX($I$5:$I$42,L611)),2)</f>
        <v>103999</v>
      </c>
      <c r="Y611" s="29" t="s">
        <v>177</v>
      </c>
      <c r="Z611" s="14">
        <f>ROUND(IF(Q611=1,INDEX(新属性投放!$D$14:$D$34,卡牌属性!R611),INDEX(新属性投放!$D$42:$D$62,卡牌属性!R611))*INDEX($G$5:$G$42,L611)/SQRT(INDEX($I$5:$I$42,L611)),2)</f>
        <v>480.64</v>
      </c>
      <c r="AA611" s="29" t="s">
        <v>178</v>
      </c>
      <c r="AB611" s="14">
        <f>ROUND(IF(Q611=1,INDEX(新属性投放!$E$14:$E$34,卡牌属性!R611),INDEX(新属性投放!$E$42:$E$62,卡牌属性!R611))*INDEX($G$5:$G$42,L611),2)</f>
        <v>240.32</v>
      </c>
      <c r="AC611" s="29" t="s">
        <v>179</v>
      </c>
      <c r="AD611" s="14">
        <f>ROUND(IF(Q611=1,INDEX(新属性投放!$F$14:$F$34,卡牌属性!R611),INDEX(新属性投放!$F$42:$F$62,卡牌属性!R611))*INDEX($G$5:$G$42,L611)*SQRT(INDEX($I$5:$I$42,L611)),2)</f>
        <v>2162</v>
      </c>
      <c r="AF611" s="14">
        <f t="shared" si="256"/>
        <v>4806</v>
      </c>
      <c r="AG611" s="14">
        <f t="shared" si="257"/>
        <v>2403</v>
      </c>
      <c r="AH611" s="14">
        <f t="shared" si="258"/>
        <v>21620</v>
      </c>
      <c r="AJ611" s="14">
        <f t="shared" si="262"/>
        <v>32409</v>
      </c>
      <c r="AK611" s="14">
        <f t="shared" si="263"/>
        <v>16201</v>
      </c>
      <c r="AL611" s="14">
        <f t="shared" si="264"/>
        <v>145790</v>
      </c>
    </row>
    <row r="612" spans="11:38" ht="16.5" x14ac:dyDescent="0.2">
      <c r="K612" s="13">
        <v>609</v>
      </c>
      <c r="L612" s="13">
        <f t="shared" si="250"/>
        <v>29</v>
      </c>
      <c r="M612" s="13">
        <f t="shared" si="251"/>
        <v>2</v>
      </c>
      <c r="N612" s="14">
        <f t="shared" si="252"/>
        <v>1102013</v>
      </c>
      <c r="O612" s="14" t="str">
        <f t="shared" si="253"/>
        <v>塞伯罗斯21突</v>
      </c>
      <c r="P612" s="29" t="s">
        <v>470</v>
      </c>
      <c r="Q612" s="14">
        <f t="shared" si="254"/>
        <v>2</v>
      </c>
      <c r="R612" s="14">
        <f t="shared" si="255"/>
        <v>21</v>
      </c>
      <c r="S612" s="14" t="s">
        <v>39</v>
      </c>
      <c r="T612" s="14">
        <f>ROUND(((IF(Q612=1,INDEX(新属性投放!$J$14:$J$34,卡牌属性!R612),INDEX(新属性投放!$J$42:$J$62,卡牌属性!R612)))*INDEX($G$5:$G$42,L612)+IF(Q612=1,INDEX(新属性投放!R$20:R$23,卡牌属性!M612-1),INDEX(新属性投放!R$25:R$28,卡牌属性!M612-1)))/SQRT(INDEX($I$5:$I$42,L612)),2)</f>
        <v>22494.65</v>
      </c>
      <c r="U612" s="29" t="s">
        <v>178</v>
      </c>
      <c r="V612" s="14">
        <f>ROUND((IF(Q612=1,INDEX(新属性投放!$K$14:$K$34,卡牌属性!R612),INDEX(新属性投放!$K$42:$K$62,卡牌属性!R612))+IF(Q612=1,INDEX(新属性投放!S$20:S$23,卡牌属性!M612-1),INDEX(新属性投放!S$25:S$28,卡牌属性!M612-1)))*INDEX($G$5:$G$42,L612),2)</f>
        <v>11170.33</v>
      </c>
      <c r="W612" s="29" t="s">
        <v>179</v>
      </c>
      <c r="X612" s="14">
        <f>ROUND((IF(Q612=1,INDEX(新属性投放!$L$14:$L$34,卡牌属性!R612),INDEX(新属性投放!$L$42:$L$62,卡牌属性!R612))*INDEX($G$5:$G$42,L612)+IF(Q612=1,INDEX(新属性投放!T$20:T$23,卡牌属性!M612-1),INDEX(新属性投放!T$25:T$28,卡牌属性!M612-1)))*SQRT(INDEX($I$5:$I$42,L612)),2)</f>
        <v>120218</v>
      </c>
      <c r="Y612" s="29" t="s">
        <v>177</v>
      </c>
      <c r="Z612" s="14">
        <f>ROUND(IF(Q612=1,INDEX(新属性投放!$D$14:$D$34,卡牌属性!R612),INDEX(新属性投放!$D$42:$D$62,卡牌属性!R612))*INDEX($G$5:$G$42,L612)/SQRT(INDEX($I$5:$I$42,L612)),2)</f>
        <v>555.74</v>
      </c>
      <c r="AA612" s="29" t="s">
        <v>178</v>
      </c>
      <c r="AB612" s="14">
        <f>ROUND(IF(Q612=1,INDEX(新属性投放!$E$14:$E$34,卡牌属性!R612),INDEX(新属性投放!$E$42:$E$62,卡牌属性!R612))*INDEX($G$5:$G$42,L612),2)</f>
        <v>277.87</v>
      </c>
      <c r="AC612" s="29" t="s">
        <v>179</v>
      </c>
      <c r="AD612" s="14">
        <f>ROUND(IF(Q612=1,INDEX(新属性投放!$F$14:$F$34,卡牌属性!R612),INDEX(新属性投放!$F$42:$F$62,卡牌属性!R612))*INDEX($G$5:$G$42,L612)*SQRT(INDEX($I$5:$I$42,L612)),2)</f>
        <v>2500</v>
      </c>
      <c r="AF612" s="14">
        <f t="shared" si="256"/>
        <v>5557</v>
      </c>
      <c r="AG612" s="14">
        <f t="shared" si="257"/>
        <v>2778</v>
      </c>
      <c r="AH612" s="14">
        <f t="shared" si="258"/>
        <v>25000</v>
      </c>
      <c r="AJ612" s="14">
        <f t="shared" si="262"/>
        <v>37966</v>
      </c>
      <c r="AK612" s="14">
        <f t="shared" si="263"/>
        <v>18979</v>
      </c>
      <c r="AL612" s="14">
        <f t="shared" si="264"/>
        <v>170790</v>
      </c>
    </row>
    <row r="613" spans="11:38" ht="16.5" x14ac:dyDescent="0.2">
      <c r="K613" s="13">
        <v>610</v>
      </c>
      <c r="L613" s="13">
        <f t="shared" si="250"/>
        <v>30</v>
      </c>
      <c r="M613" s="13">
        <f t="shared" si="251"/>
        <v>4</v>
      </c>
      <c r="N613" s="14">
        <f t="shared" si="252"/>
        <v>1102014</v>
      </c>
      <c r="O613" s="14" t="str">
        <f t="shared" si="253"/>
        <v>石灵明1突</v>
      </c>
      <c r="P613" s="29" t="s">
        <v>470</v>
      </c>
      <c r="Q613" s="14">
        <f t="shared" si="254"/>
        <v>2</v>
      </c>
      <c r="R613" s="14">
        <f t="shared" si="255"/>
        <v>1</v>
      </c>
      <c r="S613" s="14" t="s">
        <v>39</v>
      </c>
      <c r="T613" s="14">
        <f>ROUND(((IF(Q613=1,INDEX(新属性投放!$J$14:$J$34,卡牌属性!R613),INDEX(新属性投放!$J$42:$J$62,卡牌属性!R613)))*INDEX($G$5:$G$42,L613)+IF(Q613=1,INDEX(新属性投放!R$20:R$23,卡牌属性!M613-1),INDEX(新属性投放!R$25:R$28,卡牌属性!M613-1)))/SQRT(INDEX($I$5:$I$42,L613)),2)</f>
        <v>655</v>
      </c>
      <c r="U613" s="29" t="s">
        <v>178</v>
      </c>
      <c r="V613" s="14">
        <f>ROUND((IF(Q613=1,INDEX(新属性投放!$K$14:$K$34,卡牌属性!R613),INDEX(新属性投放!$K$42:$K$62,卡牌属性!R613))+IF(Q613=1,INDEX(新属性投放!S$20:S$23,卡牌属性!M613-1),INDEX(新属性投放!S$25:S$28,卡牌属性!M613-1)))*INDEX($G$5:$G$42,L613),2)</f>
        <v>130</v>
      </c>
      <c r="W613" s="29" t="s">
        <v>179</v>
      </c>
      <c r="X613" s="14">
        <f>ROUND((IF(Q613=1,INDEX(新属性投放!$L$14:$L$34,卡牌属性!R613),INDEX(新属性投放!$L$42:$L$62,卡牌属性!R613))*INDEX($G$5:$G$42,L613)+IF(Q613=1,INDEX(新属性投放!T$20:T$23,卡牌属性!M613-1),INDEX(新属性投放!T$25:T$28,卡牌属性!M613-1)))*SQRT(INDEX($I$5:$I$42,L613)),2)</f>
        <v>1975</v>
      </c>
      <c r="Y613" s="29" t="s">
        <v>177</v>
      </c>
      <c r="Z613" s="14">
        <f>ROUND(IF(Q613=1,INDEX(新属性投放!$D$14:$D$34,卡牌属性!R613),INDEX(新属性投放!$D$42:$D$62,卡牌属性!R613))*INDEX($G$5:$G$42,L613)/SQRT(INDEX($I$5:$I$42,L613)),2)</f>
        <v>19.5</v>
      </c>
      <c r="AA613" s="29" t="s">
        <v>178</v>
      </c>
      <c r="AB613" s="14">
        <f>ROUND(IF(Q613=1,INDEX(新属性投放!$E$14:$E$34,卡牌属性!R613),INDEX(新属性投放!$E$42:$E$62,卡牌属性!R613))*INDEX($G$5:$G$42,L613),2)</f>
        <v>9.75</v>
      </c>
      <c r="AC613" s="29" t="s">
        <v>179</v>
      </c>
      <c r="AD613" s="14">
        <f>ROUND(IF(Q613=1,INDEX(新属性投放!$F$14:$F$34,卡牌属性!R613),INDEX(新属性投放!$F$42:$F$62,卡牌属性!R613))*INDEX($G$5:$G$42,L613)*SQRT(INDEX($I$5:$I$42,L613)),2)</f>
        <v>87.1</v>
      </c>
      <c r="AF613" s="14">
        <f t="shared" si="256"/>
        <v>195</v>
      </c>
      <c r="AG613" s="14">
        <f t="shared" si="257"/>
        <v>97</v>
      </c>
      <c r="AH613" s="14">
        <f t="shared" si="258"/>
        <v>871</v>
      </c>
      <c r="AJ613" s="14">
        <f t="shared" ref="AJ613" si="265">AF613</f>
        <v>195</v>
      </c>
      <c r="AK613" s="14">
        <f t="shared" ref="AK613" si="266">AG613</f>
        <v>97</v>
      </c>
      <c r="AL613" s="14">
        <f t="shared" ref="AL613" si="267">AH613</f>
        <v>871</v>
      </c>
    </row>
    <row r="614" spans="11:38" ht="16.5" x14ac:dyDescent="0.2">
      <c r="K614" s="13">
        <v>611</v>
      </c>
      <c r="L614" s="13">
        <f t="shared" si="250"/>
        <v>30</v>
      </c>
      <c r="M614" s="13">
        <f t="shared" si="251"/>
        <v>4</v>
      </c>
      <c r="N614" s="14">
        <f t="shared" si="252"/>
        <v>1102014</v>
      </c>
      <c r="O614" s="14" t="str">
        <f t="shared" si="253"/>
        <v>石灵明2突</v>
      </c>
      <c r="P614" s="29" t="s">
        <v>470</v>
      </c>
      <c r="Q614" s="14">
        <f t="shared" si="254"/>
        <v>2</v>
      </c>
      <c r="R614" s="14">
        <f t="shared" si="255"/>
        <v>2</v>
      </c>
      <c r="S614" s="14" t="s">
        <v>39</v>
      </c>
      <c r="T614" s="14">
        <f>ROUND(((IF(Q614=1,INDEX(新属性投放!$J$14:$J$34,卡牌属性!R614),INDEX(新属性投放!$J$42:$J$62,卡牌属性!R614)))*INDEX($G$5:$G$42,L614)+IF(Q614=1,INDEX(新属性投放!R$20:R$23,卡牌属性!M614-1),INDEX(新属性投放!R$25:R$28,卡牌属性!M614-1)))/SQRT(INDEX($I$5:$I$42,L614)),2)</f>
        <v>863</v>
      </c>
      <c r="U614" s="29" t="s">
        <v>178</v>
      </c>
      <c r="V614" s="14">
        <f>ROUND((IF(Q614=1,INDEX(新属性投放!$K$14:$K$34,卡牌属性!R614),INDEX(新属性投放!$K$42:$K$62,卡牌属性!R614))+IF(Q614=1,INDEX(新属性投放!S$20:S$23,卡牌属性!M614-1),INDEX(新属性投放!S$25:S$28,卡牌属性!M614-1)))*INDEX($G$5:$G$42,L614),2)</f>
        <v>230.75</v>
      </c>
      <c r="W614" s="29" t="s">
        <v>179</v>
      </c>
      <c r="X614" s="14">
        <f>ROUND((IF(Q614=1,INDEX(新属性投放!$L$14:$L$34,卡牌属性!R614),INDEX(新属性投放!$L$42:$L$62,卡牌属性!R614))*INDEX($G$5:$G$42,L614)+IF(Q614=1,INDEX(新属性投放!T$20:T$23,卡牌属性!M614-1),INDEX(新属性投放!T$25:T$28,卡牌属性!M614-1)))*SQRT(INDEX($I$5:$I$42,L614)),2)</f>
        <v>3051.4</v>
      </c>
      <c r="Y614" s="29" t="s">
        <v>177</v>
      </c>
      <c r="Z614" s="14">
        <f>ROUND(IF(Q614=1,INDEX(新属性投放!$D$14:$D$34,卡牌属性!R614),INDEX(新属性投放!$D$42:$D$62,卡牌属性!R614))*INDEX($G$5:$G$42,L614)/SQRT(INDEX($I$5:$I$42,L614)),2)</f>
        <v>17.899999999999999</v>
      </c>
      <c r="AA614" s="29" t="s">
        <v>178</v>
      </c>
      <c r="AB614" s="14">
        <f>ROUND(IF(Q614=1,INDEX(新属性投放!$E$14:$E$34,卡牌属性!R614),INDEX(新属性投放!$E$42:$E$62,卡牌属性!R614))*INDEX($G$5:$G$42,L614),2)</f>
        <v>8.9499999999999993</v>
      </c>
      <c r="AC614" s="29" t="s">
        <v>179</v>
      </c>
      <c r="AD614" s="14">
        <f>ROUND(IF(Q614=1,INDEX(新属性投放!$F$14:$F$34,卡牌属性!R614),INDEX(新属性投放!$F$42:$F$62,卡牌属性!R614))*INDEX($G$5:$G$42,L614)*SQRT(INDEX($I$5:$I$42,L614)),2)</f>
        <v>79.3</v>
      </c>
      <c r="AF614" s="14">
        <f t="shared" si="256"/>
        <v>179</v>
      </c>
      <c r="AG614" s="14">
        <f t="shared" si="257"/>
        <v>89</v>
      </c>
      <c r="AH614" s="14">
        <f t="shared" si="258"/>
        <v>793</v>
      </c>
      <c r="AJ614" s="14">
        <f t="shared" ref="AJ614:AJ633" si="268">AJ613+AF614</f>
        <v>374</v>
      </c>
      <c r="AK614" s="14">
        <f t="shared" ref="AK614:AK633" si="269">AK613+AG614</f>
        <v>186</v>
      </c>
      <c r="AL614" s="14">
        <f t="shared" ref="AL614:AL633" si="270">AL613+AH614</f>
        <v>1664</v>
      </c>
    </row>
    <row r="615" spans="11:38" ht="16.5" x14ac:dyDescent="0.2">
      <c r="K615" s="13">
        <v>612</v>
      </c>
      <c r="L615" s="13">
        <f t="shared" si="250"/>
        <v>30</v>
      </c>
      <c r="M615" s="13">
        <f t="shared" si="251"/>
        <v>4</v>
      </c>
      <c r="N615" s="14">
        <f t="shared" si="252"/>
        <v>1102014</v>
      </c>
      <c r="O615" s="14" t="str">
        <f t="shared" si="253"/>
        <v>石灵明3突</v>
      </c>
      <c r="P615" s="29" t="s">
        <v>470</v>
      </c>
      <c r="Q615" s="14">
        <f t="shared" si="254"/>
        <v>2</v>
      </c>
      <c r="R615" s="14">
        <f t="shared" si="255"/>
        <v>3</v>
      </c>
      <c r="S615" s="14" t="s">
        <v>39</v>
      </c>
      <c r="T615" s="14">
        <f>ROUND(((IF(Q615=1,INDEX(新属性投放!$J$14:$J$34,卡牌属性!R615),INDEX(新属性投放!$J$42:$J$62,卡牌属性!R615)))*INDEX($G$5:$G$42,L615)+IF(Q615=1,INDEX(新属性投放!R$20:R$23,卡牌属性!M615-1),INDEX(新属性投放!R$25:R$28,卡牌属性!M615-1)))/SQRT(INDEX($I$5:$I$42,L615)),2)</f>
        <v>1086.21</v>
      </c>
      <c r="U615" s="29" t="s">
        <v>178</v>
      </c>
      <c r="V615" s="14">
        <f>ROUND((IF(Q615=1,INDEX(新属性投放!$K$14:$K$34,卡牌属性!R615),INDEX(新属性投放!$K$42:$K$62,卡牌属性!R615))+IF(Q615=1,INDEX(新属性投放!S$20:S$23,卡牌属性!M615-1),INDEX(新属性投放!S$25:S$28,卡牌属性!M615-1)))*INDEX($G$5:$G$42,L615),2)</f>
        <v>342.36</v>
      </c>
      <c r="W615" s="29" t="s">
        <v>179</v>
      </c>
      <c r="X615" s="14">
        <f>ROUND((IF(Q615=1,INDEX(新属性投放!$L$14:$L$34,卡牌属性!R615),INDEX(新属性投放!$L$42:$L$62,卡牌属性!R615))*INDEX($G$5:$G$42,L615)+IF(Q615=1,INDEX(新属性投放!T$20:T$23,卡牌属性!M615-1),INDEX(新属性投放!T$25:T$28,卡牌属性!M615-1)))*SQRT(INDEX($I$5:$I$42,L615)),2)</f>
        <v>4242.2</v>
      </c>
      <c r="Y615" s="29" t="s">
        <v>177</v>
      </c>
      <c r="Z615" s="14">
        <f>ROUND(IF(Q615=1,INDEX(新属性投放!$D$14:$D$34,卡牌属性!R615),INDEX(新属性投放!$D$42:$D$62,卡牌属性!R615))*INDEX($G$5:$G$42,L615)/SQRT(INDEX($I$5:$I$42,L615)),2)</f>
        <v>32.72</v>
      </c>
      <c r="AA615" s="29" t="s">
        <v>178</v>
      </c>
      <c r="AB615" s="14">
        <f>ROUND(IF(Q615=1,INDEX(新属性投放!$E$14:$E$34,卡牌属性!R615),INDEX(新属性投放!$E$42:$E$62,卡牌属性!R615))*INDEX($G$5:$G$42,L615),2)</f>
        <v>16.36</v>
      </c>
      <c r="AC615" s="29" t="s">
        <v>179</v>
      </c>
      <c r="AD615" s="14">
        <f>ROUND(IF(Q615=1,INDEX(新属性投放!$F$14:$F$34,卡牌属性!R615),INDEX(新属性投放!$F$42:$F$62,卡牌属性!R615))*INDEX($G$5:$G$42,L615)*SQRT(INDEX($I$5:$I$42,L615)),2)</f>
        <v>146.9</v>
      </c>
      <c r="AF615" s="14">
        <f t="shared" si="256"/>
        <v>327</v>
      </c>
      <c r="AG615" s="14">
        <f t="shared" si="257"/>
        <v>163</v>
      </c>
      <c r="AH615" s="14">
        <f t="shared" si="258"/>
        <v>1469</v>
      </c>
      <c r="AJ615" s="14">
        <f t="shared" si="268"/>
        <v>701</v>
      </c>
      <c r="AK615" s="14">
        <f t="shared" si="269"/>
        <v>349</v>
      </c>
      <c r="AL615" s="14">
        <f t="shared" si="270"/>
        <v>3133</v>
      </c>
    </row>
    <row r="616" spans="11:38" ht="16.5" x14ac:dyDescent="0.2">
      <c r="K616" s="13">
        <v>613</v>
      </c>
      <c r="L616" s="13">
        <f t="shared" si="250"/>
        <v>30</v>
      </c>
      <c r="M616" s="13">
        <f t="shared" si="251"/>
        <v>4</v>
      </c>
      <c r="N616" s="14">
        <f t="shared" si="252"/>
        <v>1102014</v>
      </c>
      <c r="O616" s="14" t="str">
        <f t="shared" si="253"/>
        <v>石灵明4突</v>
      </c>
      <c r="P616" s="29" t="s">
        <v>470</v>
      </c>
      <c r="Q616" s="14">
        <f t="shared" si="254"/>
        <v>2</v>
      </c>
      <c r="R616" s="14">
        <f t="shared" si="255"/>
        <v>4</v>
      </c>
      <c r="S616" s="14" t="s">
        <v>39</v>
      </c>
      <c r="T616" s="14">
        <f>ROUND(((IF(Q616=1,INDEX(新属性投放!$J$14:$J$34,卡牌属性!R616),INDEX(新属性投放!$J$42:$J$62,卡牌属性!R616)))*INDEX($G$5:$G$42,L616)+IF(Q616=1,INDEX(新属性投放!R$20:R$23,卡牌属性!M616-1),INDEX(新属性投放!R$25:R$28,卡牌属性!M616-1)))/SQRT(INDEX($I$5:$I$42,L616)),2)</f>
        <v>1495.32</v>
      </c>
      <c r="U616" s="29" t="s">
        <v>178</v>
      </c>
      <c r="V616" s="14">
        <f>ROUND((IF(Q616=1,INDEX(新属性投放!$K$14:$K$34,卡牌属性!R616),INDEX(新属性投放!$K$42:$K$62,卡牌属性!R616))+IF(Q616=1,INDEX(新属性投放!S$20:S$23,卡牌属性!M616-1),INDEX(新属性投放!S$25:S$28,卡牌属性!M616-1)))*INDEX($G$5:$G$42,L616),2)</f>
        <v>546.26</v>
      </c>
      <c r="W616" s="29" t="s">
        <v>179</v>
      </c>
      <c r="X616" s="14">
        <f>ROUND((IF(Q616=1,INDEX(新属性投放!$L$14:$L$34,卡牌属性!R616),INDEX(新属性投放!$L$42:$L$62,卡牌属性!R616))*INDEX($G$5:$G$42,L616)+IF(Q616=1,INDEX(新属性投放!T$20:T$23,卡牌属性!M616-1),INDEX(新属性投放!T$25:T$28,卡牌属性!M616-1)))*SQRT(INDEX($I$5:$I$42,L616)),2)</f>
        <v>6448.3</v>
      </c>
      <c r="Y616" s="29" t="s">
        <v>177</v>
      </c>
      <c r="Z616" s="14">
        <f>ROUND(IF(Q616=1,INDEX(新属性投放!$D$14:$D$34,卡牌属性!R616),INDEX(新属性投放!$D$42:$D$62,卡牌属性!R616))*INDEX($G$5:$G$42,L616)/SQRT(INDEX($I$5:$I$42,L616)),2)</f>
        <v>39.17</v>
      </c>
      <c r="AA616" s="29" t="s">
        <v>178</v>
      </c>
      <c r="AB616" s="14">
        <f>ROUND(IF(Q616=1,INDEX(新属性投放!$E$14:$E$34,卡牌属性!R616),INDEX(新属性投放!$E$42:$E$62,卡牌属性!R616))*INDEX($G$5:$G$42,L616),2)</f>
        <v>19.579999999999998</v>
      </c>
      <c r="AC616" s="29" t="s">
        <v>179</v>
      </c>
      <c r="AD616" s="14">
        <f>ROUND(IF(Q616=1,INDEX(新属性投放!$F$14:$F$34,卡牌属性!R616),INDEX(新属性投放!$F$42:$F$62,卡牌属性!R616))*INDEX($G$5:$G$42,L616)*SQRT(INDEX($I$5:$I$42,L616)),2)</f>
        <v>175.5</v>
      </c>
      <c r="AF616" s="14">
        <f t="shared" si="256"/>
        <v>391</v>
      </c>
      <c r="AG616" s="14">
        <f t="shared" si="257"/>
        <v>195</v>
      </c>
      <c r="AH616" s="14">
        <f t="shared" si="258"/>
        <v>1755</v>
      </c>
      <c r="AJ616" s="14">
        <f t="shared" si="268"/>
        <v>1092</v>
      </c>
      <c r="AK616" s="14">
        <f t="shared" si="269"/>
        <v>544</v>
      </c>
      <c r="AL616" s="14">
        <f t="shared" si="270"/>
        <v>4888</v>
      </c>
    </row>
    <row r="617" spans="11:38" ht="16.5" x14ac:dyDescent="0.2">
      <c r="K617" s="13">
        <v>614</v>
      </c>
      <c r="L617" s="13">
        <f t="shared" si="250"/>
        <v>30</v>
      </c>
      <c r="M617" s="13">
        <f t="shared" si="251"/>
        <v>4</v>
      </c>
      <c r="N617" s="14">
        <f t="shared" si="252"/>
        <v>1102014</v>
      </c>
      <c r="O617" s="14" t="str">
        <f t="shared" si="253"/>
        <v>石灵明5突</v>
      </c>
      <c r="P617" s="29" t="s">
        <v>470</v>
      </c>
      <c r="Q617" s="14">
        <f t="shared" si="254"/>
        <v>2</v>
      </c>
      <c r="R617" s="14">
        <f t="shared" si="255"/>
        <v>5</v>
      </c>
      <c r="S617" s="14" t="s">
        <v>39</v>
      </c>
      <c r="T617" s="14">
        <f>ROUND(((IF(Q617=1,INDEX(新属性投放!$J$14:$J$34,卡牌属性!R617),INDEX(新属性投放!$J$42:$J$62,卡牌属性!R617)))*INDEX($G$5:$G$42,L617)+IF(Q617=1,INDEX(新属性投放!R$20:R$23,卡牌属性!M617-1),INDEX(新属性投放!R$25:R$28,卡牌属性!M617-1)))/SQRT(INDEX($I$5:$I$42,L617)),2)</f>
        <v>1984.51</v>
      </c>
      <c r="U617" s="29" t="s">
        <v>178</v>
      </c>
      <c r="V617" s="14">
        <f>ROUND((IF(Q617=1,INDEX(新属性投放!$K$14:$K$34,卡牌属性!R617),INDEX(新属性投放!$K$42:$K$62,卡牌属性!R617))+IF(Q617=1,INDEX(新属性投放!S$20:S$23,卡牌属性!M617-1),INDEX(新属性投放!S$25:S$28,卡牌属性!M617-1)))*INDEX($G$5:$G$42,L617),2)</f>
        <v>791.51</v>
      </c>
      <c r="W617" s="29" t="s">
        <v>179</v>
      </c>
      <c r="X617" s="14">
        <f>ROUND((IF(Q617=1,INDEX(新属性投放!$L$14:$L$34,卡牌属性!R617),INDEX(新属性投放!$L$42:$L$62,卡牌属性!R617))*INDEX($G$5:$G$42,L617)+IF(Q617=1,INDEX(新属性投放!T$20:T$23,卡牌属性!M617-1),INDEX(新属性投放!T$25:T$28,卡牌属性!M617-1)))*SQRT(INDEX($I$5:$I$42,L617)),2)</f>
        <v>9080.7999999999993</v>
      </c>
      <c r="Y617" s="29" t="s">
        <v>177</v>
      </c>
      <c r="Z617" s="14">
        <f>ROUND(IF(Q617=1,INDEX(新属性投放!$D$14:$D$34,卡牌属性!R617),INDEX(新属性投放!$D$42:$D$62,卡牌属性!R617))*INDEX($G$5:$G$42,L617)/SQRT(INDEX($I$5:$I$42,L617)),2)</f>
        <v>48.96</v>
      </c>
      <c r="AA617" s="29" t="s">
        <v>178</v>
      </c>
      <c r="AB617" s="14">
        <f>ROUND(IF(Q617=1,INDEX(新属性投放!$E$14:$E$34,卡牌属性!R617),INDEX(新属性投放!$E$42:$E$62,卡牌属性!R617))*INDEX($G$5:$G$42,L617),2)</f>
        <v>24.48</v>
      </c>
      <c r="AC617" s="29" t="s">
        <v>179</v>
      </c>
      <c r="AD617" s="14">
        <f>ROUND(IF(Q617=1,INDEX(新属性投放!$F$14:$F$34,卡牌属性!R617),INDEX(新属性投放!$F$42:$F$62,卡牌属性!R617))*INDEX($G$5:$G$42,L617)*SQRT(INDEX($I$5:$I$42,L617)),2)</f>
        <v>219.7</v>
      </c>
      <c r="AF617" s="14">
        <f t="shared" si="256"/>
        <v>489</v>
      </c>
      <c r="AG617" s="14">
        <f t="shared" si="257"/>
        <v>244</v>
      </c>
      <c r="AH617" s="14">
        <f t="shared" si="258"/>
        <v>2197</v>
      </c>
      <c r="AJ617" s="14">
        <f t="shared" si="268"/>
        <v>1581</v>
      </c>
      <c r="AK617" s="14">
        <f t="shared" si="269"/>
        <v>788</v>
      </c>
      <c r="AL617" s="14">
        <f t="shared" si="270"/>
        <v>7085</v>
      </c>
    </row>
    <row r="618" spans="11:38" ht="16.5" x14ac:dyDescent="0.2">
      <c r="K618" s="13">
        <v>615</v>
      </c>
      <c r="L618" s="13">
        <f t="shared" si="250"/>
        <v>30</v>
      </c>
      <c r="M618" s="13">
        <f t="shared" si="251"/>
        <v>4</v>
      </c>
      <c r="N618" s="14">
        <f t="shared" si="252"/>
        <v>1102014</v>
      </c>
      <c r="O618" s="14" t="str">
        <f t="shared" si="253"/>
        <v>石灵明6突</v>
      </c>
      <c r="P618" s="29" t="s">
        <v>470</v>
      </c>
      <c r="Q618" s="14">
        <f t="shared" si="254"/>
        <v>2</v>
      </c>
      <c r="R618" s="14">
        <f t="shared" si="255"/>
        <v>6</v>
      </c>
      <c r="S618" s="14" t="s">
        <v>39</v>
      </c>
      <c r="T618" s="14">
        <f>ROUND(((IF(Q618=1,INDEX(新属性投放!$J$14:$J$34,卡牌属性!R618),INDEX(新属性投放!$J$42:$J$62,卡牌属性!R618)))*INDEX($G$5:$G$42,L618)+IF(Q618=1,INDEX(新属性投放!R$20:R$23,卡牌属性!M618-1),INDEX(新属性投放!R$25:R$28,卡牌属性!M618-1)))/SQRT(INDEX($I$5:$I$42,L618)),2)</f>
        <v>2596.29</v>
      </c>
      <c r="U618" s="29" t="s">
        <v>178</v>
      </c>
      <c r="V618" s="14">
        <f>ROUND((IF(Q618=1,INDEX(新属性投放!$K$14:$K$34,卡牌属性!R618),INDEX(新属性投放!$K$42:$K$62,卡牌属性!R618))+IF(Q618=1,INDEX(新属性投放!S$20:S$23,卡牌属性!M618-1),INDEX(新属性投放!S$25:S$28,卡牌属性!M618-1)))*INDEX($G$5:$G$42,L618),2)</f>
        <v>1097.4000000000001</v>
      </c>
      <c r="W618" s="29" t="s">
        <v>179</v>
      </c>
      <c r="X618" s="14">
        <f>ROUND((IF(Q618=1,INDEX(新属性投放!$L$14:$L$34,卡牌属性!R618),INDEX(新属性投放!$L$42:$L$62,卡牌属性!R618))*INDEX($G$5:$G$42,L618)+IF(Q618=1,INDEX(新属性投放!T$20:T$23,卡牌属性!M618-1),INDEX(新属性投放!T$25:T$28,卡牌属性!M618-1)))*SQRT(INDEX($I$5:$I$42,L618)),2)</f>
        <v>12377.6</v>
      </c>
      <c r="Y618" s="29" t="s">
        <v>177</v>
      </c>
      <c r="Z618" s="14">
        <f>ROUND(IF(Q618=1,INDEX(新属性投放!$D$14:$D$34,卡牌属性!R618),INDEX(新属性投放!$D$42:$D$62,卡牌属性!R618))*INDEX($G$5:$G$42,L618)/SQRT(INDEX($I$5:$I$42,L618)),2)</f>
        <v>63.51</v>
      </c>
      <c r="AA618" s="29" t="s">
        <v>178</v>
      </c>
      <c r="AB618" s="14">
        <f>ROUND(IF(Q618=1,INDEX(新属性投放!$E$14:$E$34,卡牌属性!R618),INDEX(新属性投放!$E$42:$E$62,卡牌属性!R618))*INDEX($G$5:$G$42,L618),2)</f>
        <v>31.75</v>
      </c>
      <c r="AC618" s="29" t="s">
        <v>179</v>
      </c>
      <c r="AD618" s="14">
        <f>ROUND(IF(Q618=1,INDEX(新属性投放!$F$14:$F$34,卡牌属性!R618),INDEX(新属性投放!$F$42:$F$62,卡牌属性!R618))*INDEX($G$5:$G$42,L618)*SQRT(INDEX($I$5:$I$42,L618)),2)</f>
        <v>284.7</v>
      </c>
      <c r="AF618" s="14">
        <f t="shared" si="256"/>
        <v>635</v>
      </c>
      <c r="AG618" s="14">
        <f t="shared" si="257"/>
        <v>317</v>
      </c>
      <c r="AH618" s="14">
        <f t="shared" si="258"/>
        <v>2847</v>
      </c>
      <c r="AJ618" s="14">
        <f t="shared" si="268"/>
        <v>2216</v>
      </c>
      <c r="AK618" s="14">
        <f t="shared" si="269"/>
        <v>1105</v>
      </c>
      <c r="AL618" s="14">
        <f t="shared" si="270"/>
        <v>9932</v>
      </c>
    </row>
    <row r="619" spans="11:38" ht="16.5" x14ac:dyDescent="0.2">
      <c r="K619" s="13">
        <v>616</v>
      </c>
      <c r="L619" s="13">
        <f t="shared" si="250"/>
        <v>30</v>
      </c>
      <c r="M619" s="13">
        <f t="shared" si="251"/>
        <v>4</v>
      </c>
      <c r="N619" s="14">
        <f t="shared" si="252"/>
        <v>1102014</v>
      </c>
      <c r="O619" s="14" t="str">
        <f t="shared" si="253"/>
        <v>石灵明7突</v>
      </c>
      <c r="P619" s="29" t="s">
        <v>470</v>
      </c>
      <c r="Q619" s="14">
        <f t="shared" si="254"/>
        <v>2</v>
      </c>
      <c r="R619" s="14">
        <f t="shared" si="255"/>
        <v>7</v>
      </c>
      <c r="S619" s="14" t="s">
        <v>39</v>
      </c>
      <c r="T619" s="14">
        <f>ROUND(((IF(Q619=1,INDEX(新属性投放!$J$14:$J$34,卡牌属性!R619),INDEX(新属性投放!$J$42:$J$62,卡牌属性!R619)))*INDEX($G$5:$G$42,L619)+IF(Q619=1,INDEX(新属性投放!R$20:R$23,卡牌属性!M619-1),INDEX(新属性投放!R$25:R$28,卡牌属性!M619-1)))/SQRT(INDEX($I$5:$I$42,L619)),2)</f>
        <v>3389.94</v>
      </c>
      <c r="U619" s="29" t="s">
        <v>178</v>
      </c>
      <c r="V619" s="14">
        <f>ROUND((IF(Q619=1,INDEX(新属性投放!$K$14:$K$34,卡牌属性!R619),INDEX(新属性投放!$K$42:$K$62,卡牌属性!R619))+IF(Q619=1,INDEX(新属性投放!S$20:S$23,卡牌属性!M619-1),INDEX(新属性投放!S$25:S$28,卡牌属性!M619-1)))*INDEX($G$5:$G$42,L619),2)</f>
        <v>1494.22</v>
      </c>
      <c r="W619" s="29" t="s">
        <v>179</v>
      </c>
      <c r="X619" s="14">
        <f>ROUND((IF(Q619=1,INDEX(新属性投放!$L$14:$L$34,卡牌属性!R619),INDEX(新属性投放!$L$42:$L$62,卡牌属性!R619))*INDEX($G$5:$G$42,L619)+IF(Q619=1,INDEX(新属性投放!T$20:T$23,卡牌属性!M619-1),INDEX(新属性投放!T$25:T$28,卡牌属性!M619-1)))*SQRT(INDEX($I$5:$I$42,L619)),2)</f>
        <v>16652</v>
      </c>
      <c r="Y619" s="29" t="s">
        <v>177</v>
      </c>
      <c r="Z619" s="14">
        <f>ROUND(IF(Q619=1,INDEX(新属性投放!$D$14:$D$34,卡牌属性!R619),INDEX(新属性投放!$D$42:$D$62,卡牌属性!R619))*INDEX($G$5:$G$42,L619)/SQRT(INDEX($I$5:$I$42,L619)),2)</f>
        <v>78.25</v>
      </c>
      <c r="AA619" s="29" t="s">
        <v>178</v>
      </c>
      <c r="AB619" s="14">
        <f>ROUND(IF(Q619=1,INDEX(新属性投放!$E$14:$E$34,卡牌属性!R619),INDEX(新属性投放!$E$42:$E$62,卡牌属性!R619))*INDEX($G$5:$G$42,L619),2)</f>
        <v>39.119999999999997</v>
      </c>
      <c r="AC619" s="29" t="s">
        <v>179</v>
      </c>
      <c r="AD619" s="14">
        <f>ROUND(IF(Q619=1,INDEX(新属性投放!$F$14:$F$34,卡牌属性!R619),INDEX(新属性投放!$F$42:$F$62,卡牌属性!R619))*INDEX($G$5:$G$42,L619)*SQRT(INDEX($I$5:$I$42,L619)),2)</f>
        <v>351</v>
      </c>
      <c r="AF619" s="14">
        <f t="shared" si="256"/>
        <v>782</v>
      </c>
      <c r="AG619" s="14">
        <f t="shared" si="257"/>
        <v>391</v>
      </c>
      <c r="AH619" s="14">
        <f t="shared" si="258"/>
        <v>3510</v>
      </c>
      <c r="AJ619" s="14">
        <f t="shared" si="268"/>
        <v>2998</v>
      </c>
      <c r="AK619" s="14">
        <f t="shared" si="269"/>
        <v>1496</v>
      </c>
      <c r="AL619" s="14">
        <f t="shared" si="270"/>
        <v>13442</v>
      </c>
    </row>
    <row r="620" spans="11:38" ht="16.5" x14ac:dyDescent="0.2">
      <c r="K620" s="13">
        <v>617</v>
      </c>
      <c r="L620" s="13">
        <f t="shared" si="250"/>
        <v>30</v>
      </c>
      <c r="M620" s="13">
        <f t="shared" si="251"/>
        <v>4</v>
      </c>
      <c r="N620" s="14">
        <f t="shared" si="252"/>
        <v>1102014</v>
      </c>
      <c r="O620" s="14" t="str">
        <f t="shared" si="253"/>
        <v>石灵明8突</v>
      </c>
      <c r="P620" s="29" t="s">
        <v>470</v>
      </c>
      <c r="Q620" s="14">
        <f t="shared" si="254"/>
        <v>2</v>
      </c>
      <c r="R620" s="14">
        <f t="shared" si="255"/>
        <v>8</v>
      </c>
      <c r="S620" s="14" t="s">
        <v>39</v>
      </c>
      <c r="T620" s="14">
        <f>ROUND(((IF(Q620=1,INDEX(新属性投放!$J$14:$J$34,卡牌属性!R620),INDEX(新属性投放!$J$42:$J$62,卡牌属性!R620)))*INDEX($G$5:$G$42,L620)+IF(Q620=1,INDEX(新属性投放!R$20:R$23,卡牌属性!M620-1),INDEX(新属性投放!R$25:R$28,卡牌属性!M620-1)))/SQRT(INDEX($I$5:$I$42,L620)),2)</f>
        <v>4367.41</v>
      </c>
      <c r="U620" s="29" t="s">
        <v>178</v>
      </c>
      <c r="V620" s="14">
        <f>ROUND((IF(Q620=1,INDEX(新属性投放!$K$14:$K$34,卡牌属性!R620),INDEX(新属性投放!$K$42:$K$62,卡牌属性!R620))+IF(Q620=1,INDEX(新属性投放!S$20:S$23,卡牌属性!M620-1),INDEX(新属性投放!S$25:S$28,卡牌属性!M620-1)))*INDEX($G$5:$G$42,L620),2)</f>
        <v>1982.96</v>
      </c>
      <c r="W620" s="29" t="s">
        <v>179</v>
      </c>
      <c r="X620" s="14">
        <f>ROUND((IF(Q620=1,INDEX(新属性投放!$L$14:$L$34,卡牌属性!R620),INDEX(新属性投放!$L$42:$L$62,卡牌属性!R620))*INDEX($G$5:$G$42,L620)+IF(Q620=1,INDEX(新属性投放!T$20:T$23,卡牌属性!M620-1),INDEX(新属性投放!T$25:T$28,卡牌属性!M620-1)))*SQRT(INDEX($I$5:$I$42,L620)),2)</f>
        <v>21917</v>
      </c>
      <c r="Y620" s="29" t="s">
        <v>177</v>
      </c>
      <c r="Z620" s="14">
        <f>ROUND(IF(Q620=1,INDEX(新属性投放!$D$14:$D$34,卡牌属性!R620),INDEX(新属性投放!$D$42:$D$62,卡牌属性!R620))*INDEX($G$5:$G$42,L620)/SQRT(INDEX($I$5:$I$42,L620)),2)</f>
        <v>97.75</v>
      </c>
      <c r="AA620" s="29" t="s">
        <v>178</v>
      </c>
      <c r="AB620" s="14">
        <f>ROUND(IF(Q620=1,INDEX(新属性投放!$E$14:$E$34,卡牌属性!R620),INDEX(新属性投放!$E$42:$E$62,卡牌属性!R620))*INDEX($G$5:$G$42,L620),2)</f>
        <v>48.87</v>
      </c>
      <c r="AC620" s="29" t="s">
        <v>179</v>
      </c>
      <c r="AD620" s="14">
        <f>ROUND(IF(Q620=1,INDEX(新属性投放!$F$14:$F$34,卡牌属性!R620),INDEX(新属性投放!$F$42:$F$62,卡牌属性!R620))*INDEX($G$5:$G$42,L620)*SQRT(INDEX($I$5:$I$42,L620)),2)</f>
        <v>439.4</v>
      </c>
      <c r="AF620" s="14">
        <f t="shared" si="256"/>
        <v>977</v>
      </c>
      <c r="AG620" s="14">
        <f t="shared" si="257"/>
        <v>488</v>
      </c>
      <c r="AH620" s="14">
        <f t="shared" si="258"/>
        <v>4394</v>
      </c>
      <c r="AJ620" s="14">
        <f t="shared" si="268"/>
        <v>3975</v>
      </c>
      <c r="AK620" s="14">
        <f t="shared" si="269"/>
        <v>1984</v>
      </c>
      <c r="AL620" s="14">
        <f t="shared" si="270"/>
        <v>17836</v>
      </c>
    </row>
    <row r="621" spans="11:38" ht="16.5" x14ac:dyDescent="0.2">
      <c r="K621" s="13">
        <v>618</v>
      </c>
      <c r="L621" s="13">
        <f t="shared" si="250"/>
        <v>30</v>
      </c>
      <c r="M621" s="13">
        <f t="shared" si="251"/>
        <v>4</v>
      </c>
      <c r="N621" s="14">
        <f t="shared" si="252"/>
        <v>1102014</v>
      </c>
      <c r="O621" s="14" t="str">
        <f t="shared" si="253"/>
        <v>石灵明9突</v>
      </c>
      <c r="P621" s="29" t="s">
        <v>470</v>
      </c>
      <c r="Q621" s="14">
        <f t="shared" si="254"/>
        <v>2</v>
      </c>
      <c r="R621" s="14">
        <f t="shared" si="255"/>
        <v>9</v>
      </c>
      <c r="S621" s="14" t="s">
        <v>39</v>
      </c>
      <c r="T621" s="14">
        <f>ROUND(((IF(Q621=1,INDEX(新属性投放!$J$14:$J$34,卡牌属性!R621),INDEX(新属性投放!$J$42:$J$62,卡牌属性!R621)))*INDEX($G$5:$G$42,L621)+IF(Q621=1,INDEX(新属性投放!R$20:R$23,卡牌属性!M621-1),INDEX(新属性投放!R$25:R$28,卡牌属性!M621-1)))/SQRT(INDEX($I$5:$I$42,L621)),2)</f>
        <v>5589.28</v>
      </c>
      <c r="U621" s="29" t="s">
        <v>178</v>
      </c>
      <c r="V621" s="14">
        <f>ROUND((IF(Q621=1,INDEX(新属性投放!$K$14:$K$34,卡牌属性!R621),INDEX(新属性投放!$K$42:$K$62,卡牌属性!R621))+IF(Q621=1,INDEX(新属性投放!S$20:S$23,卡牌属性!M621-1),INDEX(新属性投放!S$25:S$28,卡牌属性!M621-1)))*INDEX($G$5:$G$42,L621),2)</f>
        <v>2593.89</v>
      </c>
      <c r="W621" s="29" t="s">
        <v>179</v>
      </c>
      <c r="X621" s="14">
        <f>ROUND((IF(Q621=1,INDEX(新属性投放!$L$14:$L$34,卡牌属性!R621),INDEX(新属性投放!$L$42:$L$62,卡牌属性!R621))*INDEX($G$5:$G$42,L621)+IF(Q621=1,INDEX(新属性投放!T$20:T$23,卡牌属性!M621-1),INDEX(新属性投放!T$25:T$28,卡牌属性!M621-1)))*SQRT(INDEX($I$5:$I$42,L621)),2)</f>
        <v>28510.6</v>
      </c>
      <c r="Y621" s="29" t="s">
        <v>177</v>
      </c>
      <c r="Z621" s="14">
        <f>ROUND(IF(Q621=1,INDEX(新属性投放!$D$14:$D$34,卡牌属性!R621),INDEX(新属性投放!$D$42:$D$62,卡牌属性!R621))*INDEX($G$5:$G$42,L621)/SQRT(INDEX($I$5:$I$42,L621)),2)</f>
        <v>127.13</v>
      </c>
      <c r="AA621" s="29" t="s">
        <v>178</v>
      </c>
      <c r="AB621" s="14">
        <f>ROUND(IF(Q621=1,INDEX(新属性投放!$E$14:$E$34,卡牌属性!R621),INDEX(新属性投放!$E$42:$E$62,卡牌属性!R621))*INDEX($G$5:$G$42,L621),2)</f>
        <v>63.56</v>
      </c>
      <c r="AC621" s="29" t="s">
        <v>179</v>
      </c>
      <c r="AD621" s="14">
        <f>ROUND(IF(Q621=1,INDEX(新属性投放!$F$14:$F$34,卡牌属性!R621),INDEX(新属性投放!$F$42:$F$62,卡牌属性!R621))*INDEX($G$5:$G$42,L621)*SQRT(INDEX($I$5:$I$42,L621)),2)</f>
        <v>572</v>
      </c>
      <c r="AF621" s="14">
        <f t="shared" si="256"/>
        <v>1271</v>
      </c>
      <c r="AG621" s="14">
        <f t="shared" si="257"/>
        <v>635</v>
      </c>
      <c r="AH621" s="14">
        <f t="shared" si="258"/>
        <v>5720</v>
      </c>
      <c r="AJ621" s="14">
        <f t="shared" si="268"/>
        <v>5246</v>
      </c>
      <c r="AK621" s="14">
        <f t="shared" si="269"/>
        <v>2619</v>
      </c>
      <c r="AL621" s="14">
        <f t="shared" si="270"/>
        <v>23556</v>
      </c>
    </row>
    <row r="622" spans="11:38" ht="16.5" x14ac:dyDescent="0.2">
      <c r="K622" s="13">
        <v>619</v>
      </c>
      <c r="L622" s="13">
        <f t="shared" si="250"/>
        <v>30</v>
      </c>
      <c r="M622" s="13">
        <f t="shared" si="251"/>
        <v>4</v>
      </c>
      <c r="N622" s="14">
        <f t="shared" si="252"/>
        <v>1102014</v>
      </c>
      <c r="O622" s="14" t="str">
        <f t="shared" si="253"/>
        <v>石灵明10突</v>
      </c>
      <c r="P622" s="29" t="s">
        <v>470</v>
      </c>
      <c r="Q622" s="14">
        <f t="shared" si="254"/>
        <v>2</v>
      </c>
      <c r="R622" s="14">
        <f t="shared" si="255"/>
        <v>10</v>
      </c>
      <c r="S622" s="14" t="s">
        <v>39</v>
      </c>
      <c r="T622" s="14">
        <f>ROUND(((IF(Q622=1,INDEX(新属性投放!$J$14:$J$34,卡牌属性!R622),INDEX(新属性投放!$J$42:$J$62,卡牌属性!R622)))*INDEX($G$5:$G$42,L622)+IF(Q622=1,INDEX(新属性投放!R$20:R$23,卡牌属性!M622-1),INDEX(新属性投放!R$25:R$28,卡牌属性!M622-1)))/SQRT(INDEX($I$5:$I$42,L622)),2)</f>
        <v>6383.52</v>
      </c>
      <c r="U622" s="29" t="s">
        <v>178</v>
      </c>
      <c r="V622" s="14">
        <f>ROUND((IF(Q622=1,INDEX(新属性投放!$K$14:$K$34,卡牌属性!R622),INDEX(新属性投放!$K$42:$K$62,卡牌属性!R622))+IF(Q622=1,INDEX(新属性投放!S$20:S$23,卡牌属性!M622-1),INDEX(新属性投放!S$25:S$28,卡牌属性!M622-1)))*INDEX($G$5:$G$42,L622),2)</f>
        <v>2991.01</v>
      </c>
      <c r="W622" s="29" t="s">
        <v>179</v>
      </c>
      <c r="X622" s="14">
        <f>ROUND((IF(Q622=1,INDEX(新属性投放!$L$14:$L$34,卡牌属性!R622),INDEX(新属性投放!$L$42:$L$62,卡牌属性!R622))*INDEX($G$5:$G$42,L622)+IF(Q622=1,INDEX(新属性投放!T$20:T$23,卡牌属性!M622-1),INDEX(新属性投放!T$25:T$28,卡牌属性!M622-1)))*SQRT(INDEX($I$5:$I$42,L622)),2)</f>
        <v>32798</v>
      </c>
      <c r="Y622" s="29" t="s">
        <v>177</v>
      </c>
      <c r="Z622" s="14">
        <f>ROUND(IF(Q622=1,INDEX(新属性投放!$D$14:$D$34,卡牌属性!R622),INDEX(新属性投放!$D$42:$D$62,卡牌属性!R622))*INDEX($G$5:$G$42,L622)/SQRT(INDEX($I$5:$I$42,L622)),2)</f>
        <v>146.68</v>
      </c>
      <c r="AA622" s="29" t="s">
        <v>178</v>
      </c>
      <c r="AB622" s="14">
        <f>ROUND(IF(Q622=1,INDEX(新属性投放!$E$14:$E$34,卡牌属性!R622),INDEX(新属性投放!$E$42:$E$62,卡牌属性!R622))*INDEX($G$5:$G$42,L622),2)</f>
        <v>73.34</v>
      </c>
      <c r="AC622" s="29" t="s">
        <v>179</v>
      </c>
      <c r="AD622" s="14">
        <f>ROUND(IF(Q622=1,INDEX(新属性投放!$F$14:$F$34,卡牌属性!R622),INDEX(新属性投放!$F$42:$F$62,卡牌属性!R622))*INDEX($G$5:$G$42,L622)*SQRT(INDEX($I$5:$I$42,L622)),2)</f>
        <v>659.1</v>
      </c>
      <c r="AF622" s="14">
        <f t="shared" si="256"/>
        <v>1466</v>
      </c>
      <c r="AG622" s="14">
        <f t="shared" si="257"/>
        <v>733</v>
      </c>
      <c r="AH622" s="14">
        <f t="shared" si="258"/>
        <v>6591</v>
      </c>
      <c r="AJ622" s="14">
        <f t="shared" si="268"/>
        <v>6712</v>
      </c>
      <c r="AK622" s="14">
        <f t="shared" si="269"/>
        <v>3352</v>
      </c>
      <c r="AL622" s="14">
        <f t="shared" si="270"/>
        <v>30147</v>
      </c>
    </row>
    <row r="623" spans="11:38" ht="16.5" x14ac:dyDescent="0.2">
      <c r="K623" s="13">
        <v>620</v>
      </c>
      <c r="L623" s="13">
        <f t="shared" si="250"/>
        <v>30</v>
      </c>
      <c r="M623" s="13">
        <f t="shared" si="251"/>
        <v>4</v>
      </c>
      <c r="N623" s="14">
        <f t="shared" si="252"/>
        <v>1102014</v>
      </c>
      <c r="O623" s="14" t="str">
        <f t="shared" si="253"/>
        <v>石灵明11突</v>
      </c>
      <c r="P623" s="29" t="s">
        <v>470</v>
      </c>
      <c r="Q623" s="14">
        <f t="shared" si="254"/>
        <v>2</v>
      </c>
      <c r="R623" s="14">
        <f t="shared" si="255"/>
        <v>11</v>
      </c>
      <c r="S623" s="14" t="s">
        <v>39</v>
      </c>
      <c r="T623" s="14">
        <f>ROUND(((IF(Q623=1,INDEX(新属性投放!$J$14:$J$34,卡牌属性!R623),INDEX(新属性投放!$J$42:$J$62,卡牌属性!R623)))*INDEX($G$5:$G$42,L623)+IF(Q623=1,INDEX(新属性投放!R$20:R$23,卡牌属性!M623-1),INDEX(新属性投放!R$25:R$28,卡牌属性!M623-1)))/SQRT(INDEX($I$5:$I$42,L623)),2)</f>
        <v>7300.21</v>
      </c>
      <c r="U623" s="29" t="s">
        <v>178</v>
      </c>
      <c r="V623" s="14">
        <f>ROUND((IF(Q623=1,INDEX(新属性投放!$K$14:$K$34,卡牌属性!R623),INDEX(新属性投放!$K$42:$K$62,卡牌属性!R623))+IF(Q623=1,INDEX(新属性投放!S$20:S$23,卡牌属性!M623-1),INDEX(新属性投放!S$25:S$28,卡牌属性!M623-1)))*INDEX($G$5:$G$42,L623),2)</f>
        <v>3450.01</v>
      </c>
      <c r="W623" s="29" t="s">
        <v>179</v>
      </c>
      <c r="X623" s="14">
        <f>ROUND((IF(Q623=1,INDEX(新属性投放!$L$14:$L$34,卡牌属性!R623),INDEX(新属性投放!$L$42:$L$62,卡牌属性!R623))*INDEX($G$5:$G$42,L623)+IF(Q623=1,INDEX(新属性投放!T$20:T$23,卡牌属性!M623-1),INDEX(新属性投放!T$25:T$28,卡牌属性!M623-1)))*SQRT(INDEX($I$5:$I$42,L623)),2)</f>
        <v>37743.199999999997</v>
      </c>
      <c r="Y623" s="29" t="s">
        <v>177</v>
      </c>
      <c r="Z623" s="14">
        <f>ROUND(IF(Q623=1,INDEX(新属性投放!$D$14:$D$34,卡牌属性!R623),INDEX(新属性投放!$D$42:$D$62,卡牌属性!R623))*INDEX($G$5:$G$42,L623)/SQRT(INDEX($I$5:$I$42,L623)),2)</f>
        <v>171.05</v>
      </c>
      <c r="AA623" s="29" t="s">
        <v>178</v>
      </c>
      <c r="AB623" s="14">
        <f>ROUND(IF(Q623=1,INDEX(新属性投放!$E$14:$E$34,卡牌属性!R623),INDEX(新属性投放!$E$42:$E$62,卡牌属性!R623))*INDEX($G$5:$G$42,L623),2)</f>
        <v>85.53</v>
      </c>
      <c r="AC623" s="29" t="s">
        <v>179</v>
      </c>
      <c r="AD623" s="14">
        <f>ROUND(IF(Q623=1,INDEX(新属性投放!$F$14:$F$34,卡牌属性!R623),INDEX(新属性投放!$F$42:$F$62,卡牌属性!R623))*INDEX($G$5:$G$42,L623)*SQRT(INDEX($I$5:$I$42,L623)),2)</f>
        <v>769.6</v>
      </c>
      <c r="AF623" s="14">
        <f t="shared" si="256"/>
        <v>1710</v>
      </c>
      <c r="AG623" s="14">
        <f t="shared" si="257"/>
        <v>855</v>
      </c>
      <c r="AH623" s="14">
        <f t="shared" si="258"/>
        <v>7696</v>
      </c>
      <c r="AJ623" s="14">
        <f t="shared" si="268"/>
        <v>8422</v>
      </c>
      <c r="AK623" s="14">
        <f t="shared" si="269"/>
        <v>4207</v>
      </c>
      <c r="AL623" s="14">
        <f t="shared" si="270"/>
        <v>37843</v>
      </c>
    </row>
    <row r="624" spans="11:38" ht="16.5" x14ac:dyDescent="0.2">
      <c r="K624" s="13">
        <v>621</v>
      </c>
      <c r="L624" s="13">
        <f t="shared" si="250"/>
        <v>30</v>
      </c>
      <c r="M624" s="13">
        <f t="shared" si="251"/>
        <v>4</v>
      </c>
      <c r="N624" s="14">
        <f t="shared" si="252"/>
        <v>1102014</v>
      </c>
      <c r="O624" s="14" t="str">
        <f t="shared" si="253"/>
        <v>石灵明12突</v>
      </c>
      <c r="P624" s="29" t="s">
        <v>470</v>
      </c>
      <c r="Q624" s="14">
        <f t="shared" si="254"/>
        <v>2</v>
      </c>
      <c r="R624" s="14">
        <f t="shared" si="255"/>
        <v>12</v>
      </c>
      <c r="S624" s="14" t="s">
        <v>39</v>
      </c>
      <c r="T624" s="14">
        <f>ROUND(((IF(Q624=1,INDEX(新属性投放!$J$14:$J$34,卡牌属性!R624),INDEX(新属性投放!$J$42:$J$62,卡牌属性!R624)))*INDEX($G$5:$G$42,L624)+IF(Q624=1,INDEX(新属性投放!R$20:R$23,卡牌属性!M624-1),INDEX(新属性投放!R$25:R$28,卡牌属性!M624-1)))/SQRT(INDEX($I$5:$I$42,L624)),2)</f>
        <v>8368.68</v>
      </c>
      <c r="U624" s="29" t="s">
        <v>178</v>
      </c>
      <c r="V624" s="14">
        <f>ROUND((IF(Q624=1,INDEX(新属性投放!$K$14:$K$34,卡牌属性!R624),INDEX(新属性投放!$K$42:$K$62,卡牌属性!R624))+IF(Q624=1,INDEX(新属性投放!S$20:S$23,卡牌属性!M624-1),INDEX(新属性投放!S$25:S$28,卡牌属性!M624-1)))*INDEX($G$5:$G$42,L624),2)</f>
        <v>3984.24</v>
      </c>
      <c r="W624" s="29" t="s">
        <v>179</v>
      </c>
      <c r="X624" s="14">
        <f>ROUND((IF(Q624=1,INDEX(新属性投放!$L$14:$L$34,卡牌属性!R624),INDEX(新属性投放!$L$42:$L$62,卡牌属性!R624))*INDEX($G$5:$G$42,L624)+IF(Q624=1,INDEX(新属性投放!T$20:T$23,卡牌属性!M624-1),INDEX(新属性投放!T$25:T$28,卡牌属性!M624-1)))*SQRT(INDEX($I$5:$I$42,L624)),2)</f>
        <v>43510</v>
      </c>
      <c r="Y624" s="29" t="s">
        <v>177</v>
      </c>
      <c r="Z624" s="14">
        <f>ROUND(IF(Q624=1,INDEX(新属性投放!$D$14:$D$34,卡牌属性!R624),INDEX(新属性投放!$D$42:$D$62,卡牌属性!R624))*INDEX($G$5:$G$42,L624)/SQRT(INDEX($I$5:$I$42,L624)),2)</f>
        <v>195.61</v>
      </c>
      <c r="AA624" s="29" t="s">
        <v>178</v>
      </c>
      <c r="AB624" s="14">
        <f>ROUND(IF(Q624=1,INDEX(新属性投放!$E$14:$E$34,卡牌属性!R624),INDEX(新属性投放!$E$42:$E$62,卡牌属性!R624))*INDEX($G$5:$G$42,L624),2)</f>
        <v>97.81</v>
      </c>
      <c r="AC624" s="29" t="s">
        <v>179</v>
      </c>
      <c r="AD624" s="14">
        <f>ROUND(IF(Q624=1,INDEX(新属性投放!$F$14:$F$34,卡牌属性!R624),INDEX(新属性投放!$F$42:$F$62,卡牌属性!R624))*INDEX($G$5:$G$42,L624)*SQRT(INDEX($I$5:$I$42,L624)),2)</f>
        <v>880.1</v>
      </c>
      <c r="AF624" s="14">
        <f t="shared" si="256"/>
        <v>1956</v>
      </c>
      <c r="AG624" s="14">
        <f t="shared" si="257"/>
        <v>978</v>
      </c>
      <c r="AH624" s="14">
        <f t="shared" si="258"/>
        <v>8801</v>
      </c>
      <c r="AJ624" s="14">
        <f t="shared" si="268"/>
        <v>10378</v>
      </c>
      <c r="AK624" s="14">
        <f t="shared" si="269"/>
        <v>5185</v>
      </c>
      <c r="AL624" s="14">
        <f t="shared" si="270"/>
        <v>46644</v>
      </c>
    </row>
    <row r="625" spans="11:38" ht="16.5" x14ac:dyDescent="0.2">
      <c r="K625" s="13">
        <v>622</v>
      </c>
      <c r="L625" s="13">
        <f t="shared" si="250"/>
        <v>30</v>
      </c>
      <c r="M625" s="13">
        <f t="shared" si="251"/>
        <v>4</v>
      </c>
      <c r="N625" s="14">
        <f t="shared" si="252"/>
        <v>1102014</v>
      </c>
      <c r="O625" s="14" t="str">
        <f t="shared" si="253"/>
        <v>石灵明13突</v>
      </c>
      <c r="P625" s="29" t="s">
        <v>470</v>
      </c>
      <c r="Q625" s="14">
        <f t="shared" si="254"/>
        <v>2</v>
      </c>
      <c r="R625" s="14">
        <f t="shared" si="255"/>
        <v>13</v>
      </c>
      <c r="S625" s="14" t="s">
        <v>39</v>
      </c>
      <c r="T625" s="14">
        <f>ROUND(((IF(Q625=1,INDEX(新属性投放!$J$14:$J$34,卡牌属性!R625),INDEX(新属性投放!$J$42:$J$62,卡牌属性!R625)))*INDEX($G$5:$G$42,L625)+IF(Q625=1,INDEX(新属性投放!R$20:R$23,卡牌属性!M625-1),INDEX(新属性投放!R$25:R$28,卡牌属性!M625-1)))/SQRT(INDEX($I$5:$I$42,L625)),2)</f>
        <v>9591.14</v>
      </c>
      <c r="U625" s="29" t="s">
        <v>178</v>
      </c>
      <c r="V625" s="14">
        <f>ROUND((IF(Q625=1,INDEX(新属性投放!$K$14:$K$34,卡牌属性!R625),INDEX(新属性投放!$K$42:$K$62,卡牌属性!R625))+IF(Q625=1,INDEX(新属性投放!S$20:S$23,卡牌属性!M625-1),INDEX(新属性投放!S$25:S$28,卡牌属性!M625-1)))*INDEX($G$5:$G$42,L625),2)</f>
        <v>4595.47</v>
      </c>
      <c r="W625" s="29" t="s">
        <v>179</v>
      </c>
      <c r="X625" s="14">
        <f>ROUND((IF(Q625=1,INDEX(新属性投放!$L$14:$L$34,卡牌属性!R625),INDEX(新属性投放!$L$42:$L$62,卡牌属性!R625))*INDEX($G$5:$G$42,L625)+IF(Q625=1,INDEX(新属性投放!T$20:T$23,卡牌属性!M625-1),INDEX(新属性投放!T$25:T$28,卡牌属性!M625-1)))*SQRT(INDEX($I$5:$I$42,L625)),2)</f>
        <v>50110.1</v>
      </c>
      <c r="Y625" s="29" t="s">
        <v>177</v>
      </c>
      <c r="Z625" s="14">
        <f>ROUND(IF(Q625=1,INDEX(新属性投放!$D$14:$D$34,卡牌属性!R625),INDEX(新属性投放!$D$42:$D$62,卡牌属性!R625))*INDEX($G$5:$G$42,L625)/SQRT(INDEX($I$5:$I$42,L625)),2)</f>
        <v>226.16</v>
      </c>
      <c r="AA625" s="29" t="s">
        <v>178</v>
      </c>
      <c r="AB625" s="14">
        <f>ROUND(IF(Q625=1,INDEX(新属性投放!$E$14:$E$34,卡牌属性!R625),INDEX(新属性投放!$E$42:$E$62,卡牌属性!R625))*INDEX($G$5:$G$42,L625),2)</f>
        <v>113.08</v>
      </c>
      <c r="AC625" s="29" t="s">
        <v>179</v>
      </c>
      <c r="AD625" s="14">
        <f>ROUND(IF(Q625=1,INDEX(新属性投放!$F$14:$F$34,卡牌属性!R625),INDEX(新属性投放!$F$42:$F$62,卡牌属性!R625))*INDEX($G$5:$G$42,L625)*SQRT(INDEX($I$5:$I$42,L625)),2)</f>
        <v>1016.6</v>
      </c>
      <c r="AF625" s="14">
        <f t="shared" si="256"/>
        <v>2261</v>
      </c>
      <c r="AG625" s="14">
        <f t="shared" si="257"/>
        <v>1130</v>
      </c>
      <c r="AH625" s="14">
        <f t="shared" si="258"/>
        <v>10166</v>
      </c>
      <c r="AJ625" s="14">
        <f t="shared" si="268"/>
        <v>12639</v>
      </c>
      <c r="AK625" s="14">
        <f t="shared" si="269"/>
        <v>6315</v>
      </c>
      <c r="AL625" s="14">
        <f t="shared" si="270"/>
        <v>56810</v>
      </c>
    </row>
    <row r="626" spans="11:38" ht="16.5" x14ac:dyDescent="0.2">
      <c r="K626" s="13">
        <v>623</v>
      </c>
      <c r="L626" s="13">
        <f t="shared" si="250"/>
        <v>30</v>
      </c>
      <c r="M626" s="13">
        <f t="shared" si="251"/>
        <v>4</v>
      </c>
      <c r="N626" s="14">
        <f t="shared" si="252"/>
        <v>1102014</v>
      </c>
      <c r="O626" s="14" t="str">
        <f t="shared" si="253"/>
        <v>石灵明14突</v>
      </c>
      <c r="P626" s="29" t="s">
        <v>470</v>
      </c>
      <c r="Q626" s="14">
        <f t="shared" si="254"/>
        <v>2</v>
      </c>
      <c r="R626" s="14">
        <f t="shared" si="255"/>
        <v>14</v>
      </c>
      <c r="S626" s="14" t="s">
        <v>39</v>
      </c>
      <c r="T626" s="14">
        <f>ROUND(((IF(Q626=1,INDEX(新属性投放!$J$14:$J$34,卡牌属性!R626),INDEX(新属性投放!$J$42:$J$62,卡牌属性!R626)))*INDEX($G$5:$G$42,L626)+IF(Q626=1,INDEX(新属性投放!R$20:R$23,卡牌属性!M626-1),INDEX(新属性投放!R$25:R$28,卡牌属性!M626-1)))/SQRT(INDEX($I$5:$I$42,L626)),2)</f>
        <v>11004.04</v>
      </c>
      <c r="U626" s="29" t="s">
        <v>178</v>
      </c>
      <c r="V626" s="14">
        <f>ROUND((IF(Q626=1,INDEX(新属性投放!$K$14:$K$34,卡牌属性!R626),INDEX(新属性投放!$K$42:$K$62,卡牌属性!R626))+IF(Q626=1,INDEX(新属性投放!S$20:S$23,卡牌属性!M626-1),INDEX(新属性投放!S$25:S$28,卡牌属性!M626-1)))*INDEX($G$5:$G$42,L626),2)</f>
        <v>5302.57</v>
      </c>
      <c r="W626" s="29" t="s">
        <v>179</v>
      </c>
      <c r="X626" s="14">
        <f>ROUND((IF(Q626=1,INDEX(新属性投放!$L$14:$L$34,卡牌属性!R626),INDEX(新属性投放!$L$42:$L$62,卡牌属性!R626))*INDEX($G$5:$G$42,L626)+IF(Q626=1,INDEX(新属性投放!T$20:T$23,卡牌属性!M626-1),INDEX(新属性投放!T$25:T$28,卡牌属性!M626-1)))*SQRT(INDEX($I$5:$I$42,L626)),2)</f>
        <v>57732</v>
      </c>
      <c r="Y626" s="29" t="s">
        <v>177</v>
      </c>
      <c r="Z626" s="14">
        <f>ROUND(IF(Q626=1,INDEX(新属性投放!$D$14:$D$34,卡牌属性!R626),INDEX(新属性投放!$D$42:$D$62,卡牌属性!R626))*INDEX($G$5:$G$42,L626)/SQRT(INDEX($I$5:$I$42,L626)),2)</f>
        <v>261.5</v>
      </c>
      <c r="AA626" s="29" t="s">
        <v>178</v>
      </c>
      <c r="AB626" s="14">
        <f>ROUND(IF(Q626=1,INDEX(新属性投放!$E$14:$E$34,卡牌属性!R626),INDEX(新属性投放!$E$42:$E$62,卡牌属性!R626))*INDEX($G$5:$G$42,L626),2)</f>
        <v>130.75</v>
      </c>
      <c r="AC626" s="29" t="s">
        <v>179</v>
      </c>
      <c r="AD626" s="14">
        <f>ROUND(IF(Q626=1,INDEX(新属性投放!$F$14:$F$34,卡牌属性!R626),INDEX(新属性投放!$F$42:$F$62,卡牌属性!R626))*INDEX($G$5:$G$42,L626)*SQRT(INDEX($I$5:$I$42,L626)),2)</f>
        <v>1176.5</v>
      </c>
      <c r="AF626" s="14">
        <f t="shared" si="256"/>
        <v>2615</v>
      </c>
      <c r="AG626" s="14">
        <f t="shared" si="257"/>
        <v>1307</v>
      </c>
      <c r="AH626" s="14">
        <f t="shared" si="258"/>
        <v>11765</v>
      </c>
      <c r="AJ626" s="14">
        <f t="shared" si="268"/>
        <v>15254</v>
      </c>
      <c r="AK626" s="14">
        <f t="shared" si="269"/>
        <v>7622</v>
      </c>
      <c r="AL626" s="14">
        <f t="shared" si="270"/>
        <v>68575</v>
      </c>
    </row>
    <row r="627" spans="11:38" ht="16.5" x14ac:dyDescent="0.2">
      <c r="K627" s="13">
        <v>624</v>
      </c>
      <c r="L627" s="13">
        <f t="shared" si="250"/>
        <v>30</v>
      </c>
      <c r="M627" s="13">
        <f t="shared" si="251"/>
        <v>4</v>
      </c>
      <c r="N627" s="14">
        <f t="shared" si="252"/>
        <v>1102014</v>
      </c>
      <c r="O627" s="14" t="str">
        <f t="shared" si="253"/>
        <v>石灵明15突</v>
      </c>
      <c r="P627" s="29" t="s">
        <v>470</v>
      </c>
      <c r="Q627" s="14">
        <f t="shared" si="254"/>
        <v>2</v>
      </c>
      <c r="R627" s="14">
        <f t="shared" si="255"/>
        <v>15</v>
      </c>
      <c r="S627" s="14" t="s">
        <v>39</v>
      </c>
      <c r="T627" s="14">
        <f>ROUND(((IF(Q627=1,INDEX(新属性投放!$J$14:$J$34,卡牌属性!R627),INDEX(新属性投放!$J$42:$J$62,卡牌属性!R627)))*INDEX($G$5:$G$42,L627)+IF(Q627=1,INDEX(新属性投放!R$20:R$23,卡牌属性!M627-1),INDEX(新属性投放!R$25:R$28,卡牌属性!M627-1)))/SQRT(INDEX($I$5:$I$42,L627)),2)</f>
        <v>12637.82</v>
      </c>
      <c r="U627" s="29" t="s">
        <v>178</v>
      </c>
      <c r="V627" s="14">
        <f>ROUND((IF(Q627=1,INDEX(新属性投放!$K$14:$K$34,卡牌属性!R627),INDEX(新属性投放!$K$42:$K$62,卡牌属性!R627))+IF(Q627=1,INDEX(新属性投放!S$20:S$23,卡牌属性!M627-1),INDEX(新属性投放!S$25:S$28,卡牌属性!M627-1)))*INDEX($G$5:$G$42,L627),2)</f>
        <v>6120.11</v>
      </c>
      <c r="W627" s="29" t="s">
        <v>179</v>
      </c>
      <c r="X627" s="14">
        <f>ROUND((IF(Q627=1,INDEX(新属性投放!$L$14:$L$34,卡牌属性!R627),INDEX(新属性投放!$L$42:$L$62,卡牌属性!R627))*INDEX($G$5:$G$42,L627)+IF(Q627=1,INDEX(新属性投放!T$20:T$23,卡牌属性!M627-1),INDEX(新属性投放!T$25:T$28,卡牌属性!M627-1)))*SQRT(INDEX($I$5:$I$42,L627)),2)</f>
        <v>66551.199999999997</v>
      </c>
      <c r="Y627" s="29" t="s">
        <v>177</v>
      </c>
      <c r="Z627" s="14">
        <f>ROUND(IF(Q627=1,INDEX(新属性投放!$D$14:$D$34,卡牌属性!R627),INDEX(新属性投放!$D$42:$D$62,卡牌属性!R627))*INDEX($G$5:$G$42,L627)/SQRT(INDEX($I$5:$I$42,L627)),2)</f>
        <v>302.33</v>
      </c>
      <c r="AA627" s="29" t="s">
        <v>178</v>
      </c>
      <c r="AB627" s="14">
        <f>ROUND(IF(Q627=1,INDEX(新属性投放!$E$14:$E$34,卡牌属性!R627),INDEX(新属性投放!$E$42:$E$62,卡牌属性!R627))*INDEX($G$5:$G$42,L627),2)</f>
        <v>151.16</v>
      </c>
      <c r="AC627" s="29" t="s">
        <v>179</v>
      </c>
      <c r="AD627" s="14">
        <f>ROUND(IF(Q627=1,INDEX(新属性投放!$F$14:$F$34,卡牌属性!R627),INDEX(新属性投放!$F$42:$F$62,卡牌属性!R627))*INDEX($G$5:$G$42,L627)*SQRT(INDEX($I$5:$I$42,L627)),2)</f>
        <v>1359.8</v>
      </c>
      <c r="AF627" s="14">
        <f t="shared" si="256"/>
        <v>3023</v>
      </c>
      <c r="AG627" s="14">
        <f t="shared" si="257"/>
        <v>1511</v>
      </c>
      <c r="AH627" s="14">
        <f t="shared" si="258"/>
        <v>13598</v>
      </c>
      <c r="AJ627" s="14">
        <f t="shared" si="268"/>
        <v>18277</v>
      </c>
      <c r="AK627" s="14">
        <f t="shared" si="269"/>
        <v>9133</v>
      </c>
      <c r="AL627" s="14">
        <f t="shared" si="270"/>
        <v>82173</v>
      </c>
    </row>
    <row r="628" spans="11:38" ht="16.5" x14ac:dyDescent="0.2">
      <c r="K628" s="13">
        <v>625</v>
      </c>
      <c r="L628" s="13">
        <f t="shared" si="250"/>
        <v>30</v>
      </c>
      <c r="M628" s="13">
        <f t="shared" si="251"/>
        <v>4</v>
      </c>
      <c r="N628" s="14">
        <f t="shared" si="252"/>
        <v>1102014</v>
      </c>
      <c r="O628" s="14" t="str">
        <f t="shared" si="253"/>
        <v>石灵明16突</v>
      </c>
      <c r="P628" s="29" t="s">
        <v>470</v>
      </c>
      <c r="Q628" s="14">
        <f t="shared" si="254"/>
        <v>2</v>
      </c>
      <c r="R628" s="14">
        <f t="shared" si="255"/>
        <v>16</v>
      </c>
      <c r="S628" s="14" t="s">
        <v>39</v>
      </c>
      <c r="T628" s="14">
        <f>ROUND(((IF(Q628=1,INDEX(新属性投放!$J$14:$J$34,卡牌属性!R628),INDEX(新属性投放!$J$42:$J$62,卡牌属性!R628)))*INDEX($G$5:$G$42,L628)+IF(Q628=1,INDEX(新属性投放!R$20:R$23,卡牌属性!M628-1),INDEX(新属性投放!R$25:R$28,卡牌属性!M628-1)))/SQRT(INDEX($I$5:$I$42,L628)),2)</f>
        <v>14527.76</v>
      </c>
      <c r="U628" s="29" t="s">
        <v>178</v>
      </c>
      <c r="V628" s="14">
        <f>ROUND((IF(Q628=1,INDEX(新属性投放!$K$14:$K$34,卡牌属性!R628),INDEX(新属性投放!$K$42:$K$62,卡牌属性!R628))+IF(Q628=1,INDEX(新属性投放!S$20:S$23,卡牌属性!M628-1),INDEX(新属性投放!S$25:S$28,卡牌属性!M628-1)))*INDEX($G$5:$G$42,L628),2)</f>
        <v>7064.43</v>
      </c>
      <c r="W628" s="29" t="s">
        <v>179</v>
      </c>
      <c r="X628" s="14">
        <f>ROUND((IF(Q628=1,INDEX(新属性投放!$L$14:$L$34,卡牌属性!R628),INDEX(新属性投放!$L$42:$L$62,卡牌属性!R628))*INDEX($G$5:$G$42,L628)+IF(Q628=1,INDEX(新属性投放!T$20:T$23,卡牌属性!M628-1),INDEX(新属性投放!T$25:T$28,卡牌属性!M628-1)))*SQRT(INDEX($I$5:$I$42,L628)),2)</f>
        <v>76754.899999999994</v>
      </c>
      <c r="Y628" s="29" t="s">
        <v>177</v>
      </c>
      <c r="Z628" s="14">
        <f>ROUND(IF(Q628=1,INDEX(新属性投放!$D$14:$D$34,卡牌属性!R628),INDEX(新属性投放!$D$42:$D$62,卡牌属性!R628))*INDEX($G$5:$G$42,L628)/SQRT(INDEX($I$5:$I$42,L628)),2)</f>
        <v>349.58</v>
      </c>
      <c r="AA628" s="29" t="s">
        <v>178</v>
      </c>
      <c r="AB628" s="14">
        <f>ROUND(IF(Q628=1,INDEX(新属性投放!$E$14:$E$34,卡牌属性!R628),INDEX(新属性投放!$E$42:$E$62,卡牌属性!R628))*INDEX($G$5:$G$42,L628),2)</f>
        <v>174.79</v>
      </c>
      <c r="AC628" s="29" t="s">
        <v>179</v>
      </c>
      <c r="AD628" s="14">
        <f>ROUND(IF(Q628=1,INDEX(新属性投放!$F$14:$F$34,卡牌属性!R628),INDEX(新属性投放!$F$42:$F$62,卡牌属性!R628))*INDEX($G$5:$G$42,L628)*SQRT(INDEX($I$5:$I$42,L628)),2)</f>
        <v>1573</v>
      </c>
      <c r="AF628" s="14">
        <f t="shared" si="256"/>
        <v>3495</v>
      </c>
      <c r="AG628" s="14">
        <f t="shared" si="257"/>
        <v>1747</v>
      </c>
      <c r="AH628" s="14">
        <f t="shared" si="258"/>
        <v>15730</v>
      </c>
      <c r="AJ628" s="14">
        <f t="shared" si="268"/>
        <v>21772</v>
      </c>
      <c r="AK628" s="14">
        <f t="shared" si="269"/>
        <v>10880</v>
      </c>
      <c r="AL628" s="14">
        <f t="shared" si="270"/>
        <v>97903</v>
      </c>
    </row>
    <row r="629" spans="11:38" ht="16.5" x14ac:dyDescent="0.2">
      <c r="K629" s="13">
        <v>626</v>
      </c>
      <c r="L629" s="13">
        <f t="shared" si="250"/>
        <v>30</v>
      </c>
      <c r="M629" s="13">
        <f t="shared" si="251"/>
        <v>4</v>
      </c>
      <c r="N629" s="14">
        <f t="shared" si="252"/>
        <v>1102014</v>
      </c>
      <c r="O629" s="14" t="str">
        <f t="shared" si="253"/>
        <v>石灵明17突</v>
      </c>
      <c r="P629" s="29" t="s">
        <v>470</v>
      </c>
      <c r="Q629" s="14">
        <f t="shared" si="254"/>
        <v>2</v>
      </c>
      <c r="R629" s="14">
        <f t="shared" si="255"/>
        <v>17</v>
      </c>
      <c r="S629" s="14" t="s">
        <v>39</v>
      </c>
      <c r="T629" s="14">
        <f>ROUND(((IF(Q629=1,INDEX(新属性投放!$J$14:$J$34,卡牌属性!R629),INDEX(新属性投放!$J$42:$J$62,卡牌属性!R629)))*INDEX($G$5:$G$42,L629)+IF(Q629=1,INDEX(新属性投放!R$20:R$23,卡牌属性!M629-1),INDEX(新属性投放!R$25:R$28,卡牌属性!M629-1)))/SQRT(INDEX($I$5:$I$42,L629)),2)</f>
        <v>16712.47</v>
      </c>
      <c r="U629" s="29" t="s">
        <v>178</v>
      </c>
      <c r="V629" s="14">
        <f>ROUND((IF(Q629=1,INDEX(新属性投放!$K$14:$K$34,卡牌属性!R629),INDEX(新属性投放!$K$42:$K$62,卡牌属性!R629))+IF(Q629=1,INDEX(新属性投放!S$20:S$23,卡牌属性!M629-1),INDEX(新属性投放!S$25:S$28,卡牌属性!M629-1)))*INDEX($G$5:$G$42,L629),2)</f>
        <v>8156.79</v>
      </c>
      <c r="W629" s="29" t="s">
        <v>179</v>
      </c>
      <c r="X629" s="14">
        <f>ROUND((IF(Q629=1,INDEX(新属性投放!$L$14:$L$34,卡牌属性!R629),INDEX(新属性投放!$L$42:$L$62,卡牌属性!R629))*INDEX($G$5:$G$42,L629)+IF(Q629=1,INDEX(新属性投放!T$20:T$23,卡牌属性!M629-1),INDEX(新属性投放!T$25:T$28,卡牌属性!M629-1)))*SQRT(INDEX($I$5:$I$42,L629)),2)</f>
        <v>88551.1</v>
      </c>
      <c r="Y629" s="29" t="s">
        <v>177</v>
      </c>
      <c r="Z629" s="14">
        <f>ROUND(IF(Q629=1,INDEX(新属性投放!$D$14:$D$34,卡牌属性!R629),INDEX(新属性投放!$D$42:$D$62,卡牌属性!R629))*INDEX($G$5:$G$42,L629)/SQRT(INDEX($I$5:$I$42,L629)),2)</f>
        <v>404.2</v>
      </c>
      <c r="AA629" s="29" t="s">
        <v>178</v>
      </c>
      <c r="AB629" s="14">
        <f>ROUND(IF(Q629=1,INDEX(新属性投放!$E$14:$E$34,卡牌属性!R629),INDEX(新属性投放!$E$42:$E$62,卡牌属性!R629))*INDEX($G$5:$G$42,L629),2)</f>
        <v>202.1</v>
      </c>
      <c r="AC629" s="29" t="s">
        <v>179</v>
      </c>
      <c r="AD629" s="14">
        <f>ROUND(IF(Q629=1,INDEX(新属性投放!$F$14:$F$34,卡牌属性!R629),INDEX(新属性投放!$F$42:$F$62,卡牌属性!R629))*INDEX($G$5:$G$42,L629)*SQRT(INDEX($I$5:$I$42,L629)),2)</f>
        <v>1818.7</v>
      </c>
      <c r="AF629" s="14">
        <f t="shared" si="256"/>
        <v>4042</v>
      </c>
      <c r="AG629" s="14">
        <f t="shared" si="257"/>
        <v>2021</v>
      </c>
      <c r="AH629" s="14">
        <f t="shared" si="258"/>
        <v>18187</v>
      </c>
      <c r="AJ629" s="14">
        <f t="shared" si="268"/>
        <v>25814</v>
      </c>
      <c r="AK629" s="14">
        <f t="shared" si="269"/>
        <v>12901</v>
      </c>
      <c r="AL629" s="14">
        <f t="shared" si="270"/>
        <v>116090</v>
      </c>
    </row>
    <row r="630" spans="11:38" ht="16.5" x14ac:dyDescent="0.2">
      <c r="K630" s="13">
        <v>627</v>
      </c>
      <c r="L630" s="13">
        <f t="shared" si="250"/>
        <v>30</v>
      </c>
      <c r="M630" s="13">
        <f t="shared" si="251"/>
        <v>4</v>
      </c>
      <c r="N630" s="14">
        <f t="shared" si="252"/>
        <v>1102014</v>
      </c>
      <c r="O630" s="14" t="str">
        <f t="shared" si="253"/>
        <v>石灵明18突</v>
      </c>
      <c r="P630" s="29" t="s">
        <v>470</v>
      </c>
      <c r="Q630" s="14">
        <f t="shared" si="254"/>
        <v>2</v>
      </c>
      <c r="R630" s="14">
        <f t="shared" si="255"/>
        <v>18</v>
      </c>
      <c r="S630" s="14" t="s">
        <v>39</v>
      </c>
      <c r="T630" s="14">
        <f>ROUND(((IF(Q630=1,INDEX(新属性投放!$J$14:$J$34,卡牌属性!R630),INDEX(新属性投放!$J$42:$J$62,卡牌属性!R630)))*INDEX($G$5:$G$42,L630)+IF(Q630=1,INDEX(新属性投放!R$20:R$23,卡牌属性!M630-1),INDEX(新属性投放!R$25:R$28,卡牌属性!M630-1)))/SQRT(INDEX($I$5:$I$42,L630)),2)</f>
        <v>19239.150000000001</v>
      </c>
      <c r="U630" s="29" t="s">
        <v>178</v>
      </c>
      <c r="V630" s="14">
        <f>ROUND((IF(Q630=1,INDEX(新属性投放!$K$14:$K$34,卡牌属性!R630),INDEX(新属性投放!$K$42:$K$62,卡牌属性!R630))+IF(Q630=1,INDEX(新属性投放!S$20:S$23,卡牌属性!M630-1),INDEX(新属性投放!S$25:S$28,卡牌属性!M630-1)))*INDEX($G$5:$G$42,L630),2)</f>
        <v>9419.48</v>
      </c>
      <c r="W630" s="29" t="s">
        <v>179</v>
      </c>
      <c r="X630" s="14">
        <f>ROUND((IF(Q630=1,INDEX(新属性投放!$L$14:$L$34,卡牌属性!R630),INDEX(新属性投放!$L$42:$L$62,卡牌属性!R630))*INDEX($G$5:$G$42,L630)+IF(Q630=1,INDEX(新属性投放!T$20:T$23,卡牌属性!M630-1),INDEX(新属性投放!T$25:T$28,卡牌属性!M630-1)))*SQRT(INDEX($I$5:$I$42,L630)),2)</f>
        <v>102195.9</v>
      </c>
      <c r="Y630" s="29" t="s">
        <v>177</v>
      </c>
      <c r="Z630" s="14">
        <f>ROUND(IF(Q630=1,INDEX(新属性投放!$D$14:$D$34,卡牌属性!R630),INDEX(新属性投放!$D$42:$D$62,卡牌属性!R630))*INDEX($G$5:$G$42,L630)/SQRT(INDEX($I$5:$I$42,L630)),2)</f>
        <v>467.36</v>
      </c>
      <c r="AA630" s="29" t="s">
        <v>178</v>
      </c>
      <c r="AB630" s="14">
        <f>ROUND(IF(Q630=1,INDEX(新属性投放!$E$14:$E$34,卡牌属性!R630),INDEX(新属性投放!$E$42:$E$62,卡牌属性!R630))*INDEX($G$5:$G$42,L630),2)</f>
        <v>233.68</v>
      </c>
      <c r="AC630" s="29" t="s">
        <v>179</v>
      </c>
      <c r="AD630" s="14">
        <f>ROUND(IF(Q630=1,INDEX(新属性投放!$F$14:$F$34,卡牌属性!R630),INDEX(新属性投放!$F$42:$F$62,卡牌属性!R630))*INDEX($G$5:$G$42,L630)*SQRT(INDEX($I$5:$I$42,L630)),2)</f>
        <v>2102.1</v>
      </c>
      <c r="AF630" s="14">
        <f t="shared" si="256"/>
        <v>4673</v>
      </c>
      <c r="AG630" s="14">
        <f t="shared" si="257"/>
        <v>2336</v>
      </c>
      <c r="AH630" s="14">
        <f t="shared" si="258"/>
        <v>21021</v>
      </c>
      <c r="AJ630" s="14">
        <f t="shared" si="268"/>
        <v>30487</v>
      </c>
      <c r="AK630" s="14">
        <f t="shared" si="269"/>
        <v>15237</v>
      </c>
      <c r="AL630" s="14">
        <f t="shared" si="270"/>
        <v>137111</v>
      </c>
    </row>
    <row r="631" spans="11:38" ht="16.5" x14ac:dyDescent="0.2">
      <c r="K631" s="13">
        <v>628</v>
      </c>
      <c r="L631" s="13">
        <f t="shared" si="250"/>
        <v>30</v>
      </c>
      <c r="M631" s="13">
        <f t="shared" si="251"/>
        <v>4</v>
      </c>
      <c r="N631" s="14">
        <f t="shared" si="252"/>
        <v>1102014</v>
      </c>
      <c r="O631" s="14" t="str">
        <f t="shared" si="253"/>
        <v>石灵明19突</v>
      </c>
      <c r="P631" s="29" t="s">
        <v>470</v>
      </c>
      <c r="Q631" s="14">
        <f t="shared" si="254"/>
        <v>2</v>
      </c>
      <c r="R631" s="14">
        <f t="shared" si="255"/>
        <v>19</v>
      </c>
      <c r="S631" s="14" t="s">
        <v>39</v>
      </c>
      <c r="T631" s="14">
        <f>ROUND(((IF(Q631=1,INDEX(新属性投放!$J$14:$J$34,卡牌属性!R631),INDEX(新属性投放!$J$42:$J$62,卡牌属性!R631)))*INDEX($G$5:$G$42,L631)+IF(Q631=1,INDEX(新属性投放!R$20:R$23,卡牌属性!M631-1),INDEX(新属性投放!R$25:R$28,卡牌属性!M631-1)))/SQRT(INDEX($I$5:$I$42,L631)),2)</f>
        <v>22159.67</v>
      </c>
      <c r="U631" s="29" t="s">
        <v>178</v>
      </c>
      <c r="V631" s="14">
        <f>ROUND((IF(Q631=1,INDEX(新属性投放!$K$14:$K$34,卡牌属性!R631),INDEX(新属性投放!$K$42:$K$62,卡牌属性!R631))+IF(Q631=1,INDEX(新属性投放!S$20:S$23,卡牌属性!M631-1),INDEX(新属性投放!S$25:S$28,卡牌属性!M631-1)))*INDEX($G$5:$G$42,L631),2)</f>
        <v>10880.38</v>
      </c>
      <c r="W631" s="29" t="s">
        <v>179</v>
      </c>
      <c r="X631" s="14">
        <f>ROUND((IF(Q631=1,INDEX(新属性投放!$L$14:$L$34,卡牌属性!R631),INDEX(新属性投放!$L$42:$L$62,卡牌属性!R631))*INDEX($G$5:$G$42,L631)+IF(Q631=1,INDEX(新属性投放!T$20:T$23,卡牌属性!M631-1),INDEX(新属性投放!T$25:T$28,卡牌属性!M631-1)))*SQRT(INDEX($I$5:$I$42,L631)),2)</f>
        <v>117959.7</v>
      </c>
      <c r="Y631" s="29" t="s">
        <v>177</v>
      </c>
      <c r="Z631" s="14">
        <f>ROUND(IF(Q631=1,INDEX(新属性投放!$D$14:$D$34,卡牌属性!R631),INDEX(新属性投放!$D$42:$D$62,卡牌属性!R631))*INDEX($G$5:$G$42,L631)/SQRT(INDEX($I$5:$I$42,L631)),2)</f>
        <v>540.38</v>
      </c>
      <c r="AA631" s="29" t="s">
        <v>178</v>
      </c>
      <c r="AB631" s="14">
        <f>ROUND(IF(Q631=1,INDEX(新属性投放!$E$14:$E$34,卡牌属性!R631),INDEX(新属性投放!$E$42:$E$62,卡牌属性!R631))*INDEX($G$5:$G$42,L631),2)</f>
        <v>270.19</v>
      </c>
      <c r="AC631" s="29" t="s">
        <v>179</v>
      </c>
      <c r="AD631" s="14">
        <f>ROUND(IF(Q631=1,INDEX(新属性投放!$F$14:$F$34,卡牌属性!R631),INDEX(新属性投放!$F$42:$F$62,卡牌属性!R631))*INDEX($G$5:$G$42,L631)*SQRT(INDEX($I$5:$I$42,L631)),2)</f>
        <v>2431</v>
      </c>
      <c r="AF631" s="14">
        <f t="shared" si="256"/>
        <v>5403</v>
      </c>
      <c r="AG631" s="14">
        <f t="shared" si="257"/>
        <v>2701</v>
      </c>
      <c r="AH631" s="14">
        <f t="shared" si="258"/>
        <v>24310</v>
      </c>
      <c r="AJ631" s="14">
        <f t="shared" si="268"/>
        <v>35890</v>
      </c>
      <c r="AK631" s="14">
        <f t="shared" si="269"/>
        <v>17938</v>
      </c>
      <c r="AL631" s="14">
        <f t="shared" si="270"/>
        <v>161421</v>
      </c>
    </row>
    <row r="632" spans="11:38" ht="16.5" x14ac:dyDescent="0.2">
      <c r="K632" s="13">
        <v>629</v>
      </c>
      <c r="L632" s="13">
        <f t="shared" si="250"/>
        <v>30</v>
      </c>
      <c r="M632" s="13">
        <f t="shared" si="251"/>
        <v>4</v>
      </c>
      <c r="N632" s="14">
        <f t="shared" si="252"/>
        <v>1102014</v>
      </c>
      <c r="O632" s="14" t="str">
        <f t="shared" si="253"/>
        <v>石灵明20突</v>
      </c>
      <c r="P632" s="29" t="s">
        <v>470</v>
      </c>
      <c r="Q632" s="14">
        <f t="shared" si="254"/>
        <v>2</v>
      </c>
      <c r="R632" s="14">
        <f t="shared" si="255"/>
        <v>20</v>
      </c>
      <c r="S632" s="14" t="s">
        <v>39</v>
      </c>
      <c r="T632" s="14">
        <f>ROUND(((IF(Q632=1,INDEX(新属性投放!$J$14:$J$34,卡牌属性!R632),INDEX(新属性投放!$J$42:$J$62,卡牌属性!R632)))*INDEX($G$5:$G$42,L632)+IF(Q632=1,INDEX(新属性投放!R$20:R$23,卡牌属性!M632-1),INDEX(新属性投放!R$25:R$28,卡牌属性!M632-1)))/SQRT(INDEX($I$5:$I$42,L632)),2)</f>
        <v>25537.59</v>
      </c>
      <c r="U632" s="29" t="s">
        <v>178</v>
      </c>
      <c r="V632" s="14">
        <f>ROUND((IF(Q632=1,INDEX(新属性投放!$K$14:$K$34,卡牌属性!R632),INDEX(新属性投放!$K$42:$K$62,卡牌属性!R632))+IF(Q632=1,INDEX(新属性投放!S$20:S$23,卡牌属性!M632-1),INDEX(新属性投放!S$25:S$28,卡牌属性!M632-1)))*INDEX($G$5:$G$42,L632),2)</f>
        <v>12569.34</v>
      </c>
      <c r="W632" s="29" t="s">
        <v>179</v>
      </c>
      <c r="X632" s="14">
        <f>ROUND((IF(Q632=1,INDEX(新属性投放!$L$14:$L$34,卡牌属性!R632),INDEX(新属性投放!$L$42:$L$62,卡牌属性!R632))*INDEX($G$5:$G$42,L632)+IF(Q632=1,INDEX(新属性投放!T$20:T$23,卡牌属性!M632-1),INDEX(新属性投放!T$25:T$28,卡牌属性!M632-1)))*SQRT(INDEX($I$5:$I$42,L632)),2)</f>
        <v>136198.70000000001</v>
      </c>
      <c r="Y632" s="29" t="s">
        <v>177</v>
      </c>
      <c r="Z632" s="14">
        <f>ROUND(IF(Q632=1,INDEX(新属性投放!$D$14:$D$34,卡牌属性!R632),INDEX(新属性投放!$D$42:$D$62,卡牌属性!R632))*INDEX($G$5:$G$42,L632)/SQRT(INDEX($I$5:$I$42,L632)),2)</f>
        <v>624.83000000000004</v>
      </c>
      <c r="AA632" s="29" t="s">
        <v>178</v>
      </c>
      <c r="AB632" s="14">
        <f>ROUND(IF(Q632=1,INDEX(新属性投放!$E$14:$E$34,卡牌属性!R632),INDEX(新属性投放!$E$42:$E$62,卡牌属性!R632))*INDEX($G$5:$G$42,L632),2)</f>
        <v>312.42</v>
      </c>
      <c r="AC632" s="29" t="s">
        <v>179</v>
      </c>
      <c r="AD632" s="14">
        <f>ROUND(IF(Q632=1,INDEX(新属性投放!$F$14:$F$34,卡牌属性!R632),INDEX(新属性投放!$F$42:$F$62,卡牌属性!R632))*INDEX($G$5:$G$42,L632)*SQRT(INDEX($I$5:$I$42,L632)),2)</f>
        <v>2810.6</v>
      </c>
      <c r="AF632" s="14">
        <f t="shared" si="256"/>
        <v>6248</v>
      </c>
      <c r="AG632" s="14">
        <f t="shared" si="257"/>
        <v>3124</v>
      </c>
      <c r="AH632" s="14">
        <f t="shared" si="258"/>
        <v>28106</v>
      </c>
      <c r="AJ632" s="14">
        <f t="shared" si="268"/>
        <v>42138</v>
      </c>
      <c r="AK632" s="14">
        <f t="shared" si="269"/>
        <v>21062</v>
      </c>
      <c r="AL632" s="14">
        <f t="shared" si="270"/>
        <v>189527</v>
      </c>
    </row>
    <row r="633" spans="11:38" ht="16.5" x14ac:dyDescent="0.2">
      <c r="K633" s="13">
        <v>630</v>
      </c>
      <c r="L633" s="13">
        <f t="shared" si="250"/>
        <v>30</v>
      </c>
      <c r="M633" s="13">
        <f t="shared" si="251"/>
        <v>4</v>
      </c>
      <c r="N633" s="14">
        <f t="shared" si="252"/>
        <v>1102014</v>
      </c>
      <c r="O633" s="14" t="str">
        <f t="shared" si="253"/>
        <v>石灵明21突</v>
      </c>
      <c r="P633" s="29" t="s">
        <v>470</v>
      </c>
      <c r="Q633" s="14">
        <f t="shared" si="254"/>
        <v>2</v>
      </c>
      <c r="R633" s="14">
        <f t="shared" si="255"/>
        <v>21</v>
      </c>
      <c r="S633" s="14" t="s">
        <v>39</v>
      </c>
      <c r="T633" s="14">
        <f>ROUND(((IF(Q633=1,INDEX(新属性投放!$J$14:$J$34,卡牌属性!R633),INDEX(新属性投放!$J$42:$J$62,卡牌属性!R633)))*INDEX($G$5:$G$42,L633)+IF(Q633=1,INDEX(新属性投放!R$20:R$23,卡牌属性!M633-1),INDEX(新属性投放!R$25:R$28,卡牌属性!M633-1)))/SQRT(INDEX($I$5:$I$42,L633)),2)</f>
        <v>29443.05</v>
      </c>
      <c r="U633" s="29" t="s">
        <v>178</v>
      </c>
      <c r="V633" s="14">
        <f>ROUND((IF(Q633=1,INDEX(新属性投放!$K$14:$K$34,卡牌属性!R633),INDEX(新属性投放!$K$42:$K$62,卡牌属性!R633))+IF(Q633=1,INDEX(新属性投放!S$20:S$23,卡牌属性!M633-1),INDEX(新属性投放!S$25:S$28,卡牌属性!M633-1)))*INDEX($G$5:$G$42,L633),2)</f>
        <v>14521.42</v>
      </c>
      <c r="W633" s="29" t="s">
        <v>179</v>
      </c>
      <c r="X633" s="14">
        <f>ROUND((IF(Q633=1,INDEX(新属性投放!$L$14:$L$34,卡牌属性!R633),INDEX(新属性投放!$L$42:$L$62,卡牌属性!R633))*INDEX($G$5:$G$42,L633)+IF(Q633=1,INDEX(新属性投放!T$20:T$23,卡牌属性!M633-1),INDEX(新属性投放!T$25:T$28,卡牌属性!M633-1)))*SQRT(INDEX($I$5:$I$42,L633)),2)</f>
        <v>157283.4</v>
      </c>
      <c r="Y633" s="29" t="s">
        <v>177</v>
      </c>
      <c r="Z633" s="14">
        <f>ROUND(IF(Q633=1,INDEX(新属性投放!$D$14:$D$34,卡牌属性!R633),INDEX(新属性投放!$D$42:$D$62,卡牌属性!R633))*INDEX($G$5:$G$42,L633)/SQRT(INDEX($I$5:$I$42,L633)),2)</f>
        <v>722.46</v>
      </c>
      <c r="AA633" s="29" t="s">
        <v>178</v>
      </c>
      <c r="AB633" s="14">
        <f>ROUND(IF(Q633=1,INDEX(新属性投放!$E$14:$E$34,卡牌属性!R633),INDEX(新属性投放!$E$42:$E$62,卡牌属性!R633))*INDEX($G$5:$G$42,L633),2)</f>
        <v>361.23</v>
      </c>
      <c r="AC633" s="29" t="s">
        <v>179</v>
      </c>
      <c r="AD633" s="14">
        <f>ROUND(IF(Q633=1,INDEX(新属性投放!$F$14:$F$34,卡牌属性!R633),INDEX(新属性投放!$F$42:$F$62,卡牌属性!R633))*INDEX($G$5:$G$42,L633)*SQRT(INDEX($I$5:$I$42,L633)),2)</f>
        <v>3250</v>
      </c>
      <c r="AF633" s="14">
        <f t="shared" si="256"/>
        <v>7224</v>
      </c>
      <c r="AG633" s="14">
        <f t="shared" si="257"/>
        <v>3612</v>
      </c>
      <c r="AH633" s="14">
        <f t="shared" si="258"/>
        <v>32500</v>
      </c>
      <c r="AJ633" s="14">
        <f t="shared" si="268"/>
        <v>49362</v>
      </c>
      <c r="AK633" s="14">
        <f t="shared" si="269"/>
        <v>24674</v>
      </c>
      <c r="AL633" s="14">
        <f t="shared" si="270"/>
        <v>222027</v>
      </c>
    </row>
    <row r="634" spans="11:38" ht="16.5" x14ac:dyDescent="0.2">
      <c r="K634" s="13">
        <v>631</v>
      </c>
      <c r="L634" s="13">
        <f t="shared" si="250"/>
        <v>31</v>
      </c>
      <c r="M634" s="13">
        <f t="shared" si="251"/>
        <v>2</v>
      </c>
      <c r="N634" s="14">
        <f t="shared" si="252"/>
        <v>1102015</v>
      </c>
      <c r="O634" s="14" t="str">
        <f t="shared" si="253"/>
        <v>于禁1突</v>
      </c>
      <c r="P634" s="29" t="s">
        <v>470</v>
      </c>
      <c r="Q634" s="14">
        <f t="shared" si="254"/>
        <v>2</v>
      </c>
      <c r="R634" s="14">
        <f t="shared" si="255"/>
        <v>1</v>
      </c>
      <c r="S634" s="14" t="s">
        <v>39</v>
      </c>
      <c r="T634" s="14">
        <f>ROUND(((IF(Q634=1,INDEX(新属性投放!$J$14:$J$34,卡牌属性!R634),INDEX(新属性投放!$J$42:$J$62,卡牌属性!R634)))*INDEX($G$5:$G$42,L634)+IF(Q634=1,INDEX(新属性投放!R$20:R$23,卡牌属性!M634-1),INDEX(新属性投放!R$25:R$28,卡牌属性!M634-1)))/SQRT(INDEX($I$5:$I$42,L634)),2)</f>
        <v>350</v>
      </c>
      <c r="U634" s="29" t="s">
        <v>178</v>
      </c>
      <c r="V634" s="14">
        <f>ROUND((IF(Q634=1,INDEX(新属性投放!$K$14:$K$34,卡牌属性!R634),INDEX(新属性投放!$K$42:$K$62,卡牌属性!R634))+IF(Q634=1,INDEX(新属性投放!S$20:S$23,卡牌属性!M634-1),INDEX(新属性投放!S$25:S$28,卡牌属性!M634-1)))*INDEX($G$5:$G$42,L634),2)</f>
        <v>100</v>
      </c>
      <c r="W634" s="29" t="s">
        <v>179</v>
      </c>
      <c r="X634" s="14">
        <f>ROUND((IF(Q634=1,INDEX(新属性投放!$L$14:$L$34,卡牌属性!R634),INDEX(新属性投放!$L$42:$L$62,卡牌属性!R634))*INDEX($G$5:$G$42,L634)+IF(Q634=1,INDEX(新属性投放!T$20:T$23,卡牌属性!M634-1),INDEX(新属性投放!T$25:T$28,卡牌属性!M634-1)))*SQRT(INDEX($I$5:$I$42,L634)),2)</f>
        <v>750</v>
      </c>
      <c r="Y634" s="29" t="s">
        <v>177</v>
      </c>
      <c r="Z634" s="14">
        <f>ROUND(IF(Q634=1,INDEX(新属性投放!$D$14:$D$34,卡牌属性!R634),INDEX(新属性投放!$D$42:$D$62,卡牌属性!R634))*INDEX($G$5:$G$42,L634)/SQRT(INDEX($I$5:$I$42,L634)),2)</f>
        <v>15</v>
      </c>
      <c r="AA634" s="29" t="s">
        <v>178</v>
      </c>
      <c r="AB634" s="14">
        <f>ROUND(IF(Q634=1,INDEX(新属性投放!$E$14:$E$34,卡牌属性!R634),INDEX(新属性投放!$E$42:$E$62,卡牌属性!R634))*INDEX($G$5:$G$42,L634),2)</f>
        <v>7.5</v>
      </c>
      <c r="AC634" s="29" t="s">
        <v>179</v>
      </c>
      <c r="AD634" s="14">
        <f>ROUND(IF(Q634=1,INDEX(新属性投放!$F$14:$F$34,卡牌属性!R634),INDEX(新属性投放!$F$42:$F$62,卡牌属性!R634))*INDEX($G$5:$G$42,L634)*SQRT(INDEX($I$5:$I$42,L634)),2)</f>
        <v>67</v>
      </c>
      <c r="AF634" s="14">
        <f t="shared" si="256"/>
        <v>150</v>
      </c>
      <c r="AG634" s="14">
        <f t="shared" si="257"/>
        <v>75</v>
      </c>
      <c r="AH634" s="14">
        <f t="shared" si="258"/>
        <v>670</v>
      </c>
      <c r="AJ634" s="14">
        <f t="shared" ref="AJ634" si="271">AF634</f>
        <v>150</v>
      </c>
      <c r="AK634" s="14">
        <f t="shared" ref="AK634" si="272">AG634</f>
        <v>75</v>
      </c>
      <c r="AL634" s="14">
        <f t="shared" ref="AL634" si="273">AH634</f>
        <v>670</v>
      </c>
    </row>
    <row r="635" spans="11:38" ht="16.5" x14ac:dyDescent="0.2">
      <c r="K635" s="13">
        <v>632</v>
      </c>
      <c r="L635" s="13">
        <f t="shared" si="250"/>
        <v>31</v>
      </c>
      <c r="M635" s="13">
        <f t="shared" si="251"/>
        <v>2</v>
      </c>
      <c r="N635" s="14">
        <f t="shared" si="252"/>
        <v>1102015</v>
      </c>
      <c r="O635" s="14" t="str">
        <f t="shared" si="253"/>
        <v>于禁2突</v>
      </c>
      <c r="P635" s="29" t="s">
        <v>470</v>
      </c>
      <c r="Q635" s="14">
        <f t="shared" si="254"/>
        <v>2</v>
      </c>
      <c r="R635" s="14">
        <f t="shared" si="255"/>
        <v>2</v>
      </c>
      <c r="S635" s="14" t="s">
        <v>39</v>
      </c>
      <c r="T635" s="14">
        <f>ROUND(((IF(Q635=1,INDEX(新属性投放!$J$14:$J$34,卡牌属性!R635),INDEX(新属性投放!$J$42:$J$62,卡牌属性!R635)))*INDEX($G$5:$G$42,L635)+IF(Q635=1,INDEX(新属性投放!R$20:R$23,卡牌属性!M635-1),INDEX(新属性投放!R$25:R$28,卡牌属性!M635-1)))/SQRT(INDEX($I$5:$I$42,L635)),2)</f>
        <v>510</v>
      </c>
      <c r="U635" s="29" t="s">
        <v>178</v>
      </c>
      <c r="V635" s="14">
        <f>ROUND((IF(Q635=1,INDEX(新属性投放!$K$14:$K$34,卡牌属性!R635),INDEX(新属性投放!$K$42:$K$62,卡牌属性!R635))+IF(Q635=1,INDEX(新属性投放!S$20:S$23,卡牌属性!M635-1),INDEX(新属性投放!S$25:S$28,卡牌属性!M635-1)))*INDEX($G$5:$G$42,L635),2)</f>
        <v>177.5</v>
      </c>
      <c r="W635" s="29" t="s">
        <v>179</v>
      </c>
      <c r="X635" s="14">
        <f>ROUND((IF(Q635=1,INDEX(新属性投放!$L$14:$L$34,卡牌属性!R635),INDEX(新属性投放!$L$42:$L$62,卡牌属性!R635))*INDEX($G$5:$G$42,L635)+IF(Q635=1,INDEX(新属性投放!T$20:T$23,卡牌属性!M635-1),INDEX(新属性投放!T$25:T$28,卡牌属性!M635-1)))*SQRT(INDEX($I$5:$I$42,L635)),2)</f>
        <v>1578</v>
      </c>
      <c r="Y635" s="29" t="s">
        <v>177</v>
      </c>
      <c r="Z635" s="14">
        <f>ROUND(IF(Q635=1,INDEX(新属性投放!$D$14:$D$34,卡牌属性!R635),INDEX(新属性投放!$D$42:$D$62,卡牌属性!R635))*INDEX($G$5:$G$42,L635)/SQRT(INDEX($I$5:$I$42,L635)),2)</f>
        <v>13.77</v>
      </c>
      <c r="AA635" s="29" t="s">
        <v>178</v>
      </c>
      <c r="AB635" s="14">
        <f>ROUND(IF(Q635=1,INDEX(新属性投放!$E$14:$E$34,卡牌属性!R635),INDEX(新属性投放!$E$42:$E$62,卡牌属性!R635))*INDEX($G$5:$G$42,L635),2)</f>
        <v>6.89</v>
      </c>
      <c r="AC635" s="29" t="s">
        <v>179</v>
      </c>
      <c r="AD635" s="14">
        <f>ROUND(IF(Q635=1,INDEX(新属性投放!$F$14:$F$34,卡牌属性!R635),INDEX(新属性投放!$F$42:$F$62,卡牌属性!R635))*INDEX($G$5:$G$42,L635)*SQRT(INDEX($I$5:$I$42,L635)),2)</f>
        <v>61</v>
      </c>
      <c r="AF635" s="14">
        <f t="shared" si="256"/>
        <v>137</v>
      </c>
      <c r="AG635" s="14">
        <f t="shared" si="257"/>
        <v>68</v>
      </c>
      <c r="AH635" s="14">
        <f t="shared" si="258"/>
        <v>610</v>
      </c>
      <c r="AJ635" s="14">
        <f t="shared" ref="AJ635:AJ654" si="274">AJ634+AF635</f>
        <v>287</v>
      </c>
      <c r="AK635" s="14">
        <f t="shared" ref="AK635:AK654" si="275">AK634+AG635</f>
        <v>143</v>
      </c>
      <c r="AL635" s="14">
        <f t="shared" ref="AL635:AL654" si="276">AL634+AH635</f>
        <v>1280</v>
      </c>
    </row>
    <row r="636" spans="11:38" ht="16.5" x14ac:dyDescent="0.2">
      <c r="K636" s="13">
        <v>633</v>
      </c>
      <c r="L636" s="13">
        <f t="shared" si="250"/>
        <v>31</v>
      </c>
      <c r="M636" s="13">
        <f t="shared" si="251"/>
        <v>2</v>
      </c>
      <c r="N636" s="14">
        <f t="shared" si="252"/>
        <v>1102015</v>
      </c>
      <c r="O636" s="14" t="str">
        <f t="shared" si="253"/>
        <v>于禁3突</v>
      </c>
      <c r="P636" s="29" t="s">
        <v>470</v>
      </c>
      <c r="Q636" s="14">
        <f t="shared" si="254"/>
        <v>2</v>
      </c>
      <c r="R636" s="14">
        <f t="shared" si="255"/>
        <v>3</v>
      </c>
      <c r="S636" s="14" t="s">
        <v>39</v>
      </c>
      <c r="T636" s="14">
        <f>ROUND(((IF(Q636=1,INDEX(新属性投放!$J$14:$J$34,卡牌属性!R636),INDEX(新属性投放!$J$42:$J$62,卡牌属性!R636)))*INDEX($G$5:$G$42,L636)+IF(Q636=1,INDEX(新属性投放!R$20:R$23,卡牌属性!M636-1),INDEX(新属性投放!R$25:R$28,卡牌属性!M636-1)))/SQRT(INDEX($I$5:$I$42,L636)),2)</f>
        <v>681.7</v>
      </c>
      <c r="U636" s="29" t="s">
        <v>178</v>
      </c>
      <c r="V636" s="14">
        <f>ROUND((IF(Q636=1,INDEX(新属性投放!$K$14:$K$34,卡牌属性!R636),INDEX(新属性投放!$K$42:$K$62,卡牌属性!R636))+IF(Q636=1,INDEX(新属性投放!S$20:S$23,卡牌属性!M636-1),INDEX(新属性投放!S$25:S$28,卡牌属性!M636-1)))*INDEX($G$5:$G$42,L636),2)</f>
        <v>263.35000000000002</v>
      </c>
      <c r="W636" s="29" t="s">
        <v>179</v>
      </c>
      <c r="X636" s="14">
        <f>ROUND((IF(Q636=1,INDEX(新属性投放!$L$14:$L$34,卡牌属性!R636),INDEX(新属性投放!$L$42:$L$62,卡牌属性!R636))*INDEX($G$5:$G$42,L636)+IF(Q636=1,INDEX(新属性投放!T$20:T$23,卡牌属性!M636-1),INDEX(新属性投放!T$25:T$28,卡牌属性!M636-1)))*SQRT(INDEX($I$5:$I$42,L636)),2)</f>
        <v>2494</v>
      </c>
      <c r="Y636" s="29" t="s">
        <v>177</v>
      </c>
      <c r="Z636" s="14">
        <f>ROUND(IF(Q636=1,INDEX(新属性投放!$D$14:$D$34,卡牌属性!R636),INDEX(新属性投放!$D$42:$D$62,卡牌属性!R636))*INDEX($G$5:$G$42,L636)/SQRT(INDEX($I$5:$I$42,L636)),2)</f>
        <v>25.17</v>
      </c>
      <c r="AA636" s="29" t="s">
        <v>178</v>
      </c>
      <c r="AB636" s="14">
        <f>ROUND(IF(Q636=1,INDEX(新属性投放!$E$14:$E$34,卡牌属性!R636),INDEX(新属性投放!$E$42:$E$62,卡牌属性!R636))*INDEX($G$5:$G$42,L636),2)</f>
        <v>12.59</v>
      </c>
      <c r="AC636" s="29" t="s">
        <v>179</v>
      </c>
      <c r="AD636" s="14">
        <f>ROUND(IF(Q636=1,INDEX(新属性投放!$F$14:$F$34,卡牌属性!R636),INDEX(新属性投放!$F$42:$F$62,卡牌属性!R636))*INDEX($G$5:$G$42,L636)*SQRT(INDEX($I$5:$I$42,L636)),2)</f>
        <v>113</v>
      </c>
      <c r="AF636" s="14">
        <f t="shared" si="256"/>
        <v>251</v>
      </c>
      <c r="AG636" s="14">
        <f t="shared" si="257"/>
        <v>125</v>
      </c>
      <c r="AH636" s="14">
        <f t="shared" si="258"/>
        <v>1130</v>
      </c>
      <c r="AJ636" s="14">
        <f t="shared" si="274"/>
        <v>538</v>
      </c>
      <c r="AK636" s="14">
        <f t="shared" si="275"/>
        <v>268</v>
      </c>
      <c r="AL636" s="14">
        <f t="shared" si="276"/>
        <v>2410</v>
      </c>
    </row>
    <row r="637" spans="11:38" ht="16.5" x14ac:dyDescent="0.2">
      <c r="K637" s="13">
        <v>634</v>
      </c>
      <c r="L637" s="13">
        <f t="shared" si="250"/>
        <v>31</v>
      </c>
      <c r="M637" s="13">
        <f t="shared" si="251"/>
        <v>2</v>
      </c>
      <c r="N637" s="14">
        <f t="shared" si="252"/>
        <v>1102015</v>
      </c>
      <c r="O637" s="14" t="str">
        <f t="shared" si="253"/>
        <v>于禁4突</v>
      </c>
      <c r="P637" s="29" t="s">
        <v>470</v>
      </c>
      <c r="Q637" s="14">
        <f t="shared" si="254"/>
        <v>2</v>
      </c>
      <c r="R637" s="14">
        <f t="shared" si="255"/>
        <v>4</v>
      </c>
      <c r="S637" s="14" t="s">
        <v>39</v>
      </c>
      <c r="T637" s="14">
        <f>ROUND(((IF(Q637=1,INDEX(新属性投放!$J$14:$J$34,卡牌属性!R637),INDEX(新属性投放!$J$42:$J$62,卡牌属性!R637)))*INDEX($G$5:$G$42,L637)+IF(Q637=1,INDEX(新属性投放!R$20:R$23,卡牌属性!M637-1),INDEX(新属性投放!R$25:R$28,卡牌属性!M637-1)))/SQRT(INDEX($I$5:$I$42,L637)),2)</f>
        <v>996.4</v>
      </c>
      <c r="U637" s="29" t="s">
        <v>178</v>
      </c>
      <c r="V637" s="14">
        <f>ROUND((IF(Q637=1,INDEX(新属性投放!$K$14:$K$34,卡牌属性!R637),INDEX(新属性投放!$K$42:$K$62,卡牌属性!R637))+IF(Q637=1,INDEX(新属性投放!S$20:S$23,卡牌属性!M637-1),INDEX(新属性投放!S$25:S$28,卡牌属性!M637-1)))*INDEX($G$5:$G$42,L637),2)</f>
        <v>420.2</v>
      </c>
      <c r="W637" s="29" t="s">
        <v>179</v>
      </c>
      <c r="X637" s="14">
        <f>ROUND((IF(Q637=1,INDEX(新属性投放!$L$14:$L$34,卡牌属性!R637),INDEX(新属性投放!$L$42:$L$62,卡牌属性!R637))*INDEX($G$5:$G$42,L637)+IF(Q637=1,INDEX(新属性投放!T$20:T$23,卡牌属性!M637-1),INDEX(新属性投放!T$25:T$28,卡牌属性!M637-1)))*SQRT(INDEX($I$5:$I$42,L637)),2)</f>
        <v>4191</v>
      </c>
      <c r="Y637" s="29" t="s">
        <v>177</v>
      </c>
      <c r="Z637" s="14">
        <f>ROUND(IF(Q637=1,INDEX(新属性投放!$D$14:$D$34,卡牌属性!R637),INDEX(新属性投放!$D$42:$D$62,卡牌属性!R637))*INDEX($G$5:$G$42,L637)/SQRT(INDEX($I$5:$I$42,L637)),2)</f>
        <v>30.13</v>
      </c>
      <c r="AA637" s="29" t="s">
        <v>178</v>
      </c>
      <c r="AB637" s="14">
        <f>ROUND(IF(Q637=1,INDEX(新属性投放!$E$14:$E$34,卡牌属性!R637),INDEX(新属性投放!$E$42:$E$62,卡牌属性!R637))*INDEX($G$5:$G$42,L637),2)</f>
        <v>15.07</v>
      </c>
      <c r="AC637" s="29" t="s">
        <v>179</v>
      </c>
      <c r="AD637" s="14">
        <f>ROUND(IF(Q637=1,INDEX(新属性投放!$F$14:$F$34,卡牌属性!R637),INDEX(新属性投放!$F$42:$F$62,卡牌属性!R637))*INDEX($G$5:$G$42,L637)*SQRT(INDEX($I$5:$I$42,L637)),2)</f>
        <v>135</v>
      </c>
      <c r="AF637" s="14">
        <f t="shared" si="256"/>
        <v>301</v>
      </c>
      <c r="AG637" s="14">
        <f t="shared" si="257"/>
        <v>150</v>
      </c>
      <c r="AH637" s="14">
        <f t="shared" si="258"/>
        <v>1350</v>
      </c>
      <c r="AJ637" s="14">
        <f t="shared" si="274"/>
        <v>839</v>
      </c>
      <c r="AK637" s="14">
        <f t="shared" si="275"/>
        <v>418</v>
      </c>
      <c r="AL637" s="14">
        <f t="shared" si="276"/>
        <v>3760</v>
      </c>
    </row>
    <row r="638" spans="11:38" ht="16.5" x14ac:dyDescent="0.2">
      <c r="K638" s="13">
        <v>635</v>
      </c>
      <c r="L638" s="13">
        <f t="shared" si="250"/>
        <v>31</v>
      </c>
      <c r="M638" s="13">
        <f t="shared" si="251"/>
        <v>2</v>
      </c>
      <c r="N638" s="14">
        <f t="shared" si="252"/>
        <v>1102015</v>
      </c>
      <c r="O638" s="14" t="str">
        <f t="shared" si="253"/>
        <v>于禁5突</v>
      </c>
      <c r="P638" s="29" t="s">
        <v>470</v>
      </c>
      <c r="Q638" s="14">
        <f t="shared" si="254"/>
        <v>2</v>
      </c>
      <c r="R638" s="14">
        <f t="shared" si="255"/>
        <v>5</v>
      </c>
      <c r="S638" s="14" t="s">
        <v>39</v>
      </c>
      <c r="T638" s="14">
        <f>ROUND(((IF(Q638=1,INDEX(新属性投放!$J$14:$J$34,卡牌属性!R638),INDEX(新属性投放!$J$42:$J$62,卡牌属性!R638)))*INDEX($G$5:$G$42,L638)+IF(Q638=1,INDEX(新属性投放!R$20:R$23,卡牌属性!M638-1),INDEX(新属性投放!R$25:R$28,卡牌属性!M638-1)))/SQRT(INDEX($I$5:$I$42,L638)),2)</f>
        <v>1372.7</v>
      </c>
      <c r="U638" s="29" t="s">
        <v>178</v>
      </c>
      <c r="V638" s="14">
        <f>ROUND((IF(Q638=1,INDEX(新属性投放!$K$14:$K$34,卡牌属性!R638),INDEX(新属性投放!$K$42:$K$62,卡牌属性!R638))+IF(Q638=1,INDEX(新属性投放!S$20:S$23,卡牌属性!M638-1),INDEX(新属性投放!S$25:S$28,卡牌属性!M638-1)))*INDEX($G$5:$G$42,L638),2)</f>
        <v>608.85</v>
      </c>
      <c r="W638" s="29" t="s">
        <v>179</v>
      </c>
      <c r="X638" s="14">
        <f>ROUND((IF(Q638=1,INDEX(新属性投放!$L$14:$L$34,卡牌属性!R638),INDEX(新属性投放!$L$42:$L$62,卡牌属性!R638))*INDEX($G$5:$G$42,L638)+IF(Q638=1,INDEX(新属性投放!T$20:T$23,卡牌属性!M638-1),INDEX(新属性投放!T$25:T$28,卡牌属性!M638-1)))*SQRT(INDEX($I$5:$I$42,L638)),2)</f>
        <v>6216</v>
      </c>
      <c r="Y638" s="29" t="s">
        <v>177</v>
      </c>
      <c r="Z638" s="14">
        <f>ROUND(IF(Q638=1,INDEX(新属性投放!$D$14:$D$34,卡牌属性!R638),INDEX(新属性投放!$D$42:$D$62,卡牌属性!R638))*INDEX($G$5:$G$42,L638)/SQRT(INDEX($I$5:$I$42,L638)),2)</f>
        <v>37.659999999999997</v>
      </c>
      <c r="AA638" s="29" t="s">
        <v>178</v>
      </c>
      <c r="AB638" s="14">
        <f>ROUND(IF(Q638=1,INDEX(新属性投放!$E$14:$E$34,卡牌属性!R638),INDEX(新属性投放!$E$42:$E$62,卡牌属性!R638))*INDEX($G$5:$G$42,L638),2)</f>
        <v>18.829999999999998</v>
      </c>
      <c r="AC638" s="29" t="s">
        <v>179</v>
      </c>
      <c r="AD638" s="14">
        <f>ROUND(IF(Q638=1,INDEX(新属性投放!$F$14:$F$34,卡牌属性!R638),INDEX(新属性投放!$F$42:$F$62,卡牌属性!R638))*INDEX($G$5:$G$42,L638)*SQRT(INDEX($I$5:$I$42,L638)),2)</f>
        <v>169</v>
      </c>
      <c r="AF638" s="14">
        <f t="shared" si="256"/>
        <v>376</v>
      </c>
      <c r="AG638" s="14">
        <f t="shared" si="257"/>
        <v>188</v>
      </c>
      <c r="AH638" s="14">
        <f t="shared" si="258"/>
        <v>1690</v>
      </c>
      <c r="AJ638" s="14">
        <f t="shared" si="274"/>
        <v>1215</v>
      </c>
      <c r="AK638" s="14">
        <f t="shared" si="275"/>
        <v>606</v>
      </c>
      <c r="AL638" s="14">
        <f t="shared" si="276"/>
        <v>5450</v>
      </c>
    </row>
    <row r="639" spans="11:38" ht="16.5" x14ac:dyDescent="0.2">
      <c r="K639" s="13">
        <v>636</v>
      </c>
      <c r="L639" s="13">
        <f t="shared" si="250"/>
        <v>31</v>
      </c>
      <c r="M639" s="13">
        <f t="shared" si="251"/>
        <v>2</v>
      </c>
      <c r="N639" s="14">
        <f t="shared" si="252"/>
        <v>1102015</v>
      </c>
      <c r="O639" s="14" t="str">
        <f t="shared" si="253"/>
        <v>于禁6突</v>
      </c>
      <c r="P639" s="29" t="s">
        <v>470</v>
      </c>
      <c r="Q639" s="14">
        <f t="shared" si="254"/>
        <v>2</v>
      </c>
      <c r="R639" s="14">
        <f t="shared" si="255"/>
        <v>6</v>
      </c>
      <c r="S639" s="14" t="s">
        <v>39</v>
      </c>
      <c r="T639" s="14">
        <f>ROUND(((IF(Q639=1,INDEX(新属性投放!$J$14:$J$34,卡牌属性!R639),INDEX(新属性投放!$J$42:$J$62,卡牌属性!R639)))*INDEX($G$5:$G$42,L639)+IF(Q639=1,INDEX(新属性投放!R$20:R$23,卡牌属性!M639-1),INDEX(新属性投放!R$25:R$28,卡牌属性!M639-1)))/SQRT(INDEX($I$5:$I$42,L639)),2)</f>
        <v>1843.3</v>
      </c>
      <c r="U639" s="29" t="s">
        <v>178</v>
      </c>
      <c r="V639" s="14">
        <f>ROUND((IF(Q639=1,INDEX(新属性投放!$K$14:$K$34,卡牌属性!R639),INDEX(新属性投放!$K$42:$K$62,卡牌属性!R639))+IF(Q639=1,INDEX(新属性投放!S$20:S$23,卡牌属性!M639-1),INDEX(新属性投放!S$25:S$28,卡牌属性!M639-1)))*INDEX($G$5:$G$42,L639),2)</f>
        <v>844.15</v>
      </c>
      <c r="W639" s="29" t="s">
        <v>179</v>
      </c>
      <c r="X639" s="14">
        <f>ROUND((IF(Q639=1,INDEX(新属性投放!$L$14:$L$34,卡牌属性!R639),INDEX(新属性投放!$L$42:$L$62,卡牌属性!R639))*INDEX($G$5:$G$42,L639)+IF(Q639=1,INDEX(新属性投放!T$20:T$23,卡牌属性!M639-1),INDEX(新属性投放!T$25:T$28,卡牌属性!M639-1)))*SQRT(INDEX($I$5:$I$42,L639)),2)</f>
        <v>8752</v>
      </c>
      <c r="Y639" s="29" t="s">
        <v>177</v>
      </c>
      <c r="Z639" s="14">
        <f>ROUND(IF(Q639=1,INDEX(新属性投放!$D$14:$D$34,卡牌属性!R639),INDEX(新属性投放!$D$42:$D$62,卡牌属性!R639))*INDEX($G$5:$G$42,L639)/SQRT(INDEX($I$5:$I$42,L639)),2)</f>
        <v>48.85</v>
      </c>
      <c r="AA639" s="29" t="s">
        <v>178</v>
      </c>
      <c r="AB639" s="14">
        <f>ROUND(IF(Q639=1,INDEX(新属性投放!$E$14:$E$34,卡牌属性!R639),INDEX(新属性投放!$E$42:$E$62,卡牌属性!R639))*INDEX($G$5:$G$42,L639),2)</f>
        <v>24.43</v>
      </c>
      <c r="AC639" s="29" t="s">
        <v>179</v>
      </c>
      <c r="AD639" s="14">
        <f>ROUND(IF(Q639=1,INDEX(新属性投放!$F$14:$F$34,卡牌属性!R639),INDEX(新属性投放!$F$42:$F$62,卡牌属性!R639))*INDEX($G$5:$G$42,L639)*SQRT(INDEX($I$5:$I$42,L639)),2)</f>
        <v>219</v>
      </c>
      <c r="AF639" s="14">
        <f t="shared" si="256"/>
        <v>488</v>
      </c>
      <c r="AG639" s="14">
        <f t="shared" si="257"/>
        <v>244</v>
      </c>
      <c r="AH639" s="14">
        <f t="shared" si="258"/>
        <v>2190</v>
      </c>
      <c r="AJ639" s="14">
        <f t="shared" si="274"/>
        <v>1703</v>
      </c>
      <c r="AK639" s="14">
        <f t="shared" si="275"/>
        <v>850</v>
      </c>
      <c r="AL639" s="14">
        <f t="shared" si="276"/>
        <v>7640</v>
      </c>
    </row>
    <row r="640" spans="11:38" ht="16.5" x14ac:dyDescent="0.2">
      <c r="K640" s="13">
        <v>637</v>
      </c>
      <c r="L640" s="13">
        <f t="shared" si="250"/>
        <v>31</v>
      </c>
      <c r="M640" s="13">
        <f t="shared" si="251"/>
        <v>2</v>
      </c>
      <c r="N640" s="14">
        <f t="shared" si="252"/>
        <v>1102015</v>
      </c>
      <c r="O640" s="14" t="str">
        <f t="shared" si="253"/>
        <v>于禁7突</v>
      </c>
      <c r="P640" s="29" t="s">
        <v>470</v>
      </c>
      <c r="Q640" s="14">
        <f t="shared" si="254"/>
        <v>2</v>
      </c>
      <c r="R640" s="14">
        <f t="shared" si="255"/>
        <v>7</v>
      </c>
      <c r="S640" s="14" t="s">
        <v>39</v>
      </c>
      <c r="T640" s="14">
        <f>ROUND(((IF(Q640=1,INDEX(新属性投放!$J$14:$J$34,卡牌属性!R640),INDEX(新属性投放!$J$42:$J$62,卡牌属性!R640)))*INDEX($G$5:$G$42,L640)+IF(Q640=1,INDEX(新属性投放!R$20:R$23,卡牌属性!M640-1),INDEX(新属性投放!R$25:R$28,卡牌属性!M640-1)))/SQRT(INDEX($I$5:$I$42,L640)),2)</f>
        <v>2453.8000000000002</v>
      </c>
      <c r="U640" s="29" t="s">
        <v>178</v>
      </c>
      <c r="V640" s="14">
        <f>ROUND((IF(Q640=1,INDEX(新属性投放!$K$14:$K$34,卡牌属性!R640),INDEX(新属性投放!$K$42:$K$62,卡牌属性!R640))+IF(Q640=1,INDEX(新属性投放!S$20:S$23,卡牌属性!M640-1),INDEX(新属性投放!S$25:S$28,卡牌属性!M640-1)))*INDEX($G$5:$G$42,L640),2)</f>
        <v>1149.4000000000001</v>
      </c>
      <c r="W640" s="29" t="s">
        <v>179</v>
      </c>
      <c r="X640" s="14">
        <f>ROUND((IF(Q640=1,INDEX(新属性投放!$L$14:$L$34,卡牌属性!R640),INDEX(新属性投放!$L$42:$L$62,卡牌属性!R640))*INDEX($G$5:$G$42,L640)+IF(Q640=1,INDEX(新属性投放!T$20:T$23,卡牌属性!M640-1),INDEX(新属性投放!T$25:T$28,卡牌属性!M640-1)))*SQRT(INDEX($I$5:$I$42,L640)),2)</f>
        <v>12040</v>
      </c>
      <c r="Y640" s="29" t="s">
        <v>177</v>
      </c>
      <c r="Z640" s="14">
        <f>ROUND(IF(Q640=1,INDEX(新属性投放!$D$14:$D$34,卡牌属性!R640),INDEX(新属性投放!$D$42:$D$62,卡牌属性!R640))*INDEX($G$5:$G$42,L640)/SQRT(INDEX($I$5:$I$42,L640)),2)</f>
        <v>60.19</v>
      </c>
      <c r="AA640" s="29" t="s">
        <v>178</v>
      </c>
      <c r="AB640" s="14">
        <f>ROUND(IF(Q640=1,INDEX(新属性投放!$E$14:$E$34,卡牌属性!R640),INDEX(新属性投放!$E$42:$E$62,卡牌属性!R640))*INDEX($G$5:$G$42,L640),2)</f>
        <v>30.1</v>
      </c>
      <c r="AC640" s="29" t="s">
        <v>179</v>
      </c>
      <c r="AD640" s="14">
        <f>ROUND(IF(Q640=1,INDEX(新属性投放!$F$14:$F$34,卡牌属性!R640),INDEX(新属性投放!$F$42:$F$62,卡牌属性!R640))*INDEX($G$5:$G$42,L640)*SQRT(INDEX($I$5:$I$42,L640)),2)</f>
        <v>270</v>
      </c>
      <c r="AF640" s="14">
        <f t="shared" si="256"/>
        <v>601</v>
      </c>
      <c r="AG640" s="14">
        <f t="shared" si="257"/>
        <v>301</v>
      </c>
      <c r="AH640" s="14">
        <f t="shared" si="258"/>
        <v>2700</v>
      </c>
      <c r="AJ640" s="14">
        <f t="shared" si="274"/>
        <v>2304</v>
      </c>
      <c r="AK640" s="14">
        <f t="shared" si="275"/>
        <v>1151</v>
      </c>
      <c r="AL640" s="14">
        <f t="shared" si="276"/>
        <v>10340</v>
      </c>
    </row>
    <row r="641" spans="11:38" ht="16.5" x14ac:dyDescent="0.2">
      <c r="K641" s="13">
        <v>638</v>
      </c>
      <c r="L641" s="13">
        <f t="shared" si="250"/>
        <v>31</v>
      </c>
      <c r="M641" s="13">
        <f t="shared" si="251"/>
        <v>2</v>
      </c>
      <c r="N641" s="14">
        <f t="shared" si="252"/>
        <v>1102015</v>
      </c>
      <c r="O641" s="14" t="str">
        <f t="shared" si="253"/>
        <v>于禁8突</v>
      </c>
      <c r="P641" s="29" t="s">
        <v>470</v>
      </c>
      <c r="Q641" s="14">
        <f t="shared" si="254"/>
        <v>2</v>
      </c>
      <c r="R641" s="14">
        <f t="shared" si="255"/>
        <v>8</v>
      </c>
      <c r="S641" s="14" t="s">
        <v>39</v>
      </c>
      <c r="T641" s="14">
        <f>ROUND(((IF(Q641=1,INDEX(新属性投放!$J$14:$J$34,卡牌属性!R641),INDEX(新属性投放!$J$42:$J$62,卡牌属性!R641)))*INDEX($G$5:$G$42,L641)+IF(Q641=1,INDEX(新属性投放!R$20:R$23,卡牌属性!M641-1),INDEX(新属性投放!R$25:R$28,卡牌属性!M641-1)))/SQRT(INDEX($I$5:$I$42,L641)),2)</f>
        <v>3205.7</v>
      </c>
      <c r="U641" s="29" t="s">
        <v>178</v>
      </c>
      <c r="V641" s="14">
        <f>ROUND((IF(Q641=1,INDEX(新属性投放!$K$14:$K$34,卡牌属性!R641),INDEX(新属性投放!$K$42:$K$62,卡牌属性!R641))+IF(Q641=1,INDEX(新属性投放!S$20:S$23,卡牌属性!M641-1),INDEX(新属性投放!S$25:S$28,卡牌属性!M641-1)))*INDEX($G$5:$G$42,L641),2)</f>
        <v>1525.35</v>
      </c>
      <c r="W641" s="29" t="s">
        <v>179</v>
      </c>
      <c r="X641" s="14">
        <f>ROUND((IF(Q641=1,INDEX(新属性投放!$L$14:$L$34,卡牌属性!R641),INDEX(新属性投放!$L$42:$L$62,卡牌属性!R641))*INDEX($G$5:$G$42,L641)+IF(Q641=1,INDEX(新属性投放!T$20:T$23,卡牌属性!M641-1),INDEX(新属性投放!T$25:T$28,卡牌属性!M641-1)))*SQRT(INDEX($I$5:$I$42,L641)),2)</f>
        <v>16090</v>
      </c>
      <c r="Y641" s="29" t="s">
        <v>177</v>
      </c>
      <c r="Z641" s="14">
        <f>ROUND(IF(Q641=1,INDEX(新属性投放!$D$14:$D$34,卡牌属性!R641),INDEX(新属性投放!$D$42:$D$62,卡牌属性!R641))*INDEX($G$5:$G$42,L641)/SQRT(INDEX($I$5:$I$42,L641)),2)</f>
        <v>75.19</v>
      </c>
      <c r="AA641" s="29" t="s">
        <v>178</v>
      </c>
      <c r="AB641" s="14">
        <f>ROUND(IF(Q641=1,INDEX(新属性投放!$E$14:$E$34,卡牌属性!R641),INDEX(新属性投放!$E$42:$E$62,卡牌属性!R641))*INDEX($G$5:$G$42,L641),2)</f>
        <v>37.6</v>
      </c>
      <c r="AC641" s="29" t="s">
        <v>179</v>
      </c>
      <c r="AD641" s="14">
        <f>ROUND(IF(Q641=1,INDEX(新属性投放!$F$14:$F$34,卡牌属性!R641),INDEX(新属性投放!$F$42:$F$62,卡牌属性!R641))*INDEX($G$5:$G$42,L641)*SQRT(INDEX($I$5:$I$42,L641)),2)</f>
        <v>338</v>
      </c>
      <c r="AF641" s="14">
        <f t="shared" si="256"/>
        <v>751</v>
      </c>
      <c r="AG641" s="14">
        <f t="shared" si="257"/>
        <v>376</v>
      </c>
      <c r="AH641" s="14">
        <f t="shared" si="258"/>
        <v>3380</v>
      </c>
      <c r="AJ641" s="14">
        <f t="shared" si="274"/>
        <v>3055</v>
      </c>
      <c r="AK641" s="14">
        <f t="shared" si="275"/>
        <v>1527</v>
      </c>
      <c r="AL641" s="14">
        <f t="shared" si="276"/>
        <v>13720</v>
      </c>
    </row>
    <row r="642" spans="11:38" ht="16.5" x14ac:dyDescent="0.2">
      <c r="K642" s="13">
        <v>639</v>
      </c>
      <c r="L642" s="13">
        <f t="shared" si="250"/>
        <v>31</v>
      </c>
      <c r="M642" s="13">
        <f t="shared" si="251"/>
        <v>2</v>
      </c>
      <c r="N642" s="14">
        <f t="shared" si="252"/>
        <v>1102015</v>
      </c>
      <c r="O642" s="14" t="str">
        <f t="shared" si="253"/>
        <v>于禁9突</v>
      </c>
      <c r="P642" s="29" t="s">
        <v>470</v>
      </c>
      <c r="Q642" s="14">
        <f t="shared" si="254"/>
        <v>2</v>
      </c>
      <c r="R642" s="14">
        <f t="shared" si="255"/>
        <v>9</v>
      </c>
      <c r="S642" s="14" t="s">
        <v>39</v>
      </c>
      <c r="T642" s="14">
        <f>ROUND(((IF(Q642=1,INDEX(新属性投放!$J$14:$J$34,卡牌属性!R642),INDEX(新属性投放!$J$42:$J$62,卡牌属性!R642)))*INDEX($G$5:$G$42,L642)+IF(Q642=1,INDEX(新属性投放!R$20:R$23,卡牌属性!M642-1),INDEX(新属性投放!R$25:R$28,卡牌属性!M642-1)))/SQRT(INDEX($I$5:$I$42,L642)),2)</f>
        <v>4145.6000000000004</v>
      </c>
      <c r="U642" s="29" t="s">
        <v>178</v>
      </c>
      <c r="V642" s="14">
        <f>ROUND((IF(Q642=1,INDEX(新属性投放!$K$14:$K$34,卡牌属性!R642),INDEX(新属性投放!$K$42:$K$62,卡牌属性!R642))+IF(Q642=1,INDEX(新属性投放!S$20:S$23,卡牌属性!M642-1),INDEX(新属性投放!S$25:S$28,卡牌属性!M642-1)))*INDEX($G$5:$G$42,L642),2)</f>
        <v>1995.3</v>
      </c>
      <c r="W642" s="29" t="s">
        <v>179</v>
      </c>
      <c r="X642" s="14">
        <f>ROUND((IF(Q642=1,INDEX(新属性投放!$L$14:$L$34,卡牌属性!R642),INDEX(新属性投放!$L$42:$L$62,卡牌属性!R642))*INDEX($G$5:$G$42,L642)+IF(Q642=1,INDEX(新属性投放!T$20:T$23,卡牌属性!M642-1),INDEX(新属性投放!T$25:T$28,卡牌属性!M642-1)))*SQRT(INDEX($I$5:$I$42,L642)),2)</f>
        <v>21162</v>
      </c>
      <c r="Y642" s="29" t="s">
        <v>177</v>
      </c>
      <c r="Z642" s="14">
        <f>ROUND(IF(Q642=1,INDEX(新属性投放!$D$14:$D$34,卡牌属性!R642),INDEX(新属性投放!$D$42:$D$62,卡牌属性!R642))*INDEX($G$5:$G$42,L642)/SQRT(INDEX($I$5:$I$42,L642)),2)</f>
        <v>97.79</v>
      </c>
      <c r="AA642" s="29" t="s">
        <v>178</v>
      </c>
      <c r="AB642" s="14">
        <f>ROUND(IF(Q642=1,INDEX(新属性投放!$E$14:$E$34,卡牌属性!R642),INDEX(新属性投放!$E$42:$E$62,卡牌属性!R642))*INDEX($G$5:$G$42,L642),2)</f>
        <v>48.9</v>
      </c>
      <c r="AC642" s="29" t="s">
        <v>179</v>
      </c>
      <c r="AD642" s="14">
        <f>ROUND(IF(Q642=1,INDEX(新属性投放!$F$14:$F$34,卡牌属性!R642),INDEX(新属性投放!$F$42:$F$62,卡牌属性!R642))*INDEX($G$5:$G$42,L642)*SQRT(INDEX($I$5:$I$42,L642)),2)</f>
        <v>440</v>
      </c>
      <c r="AF642" s="14">
        <f t="shared" si="256"/>
        <v>977</v>
      </c>
      <c r="AG642" s="14">
        <f t="shared" si="257"/>
        <v>489</v>
      </c>
      <c r="AH642" s="14">
        <f t="shared" si="258"/>
        <v>4400</v>
      </c>
      <c r="AJ642" s="14">
        <f t="shared" si="274"/>
        <v>4032</v>
      </c>
      <c r="AK642" s="14">
        <f t="shared" si="275"/>
        <v>2016</v>
      </c>
      <c r="AL642" s="14">
        <f t="shared" si="276"/>
        <v>18120</v>
      </c>
    </row>
    <row r="643" spans="11:38" ht="16.5" x14ac:dyDescent="0.2">
      <c r="K643" s="13">
        <v>640</v>
      </c>
      <c r="L643" s="13">
        <f t="shared" si="250"/>
        <v>31</v>
      </c>
      <c r="M643" s="13">
        <f t="shared" si="251"/>
        <v>2</v>
      </c>
      <c r="N643" s="14">
        <f t="shared" si="252"/>
        <v>1102015</v>
      </c>
      <c r="O643" s="14" t="str">
        <f t="shared" si="253"/>
        <v>于禁10突</v>
      </c>
      <c r="P643" s="29" t="s">
        <v>470</v>
      </c>
      <c r="Q643" s="14">
        <f t="shared" si="254"/>
        <v>2</v>
      </c>
      <c r="R643" s="14">
        <f t="shared" si="255"/>
        <v>10</v>
      </c>
      <c r="S643" s="14" t="s">
        <v>39</v>
      </c>
      <c r="T643" s="14">
        <f>ROUND(((IF(Q643=1,INDEX(新属性投放!$J$14:$J$34,卡牌属性!R643),INDEX(新属性投放!$J$42:$J$62,卡牌属性!R643)))*INDEX($G$5:$G$42,L643)+IF(Q643=1,INDEX(新属性投放!R$20:R$23,卡牌属性!M643-1),INDEX(新属性投放!R$25:R$28,卡牌属性!M643-1)))/SQRT(INDEX($I$5:$I$42,L643)),2)</f>
        <v>4756.55</v>
      </c>
      <c r="U643" s="29" t="s">
        <v>178</v>
      </c>
      <c r="V643" s="14">
        <f>ROUND((IF(Q643=1,INDEX(新属性投放!$K$14:$K$34,卡牌属性!R643),INDEX(新属性投放!$K$42:$K$62,卡牌属性!R643))+IF(Q643=1,INDEX(新属性投放!S$20:S$23,卡牌属性!M643-1),INDEX(新属性投放!S$25:S$28,卡牌属性!M643-1)))*INDEX($G$5:$G$42,L643),2)</f>
        <v>2300.7800000000002</v>
      </c>
      <c r="W643" s="29" t="s">
        <v>179</v>
      </c>
      <c r="X643" s="14">
        <f>ROUND((IF(Q643=1,INDEX(新属性投放!$L$14:$L$34,卡牌属性!R643),INDEX(新属性投放!$L$42:$L$62,卡牌属性!R643))*INDEX($G$5:$G$42,L643)+IF(Q643=1,INDEX(新属性投放!T$20:T$23,卡牌属性!M643-1),INDEX(新属性投放!T$25:T$28,卡牌属性!M643-1)))*SQRT(INDEX($I$5:$I$42,L643)),2)</f>
        <v>24460</v>
      </c>
      <c r="Y643" s="29" t="s">
        <v>177</v>
      </c>
      <c r="Z643" s="14">
        <f>ROUND(IF(Q643=1,INDEX(新属性投放!$D$14:$D$34,卡牌属性!R643),INDEX(新属性投放!$D$42:$D$62,卡牌属性!R643))*INDEX($G$5:$G$42,L643)/SQRT(INDEX($I$5:$I$42,L643)),2)</f>
        <v>112.83</v>
      </c>
      <c r="AA643" s="29" t="s">
        <v>178</v>
      </c>
      <c r="AB643" s="14">
        <f>ROUND(IF(Q643=1,INDEX(新属性投放!$E$14:$E$34,卡牌属性!R643),INDEX(新属性投放!$E$42:$E$62,卡牌属性!R643))*INDEX($G$5:$G$42,L643),2)</f>
        <v>56.42</v>
      </c>
      <c r="AC643" s="29" t="s">
        <v>179</v>
      </c>
      <c r="AD643" s="14">
        <f>ROUND(IF(Q643=1,INDEX(新属性投放!$F$14:$F$34,卡牌属性!R643),INDEX(新属性投放!$F$42:$F$62,卡牌属性!R643))*INDEX($G$5:$G$42,L643)*SQRT(INDEX($I$5:$I$42,L643)),2)</f>
        <v>507</v>
      </c>
      <c r="AF643" s="14">
        <f t="shared" si="256"/>
        <v>1128</v>
      </c>
      <c r="AG643" s="14">
        <f t="shared" si="257"/>
        <v>564</v>
      </c>
      <c r="AH643" s="14">
        <f t="shared" si="258"/>
        <v>5070</v>
      </c>
      <c r="AJ643" s="14">
        <f t="shared" si="274"/>
        <v>5160</v>
      </c>
      <c r="AK643" s="14">
        <f t="shared" si="275"/>
        <v>2580</v>
      </c>
      <c r="AL643" s="14">
        <f t="shared" si="276"/>
        <v>23190</v>
      </c>
    </row>
    <row r="644" spans="11:38" ht="16.5" x14ac:dyDescent="0.2">
      <c r="K644" s="13">
        <v>641</v>
      </c>
      <c r="L644" s="13">
        <f t="shared" si="250"/>
        <v>31</v>
      </c>
      <c r="M644" s="13">
        <f t="shared" si="251"/>
        <v>2</v>
      </c>
      <c r="N644" s="14">
        <f t="shared" si="252"/>
        <v>1102015</v>
      </c>
      <c r="O644" s="14" t="str">
        <f t="shared" si="253"/>
        <v>于禁11突</v>
      </c>
      <c r="P644" s="29" t="s">
        <v>470</v>
      </c>
      <c r="Q644" s="14">
        <f t="shared" si="254"/>
        <v>2</v>
      </c>
      <c r="R644" s="14">
        <f t="shared" si="255"/>
        <v>11</v>
      </c>
      <c r="S644" s="14" t="s">
        <v>39</v>
      </c>
      <c r="T644" s="14">
        <f>ROUND(((IF(Q644=1,INDEX(新属性投放!$J$14:$J$34,卡牌属性!R644),INDEX(新属性投放!$J$42:$J$62,卡牌属性!R644)))*INDEX($G$5:$G$42,L644)+IF(Q644=1,INDEX(新属性投放!R$20:R$23,卡牌属性!M644-1),INDEX(新属性投放!R$25:R$28,卡牌属性!M644-1)))/SQRT(INDEX($I$5:$I$42,L644)),2)</f>
        <v>5461.7</v>
      </c>
      <c r="U644" s="29" t="s">
        <v>178</v>
      </c>
      <c r="V644" s="14">
        <f>ROUND((IF(Q644=1,INDEX(新属性投放!$K$14:$K$34,卡牌属性!R644),INDEX(新属性投放!$K$42:$K$62,卡牌属性!R644))+IF(Q644=1,INDEX(新属性投放!S$20:S$23,卡牌属性!M644-1),INDEX(新属性投放!S$25:S$28,卡牌属性!M644-1)))*INDEX($G$5:$G$42,L644),2)</f>
        <v>2653.85</v>
      </c>
      <c r="W644" s="29" t="s">
        <v>179</v>
      </c>
      <c r="X644" s="14">
        <f>ROUND((IF(Q644=1,INDEX(新属性投放!$L$14:$L$34,卡牌属性!R644),INDEX(新属性投放!$L$42:$L$62,卡牌属性!R644))*INDEX($G$5:$G$42,L644)+IF(Q644=1,INDEX(新属性投放!T$20:T$23,卡牌属性!M644-1),INDEX(新属性投放!T$25:T$28,卡牌属性!M644-1)))*SQRT(INDEX($I$5:$I$42,L644)),2)</f>
        <v>28264</v>
      </c>
      <c r="Y644" s="29" t="s">
        <v>177</v>
      </c>
      <c r="Z644" s="14">
        <f>ROUND(IF(Q644=1,INDEX(新属性投放!$D$14:$D$34,卡牌属性!R644),INDEX(新属性投放!$D$42:$D$62,卡牌属性!R644))*INDEX($G$5:$G$42,L644)/SQRT(INDEX($I$5:$I$42,L644)),2)</f>
        <v>131.58000000000001</v>
      </c>
      <c r="AA644" s="29" t="s">
        <v>178</v>
      </c>
      <c r="AB644" s="14">
        <f>ROUND(IF(Q644=1,INDEX(新属性投放!$E$14:$E$34,卡牌属性!R644),INDEX(新属性投放!$E$42:$E$62,卡牌属性!R644))*INDEX($G$5:$G$42,L644),2)</f>
        <v>65.790000000000006</v>
      </c>
      <c r="AC644" s="29" t="s">
        <v>179</v>
      </c>
      <c r="AD644" s="14">
        <f>ROUND(IF(Q644=1,INDEX(新属性投放!$F$14:$F$34,卡牌属性!R644),INDEX(新属性投放!$F$42:$F$62,卡牌属性!R644))*INDEX($G$5:$G$42,L644)*SQRT(INDEX($I$5:$I$42,L644)),2)</f>
        <v>592</v>
      </c>
      <c r="AF644" s="14">
        <f t="shared" si="256"/>
        <v>1315</v>
      </c>
      <c r="AG644" s="14">
        <f t="shared" si="257"/>
        <v>657</v>
      </c>
      <c r="AH644" s="14">
        <f t="shared" si="258"/>
        <v>5920</v>
      </c>
      <c r="AJ644" s="14">
        <f t="shared" si="274"/>
        <v>6475</v>
      </c>
      <c r="AK644" s="14">
        <f t="shared" si="275"/>
        <v>3237</v>
      </c>
      <c r="AL644" s="14">
        <f t="shared" si="276"/>
        <v>29110</v>
      </c>
    </row>
    <row r="645" spans="11:38" ht="16.5" x14ac:dyDescent="0.2">
      <c r="K645" s="13">
        <v>642</v>
      </c>
      <c r="L645" s="13">
        <f t="shared" ref="L645:L708" si="277">MATCH(K645-1,$F$4:$F$41,1)</f>
        <v>31</v>
      </c>
      <c r="M645" s="13">
        <f t="shared" ref="M645:M708" si="278">INDEX($D$5:$D$42,L645)</f>
        <v>2</v>
      </c>
      <c r="N645" s="14">
        <f t="shared" ref="N645:N708" si="279">INDEX($A$4:$A$42,L645+1)</f>
        <v>1102015</v>
      </c>
      <c r="O645" s="14" t="str">
        <f t="shared" ref="O645:O708" si="280">INDEX($B$4:$B$42,MATCH(N645,$A$4:$A$42,0))&amp;R645&amp;"突"</f>
        <v>于禁12突</v>
      </c>
      <c r="P645" s="29" t="s">
        <v>470</v>
      </c>
      <c r="Q645" s="14">
        <f t="shared" ref="Q645:Q708" si="281">INDEX($C$4:$C$42,L645+1)</f>
        <v>2</v>
      </c>
      <c r="R645" s="14">
        <f t="shared" ref="R645:R708" si="282">K645-INDEX($F$4:$F$42,L645)</f>
        <v>12</v>
      </c>
      <c r="S645" s="14" t="s">
        <v>39</v>
      </c>
      <c r="T645" s="14">
        <f>ROUND(((IF(Q645=1,INDEX(新属性投放!$J$14:$J$34,卡牌属性!R645),INDEX(新属性投放!$J$42:$J$62,卡牌属性!R645)))*INDEX($G$5:$G$42,L645)+IF(Q645=1,INDEX(新属性投放!R$20:R$23,卡牌属性!M645-1),INDEX(新属性投放!R$25:R$28,卡牌属性!M645-1)))/SQRT(INDEX($I$5:$I$42,L645)),2)</f>
        <v>6283.6</v>
      </c>
      <c r="U645" s="29" t="s">
        <v>178</v>
      </c>
      <c r="V645" s="14">
        <f>ROUND((IF(Q645=1,INDEX(新属性投放!$K$14:$K$34,卡牌属性!R645),INDEX(新属性投放!$K$42:$K$62,卡牌属性!R645))+IF(Q645=1,INDEX(新属性投放!S$20:S$23,卡牌属性!M645-1),INDEX(新属性投放!S$25:S$28,卡牌属性!M645-1)))*INDEX($G$5:$G$42,L645),2)</f>
        <v>3064.8</v>
      </c>
      <c r="W645" s="29" t="s">
        <v>179</v>
      </c>
      <c r="X645" s="14">
        <f>ROUND((IF(Q645=1,INDEX(新属性投放!$L$14:$L$34,卡牌属性!R645),INDEX(新属性投放!$L$42:$L$62,卡牌属性!R645))*INDEX($G$5:$G$42,L645)+IF(Q645=1,INDEX(新属性投放!T$20:T$23,卡牌属性!M645-1),INDEX(新属性投放!T$25:T$28,卡牌属性!M645-1)))*SQRT(INDEX($I$5:$I$42,L645)),2)</f>
        <v>32700</v>
      </c>
      <c r="Y645" s="29" t="s">
        <v>177</v>
      </c>
      <c r="Z645" s="14">
        <f>ROUND(IF(Q645=1,INDEX(新属性投放!$D$14:$D$34,卡牌属性!R645),INDEX(新属性投放!$D$42:$D$62,卡牌属性!R645))*INDEX($G$5:$G$42,L645)/SQRT(INDEX($I$5:$I$42,L645)),2)</f>
        <v>150.47</v>
      </c>
      <c r="AA645" s="29" t="s">
        <v>178</v>
      </c>
      <c r="AB645" s="14">
        <f>ROUND(IF(Q645=1,INDEX(新属性投放!$E$14:$E$34,卡牌属性!R645),INDEX(新属性投放!$E$42:$E$62,卡牌属性!R645))*INDEX($G$5:$G$42,L645),2)</f>
        <v>75.239999999999995</v>
      </c>
      <c r="AC645" s="29" t="s">
        <v>179</v>
      </c>
      <c r="AD645" s="14">
        <f>ROUND(IF(Q645=1,INDEX(新属性投放!$F$14:$F$34,卡牌属性!R645),INDEX(新属性投放!$F$42:$F$62,卡牌属性!R645))*INDEX($G$5:$G$42,L645)*SQRT(INDEX($I$5:$I$42,L645)),2)</f>
        <v>677</v>
      </c>
      <c r="AF645" s="14">
        <f t="shared" ref="AF645:AF708" si="283">INT(Z645*AF$2*10)</f>
        <v>1504</v>
      </c>
      <c r="AG645" s="14">
        <f t="shared" ref="AG645:AG708" si="284">INT(AB645*AF$2*10)</f>
        <v>752</v>
      </c>
      <c r="AH645" s="14">
        <f t="shared" ref="AH645:AH708" si="285">INT(AD645*AF$2*10)</f>
        <v>6770</v>
      </c>
      <c r="AJ645" s="14">
        <f t="shared" si="274"/>
        <v>7979</v>
      </c>
      <c r="AK645" s="14">
        <f t="shared" si="275"/>
        <v>3989</v>
      </c>
      <c r="AL645" s="14">
        <f t="shared" si="276"/>
        <v>35880</v>
      </c>
    </row>
    <row r="646" spans="11:38" ht="16.5" x14ac:dyDescent="0.2">
      <c r="K646" s="13">
        <v>643</v>
      </c>
      <c r="L646" s="13">
        <f t="shared" si="277"/>
        <v>31</v>
      </c>
      <c r="M646" s="13">
        <f t="shared" si="278"/>
        <v>2</v>
      </c>
      <c r="N646" s="14">
        <f t="shared" si="279"/>
        <v>1102015</v>
      </c>
      <c r="O646" s="14" t="str">
        <f t="shared" si="280"/>
        <v>于禁13突</v>
      </c>
      <c r="P646" s="29" t="s">
        <v>470</v>
      </c>
      <c r="Q646" s="14">
        <f t="shared" si="281"/>
        <v>2</v>
      </c>
      <c r="R646" s="14">
        <f t="shared" si="282"/>
        <v>13</v>
      </c>
      <c r="S646" s="14" t="s">
        <v>39</v>
      </c>
      <c r="T646" s="14">
        <f>ROUND(((IF(Q646=1,INDEX(新属性投放!$J$14:$J$34,卡牌属性!R646),INDEX(新属性投放!$J$42:$J$62,卡牌属性!R646)))*INDEX($G$5:$G$42,L646)+IF(Q646=1,INDEX(新属性投放!R$20:R$23,卡牌属性!M646-1),INDEX(新属性投放!R$25:R$28,卡牌属性!M646-1)))/SQRT(INDEX($I$5:$I$42,L646)),2)</f>
        <v>7223.95</v>
      </c>
      <c r="U646" s="29" t="s">
        <v>178</v>
      </c>
      <c r="V646" s="14">
        <f>ROUND((IF(Q646=1,INDEX(新属性投放!$K$14:$K$34,卡牌属性!R646),INDEX(新属性投放!$K$42:$K$62,卡牌属性!R646))+IF(Q646=1,INDEX(新属性投放!S$20:S$23,卡牌属性!M646-1),INDEX(新属性投放!S$25:S$28,卡牌属性!M646-1)))*INDEX($G$5:$G$42,L646),2)</f>
        <v>3534.98</v>
      </c>
      <c r="W646" s="29" t="s">
        <v>179</v>
      </c>
      <c r="X646" s="14">
        <f>ROUND((IF(Q646=1,INDEX(新属性投放!$L$14:$L$34,卡牌属性!R646),INDEX(新属性投放!$L$42:$L$62,卡牌属性!R646))*INDEX($G$5:$G$42,L646)+IF(Q646=1,INDEX(新属性投放!T$20:T$23,卡牌属性!M646-1),INDEX(新属性投放!T$25:T$28,卡牌属性!M646-1)))*SQRT(INDEX($I$5:$I$42,L646)),2)</f>
        <v>37777</v>
      </c>
      <c r="Y646" s="29" t="s">
        <v>177</v>
      </c>
      <c r="Z646" s="14">
        <f>ROUND(IF(Q646=1,INDEX(新属性投放!$D$14:$D$34,卡牌属性!R646),INDEX(新属性投放!$D$42:$D$62,卡牌属性!R646))*INDEX($G$5:$G$42,L646)/SQRT(INDEX($I$5:$I$42,L646)),2)</f>
        <v>173.97</v>
      </c>
      <c r="AA646" s="29" t="s">
        <v>178</v>
      </c>
      <c r="AB646" s="14">
        <f>ROUND(IF(Q646=1,INDEX(新属性投放!$E$14:$E$34,卡牌属性!R646),INDEX(新属性投放!$E$42:$E$62,卡牌属性!R646))*INDEX($G$5:$G$42,L646),2)</f>
        <v>86.99</v>
      </c>
      <c r="AC646" s="29" t="s">
        <v>179</v>
      </c>
      <c r="AD646" s="14">
        <f>ROUND(IF(Q646=1,INDEX(新属性投放!$F$14:$F$34,卡牌属性!R646),INDEX(新属性投放!$F$42:$F$62,卡牌属性!R646))*INDEX($G$5:$G$42,L646)*SQRT(INDEX($I$5:$I$42,L646)),2)</f>
        <v>782</v>
      </c>
      <c r="AF646" s="14">
        <f t="shared" si="283"/>
        <v>1739</v>
      </c>
      <c r="AG646" s="14">
        <f t="shared" si="284"/>
        <v>869</v>
      </c>
      <c r="AH646" s="14">
        <f t="shared" si="285"/>
        <v>7820</v>
      </c>
      <c r="AJ646" s="14">
        <f t="shared" si="274"/>
        <v>9718</v>
      </c>
      <c r="AK646" s="14">
        <f t="shared" si="275"/>
        <v>4858</v>
      </c>
      <c r="AL646" s="14">
        <f t="shared" si="276"/>
        <v>43700</v>
      </c>
    </row>
    <row r="647" spans="11:38" ht="16.5" x14ac:dyDescent="0.2">
      <c r="K647" s="13">
        <v>644</v>
      </c>
      <c r="L647" s="13">
        <f t="shared" si="277"/>
        <v>31</v>
      </c>
      <c r="M647" s="13">
        <f t="shared" si="278"/>
        <v>2</v>
      </c>
      <c r="N647" s="14">
        <f t="shared" si="279"/>
        <v>1102015</v>
      </c>
      <c r="O647" s="14" t="str">
        <f t="shared" si="280"/>
        <v>于禁14突</v>
      </c>
      <c r="P647" s="29" t="s">
        <v>470</v>
      </c>
      <c r="Q647" s="14">
        <f t="shared" si="281"/>
        <v>2</v>
      </c>
      <c r="R647" s="14">
        <f t="shared" si="282"/>
        <v>14</v>
      </c>
      <c r="S647" s="14" t="s">
        <v>39</v>
      </c>
      <c r="T647" s="14">
        <f>ROUND(((IF(Q647=1,INDEX(新属性投放!$J$14:$J$34,卡牌属性!R647),INDEX(新属性投放!$J$42:$J$62,卡牌属性!R647)))*INDEX($G$5:$G$42,L647)+IF(Q647=1,INDEX(新属性投放!R$20:R$23,卡牌属性!M647-1),INDEX(新属性投放!R$25:R$28,卡牌属性!M647-1)))/SQRT(INDEX($I$5:$I$42,L647)),2)</f>
        <v>8310.7999999999993</v>
      </c>
      <c r="U647" s="29" t="s">
        <v>178</v>
      </c>
      <c r="V647" s="14">
        <f>ROUND((IF(Q647=1,INDEX(新属性投放!$K$14:$K$34,卡牌属性!R647),INDEX(新属性投放!$K$42:$K$62,卡牌属性!R647))+IF(Q647=1,INDEX(新属性投放!S$20:S$23,卡牌属性!M647-1),INDEX(新属性投放!S$25:S$28,卡牌属性!M647-1)))*INDEX($G$5:$G$42,L647),2)</f>
        <v>4078.9</v>
      </c>
      <c r="W647" s="29" t="s">
        <v>179</v>
      </c>
      <c r="X647" s="14">
        <f>ROUND((IF(Q647=1,INDEX(新属性投放!$L$14:$L$34,卡牌属性!R647),INDEX(新属性投放!$L$42:$L$62,卡牌属性!R647))*INDEX($G$5:$G$42,L647)+IF(Q647=1,INDEX(新属性投放!T$20:T$23,卡牌属性!M647-1),INDEX(新属性投放!T$25:T$28,卡牌属性!M647-1)))*SQRT(INDEX($I$5:$I$42,L647)),2)</f>
        <v>43640</v>
      </c>
      <c r="Y647" s="29" t="s">
        <v>177</v>
      </c>
      <c r="Z647" s="14">
        <f>ROUND(IF(Q647=1,INDEX(新属性投放!$D$14:$D$34,卡牌属性!R647),INDEX(新属性投放!$D$42:$D$62,卡牌属性!R647))*INDEX($G$5:$G$42,L647)/SQRT(INDEX($I$5:$I$42,L647)),2)</f>
        <v>201.15</v>
      </c>
      <c r="AA647" s="29" t="s">
        <v>178</v>
      </c>
      <c r="AB647" s="14">
        <f>ROUND(IF(Q647=1,INDEX(新属性投放!$E$14:$E$34,卡牌属性!R647),INDEX(新属性投放!$E$42:$E$62,卡牌属性!R647))*INDEX($G$5:$G$42,L647),2)</f>
        <v>100.58</v>
      </c>
      <c r="AC647" s="29" t="s">
        <v>179</v>
      </c>
      <c r="AD647" s="14">
        <f>ROUND(IF(Q647=1,INDEX(新属性投放!$F$14:$F$34,卡牌属性!R647),INDEX(新属性投放!$F$42:$F$62,卡牌属性!R647))*INDEX($G$5:$G$42,L647)*SQRT(INDEX($I$5:$I$42,L647)),2)</f>
        <v>905</v>
      </c>
      <c r="AF647" s="14">
        <f t="shared" si="283"/>
        <v>2011</v>
      </c>
      <c r="AG647" s="14">
        <f t="shared" si="284"/>
        <v>1005</v>
      </c>
      <c r="AH647" s="14">
        <f t="shared" si="285"/>
        <v>9050</v>
      </c>
      <c r="AJ647" s="14">
        <f t="shared" si="274"/>
        <v>11729</v>
      </c>
      <c r="AK647" s="14">
        <f t="shared" si="275"/>
        <v>5863</v>
      </c>
      <c r="AL647" s="14">
        <f t="shared" si="276"/>
        <v>52750</v>
      </c>
    </row>
    <row r="648" spans="11:38" ht="16.5" x14ac:dyDescent="0.2">
      <c r="K648" s="13">
        <v>645</v>
      </c>
      <c r="L648" s="13">
        <f t="shared" si="277"/>
        <v>31</v>
      </c>
      <c r="M648" s="13">
        <f t="shared" si="278"/>
        <v>2</v>
      </c>
      <c r="N648" s="14">
        <f t="shared" si="279"/>
        <v>1102015</v>
      </c>
      <c r="O648" s="14" t="str">
        <f t="shared" si="280"/>
        <v>于禁15突</v>
      </c>
      <c r="P648" s="29" t="s">
        <v>470</v>
      </c>
      <c r="Q648" s="14">
        <f t="shared" si="281"/>
        <v>2</v>
      </c>
      <c r="R648" s="14">
        <f t="shared" si="282"/>
        <v>15</v>
      </c>
      <c r="S648" s="14" t="s">
        <v>39</v>
      </c>
      <c r="T648" s="14">
        <f>ROUND(((IF(Q648=1,INDEX(新属性投放!$J$14:$J$34,卡牌属性!R648),INDEX(新属性投放!$J$42:$J$62,卡牌属性!R648)))*INDEX($G$5:$G$42,L648)+IF(Q648=1,INDEX(新属性投放!R$20:R$23,卡牌属性!M648-1),INDEX(新属性投放!R$25:R$28,卡牌属性!M648-1)))/SQRT(INDEX($I$5:$I$42,L648)),2)</f>
        <v>9567.5499999999993</v>
      </c>
      <c r="U648" s="29" t="s">
        <v>178</v>
      </c>
      <c r="V648" s="14">
        <f>ROUND((IF(Q648=1,INDEX(新属性投放!$K$14:$K$34,卡牌属性!R648),INDEX(新属性投放!$K$42:$K$62,卡牌属性!R648))+IF(Q648=1,INDEX(新属性投放!S$20:S$23,卡牌属性!M648-1),INDEX(新属性投放!S$25:S$28,卡牌属性!M648-1)))*INDEX($G$5:$G$42,L648),2)</f>
        <v>4707.78</v>
      </c>
      <c r="W648" s="29" t="s">
        <v>179</v>
      </c>
      <c r="X648" s="14">
        <f>ROUND((IF(Q648=1,INDEX(新属性投放!$L$14:$L$34,卡牌属性!R648),INDEX(新属性投放!$L$42:$L$62,卡牌属性!R648))*INDEX($G$5:$G$42,L648)+IF(Q648=1,INDEX(新属性投放!T$20:T$23,卡牌属性!M648-1),INDEX(新属性投放!T$25:T$28,卡牌属性!M648-1)))*SQRT(INDEX($I$5:$I$42,L648)),2)</f>
        <v>50424</v>
      </c>
      <c r="Y648" s="29" t="s">
        <v>177</v>
      </c>
      <c r="Z648" s="14">
        <f>ROUND(IF(Q648=1,INDEX(新属性投放!$D$14:$D$34,卡牌属性!R648),INDEX(新属性投放!$D$42:$D$62,卡牌属性!R648))*INDEX($G$5:$G$42,L648)/SQRT(INDEX($I$5:$I$42,L648)),2)</f>
        <v>232.56</v>
      </c>
      <c r="AA648" s="29" t="s">
        <v>178</v>
      </c>
      <c r="AB648" s="14">
        <f>ROUND(IF(Q648=1,INDEX(新属性投放!$E$14:$E$34,卡牌属性!R648),INDEX(新属性投放!$E$42:$E$62,卡牌属性!R648))*INDEX($G$5:$G$42,L648),2)</f>
        <v>116.28</v>
      </c>
      <c r="AC648" s="29" t="s">
        <v>179</v>
      </c>
      <c r="AD648" s="14">
        <f>ROUND(IF(Q648=1,INDEX(新属性投放!$F$14:$F$34,卡牌属性!R648),INDEX(新属性投放!$F$42:$F$62,卡牌属性!R648))*INDEX($G$5:$G$42,L648)*SQRT(INDEX($I$5:$I$42,L648)),2)</f>
        <v>1046</v>
      </c>
      <c r="AF648" s="14">
        <f t="shared" si="283"/>
        <v>2325</v>
      </c>
      <c r="AG648" s="14">
        <f t="shared" si="284"/>
        <v>1162</v>
      </c>
      <c r="AH648" s="14">
        <f t="shared" si="285"/>
        <v>10460</v>
      </c>
      <c r="AJ648" s="14">
        <f t="shared" si="274"/>
        <v>14054</v>
      </c>
      <c r="AK648" s="14">
        <f t="shared" si="275"/>
        <v>7025</v>
      </c>
      <c r="AL648" s="14">
        <f t="shared" si="276"/>
        <v>63210</v>
      </c>
    </row>
    <row r="649" spans="11:38" ht="16.5" x14ac:dyDescent="0.2">
      <c r="K649" s="13">
        <v>646</v>
      </c>
      <c r="L649" s="13">
        <f t="shared" si="277"/>
        <v>31</v>
      </c>
      <c r="M649" s="13">
        <f t="shared" si="278"/>
        <v>2</v>
      </c>
      <c r="N649" s="14">
        <f t="shared" si="279"/>
        <v>1102015</v>
      </c>
      <c r="O649" s="14" t="str">
        <f t="shared" si="280"/>
        <v>于禁16突</v>
      </c>
      <c r="P649" s="29" t="s">
        <v>470</v>
      </c>
      <c r="Q649" s="14">
        <f t="shared" si="281"/>
        <v>2</v>
      </c>
      <c r="R649" s="14">
        <f t="shared" si="282"/>
        <v>16</v>
      </c>
      <c r="S649" s="14" t="s">
        <v>39</v>
      </c>
      <c r="T649" s="14">
        <f>ROUND(((IF(Q649=1,INDEX(新属性投放!$J$14:$J$34,卡牌属性!R649),INDEX(新属性投放!$J$42:$J$62,卡牌属性!R649)))*INDEX($G$5:$G$42,L649)+IF(Q649=1,INDEX(新属性投放!R$20:R$23,卡牌属性!M649-1),INDEX(新属性投放!R$25:R$28,卡牌属性!M649-1)))/SQRT(INDEX($I$5:$I$42,L649)),2)</f>
        <v>11021.35</v>
      </c>
      <c r="U649" s="29" t="s">
        <v>178</v>
      </c>
      <c r="V649" s="14">
        <f>ROUND((IF(Q649=1,INDEX(新属性投放!$K$14:$K$34,卡牌属性!R649),INDEX(新属性投放!$K$42:$K$62,卡牌属性!R649))+IF(Q649=1,INDEX(新属性投放!S$20:S$23,卡牌属性!M649-1),INDEX(新属性投放!S$25:S$28,卡牌属性!M649-1)))*INDEX($G$5:$G$42,L649),2)</f>
        <v>5434.18</v>
      </c>
      <c r="W649" s="29" t="s">
        <v>179</v>
      </c>
      <c r="X649" s="14">
        <f>ROUND((IF(Q649=1,INDEX(新属性投放!$L$14:$L$34,卡牌属性!R649),INDEX(新属性投放!$L$42:$L$62,卡牌属性!R649))*INDEX($G$5:$G$42,L649)+IF(Q649=1,INDEX(新属性投放!T$20:T$23,卡牌属性!M649-1),INDEX(新属性投放!T$25:T$28,卡牌属性!M649-1)))*SQRT(INDEX($I$5:$I$42,L649)),2)</f>
        <v>58273</v>
      </c>
      <c r="Y649" s="29" t="s">
        <v>177</v>
      </c>
      <c r="Z649" s="14">
        <f>ROUND(IF(Q649=1,INDEX(新属性投放!$D$14:$D$34,卡牌属性!R649),INDEX(新属性投放!$D$42:$D$62,卡牌属性!R649))*INDEX($G$5:$G$42,L649)/SQRT(INDEX($I$5:$I$42,L649)),2)</f>
        <v>268.91000000000003</v>
      </c>
      <c r="AA649" s="29" t="s">
        <v>178</v>
      </c>
      <c r="AB649" s="14">
        <f>ROUND(IF(Q649=1,INDEX(新属性投放!$E$14:$E$34,卡牌属性!R649),INDEX(新属性投放!$E$42:$E$62,卡牌属性!R649))*INDEX($G$5:$G$42,L649),2)</f>
        <v>134.46</v>
      </c>
      <c r="AC649" s="29" t="s">
        <v>179</v>
      </c>
      <c r="AD649" s="14">
        <f>ROUND(IF(Q649=1,INDEX(新属性投放!$F$14:$F$34,卡牌属性!R649),INDEX(新属性投放!$F$42:$F$62,卡牌属性!R649))*INDEX($G$5:$G$42,L649)*SQRT(INDEX($I$5:$I$42,L649)),2)</f>
        <v>1210</v>
      </c>
      <c r="AF649" s="14">
        <f t="shared" si="283"/>
        <v>2689</v>
      </c>
      <c r="AG649" s="14">
        <f t="shared" si="284"/>
        <v>1344</v>
      </c>
      <c r="AH649" s="14">
        <f t="shared" si="285"/>
        <v>12100</v>
      </c>
      <c r="AJ649" s="14">
        <f t="shared" si="274"/>
        <v>16743</v>
      </c>
      <c r="AK649" s="14">
        <f t="shared" si="275"/>
        <v>8369</v>
      </c>
      <c r="AL649" s="14">
        <f t="shared" si="276"/>
        <v>75310</v>
      </c>
    </row>
    <row r="650" spans="11:38" ht="16.5" x14ac:dyDescent="0.2">
      <c r="K650" s="13">
        <v>647</v>
      </c>
      <c r="L650" s="13">
        <f t="shared" si="277"/>
        <v>31</v>
      </c>
      <c r="M650" s="13">
        <f t="shared" si="278"/>
        <v>2</v>
      </c>
      <c r="N650" s="14">
        <f t="shared" si="279"/>
        <v>1102015</v>
      </c>
      <c r="O650" s="14" t="str">
        <f t="shared" si="280"/>
        <v>于禁17突</v>
      </c>
      <c r="P650" s="29" t="s">
        <v>470</v>
      </c>
      <c r="Q650" s="14">
        <f t="shared" si="281"/>
        <v>2</v>
      </c>
      <c r="R650" s="14">
        <f t="shared" si="282"/>
        <v>17</v>
      </c>
      <c r="S650" s="14" t="s">
        <v>39</v>
      </c>
      <c r="T650" s="14">
        <f>ROUND(((IF(Q650=1,INDEX(新属性投放!$J$14:$J$34,卡牌属性!R650),INDEX(新属性投放!$J$42:$J$62,卡牌属性!R650)))*INDEX($G$5:$G$42,L650)+IF(Q650=1,INDEX(新属性投放!R$20:R$23,卡牌属性!M650-1),INDEX(新属性投放!R$25:R$28,卡牌属性!M650-1)))/SQRT(INDEX($I$5:$I$42,L650)),2)</f>
        <v>12701.9</v>
      </c>
      <c r="U650" s="29" t="s">
        <v>178</v>
      </c>
      <c r="V650" s="14">
        <f>ROUND((IF(Q650=1,INDEX(新属性投放!$K$14:$K$34,卡牌属性!R650),INDEX(新属性投放!$K$42:$K$62,卡牌属性!R650))+IF(Q650=1,INDEX(新属性投放!S$20:S$23,卡牌属性!M650-1),INDEX(新属性投放!S$25:S$28,卡牌属性!M650-1)))*INDEX($G$5:$G$42,L650),2)</f>
        <v>6274.45</v>
      </c>
      <c r="W650" s="29" t="s">
        <v>179</v>
      </c>
      <c r="X650" s="14">
        <f>ROUND((IF(Q650=1,INDEX(新属性投放!$L$14:$L$34,卡牌属性!R650),INDEX(新属性投放!$L$42:$L$62,卡牌属性!R650))*INDEX($G$5:$G$42,L650)+IF(Q650=1,INDEX(新属性投放!T$20:T$23,卡牌属性!M650-1),INDEX(新属性投放!T$25:T$28,卡牌属性!M650-1)))*SQRT(INDEX($I$5:$I$42,L650)),2)</f>
        <v>67347</v>
      </c>
      <c r="Y650" s="29" t="s">
        <v>177</v>
      </c>
      <c r="Z650" s="14">
        <f>ROUND(IF(Q650=1,INDEX(新属性投放!$D$14:$D$34,卡牌属性!R650),INDEX(新属性投放!$D$42:$D$62,卡牌属性!R650))*INDEX($G$5:$G$42,L650)/SQRT(INDEX($I$5:$I$42,L650)),2)</f>
        <v>310.92</v>
      </c>
      <c r="AA650" s="29" t="s">
        <v>178</v>
      </c>
      <c r="AB650" s="14">
        <f>ROUND(IF(Q650=1,INDEX(新属性投放!$E$14:$E$34,卡牌属性!R650),INDEX(新属性投放!$E$42:$E$62,卡牌属性!R650))*INDEX($G$5:$G$42,L650),2)</f>
        <v>155.46</v>
      </c>
      <c r="AC650" s="29" t="s">
        <v>179</v>
      </c>
      <c r="AD650" s="14">
        <f>ROUND(IF(Q650=1,INDEX(新属性投放!$F$14:$F$34,卡牌属性!R650),INDEX(新属性投放!$F$42:$F$62,卡牌属性!R650))*INDEX($G$5:$G$42,L650)*SQRT(INDEX($I$5:$I$42,L650)),2)</f>
        <v>1399</v>
      </c>
      <c r="AF650" s="14">
        <f t="shared" si="283"/>
        <v>3109</v>
      </c>
      <c r="AG650" s="14">
        <f t="shared" si="284"/>
        <v>1554</v>
      </c>
      <c r="AH650" s="14">
        <f t="shared" si="285"/>
        <v>13990</v>
      </c>
      <c r="AJ650" s="14">
        <f t="shared" si="274"/>
        <v>19852</v>
      </c>
      <c r="AK650" s="14">
        <f t="shared" si="275"/>
        <v>9923</v>
      </c>
      <c r="AL650" s="14">
        <f t="shared" si="276"/>
        <v>89300</v>
      </c>
    </row>
    <row r="651" spans="11:38" ht="16.5" x14ac:dyDescent="0.2">
      <c r="K651" s="13">
        <v>648</v>
      </c>
      <c r="L651" s="13">
        <f t="shared" si="277"/>
        <v>31</v>
      </c>
      <c r="M651" s="13">
        <f t="shared" si="278"/>
        <v>2</v>
      </c>
      <c r="N651" s="14">
        <f t="shared" si="279"/>
        <v>1102015</v>
      </c>
      <c r="O651" s="14" t="str">
        <f t="shared" si="280"/>
        <v>于禁18突</v>
      </c>
      <c r="P651" s="29" t="s">
        <v>470</v>
      </c>
      <c r="Q651" s="14">
        <f t="shared" si="281"/>
        <v>2</v>
      </c>
      <c r="R651" s="14">
        <f t="shared" si="282"/>
        <v>18</v>
      </c>
      <c r="S651" s="14" t="s">
        <v>39</v>
      </c>
      <c r="T651" s="14">
        <f>ROUND(((IF(Q651=1,INDEX(新属性投放!$J$14:$J$34,卡牌属性!R651),INDEX(新属性投放!$J$42:$J$62,卡牌属性!R651)))*INDEX($G$5:$G$42,L651)+IF(Q651=1,INDEX(新属性投放!R$20:R$23,卡牌属性!M651-1),INDEX(新属性投放!R$25:R$28,卡牌属性!M651-1)))/SQRT(INDEX($I$5:$I$42,L651)),2)</f>
        <v>14645.5</v>
      </c>
      <c r="U651" s="29" t="s">
        <v>178</v>
      </c>
      <c r="V651" s="14">
        <f>ROUND((IF(Q651=1,INDEX(新属性投放!$K$14:$K$34,卡牌属性!R651),INDEX(新属性投放!$K$42:$K$62,卡牌属性!R651))+IF(Q651=1,INDEX(新属性投放!S$20:S$23,卡牌属性!M651-1),INDEX(新属性投放!S$25:S$28,卡牌属性!M651-1)))*INDEX($G$5:$G$42,L651),2)</f>
        <v>7245.75</v>
      </c>
      <c r="W651" s="29" t="s">
        <v>179</v>
      </c>
      <c r="X651" s="14">
        <f>ROUND((IF(Q651=1,INDEX(新属性投放!$L$14:$L$34,卡牌属性!R651),INDEX(新属性投放!$L$42:$L$62,卡牌属性!R651))*INDEX($G$5:$G$42,L651)+IF(Q651=1,INDEX(新属性投放!T$20:T$23,卡牌属性!M651-1),INDEX(新属性投放!T$25:T$28,卡牌属性!M651-1)))*SQRT(INDEX($I$5:$I$42,L651)),2)</f>
        <v>77843</v>
      </c>
      <c r="Y651" s="29" t="s">
        <v>177</v>
      </c>
      <c r="Z651" s="14">
        <f>ROUND(IF(Q651=1,INDEX(新属性投放!$D$14:$D$34,卡牌属性!R651),INDEX(新属性投放!$D$42:$D$62,卡牌属性!R651))*INDEX($G$5:$G$42,L651)/SQRT(INDEX($I$5:$I$42,L651)),2)</f>
        <v>359.51</v>
      </c>
      <c r="AA651" s="29" t="s">
        <v>178</v>
      </c>
      <c r="AB651" s="14">
        <f>ROUND(IF(Q651=1,INDEX(新属性投放!$E$14:$E$34,卡牌属性!R651),INDEX(新属性投放!$E$42:$E$62,卡牌属性!R651))*INDEX($G$5:$G$42,L651),2)</f>
        <v>179.76</v>
      </c>
      <c r="AC651" s="29" t="s">
        <v>179</v>
      </c>
      <c r="AD651" s="14">
        <f>ROUND(IF(Q651=1,INDEX(新属性投放!$F$14:$F$34,卡牌属性!R651),INDEX(新属性投放!$F$42:$F$62,卡牌属性!R651))*INDEX($G$5:$G$42,L651)*SQRT(INDEX($I$5:$I$42,L651)),2)</f>
        <v>1617</v>
      </c>
      <c r="AF651" s="14">
        <f t="shared" si="283"/>
        <v>3595</v>
      </c>
      <c r="AG651" s="14">
        <f t="shared" si="284"/>
        <v>1797</v>
      </c>
      <c r="AH651" s="14">
        <f t="shared" si="285"/>
        <v>16170</v>
      </c>
      <c r="AJ651" s="14">
        <f t="shared" si="274"/>
        <v>23447</v>
      </c>
      <c r="AK651" s="14">
        <f t="shared" si="275"/>
        <v>11720</v>
      </c>
      <c r="AL651" s="14">
        <f t="shared" si="276"/>
        <v>105470</v>
      </c>
    </row>
    <row r="652" spans="11:38" ht="16.5" x14ac:dyDescent="0.2">
      <c r="K652" s="13">
        <v>649</v>
      </c>
      <c r="L652" s="13">
        <f t="shared" si="277"/>
        <v>31</v>
      </c>
      <c r="M652" s="13">
        <f t="shared" si="278"/>
        <v>2</v>
      </c>
      <c r="N652" s="14">
        <f t="shared" si="279"/>
        <v>1102015</v>
      </c>
      <c r="O652" s="14" t="str">
        <f t="shared" si="280"/>
        <v>于禁19突</v>
      </c>
      <c r="P652" s="29" t="s">
        <v>470</v>
      </c>
      <c r="Q652" s="14">
        <f t="shared" si="281"/>
        <v>2</v>
      </c>
      <c r="R652" s="14">
        <f t="shared" si="282"/>
        <v>19</v>
      </c>
      <c r="S652" s="14" t="s">
        <v>39</v>
      </c>
      <c r="T652" s="14">
        <f>ROUND(((IF(Q652=1,INDEX(新属性投放!$J$14:$J$34,卡牌属性!R652),INDEX(新属性投放!$J$42:$J$62,卡牌属性!R652)))*INDEX($G$5:$G$42,L652)+IF(Q652=1,INDEX(新属性投放!R$20:R$23,卡牌属性!M652-1),INDEX(新属性投放!R$25:R$28,卡牌属性!M652-1)))/SQRT(INDEX($I$5:$I$42,L652)),2)</f>
        <v>16892.05</v>
      </c>
      <c r="U652" s="29" t="s">
        <v>178</v>
      </c>
      <c r="V652" s="14">
        <f>ROUND((IF(Q652=1,INDEX(新属性投放!$K$14:$K$34,卡牌属性!R652),INDEX(新属性投放!$K$42:$K$62,卡牌属性!R652))+IF(Q652=1,INDEX(新属性投放!S$20:S$23,卡牌属性!M652-1),INDEX(新属性投放!S$25:S$28,卡牌属性!M652-1)))*INDEX($G$5:$G$42,L652),2)</f>
        <v>8369.5300000000007</v>
      </c>
      <c r="W652" s="29" t="s">
        <v>179</v>
      </c>
      <c r="X652" s="14">
        <f>ROUND((IF(Q652=1,INDEX(新属性投放!$L$14:$L$34,卡牌属性!R652),INDEX(新属性投放!$L$42:$L$62,卡牌属性!R652))*INDEX($G$5:$G$42,L652)+IF(Q652=1,INDEX(新属性投放!T$20:T$23,卡牌属性!M652-1),INDEX(新属性投放!T$25:T$28,卡牌属性!M652-1)))*SQRT(INDEX($I$5:$I$42,L652)),2)</f>
        <v>89969</v>
      </c>
      <c r="Y652" s="29" t="s">
        <v>177</v>
      </c>
      <c r="Z652" s="14">
        <f>ROUND(IF(Q652=1,INDEX(新属性投放!$D$14:$D$34,卡牌属性!R652),INDEX(新属性投放!$D$42:$D$62,卡牌属性!R652))*INDEX($G$5:$G$42,L652)/SQRT(INDEX($I$5:$I$42,L652)),2)</f>
        <v>415.68</v>
      </c>
      <c r="AA652" s="29" t="s">
        <v>178</v>
      </c>
      <c r="AB652" s="14">
        <f>ROUND(IF(Q652=1,INDEX(新属性投放!$E$14:$E$34,卡牌属性!R652),INDEX(新属性投放!$E$42:$E$62,卡牌属性!R652))*INDEX($G$5:$G$42,L652),2)</f>
        <v>207.84</v>
      </c>
      <c r="AC652" s="29" t="s">
        <v>179</v>
      </c>
      <c r="AD652" s="14">
        <f>ROUND(IF(Q652=1,INDEX(新属性投放!$F$14:$F$34,卡牌属性!R652),INDEX(新属性投放!$F$42:$F$62,卡牌属性!R652))*INDEX($G$5:$G$42,L652)*SQRT(INDEX($I$5:$I$42,L652)),2)</f>
        <v>1870</v>
      </c>
      <c r="AF652" s="14">
        <f t="shared" si="283"/>
        <v>4156</v>
      </c>
      <c r="AG652" s="14">
        <f t="shared" si="284"/>
        <v>2078</v>
      </c>
      <c r="AH652" s="14">
        <f t="shared" si="285"/>
        <v>18700</v>
      </c>
      <c r="AJ652" s="14">
        <f t="shared" si="274"/>
        <v>27603</v>
      </c>
      <c r="AK652" s="14">
        <f t="shared" si="275"/>
        <v>13798</v>
      </c>
      <c r="AL652" s="14">
        <f t="shared" si="276"/>
        <v>124170</v>
      </c>
    </row>
    <row r="653" spans="11:38" ht="16.5" x14ac:dyDescent="0.2">
      <c r="K653" s="13">
        <v>650</v>
      </c>
      <c r="L653" s="13">
        <f t="shared" si="277"/>
        <v>31</v>
      </c>
      <c r="M653" s="13">
        <f t="shared" si="278"/>
        <v>2</v>
      </c>
      <c r="N653" s="14">
        <f t="shared" si="279"/>
        <v>1102015</v>
      </c>
      <c r="O653" s="14" t="str">
        <f t="shared" si="280"/>
        <v>于禁20突</v>
      </c>
      <c r="P653" s="29" t="s">
        <v>470</v>
      </c>
      <c r="Q653" s="14">
        <f t="shared" si="281"/>
        <v>2</v>
      </c>
      <c r="R653" s="14">
        <f t="shared" si="282"/>
        <v>20</v>
      </c>
      <c r="S653" s="14" t="s">
        <v>39</v>
      </c>
      <c r="T653" s="14">
        <f>ROUND(((IF(Q653=1,INDEX(新属性投放!$J$14:$J$34,卡牌属性!R653),INDEX(新属性投放!$J$42:$J$62,卡牌属性!R653)))*INDEX($G$5:$G$42,L653)+IF(Q653=1,INDEX(新属性投放!R$20:R$23,卡牌属性!M653-1),INDEX(新属性投放!R$25:R$28,卡牌属性!M653-1)))/SQRT(INDEX($I$5:$I$42,L653)),2)</f>
        <v>19490.45</v>
      </c>
      <c r="U653" s="29" t="s">
        <v>178</v>
      </c>
      <c r="V653" s="14">
        <f>ROUND((IF(Q653=1,INDEX(新属性投放!$K$14:$K$34,卡牌属性!R653),INDEX(新属性投放!$K$42:$K$62,卡牌属性!R653))+IF(Q653=1,INDEX(新属性投放!S$20:S$23,卡牌属性!M653-1),INDEX(新属性投放!S$25:S$28,卡牌属性!M653-1)))*INDEX($G$5:$G$42,L653),2)</f>
        <v>9668.73</v>
      </c>
      <c r="W653" s="29" t="s">
        <v>179</v>
      </c>
      <c r="X653" s="14">
        <f>ROUND((IF(Q653=1,INDEX(新属性投放!$L$14:$L$34,卡牌属性!R653),INDEX(新属性投放!$L$42:$L$62,卡牌属性!R653))*INDEX($G$5:$G$42,L653)+IF(Q653=1,INDEX(新属性投放!T$20:T$23,卡牌属性!M653-1),INDEX(新属性投放!T$25:T$28,卡牌属性!M653-1)))*SQRT(INDEX($I$5:$I$42,L653)),2)</f>
        <v>103999</v>
      </c>
      <c r="Y653" s="29" t="s">
        <v>177</v>
      </c>
      <c r="Z653" s="14">
        <f>ROUND(IF(Q653=1,INDEX(新属性投放!$D$14:$D$34,卡牌属性!R653),INDEX(新属性投放!$D$42:$D$62,卡牌属性!R653))*INDEX($G$5:$G$42,L653)/SQRT(INDEX($I$5:$I$42,L653)),2)</f>
        <v>480.64</v>
      </c>
      <c r="AA653" s="29" t="s">
        <v>178</v>
      </c>
      <c r="AB653" s="14">
        <f>ROUND(IF(Q653=1,INDEX(新属性投放!$E$14:$E$34,卡牌属性!R653),INDEX(新属性投放!$E$42:$E$62,卡牌属性!R653))*INDEX($G$5:$G$42,L653),2)</f>
        <v>240.32</v>
      </c>
      <c r="AC653" s="29" t="s">
        <v>179</v>
      </c>
      <c r="AD653" s="14">
        <f>ROUND(IF(Q653=1,INDEX(新属性投放!$F$14:$F$34,卡牌属性!R653),INDEX(新属性投放!$F$42:$F$62,卡牌属性!R653))*INDEX($G$5:$G$42,L653)*SQRT(INDEX($I$5:$I$42,L653)),2)</f>
        <v>2162</v>
      </c>
      <c r="AF653" s="14">
        <f t="shared" si="283"/>
        <v>4806</v>
      </c>
      <c r="AG653" s="14">
        <f t="shared" si="284"/>
        <v>2403</v>
      </c>
      <c r="AH653" s="14">
        <f t="shared" si="285"/>
        <v>21620</v>
      </c>
      <c r="AJ653" s="14">
        <f t="shared" si="274"/>
        <v>32409</v>
      </c>
      <c r="AK653" s="14">
        <f t="shared" si="275"/>
        <v>16201</v>
      </c>
      <c r="AL653" s="14">
        <f t="shared" si="276"/>
        <v>145790</v>
      </c>
    </row>
    <row r="654" spans="11:38" ht="16.5" x14ac:dyDescent="0.2">
      <c r="K654" s="13">
        <v>651</v>
      </c>
      <c r="L654" s="13">
        <f t="shared" si="277"/>
        <v>31</v>
      </c>
      <c r="M654" s="13">
        <f t="shared" si="278"/>
        <v>2</v>
      </c>
      <c r="N654" s="14">
        <f t="shared" si="279"/>
        <v>1102015</v>
      </c>
      <c r="O654" s="14" t="str">
        <f t="shared" si="280"/>
        <v>于禁21突</v>
      </c>
      <c r="P654" s="29" t="s">
        <v>470</v>
      </c>
      <c r="Q654" s="14">
        <f t="shared" si="281"/>
        <v>2</v>
      </c>
      <c r="R654" s="14">
        <f t="shared" si="282"/>
        <v>21</v>
      </c>
      <c r="S654" s="14" t="s">
        <v>39</v>
      </c>
      <c r="T654" s="14">
        <f>ROUND(((IF(Q654=1,INDEX(新属性投放!$J$14:$J$34,卡牌属性!R654),INDEX(新属性投放!$J$42:$J$62,卡牌属性!R654)))*INDEX($G$5:$G$42,L654)+IF(Q654=1,INDEX(新属性投放!R$20:R$23,卡牌属性!M654-1),INDEX(新属性投放!R$25:R$28,卡牌属性!M654-1)))/SQRT(INDEX($I$5:$I$42,L654)),2)</f>
        <v>22494.65</v>
      </c>
      <c r="U654" s="29" t="s">
        <v>178</v>
      </c>
      <c r="V654" s="14">
        <f>ROUND((IF(Q654=1,INDEX(新属性投放!$K$14:$K$34,卡牌属性!R654),INDEX(新属性投放!$K$42:$K$62,卡牌属性!R654))+IF(Q654=1,INDEX(新属性投放!S$20:S$23,卡牌属性!M654-1),INDEX(新属性投放!S$25:S$28,卡牌属性!M654-1)))*INDEX($G$5:$G$42,L654),2)</f>
        <v>11170.33</v>
      </c>
      <c r="W654" s="29" t="s">
        <v>179</v>
      </c>
      <c r="X654" s="14">
        <f>ROUND((IF(Q654=1,INDEX(新属性投放!$L$14:$L$34,卡牌属性!R654),INDEX(新属性投放!$L$42:$L$62,卡牌属性!R654))*INDEX($G$5:$G$42,L654)+IF(Q654=1,INDEX(新属性投放!T$20:T$23,卡牌属性!M654-1),INDEX(新属性投放!T$25:T$28,卡牌属性!M654-1)))*SQRT(INDEX($I$5:$I$42,L654)),2)</f>
        <v>120218</v>
      </c>
      <c r="Y654" s="29" t="s">
        <v>177</v>
      </c>
      <c r="Z654" s="14">
        <f>ROUND(IF(Q654=1,INDEX(新属性投放!$D$14:$D$34,卡牌属性!R654),INDEX(新属性投放!$D$42:$D$62,卡牌属性!R654))*INDEX($G$5:$G$42,L654)/SQRT(INDEX($I$5:$I$42,L654)),2)</f>
        <v>555.74</v>
      </c>
      <c r="AA654" s="29" t="s">
        <v>178</v>
      </c>
      <c r="AB654" s="14">
        <f>ROUND(IF(Q654=1,INDEX(新属性投放!$E$14:$E$34,卡牌属性!R654),INDEX(新属性投放!$E$42:$E$62,卡牌属性!R654))*INDEX($G$5:$G$42,L654),2)</f>
        <v>277.87</v>
      </c>
      <c r="AC654" s="29" t="s">
        <v>179</v>
      </c>
      <c r="AD654" s="14">
        <f>ROUND(IF(Q654=1,INDEX(新属性投放!$F$14:$F$34,卡牌属性!R654),INDEX(新属性投放!$F$42:$F$62,卡牌属性!R654))*INDEX($G$5:$G$42,L654)*SQRT(INDEX($I$5:$I$42,L654)),2)</f>
        <v>2500</v>
      </c>
      <c r="AF654" s="14">
        <f t="shared" si="283"/>
        <v>5557</v>
      </c>
      <c r="AG654" s="14">
        <f t="shared" si="284"/>
        <v>2778</v>
      </c>
      <c r="AH654" s="14">
        <f t="shared" si="285"/>
        <v>25000</v>
      </c>
      <c r="AJ654" s="14">
        <f t="shared" si="274"/>
        <v>37966</v>
      </c>
      <c r="AK654" s="14">
        <f t="shared" si="275"/>
        <v>18979</v>
      </c>
      <c r="AL654" s="14">
        <f t="shared" si="276"/>
        <v>170790</v>
      </c>
    </row>
    <row r="655" spans="11:38" ht="16.5" x14ac:dyDescent="0.2">
      <c r="K655" s="13">
        <v>652</v>
      </c>
      <c r="L655" s="13">
        <f t="shared" si="277"/>
        <v>32</v>
      </c>
      <c r="M655" s="13">
        <f t="shared" si="278"/>
        <v>5</v>
      </c>
      <c r="N655" s="14">
        <f t="shared" si="279"/>
        <v>1102016</v>
      </c>
      <c r="O655" s="14" t="str">
        <f t="shared" si="280"/>
        <v>西方龙1突</v>
      </c>
      <c r="P655" s="29" t="s">
        <v>470</v>
      </c>
      <c r="Q655" s="14">
        <f t="shared" si="281"/>
        <v>2</v>
      </c>
      <c r="R655" s="14">
        <f t="shared" si="282"/>
        <v>1</v>
      </c>
      <c r="S655" s="14" t="s">
        <v>39</v>
      </c>
      <c r="T655" s="14">
        <f>ROUND(((IF(Q655=1,INDEX(新属性投放!$J$14:$J$34,卡牌属性!R655),INDEX(新属性投放!$J$42:$J$62,卡牌属性!R655)))*INDEX($G$5:$G$42,L655)+IF(Q655=1,INDEX(新属性投放!R$20:R$23,卡牌属性!M655-1),INDEX(新属性投放!R$25:R$28,卡牌属性!M655-1)))/SQRT(INDEX($I$5:$I$42,L655)),2)</f>
        <v>975</v>
      </c>
      <c r="U655" s="29" t="s">
        <v>178</v>
      </c>
      <c r="V655" s="14">
        <f>ROUND((IF(Q655=1,INDEX(新属性投放!$K$14:$K$34,卡牌属性!R655),INDEX(新属性投放!$K$42:$K$62,卡牌属性!R655))+IF(Q655=1,INDEX(新属性投放!S$20:S$23,卡牌属性!M655-1),INDEX(新属性投放!S$25:S$28,卡牌属性!M655-1)))*INDEX($G$5:$G$42,L655),2)</f>
        <v>150</v>
      </c>
      <c r="W655" s="29" t="s">
        <v>179</v>
      </c>
      <c r="X655" s="14">
        <f>ROUND((IF(Q655=1,INDEX(新属性投放!$L$14:$L$34,卡牌属性!R655),INDEX(新属性投放!$L$42:$L$62,卡牌属性!R655))*INDEX($G$5:$G$42,L655)+IF(Q655=1,INDEX(新属性投放!T$20:T$23,卡牌属性!M655-1),INDEX(新属性投放!T$25:T$28,卡牌属性!M655-1)))*SQRT(INDEX($I$5:$I$42,L655)),2)</f>
        <v>3625</v>
      </c>
      <c r="Y655" s="29" t="s">
        <v>177</v>
      </c>
      <c r="Z655" s="14">
        <f>ROUND(IF(Q655=1,INDEX(新属性投放!$D$14:$D$34,卡牌属性!R655),INDEX(新属性投放!$D$42:$D$62,卡牌属性!R655))*INDEX($G$5:$G$42,L655)/SQRT(INDEX($I$5:$I$42,L655)),2)</f>
        <v>22.5</v>
      </c>
      <c r="AA655" s="29" t="s">
        <v>178</v>
      </c>
      <c r="AB655" s="14">
        <f>ROUND(IF(Q655=1,INDEX(新属性投放!$E$14:$E$34,卡牌属性!R655),INDEX(新属性投放!$E$42:$E$62,卡牌属性!R655))*INDEX($G$5:$G$42,L655),2)</f>
        <v>11.25</v>
      </c>
      <c r="AC655" s="29" t="s">
        <v>179</v>
      </c>
      <c r="AD655" s="14">
        <f>ROUND(IF(Q655=1,INDEX(新属性投放!$F$14:$F$34,卡牌属性!R655),INDEX(新属性投放!$F$42:$F$62,卡牌属性!R655))*INDEX($G$5:$G$42,L655)*SQRT(INDEX($I$5:$I$42,L655)),2)</f>
        <v>100.5</v>
      </c>
      <c r="AF655" s="14">
        <f t="shared" si="283"/>
        <v>225</v>
      </c>
      <c r="AG655" s="14">
        <f t="shared" si="284"/>
        <v>112</v>
      </c>
      <c r="AH655" s="14">
        <f t="shared" si="285"/>
        <v>1005</v>
      </c>
      <c r="AJ655" s="14">
        <f t="shared" ref="AJ655" si="286">AF655</f>
        <v>225</v>
      </c>
      <c r="AK655" s="14">
        <f t="shared" ref="AK655" si="287">AG655</f>
        <v>112</v>
      </c>
      <c r="AL655" s="14">
        <f t="shared" ref="AL655" si="288">AH655</f>
        <v>1005</v>
      </c>
    </row>
    <row r="656" spans="11:38" ht="16.5" x14ac:dyDescent="0.2">
      <c r="K656" s="13">
        <v>653</v>
      </c>
      <c r="L656" s="13">
        <f t="shared" si="277"/>
        <v>32</v>
      </c>
      <c r="M656" s="13">
        <f t="shared" si="278"/>
        <v>5</v>
      </c>
      <c r="N656" s="14">
        <f t="shared" si="279"/>
        <v>1102016</v>
      </c>
      <c r="O656" s="14" t="str">
        <f t="shared" si="280"/>
        <v>西方龙2突</v>
      </c>
      <c r="P656" s="29" t="s">
        <v>470</v>
      </c>
      <c r="Q656" s="14">
        <f t="shared" si="281"/>
        <v>2</v>
      </c>
      <c r="R656" s="14">
        <f t="shared" si="282"/>
        <v>2</v>
      </c>
      <c r="S656" s="14" t="s">
        <v>39</v>
      </c>
      <c r="T656" s="14">
        <f>ROUND(((IF(Q656=1,INDEX(新属性投放!$J$14:$J$34,卡牌属性!R656),INDEX(新属性投放!$J$42:$J$62,卡牌属性!R656)))*INDEX($G$5:$G$42,L656)+IF(Q656=1,INDEX(新属性投放!R$20:R$23,卡牌属性!M656-1),INDEX(新属性投放!R$25:R$28,卡牌属性!M656-1)))/SQRT(INDEX($I$5:$I$42,L656)),2)</f>
        <v>1215</v>
      </c>
      <c r="U656" s="29" t="s">
        <v>178</v>
      </c>
      <c r="V656" s="14">
        <f>ROUND((IF(Q656=1,INDEX(新属性投放!$K$14:$K$34,卡牌属性!R656),INDEX(新属性投放!$K$42:$K$62,卡牌属性!R656))+IF(Q656=1,INDEX(新属性投放!S$20:S$23,卡牌属性!M656-1),INDEX(新属性投放!S$25:S$28,卡牌属性!M656-1)))*INDEX($G$5:$G$42,L656),2)</f>
        <v>266.25</v>
      </c>
      <c r="W656" s="29" t="s">
        <v>179</v>
      </c>
      <c r="X656" s="14">
        <f>ROUND((IF(Q656=1,INDEX(新属性投放!$L$14:$L$34,卡牌属性!R656),INDEX(新属性投放!$L$42:$L$62,卡牌属性!R656))*INDEX($G$5:$G$42,L656)+IF(Q656=1,INDEX(新属性投放!T$20:T$23,卡牌属性!M656-1),INDEX(新属性投放!T$25:T$28,卡牌属性!M656-1)))*SQRT(INDEX($I$5:$I$42,L656)),2)</f>
        <v>4867</v>
      </c>
      <c r="Y656" s="29" t="s">
        <v>177</v>
      </c>
      <c r="Z656" s="14">
        <f>ROUND(IF(Q656=1,INDEX(新属性投放!$D$14:$D$34,卡牌属性!R656),INDEX(新属性投放!$D$42:$D$62,卡牌属性!R656))*INDEX($G$5:$G$42,L656)/SQRT(INDEX($I$5:$I$42,L656)),2)</f>
        <v>20.66</v>
      </c>
      <c r="AA656" s="29" t="s">
        <v>178</v>
      </c>
      <c r="AB656" s="14">
        <f>ROUND(IF(Q656=1,INDEX(新属性投放!$E$14:$E$34,卡牌属性!R656),INDEX(新属性投放!$E$42:$E$62,卡牌属性!R656))*INDEX($G$5:$G$42,L656),2)</f>
        <v>10.33</v>
      </c>
      <c r="AC656" s="29" t="s">
        <v>179</v>
      </c>
      <c r="AD656" s="14">
        <f>ROUND(IF(Q656=1,INDEX(新属性投放!$F$14:$F$34,卡牌属性!R656),INDEX(新属性投放!$F$42:$F$62,卡牌属性!R656))*INDEX($G$5:$G$42,L656)*SQRT(INDEX($I$5:$I$42,L656)),2)</f>
        <v>91.5</v>
      </c>
      <c r="AF656" s="14">
        <f t="shared" si="283"/>
        <v>206</v>
      </c>
      <c r="AG656" s="14">
        <f t="shared" si="284"/>
        <v>103</v>
      </c>
      <c r="AH656" s="14">
        <f t="shared" si="285"/>
        <v>915</v>
      </c>
      <c r="AJ656" s="14">
        <f t="shared" ref="AJ656:AJ675" si="289">AJ655+AF656</f>
        <v>431</v>
      </c>
      <c r="AK656" s="14">
        <f t="shared" ref="AK656:AK675" si="290">AK655+AG656</f>
        <v>215</v>
      </c>
      <c r="AL656" s="14">
        <f t="shared" ref="AL656:AL675" si="291">AL655+AH656</f>
        <v>1920</v>
      </c>
    </row>
    <row r="657" spans="11:38" ht="16.5" x14ac:dyDescent="0.2">
      <c r="K657" s="13">
        <v>654</v>
      </c>
      <c r="L657" s="13">
        <f t="shared" si="277"/>
        <v>32</v>
      </c>
      <c r="M657" s="13">
        <f t="shared" si="278"/>
        <v>5</v>
      </c>
      <c r="N657" s="14">
        <f t="shared" si="279"/>
        <v>1102016</v>
      </c>
      <c r="O657" s="14" t="str">
        <f t="shared" si="280"/>
        <v>西方龙3突</v>
      </c>
      <c r="P657" s="29" t="s">
        <v>470</v>
      </c>
      <c r="Q657" s="14">
        <f t="shared" si="281"/>
        <v>2</v>
      </c>
      <c r="R657" s="14">
        <f t="shared" si="282"/>
        <v>3</v>
      </c>
      <c r="S657" s="14" t="s">
        <v>39</v>
      </c>
      <c r="T657" s="14">
        <f>ROUND(((IF(Q657=1,INDEX(新属性投放!$J$14:$J$34,卡牌属性!R657),INDEX(新属性投放!$J$42:$J$62,卡牌属性!R657)))*INDEX($G$5:$G$42,L657)+IF(Q657=1,INDEX(新属性投放!R$20:R$23,卡牌属性!M657-1),INDEX(新属性投放!R$25:R$28,卡牌属性!M657-1)))/SQRT(INDEX($I$5:$I$42,L657)),2)</f>
        <v>1472.55</v>
      </c>
      <c r="U657" s="29" t="s">
        <v>178</v>
      </c>
      <c r="V657" s="14">
        <f>ROUND((IF(Q657=1,INDEX(新属性投放!$K$14:$K$34,卡牌属性!R657),INDEX(新属性投放!$K$42:$K$62,卡牌属性!R657))+IF(Q657=1,INDEX(新属性投放!S$20:S$23,卡牌属性!M657-1),INDEX(新属性投放!S$25:S$28,卡牌属性!M657-1)))*INDEX($G$5:$G$42,L657),2)</f>
        <v>395.03</v>
      </c>
      <c r="W657" s="29" t="s">
        <v>179</v>
      </c>
      <c r="X657" s="14">
        <f>ROUND((IF(Q657=1,INDEX(新属性投放!$L$14:$L$34,卡牌属性!R657),INDEX(新属性投放!$L$42:$L$62,卡牌属性!R657))*INDEX($G$5:$G$42,L657)+IF(Q657=1,INDEX(新属性投放!T$20:T$23,卡牌属性!M657-1),INDEX(新属性投放!T$25:T$28,卡牌属性!M657-1)))*SQRT(INDEX($I$5:$I$42,L657)),2)</f>
        <v>6241</v>
      </c>
      <c r="Y657" s="29" t="s">
        <v>177</v>
      </c>
      <c r="Z657" s="14">
        <f>ROUND(IF(Q657=1,INDEX(新属性投放!$D$14:$D$34,卡牌属性!R657),INDEX(新属性投放!$D$42:$D$62,卡牌属性!R657))*INDEX($G$5:$G$42,L657)/SQRT(INDEX($I$5:$I$42,L657)),2)</f>
        <v>37.76</v>
      </c>
      <c r="AA657" s="29" t="s">
        <v>178</v>
      </c>
      <c r="AB657" s="14">
        <f>ROUND(IF(Q657=1,INDEX(新属性投放!$E$14:$E$34,卡牌属性!R657),INDEX(新属性投放!$E$42:$E$62,卡牌属性!R657))*INDEX($G$5:$G$42,L657),2)</f>
        <v>18.88</v>
      </c>
      <c r="AC657" s="29" t="s">
        <v>179</v>
      </c>
      <c r="AD657" s="14">
        <f>ROUND(IF(Q657=1,INDEX(新属性投放!$F$14:$F$34,卡牌属性!R657),INDEX(新属性投放!$F$42:$F$62,卡牌属性!R657))*INDEX($G$5:$G$42,L657)*SQRT(INDEX($I$5:$I$42,L657)),2)</f>
        <v>169.5</v>
      </c>
      <c r="AF657" s="14">
        <f t="shared" si="283"/>
        <v>377</v>
      </c>
      <c r="AG657" s="14">
        <f t="shared" si="284"/>
        <v>188</v>
      </c>
      <c r="AH657" s="14">
        <f t="shared" si="285"/>
        <v>1695</v>
      </c>
      <c r="AJ657" s="14">
        <f t="shared" si="289"/>
        <v>808</v>
      </c>
      <c r="AK657" s="14">
        <f t="shared" si="290"/>
        <v>403</v>
      </c>
      <c r="AL657" s="14">
        <f t="shared" si="291"/>
        <v>3615</v>
      </c>
    </row>
    <row r="658" spans="11:38" ht="16.5" x14ac:dyDescent="0.2">
      <c r="K658" s="13">
        <v>655</v>
      </c>
      <c r="L658" s="13">
        <f t="shared" si="277"/>
        <v>32</v>
      </c>
      <c r="M658" s="13">
        <f t="shared" si="278"/>
        <v>5</v>
      </c>
      <c r="N658" s="14">
        <f t="shared" si="279"/>
        <v>1102016</v>
      </c>
      <c r="O658" s="14" t="str">
        <f t="shared" si="280"/>
        <v>西方龙4突</v>
      </c>
      <c r="P658" s="29" t="s">
        <v>470</v>
      </c>
      <c r="Q658" s="14">
        <f t="shared" si="281"/>
        <v>2</v>
      </c>
      <c r="R658" s="14">
        <f t="shared" si="282"/>
        <v>4</v>
      </c>
      <c r="S658" s="14" t="s">
        <v>39</v>
      </c>
      <c r="T658" s="14">
        <f>ROUND(((IF(Q658=1,INDEX(新属性投放!$J$14:$J$34,卡牌属性!R658),INDEX(新属性投放!$J$42:$J$62,卡牌属性!R658)))*INDEX($G$5:$G$42,L658)+IF(Q658=1,INDEX(新属性投放!R$20:R$23,卡牌属性!M658-1),INDEX(新属性投放!R$25:R$28,卡牌属性!M658-1)))/SQRT(INDEX($I$5:$I$42,L658)),2)</f>
        <v>1944.6</v>
      </c>
      <c r="U658" s="29" t="s">
        <v>178</v>
      </c>
      <c r="V658" s="14">
        <f>ROUND((IF(Q658=1,INDEX(新属性投放!$K$14:$K$34,卡牌属性!R658),INDEX(新属性投放!$K$42:$K$62,卡牌属性!R658))+IF(Q658=1,INDEX(新属性投放!S$20:S$23,卡牌属性!M658-1),INDEX(新属性投放!S$25:S$28,卡牌属性!M658-1)))*INDEX($G$5:$G$42,L658),2)</f>
        <v>630.29999999999995</v>
      </c>
      <c r="W658" s="29" t="s">
        <v>179</v>
      </c>
      <c r="X658" s="14">
        <f>ROUND((IF(Q658=1,INDEX(新属性投放!$L$14:$L$34,卡牌属性!R658),INDEX(新属性投放!$L$42:$L$62,卡牌属性!R658))*INDEX($G$5:$G$42,L658)+IF(Q658=1,INDEX(新属性投放!T$20:T$23,卡牌属性!M658-1),INDEX(新属性投放!T$25:T$28,卡牌属性!M658-1)))*SQRT(INDEX($I$5:$I$42,L658)),2)</f>
        <v>8786.5</v>
      </c>
      <c r="Y658" s="29" t="s">
        <v>177</v>
      </c>
      <c r="Z658" s="14">
        <f>ROUND(IF(Q658=1,INDEX(新属性投放!$D$14:$D$34,卡牌属性!R658),INDEX(新属性投放!$D$42:$D$62,卡牌属性!R658))*INDEX($G$5:$G$42,L658)/SQRT(INDEX($I$5:$I$42,L658)),2)</f>
        <v>45.2</v>
      </c>
      <c r="AA658" s="29" t="s">
        <v>178</v>
      </c>
      <c r="AB658" s="14">
        <f>ROUND(IF(Q658=1,INDEX(新属性投放!$E$14:$E$34,卡牌属性!R658),INDEX(新属性投放!$E$42:$E$62,卡牌属性!R658))*INDEX($G$5:$G$42,L658),2)</f>
        <v>22.6</v>
      </c>
      <c r="AC658" s="29" t="s">
        <v>179</v>
      </c>
      <c r="AD658" s="14">
        <f>ROUND(IF(Q658=1,INDEX(新属性投放!$F$14:$F$34,卡牌属性!R658),INDEX(新属性投放!$F$42:$F$62,卡牌属性!R658))*INDEX($G$5:$G$42,L658)*SQRT(INDEX($I$5:$I$42,L658)),2)</f>
        <v>202.5</v>
      </c>
      <c r="AF658" s="14">
        <f t="shared" si="283"/>
        <v>452</v>
      </c>
      <c r="AG658" s="14">
        <f t="shared" si="284"/>
        <v>226</v>
      </c>
      <c r="AH658" s="14">
        <f t="shared" si="285"/>
        <v>2025</v>
      </c>
      <c r="AJ658" s="14">
        <f t="shared" si="289"/>
        <v>1260</v>
      </c>
      <c r="AK658" s="14">
        <f t="shared" si="290"/>
        <v>629</v>
      </c>
      <c r="AL658" s="14">
        <f t="shared" si="291"/>
        <v>5640</v>
      </c>
    </row>
    <row r="659" spans="11:38" ht="16.5" x14ac:dyDescent="0.2">
      <c r="K659" s="13">
        <v>656</v>
      </c>
      <c r="L659" s="13">
        <f t="shared" si="277"/>
        <v>32</v>
      </c>
      <c r="M659" s="13">
        <f t="shared" si="278"/>
        <v>5</v>
      </c>
      <c r="N659" s="14">
        <f t="shared" si="279"/>
        <v>1102016</v>
      </c>
      <c r="O659" s="14" t="str">
        <f t="shared" si="280"/>
        <v>西方龙5突</v>
      </c>
      <c r="P659" s="29" t="s">
        <v>470</v>
      </c>
      <c r="Q659" s="14">
        <f t="shared" si="281"/>
        <v>2</v>
      </c>
      <c r="R659" s="14">
        <f t="shared" si="282"/>
        <v>5</v>
      </c>
      <c r="S659" s="14" t="s">
        <v>39</v>
      </c>
      <c r="T659" s="14">
        <f>ROUND(((IF(Q659=1,INDEX(新属性投放!$J$14:$J$34,卡牌属性!R659),INDEX(新属性投放!$J$42:$J$62,卡牌属性!R659)))*INDEX($G$5:$G$42,L659)+IF(Q659=1,INDEX(新属性投放!R$20:R$23,卡牌属性!M659-1),INDEX(新属性投放!R$25:R$28,卡牌属性!M659-1)))/SQRT(INDEX($I$5:$I$42,L659)),2)</f>
        <v>2509.0500000000002</v>
      </c>
      <c r="U659" s="29" t="s">
        <v>178</v>
      </c>
      <c r="V659" s="14">
        <f>ROUND((IF(Q659=1,INDEX(新属性投放!$K$14:$K$34,卡牌属性!R659),INDEX(新属性投放!$K$42:$K$62,卡牌属性!R659))+IF(Q659=1,INDEX(新属性投放!S$20:S$23,卡牌属性!M659-1),INDEX(新属性投放!S$25:S$28,卡牌属性!M659-1)))*INDEX($G$5:$G$42,L659),2)</f>
        <v>913.28</v>
      </c>
      <c r="W659" s="29" t="s">
        <v>179</v>
      </c>
      <c r="X659" s="14">
        <f>ROUND((IF(Q659=1,INDEX(新属性投放!$L$14:$L$34,卡牌属性!R659),INDEX(新属性投放!$L$42:$L$62,卡牌属性!R659))*INDEX($G$5:$G$42,L659)+IF(Q659=1,INDEX(新属性投放!T$20:T$23,卡牌属性!M659-1),INDEX(新属性投放!T$25:T$28,卡牌属性!M659-1)))*SQRT(INDEX($I$5:$I$42,L659)),2)</f>
        <v>11824</v>
      </c>
      <c r="Y659" s="29" t="s">
        <v>177</v>
      </c>
      <c r="Z659" s="14">
        <f>ROUND(IF(Q659=1,INDEX(新属性投放!$D$14:$D$34,卡牌属性!R659),INDEX(新属性投放!$D$42:$D$62,卡牌属性!R659))*INDEX($G$5:$G$42,L659)/SQRT(INDEX($I$5:$I$42,L659)),2)</f>
        <v>56.49</v>
      </c>
      <c r="AA659" s="29" t="s">
        <v>178</v>
      </c>
      <c r="AB659" s="14">
        <f>ROUND(IF(Q659=1,INDEX(新属性投放!$E$14:$E$34,卡牌属性!R659),INDEX(新属性投放!$E$42:$E$62,卡牌属性!R659))*INDEX($G$5:$G$42,L659),2)</f>
        <v>28.25</v>
      </c>
      <c r="AC659" s="29" t="s">
        <v>179</v>
      </c>
      <c r="AD659" s="14">
        <f>ROUND(IF(Q659=1,INDEX(新属性投放!$F$14:$F$34,卡牌属性!R659),INDEX(新属性投放!$F$42:$F$62,卡牌属性!R659))*INDEX($G$5:$G$42,L659)*SQRT(INDEX($I$5:$I$42,L659)),2)</f>
        <v>253.5</v>
      </c>
      <c r="AF659" s="14">
        <f t="shared" si="283"/>
        <v>564</v>
      </c>
      <c r="AG659" s="14">
        <f t="shared" si="284"/>
        <v>282</v>
      </c>
      <c r="AH659" s="14">
        <f t="shared" si="285"/>
        <v>2535</v>
      </c>
      <c r="AJ659" s="14">
        <f t="shared" si="289"/>
        <v>1824</v>
      </c>
      <c r="AK659" s="14">
        <f t="shared" si="290"/>
        <v>911</v>
      </c>
      <c r="AL659" s="14">
        <f t="shared" si="291"/>
        <v>8175</v>
      </c>
    </row>
    <row r="660" spans="11:38" ht="16.5" x14ac:dyDescent="0.2">
      <c r="K660" s="13">
        <v>657</v>
      </c>
      <c r="L660" s="13">
        <f t="shared" si="277"/>
        <v>32</v>
      </c>
      <c r="M660" s="13">
        <f t="shared" si="278"/>
        <v>5</v>
      </c>
      <c r="N660" s="14">
        <f t="shared" si="279"/>
        <v>1102016</v>
      </c>
      <c r="O660" s="14" t="str">
        <f t="shared" si="280"/>
        <v>西方龙6突</v>
      </c>
      <c r="P660" s="29" t="s">
        <v>470</v>
      </c>
      <c r="Q660" s="14">
        <f t="shared" si="281"/>
        <v>2</v>
      </c>
      <c r="R660" s="14">
        <f t="shared" si="282"/>
        <v>6</v>
      </c>
      <c r="S660" s="14" t="s">
        <v>39</v>
      </c>
      <c r="T660" s="14">
        <f>ROUND(((IF(Q660=1,INDEX(新属性投放!$J$14:$J$34,卡牌属性!R660),INDEX(新属性投放!$J$42:$J$62,卡牌属性!R660)))*INDEX($G$5:$G$42,L660)+IF(Q660=1,INDEX(新属性投放!R$20:R$23,卡牌属性!M660-1),INDEX(新属性投放!R$25:R$28,卡牌属性!M660-1)))/SQRT(INDEX($I$5:$I$42,L660)),2)</f>
        <v>3214.95</v>
      </c>
      <c r="U660" s="29" t="s">
        <v>178</v>
      </c>
      <c r="V660" s="14">
        <f>ROUND((IF(Q660=1,INDEX(新属性投放!$K$14:$K$34,卡牌属性!R660),INDEX(新属性投放!$K$42:$K$62,卡牌属性!R660))+IF(Q660=1,INDEX(新属性投放!S$20:S$23,卡牌属性!M660-1),INDEX(新属性投放!S$25:S$28,卡牌属性!M660-1)))*INDEX($G$5:$G$42,L660),2)</f>
        <v>1266.23</v>
      </c>
      <c r="W660" s="29" t="s">
        <v>179</v>
      </c>
      <c r="X660" s="14">
        <f>ROUND((IF(Q660=1,INDEX(新属性投放!$L$14:$L$34,卡牌属性!R660),INDEX(新属性投放!$L$42:$L$62,卡牌属性!R660))*INDEX($G$5:$G$42,L660)+IF(Q660=1,INDEX(新属性投放!T$20:T$23,卡牌属性!M660-1),INDEX(新属性投放!T$25:T$28,卡牌属性!M660-1)))*SQRT(INDEX($I$5:$I$42,L660)),2)</f>
        <v>15628</v>
      </c>
      <c r="Y660" s="29" t="s">
        <v>177</v>
      </c>
      <c r="Z660" s="14">
        <f>ROUND(IF(Q660=1,INDEX(新属性投放!$D$14:$D$34,卡牌属性!R660),INDEX(新属性投放!$D$42:$D$62,卡牌属性!R660))*INDEX($G$5:$G$42,L660)/SQRT(INDEX($I$5:$I$42,L660)),2)</f>
        <v>73.28</v>
      </c>
      <c r="AA660" s="29" t="s">
        <v>178</v>
      </c>
      <c r="AB660" s="14">
        <f>ROUND(IF(Q660=1,INDEX(新属性投放!$E$14:$E$34,卡牌属性!R660),INDEX(新属性投放!$E$42:$E$62,卡牌属性!R660))*INDEX($G$5:$G$42,L660),2)</f>
        <v>36.64</v>
      </c>
      <c r="AC660" s="29" t="s">
        <v>179</v>
      </c>
      <c r="AD660" s="14">
        <f>ROUND(IF(Q660=1,INDEX(新属性投放!$F$14:$F$34,卡牌属性!R660),INDEX(新属性投放!$F$42:$F$62,卡牌属性!R660))*INDEX($G$5:$G$42,L660)*SQRT(INDEX($I$5:$I$42,L660)),2)</f>
        <v>328.5</v>
      </c>
      <c r="AF660" s="14">
        <f t="shared" si="283"/>
        <v>732</v>
      </c>
      <c r="AG660" s="14">
        <f t="shared" si="284"/>
        <v>366</v>
      </c>
      <c r="AH660" s="14">
        <f t="shared" si="285"/>
        <v>3285</v>
      </c>
      <c r="AJ660" s="14">
        <f t="shared" si="289"/>
        <v>2556</v>
      </c>
      <c r="AK660" s="14">
        <f t="shared" si="290"/>
        <v>1277</v>
      </c>
      <c r="AL660" s="14">
        <f t="shared" si="291"/>
        <v>11460</v>
      </c>
    </row>
    <row r="661" spans="11:38" ht="16.5" x14ac:dyDescent="0.2">
      <c r="K661" s="13">
        <v>658</v>
      </c>
      <c r="L661" s="13">
        <f t="shared" si="277"/>
        <v>32</v>
      </c>
      <c r="M661" s="13">
        <f t="shared" si="278"/>
        <v>5</v>
      </c>
      <c r="N661" s="14">
        <f t="shared" si="279"/>
        <v>1102016</v>
      </c>
      <c r="O661" s="14" t="str">
        <f t="shared" si="280"/>
        <v>西方龙7突</v>
      </c>
      <c r="P661" s="29" t="s">
        <v>470</v>
      </c>
      <c r="Q661" s="14">
        <f t="shared" si="281"/>
        <v>2</v>
      </c>
      <c r="R661" s="14">
        <f t="shared" si="282"/>
        <v>7</v>
      </c>
      <c r="S661" s="14" t="s">
        <v>39</v>
      </c>
      <c r="T661" s="14">
        <f>ROUND(((IF(Q661=1,INDEX(新属性投放!$J$14:$J$34,卡牌属性!R661),INDEX(新属性投放!$J$42:$J$62,卡牌属性!R661)))*INDEX($G$5:$G$42,L661)+IF(Q661=1,INDEX(新属性投放!R$20:R$23,卡牌属性!M661-1),INDEX(新属性投放!R$25:R$28,卡牌属性!M661-1)))/SQRT(INDEX($I$5:$I$42,L661)),2)</f>
        <v>4130.7</v>
      </c>
      <c r="U661" s="29" t="s">
        <v>178</v>
      </c>
      <c r="V661" s="14">
        <f>ROUND((IF(Q661=1,INDEX(新属性投放!$K$14:$K$34,卡牌属性!R661),INDEX(新属性投放!$K$42:$K$62,卡牌属性!R661))+IF(Q661=1,INDEX(新属性投放!S$20:S$23,卡牌属性!M661-1),INDEX(新属性投放!S$25:S$28,卡牌属性!M661-1)))*INDEX($G$5:$G$42,L661),2)</f>
        <v>1724.1</v>
      </c>
      <c r="W661" s="29" t="s">
        <v>179</v>
      </c>
      <c r="X661" s="14">
        <f>ROUND((IF(Q661=1,INDEX(新属性投放!$L$14:$L$34,卡牌属性!R661),INDEX(新属性投放!$L$42:$L$62,卡牌属性!R661))*INDEX($G$5:$G$42,L661)+IF(Q661=1,INDEX(新属性投放!T$20:T$23,卡牌属性!M661-1),INDEX(新属性投放!T$25:T$28,卡牌属性!M661-1)))*SQRT(INDEX($I$5:$I$42,L661)),2)</f>
        <v>20560</v>
      </c>
      <c r="Y661" s="29" t="s">
        <v>177</v>
      </c>
      <c r="Z661" s="14">
        <f>ROUND(IF(Q661=1,INDEX(新属性投放!$D$14:$D$34,卡牌属性!R661),INDEX(新属性投放!$D$42:$D$62,卡牌属性!R661))*INDEX($G$5:$G$42,L661)/SQRT(INDEX($I$5:$I$42,L661)),2)</f>
        <v>90.29</v>
      </c>
      <c r="AA661" s="29" t="s">
        <v>178</v>
      </c>
      <c r="AB661" s="14">
        <f>ROUND(IF(Q661=1,INDEX(新属性投放!$E$14:$E$34,卡牌属性!R661),INDEX(新属性投放!$E$42:$E$62,卡牌属性!R661))*INDEX($G$5:$G$42,L661),2)</f>
        <v>45.14</v>
      </c>
      <c r="AC661" s="29" t="s">
        <v>179</v>
      </c>
      <c r="AD661" s="14">
        <f>ROUND(IF(Q661=1,INDEX(新属性投放!$F$14:$F$34,卡牌属性!R661),INDEX(新属性投放!$F$42:$F$62,卡牌属性!R661))*INDEX($G$5:$G$42,L661)*SQRT(INDEX($I$5:$I$42,L661)),2)</f>
        <v>405</v>
      </c>
      <c r="AF661" s="14">
        <f t="shared" si="283"/>
        <v>902</v>
      </c>
      <c r="AG661" s="14">
        <f t="shared" si="284"/>
        <v>451</v>
      </c>
      <c r="AH661" s="14">
        <f t="shared" si="285"/>
        <v>4050</v>
      </c>
      <c r="AJ661" s="14">
        <f t="shared" si="289"/>
        <v>3458</v>
      </c>
      <c r="AK661" s="14">
        <f t="shared" si="290"/>
        <v>1728</v>
      </c>
      <c r="AL661" s="14">
        <f t="shared" si="291"/>
        <v>15510</v>
      </c>
    </row>
    <row r="662" spans="11:38" ht="16.5" x14ac:dyDescent="0.2">
      <c r="K662" s="13">
        <v>659</v>
      </c>
      <c r="L662" s="13">
        <f t="shared" si="277"/>
        <v>32</v>
      </c>
      <c r="M662" s="13">
        <f t="shared" si="278"/>
        <v>5</v>
      </c>
      <c r="N662" s="14">
        <f t="shared" si="279"/>
        <v>1102016</v>
      </c>
      <c r="O662" s="14" t="str">
        <f t="shared" si="280"/>
        <v>西方龙8突</v>
      </c>
      <c r="P662" s="29" t="s">
        <v>470</v>
      </c>
      <c r="Q662" s="14">
        <f t="shared" si="281"/>
        <v>2</v>
      </c>
      <c r="R662" s="14">
        <f t="shared" si="282"/>
        <v>8</v>
      </c>
      <c r="S662" s="14" t="s">
        <v>39</v>
      </c>
      <c r="T662" s="14">
        <f>ROUND(((IF(Q662=1,INDEX(新属性投放!$J$14:$J$34,卡牌属性!R662),INDEX(新属性投放!$J$42:$J$62,卡牌属性!R662)))*INDEX($G$5:$G$42,L662)+IF(Q662=1,INDEX(新属性投放!R$20:R$23,卡牌属性!M662-1),INDEX(新属性投放!R$25:R$28,卡牌属性!M662-1)))/SQRT(INDEX($I$5:$I$42,L662)),2)</f>
        <v>5258.55</v>
      </c>
      <c r="U662" s="29" t="s">
        <v>178</v>
      </c>
      <c r="V662" s="14">
        <f>ROUND((IF(Q662=1,INDEX(新属性投放!$K$14:$K$34,卡牌属性!R662),INDEX(新属性投放!$K$42:$K$62,卡牌属性!R662))+IF(Q662=1,INDEX(新属性投放!S$20:S$23,卡牌属性!M662-1),INDEX(新属性投放!S$25:S$28,卡牌属性!M662-1)))*INDEX($G$5:$G$42,L662),2)</f>
        <v>2288.0300000000002</v>
      </c>
      <c r="W662" s="29" t="s">
        <v>179</v>
      </c>
      <c r="X662" s="14">
        <f>ROUND((IF(Q662=1,INDEX(新属性投放!$L$14:$L$34,卡牌属性!R662),INDEX(新属性投放!$L$42:$L$62,卡牌属性!R662))*INDEX($G$5:$G$42,L662)+IF(Q662=1,INDEX(新属性投放!T$20:T$23,卡牌属性!M662-1),INDEX(新属性投放!T$25:T$28,卡牌属性!M662-1)))*SQRT(INDEX($I$5:$I$42,L662)),2)</f>
        <v>26635</v>
      </c>
      <c r="Y662" s="29" t="s">
        <v>177</v>
      </c>
      <c r="Z662" s="14">
        <f>ROUND(IF(Q662=1,INDEX(新属性投放!$D$14:$D$34,卡牌属性!R662),INDEX(新属性投放!$D$42:$D$62,卡牌属性!R662))*INDEX($G$5:$G$42,L662)/SQRT(INDEX($I$5:$I$42,L662)),2)</f>
        <v>112.79</v>
      </c>
      <c r="AA662" s="29" t="s">
        <v>178</v>
      </c>
      <c r="AB662" s="14">
        <f>ROUND(IF(Q662=1,INDEX(新属性投放!$E$14:$E$34,卡牌属性!R662),INDEX(新属性投放!$E$42:$E$62,卡牌属性!R662))*INDEX($G$5:$G$42,L662),2)</f>
        <v>56.39</v>
      </c>
      <c r="AC662" s="29" t="s">
        <v>179</v>
      </c>
      <c r="AD662" s="14">
        <f>ROUND(IF(Q662=1,INDEX(新属性投放!$F$14:$F$34,卡牌属性!R662),INDEX(新属性投放!$F$42:$F$62,卡牌属性!R662))*INDEX($G$5:$G$42,L662)*SQRT(INDEX($I$5:$I$42,L662)),2)</f>
        <v>507</v>
      </c>
      <c r="AF662" s="14">
        <f t="shared" si="283"/>
        <v>1127</v>
      </c>
      <c r="AG662" s="14">
        <f t="shared" si="284"/>
        <v>563</v>
      </c>
      <c r="AH662" s="14">
        <f t="shared" si="285"/>
        <v>5070</v>
      </c>
      <c r="AJ662" s="14">
        <f t="shared" si="289"/>
        <v>4585</v>
      </c>
      <c r="AK662" s="14">
        <f t="shared" si="290"/>
        <v>2291</v>
      </c>
      <c r="AL662" s="14">
        <f t="shared" si="291"/>
        <v>20580</v>
      </c>
    </row>
    <row r="663" spans="11:38" ht="16.5" x14ac:dyDescent="0.2">
      <c r="K663" s="13">
        <v>660</v>
      </c>
      <c r="L663" s="13">
        <f t="shared" si="277"/>
        <v>32</v>
      </c>
      <c r="M663" s="13">
        <f t="shared" si="278"/>
        <v>5</v>
      </c>
      <c r="N663" s="14">
        <f t="shared" si="279"/>
        <v>1102016</v>
      </c>
      <c r="O663" s="14" t="str">
        <f t="shared" si="280"/>
        <v>西方龙9突</v>
      </c>
      <c r="P663" s="29" t="s">
        <v>470</v>
      </c>
      <c r="Q663" s="14">
        <f t="shared" si="281"/>
        <v>2</v>
      </c>
      <c r="R663" s="14">
        <f t="shared" si="282"/>
        <v>9</v>
      </c>
      <c r="S663" s="14" t="s">
        <v>39</v>
      </c>
      <c r="T663" s="14">
        <f>ROUND(((IF(Q663=1,INDEX(新属性投放!$J$14:$J$34,卡牌属性!R663),INDEX(新属性投放!$J$42:$J$62,卡牌属性!R663)))*INDEX($G$5:$G$42,L663)+IF(Q663=1,INDEX(新属性投放!R$20:R$23,卡牌属性!M663-1),INDEX(新属性投放!R$25:R$28,卡牌属性!M663-1)))/SQRT(INDEX($I$5:$I$42,L663)),2)</f>
        <v>6668.4</v>
      </c>
      <c r="U663" s="29" t="s">
        <v>178</v>
      </c>
      <c r="V663" s="14">
        <f>ROUND((IF(Q663=1,INDEX(新属性投放!$K$14:$K$34,卡牌属性!R663),INDEX(新属性投放!$K$42:$K$62,卡牌属性!R663))+IF(Q663=1,INDEX(新属性投放!S$20:S$23,卡牌属性!M663-1),INDEX(新属性投放!S$25:S$28,卡牌属性!M663-1)))*INDEX($G$5:$G$42,L663),2)</f>
        <v>2992.95</v>
      </c>
      <c r="W663" s="29" t="s">
        <v>179</v>
      </c>
      <c r="X663" s="14">
        <f>ROUND((IF(Q663=1,INDEX(新属性投放!$L$14:$L$34,卡牌属性!R663),INDEX(新属性投放!$L$42:$L$62,卡牌属性!R663))*INDEX($G$5:$G$42,L663)+IF(Q663=1,INDEX(新属性投放!T$20:T$23,卡牌属性!M663-1),INDEX(新属性投放!T$25:T$28,卡牌属性!M663-1)))*SQRT(INDEX($I$5:$I$42,L663)),2)</f>
        <v>34243</v>
      </c>
      <c r="Y663" s="29" t="s">
        <v>177</v>
      </c>
      <c r="Z663" s="14">
        <f>ROUND(IF(Q663=1,INDEX(新属性投放!$D$14:$D$34,卡牌属性!R663),INDEX(新属性投放!$D$42:$D$62,卡牌属性!R663))*INDEX($G$5:$G$42,L663)/SQRT(INDEX($I$5:$I$42,L663)),2)</f>
        <v>146.69</v>
      </c>
      <c r="AA663" s="29" t="s">
        <v>178</v>
      </c>
      <c r="AB663" s="14">
        <f>ROUND(IF(Q663=1,INDEX(新属性投放!$E$14:$E$34,卡牌属性!R663),INDEX(新属性投放!$E$42:$E$62,卡牌属性!R663))*INDEX($G$5:$G$42,L663),2)</f>
        <v>73.34</v>
      </c>
      <c r="AC663" s="29" t="s">
        <v>179</v>
      </c>
      <c r="AD663" s="14">
        <f>ROUND(IF(Q663=1,INDEX(新属性投放!$F$14:$F$34,卡牌属性!R663),INDEX(新属性投放!$F$42:$F$62,卡牌属性!R663))*INDEX($G$5:$G$42,L663)*SQRT(INDEX($I$5:$I$42,L663)),2)</f>
        <v>660</v>
      </c>
      <c r="AF663" s="14">
        <f t="shared" si="283"/>
        <v>1466</v>
      </c>
      <c r="AG663" s="14">
        <f t="shared" si="284"/>
        <v>733</v>
      </c>
      <c r="AH663" s="14">
        <f t="shared" si="285"/>
        <v>6600</v>
      </c>
      <c r="AJ663" s="14">
        <f t="shared" si="289"/>
        <v>6051</v>
      </c>
      <c r="AK663" s="14">
        <f t="shared" si="290"/>
        <v>3024</v>
      </c>
      <c r="AL663" s="14">
        <f t="shared" si="291"/>
        <v>27180</v>
      </c>
    </row>
    <row r="664" spans="11:38" ht="16.5" x14ac:dyDescent="0.2">
      <c r="K664" s="13">
        <v>661</v>
      </c>
      <c r="L664" s="13">
        <f t="shared" si="277"/>
        <v>32</v>
      </c>
      <c r="M664" s="13">
        <f t="shared" si="278"/>
        <v>5</v>
      </c>
      <c r="N664" s="14">
        <f t="shared" si="279"/>
        <v>1102016</v>
      </c>
      <c r="O664" s="14" t="str">
        <f t="shared" si="280"/>
        <v>西方龙10突</v>
      </c>
      <c r="P664" s="29" t="s">
        <v>470</v>
      </c>
      <c r="Q664" s="14">
        <f t="shared" si="281"/>
        <v>2</v>
      </c>
      <c r="R664" s="14">
        <f t="shared" si="282"/>
        <v>10</v>
      </c>
      <c r="S664" s="14" t="s">
        <v>39</v>
      </c>
      <c r="T664" s="14">
        <f>ROUND(((IF(Q664=1,INDEX(新属性投放!$J$14:$J$34,卡牌属性!R664),INDEX(新属性投放!$J$42:$J$62,卡牌属性!R664)))*INDEX($G$5:$G$42,L664)+IF(Q664=1,INDEX(新属性投放!R$20:R$23,卡牌属性!M664-1),INDEX(新属性投放!R$25:R$28,卡牌属性!M664-1)))/SQRT(INDEX($I$5:$I$42,L664)),2)</f>
        <v>7584.83</v>
      </c>
      <c r="U664" s="29" t="s">
        <v>178</v>
      </c>
      <c r="V664" s="14">
        <f>ROUND((IF(Q664=1,INDEX(新属性投放!$K$14:$K$34,卡牌属性!R664),INDEX(新属性投放!$K$42:$K$62,卡牌属性!R664))+IF(Q664=1,INDEX(新属性投放!S$20:S$23,卡牌属性!M664-1),INDEX(新属性投放!S$25:S$28,卡牌属性!M664-1)))*INDEX($G$5:$G$42,L664),2)</f>
        <v>3451.16</v>
      </c>
      <c r="W664" s="29" t="s">
        <v>179</v>
      </c>
      <c r="X664" s="14">
        <f>ROUND((IF(Q664=1,INDEX(新属性投放!$L$14:$L$34,卡牌属性!R664),INDEX(新属性投放!$L$42:$L$62,卡牌属性!R664))*INDEX($G$5:$G$42,L664)+IF(Q664=1,INDEX(新属性投放!T$20:T$23,卡牌属性!M664-1),INDEX(新属性投放!T$25:T$28,卡牌属性!M664-1)))*SQRT(INDEX($I$5:$I$42,L664)),2)</f>
        <v>39190</v>
      </c>
      <c r="Y664" s="29" t="s">
        <v>177</v>
      </c>
      <c r="Z664" s="14">
        <f>ROUND(IF(Q664=1,INDEX(新属性投放!$D$14:$D$34,卡牌属性!R664),INDEX(新属性投放!$D$42:$D$62,卡牌属性!R664))*INDEX($G$5:$G$42,L664)/SQRT(INDEX($I$5:$I$42,L664)),2)</f>
        <v>169.25</v>
      </c>
      <c r="AA664" s="29" t="s">
        <v>178</v>
      </c>
      <c r="AB664" s="14">
        <f>ROUND(IF(Q664=1,INDEX(新属性投放!$E$14:$E$34,卡牌属性!R664),INDEX(新属性投放!$E$42:$E$62,卡牌属性!R664))*INDEX($G$5:$G$42,L664),2)</f>
        <v>84.62</v>
      </c>
      <c r="AC664" s="29" t="s">
        <v>179</v>
      </c>
      <c r="AD664" s="14">
        <f>ROUND(IF(Q664=1,INDEX(新属性投放!$F$14:$F$34,卡牌属性!R664),INDEX(新属性投放!$F$42:$F$62,卡牌属性!R664))*INDEX($G$5:$G$42,L664)*SQRT(INDEX($I$5:$I$42,L664)),2)</f>
        <v>760.5</v>
      </c>
      <c r="AF664" s="14">
        <f t="shared" si="283"/>
        <v>1692</v>
      </c>
      <c r="AG664" s="14">
        <f t="shared" si="284"/>
        <v>846</v>
      </c>
      <c r="AH664" s="14">
        <f t="shared" si="285"/>
        <v>7605</v>
      </c>
      <c r="AJ664" s="14">
        <f t="shared" si="289"/>
        <v>7743</v>
      </c>
      <c r="AK664" s="14">
        <f t="shared" si="290"/>
        <v>3870</v>
      </c>
      <c r="AL664" s="14">
        <f t="shared" si="291"/>
        <v>34785</v>
      </c>
    </row>
    <row r="665" spans="11:38" ht="16.5" x14ac:dyDescent="0.2">
      <c r="K665" s="13">
        <v>662</v>
      </c>
      <c r="L665" s="13">
        <f t="shared" si="277"/>
        <v>32</v>
      </c>
      <c r="M665" s="13">
        <f t="shared" si="278"/>
        <v>5</v>
      </c>
      <c r="N665" s="14">
        <f t="shared" si="279"/>
        <v>1102016</v>
      </c>
      <c r="O665" s="14" t="str">
        <f t="shared" si="280"/>
        <v>西方龙11突</v>
      </c>
      <c r="P665" s="29" t="s">
        <v>470</v>
      </c>
      <c r="Q665" s="14">
        <f t="shared" si="281"/>
        <v>2</v>
      </c>
      <c r="R665" s="14">
        <f t="shared" si="282"/>
        <v>11</v>
      </c>
      <c r="S665" s="14" t="s">
        <v>39</v>
      </c>
      <c r="T665" s="14">
        <f>ROUND(((IF(Q665=1,INDEX(新属性投放!$J$14:$J$34,卡牌属性!R665),INDEX(新属性投放!$J$42:$J$62,卡牌属性!R665)))*INDEX($G$5:$G$42,L665)+IF(Q665=1,INDEX(新属性投放!R$20:R$23,卡牌属性!M665-1),INDEX(新属性投放!R$25:R$28,卡牌属性!M665-1)))/SQRT(INDEX($I$5:$I$42,L665)),2)</f>
        <v>8642.5499999999993</v>
      </c>
      <c r="U665" s="29" t="s">
        <v>178</v>
      </c>
      <c r="V665" s="14">
        <f>ROUND((IF(Q665=1,INDEX(新属性投放!$K$14:$K$34,卡牌属性!R665),INDEX(新属性投放!$K$42:$K$62,卡牌属性!R665))+IF(Q665=1,INDEX(新属性投放!S$20:S$23,卡牌属性!M665-1),INDEX(新属性投放!S$25:S$28,卡牌属性!M665-1)))*INDEX($G$5:$G$42,L665),2)</f>
        <v>3980.78</v>
      </c>
      <c r="W665" s="29" t="s">
        <v>179</v>
      </c>
      <c r="X665" s="14">
        <f>ROUND((IF(Q665=1,INDEX(新属性投放!$L$14:$L$34,卡牌属性!R665),INDEX(新属性投放!$L$42:$L$62,卡牌属性!R665))*INDEX($G$5:$G$42,L665)+IF(Q665=1,INDEX(新属性投放!T$20:T$23,卡牌属性!M665-1),INDEX(新属性投放!T$25:T$28,卡牌属性!M665-1)))*SQRT(INDEX($I$5:$I$42,L665)),2)</f>
        <v>44896</v>
      </c>
      <c r="Y665" s="29" t="s">
        <v>177</v>
      </c>
      <c r="Z665" s="14">
        <f>ROUND(IF(Q665=1,INDEX(新属性投放!$D$14:$D$34,卡牌属性!R665),INDEX(新属性投放!$D$42:$D$62,卡牌属性!R665))*INDEX($G$5:$G$42,L665)/SQRT(INDEX($I$5:$I$42,L665)),2)</f>
        <v>197.37</v>
      </c>
      <c r="AA665" s="29" t="s">
        <v>178</v>
      </c>
      <c r="AB665" s="14">
        <f>ROUND(IF(Q665=1,INDEX(新属性投放!$E$14:$E$34,卡牌属性!R665),INDEX(新属性投放!$E$42:$E$62,卡牌属性!R665))*INDEX($G$5:$G$42,L665),2)</f>
        <v>98.69</v>
      </c>
      <c r="AC665" s="29" t="s">
        <v>179</v>
      </c>
      <c r="AD665" s="14">
        <f>ROUND(IF(Q665=1,INDEX(新属性投放!$F$14:$F$34,卡牌属性!R665),INDEX(新属性投放!$F$42:$F$62,卡牌属性!R665))*INDEX($G$5:$G$42,L665)*SQRT(INDEX($I$5:$I$42,L665)),2)</f>
        <v>888</v>
      </c>
      <c r="AF665" s="14">
        <f t="shared" si="283"/>
        <v>1973</v>
      </c>
      <c r="AG665" s="14">
        <f t="shared" si="284"/>
        <v>986</v>
      </c>
      <c r="AH665" s="14">
        <f t="shared" si="285"/>
        <v>8880</v>
      </c>
      <c r="AJ665" s="14">
        <f t="shared" si="289"/>
        <v>9716</v>
      </c>
      <c r="AK665" s="14">
        <f t="shared" si="290"/>
        <v>4856</v>
      </c>
      <c r="AL665" s="14">
        <f t="shared" si="291"/>
        <v>43665</v>
      </c>
    </row>
    <row r="666" spans="11:38" ht="16.5" x14ac:dyDescent="0.2">
      <c r="K666" s="13">
        <v>663</v>
      </c>
      <c r="L666" s="13">
        <f t="shared" si="277"/>
        <v>32</v>
      </c>
      <c r="M666" s="13">
        <f t="shared" si="278"/>
        <v>5</v>
      </c>
      <c r="N666" s="14">
        <f t="shared" si="279"/>
        <v>1102016</v>
      </c>
      <c r="O666" s="14" t="str">
        <f t="shared" si="280"/>
        <v>西方龙12突</v>
      </c>
      <c r="P666" s="29" t="s">
        <v>470</v>
      </c>
      <c r="Q666" s="14">
        <f t="shared" si="281"/>
        <v>2</v>
      </c>
      <c r="R666" s="14">
        <f t="shared" si="282"/>
        <v>12</v>
      </c>
      <c r="S666" s="14" t="s">
        <v>39</v>
      </c>
      <c r="T666" s="14">
        <f>ROUND(((IF(Q666=1,INDEX(新属性投放!$J$14:$J$34,卡牌属性!R666),INDEX(新属性投放!$J$42:$J$62,卡牌属性!R666)))*INDEX($G$5:$G$42,L666)+IF(Q666=1,INDEX(新属性投放!R$20:R$23,卡牌属性!M666-1),INDEX(新属性投放!R$25:R$28,卡牌属性!M666-1)))/SQRT(INDEX($I$5:$I$42,L666)),2)</f>
        <v>9875.4</v>
      </c>
      <c r="U666" s="29" t="s">
        <v>178</v>
      </c>
      <c r="V666" s="14">
        <f>ROUND((IF(Q666=1,INDEX(新属性投放!$K$14:$K$34,卡牌属性!R666),INDEX(新属性投放!$K$42:$K$62,卡牌属性!R666))+IF(Q666=1,INDEX(新属性投放!S$20:S$23,卡牌属性!M666-1),INDEX(新属性投放!S$25:S$28,卡牌属性!M666-1)))*INDEX($G$5:$G$42,L666),2)</f>
        <v>4597.2</v>
      </c>
      <c r="W666" s="29" t="s">
        <v>179</v>
      </c>
      <c r="X666" s="14">
        <f>ROUND((IF(Q666=1,INDEX(新属性投放!$L$14:$L$34,卡牌属性!R666),INDEX(新属性投放!$L$42:$L$62,卡牌属性!R666))*INDEX($G$5:$G$42,L666)+IF(Q666=1,INDEX(新属性投放!T$20:T$23,卡牌属性!M666-1),INDEX(新属性投放!T$25:T$28,卡牌属性!M666-1)))*SQRT(INDEX($I$5:$I$42,L666)),2)</f>
        <v>51550</v>
      </c>
      <c r="Y666" s="29" t="s">
        <v>177</v>
      </c>
      <c r="Z666" s="14">
        <f>ROUND(IF(Q666=1,INDEX(新属性投放!$D$14:$D$34,卡牌属性!R666),INDEX(新属性投放!$D$42:$D$62,卡牌属性!R666))*INDEX($G$5:$G$42,L666)/SQRT(INDEX($I$5:$I$42,L666)),2)</f>
        <v>225.71</v>
      </c>
      <c r="AA666" s="29" t="s">
        <v>178</v>
      </c>
      <c r="AB666" s="14">
        <f>ROUND(IF(Q666=1,INDEX(新属性投放!$E$14:$E$34,卡牌属性!R666),INDEX(新属性投放!$E$42:$E$62,卡牌属性!R666))*INDEX($G$5:$G$42,L666),2)</f>
        <v>112.85</v>
      </c>
      <c r="AC666" s="29" t="s">
        <v>179</v>
      </c>
      <c r="AD666" s="14">
        <f>ROUND(IF(Q666=1,INDEX(新属性投放!$F$14:$F$34,卡牌属性!R666),INDEX(新属性投放!$F$42:$F$62,卡牌属性!R666))*INDEX($G$5:$G$42,L666)*SQRT(INDEX($I$5:$I$42,L666)),2)</f>
        <v>1015.5</v>
      </c>
      <c r="AF666" s="14">
        <f t="shared" si="283"/>
        <v>2257</v>
      </c>
      <c r="AG666" s="14">
        <f t="shared" si="284"/>
        <v>1128</v>
      </c>
      <c r="AH666" s="14">
        <f t="shared" si="285"/>
        <v>10155</v>
      </c>
      <c r="AJ666" s="14">
        <f t="shared" si="289"/>
        <v>11973</v>
      </c>
      <c r="AK666" s="14">
        <f t="shared" si="290"/>
        <v>5984</v>
      </c>
      <c r="AL666" s="14">
        <f t="shared" si="291"/>
        <v>53820</v>
      </c>
    </row>
    <row r="667" spans="11:38" ht="16.5" x14ac:dyDescent="0.2">
      <c r="K667" s="13">
        <v>664</v>
      </c>
      <c r="L667" s="13">
        <f t="shared" si="277"/>
        <v>32</v>
      </c>
      <c r="M667" s="13">
        <f t="shared" si="278"/>
        <v>5</v>
      </c>
      <c r="N667" s="14">
        <f t="shared" si="279"/>
        <v>1102016</v>
      </c>
      <c r="O667" s="14" t="str">
        <f t="shared" si="280"/>
        <v>西方龙13突</v>
      </c>
      <c r="P667" s="29" t="s">
        <v>470</v>
      </c>
      <c r="Q667" s="14">
        <f t="shared" si="281"/>
        <v>2</v>
      </c>
      <c r="R667" s="14">
        <f t="shared" si="282"/>
        <v>13</v>
      </c>
      <c r="S667" s="14" t="s">
        <v>39</v>
      </c>
      <c r="T667" s="14">
        <f>ROUND(((IF(Q667=1,INDEX(新属性投放!$J$14:$J$34,卡牌属性!R667),INDEX(新属性投放!$J$42:$J$62,卡牌属性!R667)))*INDEX($G$5:$G$42,L667)+IF(Q667=1,INDEX(新属性投放!R$20:R$23,卡牌属性!M667-1),INDEX(新属性投放!R$25:R$28,卡牌属性!M667-1)))/SQRT(INDEX($I$5:$I$42,L667)),2)</f>
        <v>11285.93</v>
      </c>
      <c r="U667" s="29" t="s">
        <v>178</v>
      </c>
      <c r="V667" s="14">
        <f>ROUND((IF(Q667=1,INDEX(新属性投放!$K$14:$K$34,卡牌属性!R667),INDEX(新属性投放!$K$42:$K$62,卡牌属性!R667))+IF(Q667=1,INDEX(新属性投放!S$20:S$23,卡牌属性!M667-1),INDEX(新属性投放!S$25:S$28,卡牌属性!M667-1)))*INDEX($G$5:$G$42,L667),2)</f>
        <v>5302.46</v>
      </c>
      <c r="W667" s="29" t="s">
        <v>179</v>
      </c>
      <c r="X667" s="14">
        <f>ROUND((IF(Q667=1,INDEX(新属性投放!$L$14:$L$34,卡牌属性!R667),INDEX(新属性投放!$L$42:$L$62,卡牌属性!R667))*INDEX($G$5:$G$42,L667)+IF(Q667=1,INDEX(新属性投放!T$20:T$23,卡牌属性!M667-1),INDEX(新属性投放!T$25:T$28,卡牌属性!M667-1)))*SQRT(INDEX($I$5:$I$42,L667)),2)</f>
        <v>59165.5</v>
      </c>
      <c r="Y667" s="29" t="s">
        <v>177</v>
      </c>
      <c r="Z667" s="14">
        <f>ROUND(IF(Q667=1,INDEX(新属性投放!$D$14:$D$34,卡牌属性!R667),INDEX(新属性投放!$D$42:$D$62,卡牌属性!R667))*INDEX($G$5:$G$42,L667)/SQRT(INDEX($I$5:$I$42,L667)),2)</f>
        <v>260.95999999999998</v>
      </c>
      <c r="AA667" s="29" t="s">
        <v>178</v>
      </c>
      <c r="AB667" s="14">
        <f>ROUND(IF(Q667=1,INDEX(新属性投放!$E$14:$E$34,卡牌属性!R667),INDEX(新属性投放!$E$42:$E$62,卡牌属性!R667))*INDEX($G$5:$G$42,L667),2)</f>
        <v>130.47999999999999</v>
      </c>
      <c r="AC667" s="29" t="s">
        <v>179</v>
      </c>
      <c r="AD667" s="14">
        <f>ROUND(IF(Q667=1,INDEX(新属性投放!$F$14:$F$34,卡牌属性!R667),INDEX(新属性投放!$F$42:$F$62,卡牌属性!R667))*INDEX($G$5:$G$42,L667)*SQRT(INDEX($I$5:$I$42,L667)),2)</f>
        <v>1173</v>
      </c>
      <c r="AF667" s="14">
        <f t="shared" si="283"/>
        <v>2609</v>
      </c>
      <c r="AG667" s="14">
        <f t="shared" si="284"/>
        <v>1304</v>
      </c>
      <c r="AH667" s="14">
        <f t="shared" si="285"/>
        <v>11730</v>
      </c>
      <c r="AJ667" s="14">
        <f t="shared" si="289"/>
        <v>14582</v>
      </c>
      <c r="AK667" s="14">
        <f t="shared" si="290"/>
        <v>7288</v>
      </c>
      <c r="AL667" s="14">
        <f t="shared" si="291"/>
        <v>65550</v>
      </c>
    </row>
    <row r="668" spans="11:38" ht="16.5" x14ac:dyDescent="0.2">
      <c r="K668" s="13">
        <v>665</v>
      </c>
      <c r="L668" s="13">
        <f t="shared" si="277"/>
        <v>32</v>
      </c>
      <c r="M668" s="13">
        <f t="shared" si="278"/>
        <v>5</v>
      </c>
      <c r="N668" s="14">
        <f t="shared" si="279"/>
        <v>1102016</v>
      </c>
      <c r="O668" s="14" t="str">
        <f t="shared" si="280"/>
        <v>西方龙14突</v>
      </c>
      <c r="P668" s="29" t="s">
        <v>470</v>
      </c>
      <c r="Q668" s="14">
        <f t="shared" si="281"/>
        <v>2</v>
      </c>
      <c r="R668" s="14">
        <f t="shared" si="282"/>
        <v>14</v>
      </c>
      <c r="S668" s="14" t="s">
        <v>39</v>
      </c>
      <c r="T668" s="14">
        <f>ROUND(((IF(Q668=1,INDEX(新属性投放!$J$14:$J$34,卡牌属性!R668),INDEX(新属性投放!$J$42:$J$62,卡牌属性!R668)))*INDEX($G$5:$G$42,L668)+IF(Q668=1,INDEX(新属性投放!R$20:R$23,卡牌属性!M668-1),INDEX(新属性投放!R$25:R$28,卡牌属性!M668-1)))/SQRT(INDEX($I$5:$I$42,L668)),2)</f>
        <v>12916.2</v>
      </c>
      <c r="U668" s="29" t="s">
        <v>178</v>
      </c>
      <c r="V668" s="14">
        <f>ROUND((IF(Q668=1,INDEX(新属性投放!$K$14:$K$34,卡牌属性!R668),INDEX(新属性投放!$K$42:$K$62,卡牌属性!R668))+IF(Q668=1,INDEX(新属性投放!S$20:S$23,卡牌属性!M668-1),INDEX(新属性投放!S$25:S$28,卡牌属性!M668-1)))*INDEX($G$5:$G$42,L668),2)</f>
        <v>6118.35</v>
      </c>
      <c r="W668" s="29" t="s">
        <v>179</v>
      </c>
      <c r="X668" s="14">
        <f>ROUND((IF(Q668=1,INDEX(新属性投放!$L$14:$L$34,卡牌属性!R668),INDEX(新属性投放!$L$42:$L$62,卡牌属性!R668))*INDEX($G$5:$G$42,L668)+IF(Q668=1,INDEX(新属性投放!T$20:T$23,卡牌属性!M668-1),INDEX(新属性投放!T$25:T$28,卡牌属性!M668-1)))*SQRT(INDEX($I$5:$I$42,L668)),2)</f>
        <v>67960</v>
      </c>
      <c r="Y668" s="29" t="s">
        <v>177</v>
      </c>
      <c r="Z668" s="14">
        <f>ROUND(IF(Q668=1,INDEX(新属性投放!$D$14:$D$34,卡牌属性!R668),INDEX(新属性投放!$D$42:$D$62,卡牌属性!R668))*INDEX($G$5:$G$42,L668)/SQRT(INDEX($I$5:$I$42,L668)),2)</f>
        <v>301.73</v>
      </c>
      <c r="AA668" s="29" t="s">
        <v>178</v>
      </c>
      <c r="AB668" s="14">
        <f>ROUND(IF(Q668=1,INDEX(新属性投放!$E$14:$E$34,卡牌属性!R668),INDEX(新属性投放!$E$42:$E$62,卡牌属性!R668))*INDEX($G$5:$G$42,L668),2)</f>
        <v>150.86000000000001</v>
      </c>
      <c r="AC668" s="29" t="s">
        <v>179</v>
      </c>
      <c r="AD668" s="14">
        <f>ROUND(IF(Q668=1,INDEX(新属性投放!$F$14:$F$34,卡牌属性!R668),INDEX(新属性投放!$F$42:$F$62,卡牌属性!R668))*INDEX($G$5:$G$42,L668)*SQRT(INDEX($I$5:$I$42,L668)),2)</f>
        <v>1357.5</v>
      </c>
      <c r="AF668" s="14">
        <f t="shared" si="283"/>
        <v>3017</v>
      </c>
      <c r="AG668" s="14">
        <f t="shared" si="284"/>
        <v>1508</v>
      </c>
      <c r="AH668" s="14">
        <f t="shared" si="285"/>
        <v>13575</v>
      </c>
      <c r="AJ668" s="14">
        <f t="shared" si="289"/>
        <v>17599</v>
      </c>
      <c r="AK668" s="14">
        <f t="shared" si="290"/>
        <v>8796</v>
      </c>
      <c r="AL668" s="14">
        <f t="shared" si="291"/>
        <v>79125</v>
      </c>
    </row>
    <row r="669" spans="11:38" ht="16.5" x14ac:dyDescent="0.2">
      <c r="K669" s="13">
        <v>666</v>
      </c>
      <c r="L669" s="13">
        <f t="shared" si="277"/>
        <v>32</v>
      </c>
      <c r="M669" s="13">
        <f t="shared" si="278"/>
        <v>5</v>
      </c>
      <c r="N669" s="14">
        <f t="shared" si="279"/>
        <v>1102016</v>
      </c>
      <c r="O669" s="14" t="str">
        <f t="shared" si="280"/>
        <v>西方龙15突</v>
      </c>
      <c r="P669" s="29" t="s">
        <v>470</v>
      </c>
      <c r="Q669" s="14">
        <f t="shared" si="281"/>
        <v>2</v>
      </c>
      <c r="R669" s="14">
        <f t="shared" si="282"/>
        <v>15</v>
      </c>
      <c r="S669" s="14" t="s">
        <v>39</v>
      </c>
      <c r="T669" s="14">
        <f>ROUND(((IF(Q669=1,INDEX(新属性投放!$J$14:$J$34,卡牌属性!R669),INDEX(新属性投放!$J$42:$J$62,卡牌属性!R669)))*INDEX($G$5:$G$42,L669)+IF(Q669=1,INDEX(新属性投放!R$20:R$23,卡牌属性!M669-1),INDEX(新属性投放!R$25:R$28,卡牌属性!M669-1)))/SQRT(INDEX($I$5:$I$42,L669)),2)</f>
        <v>14801.33</v>
      </c>
      <c r="U669" s="29" t="s">
        <v>178</v>
      </c>
      <c r="V669" s="14">
        <f>ROUND((IF(Q669=1,INDEX(新属性投放!$K$14:$K$34,卡牌属性!R669),INDEX(新属性投放!$K$42:$K$62,卡牌属性!R669))+IF(Q669=1,INDEX(新属性投放!S$20:S$23,卡牌属性!M669-1),INDEX(新属性投放!S$25:S$28,卡牌属性!M669-1)))*INDEX($G$5:$G$42,L669),2)</f>
        <v>7061.66</v>
      </c>
      <c r="W669" s="29" t="s">
        <v>179</v>
      </c>
      <c r="X669" s="14">
        <f>ROUND((IF(Q669=1,INDEX(新属性投放!$L$14:$L$34,卡牌属性!R669),INDEX(新属性投放!$L$42:$L$62,卡牌属性!R669))*INDEX($G$5:$G$42,L669)+IF(Q669=1,INDEX(新属性投放!T$20:T$23,卡牌属性!M669-1),INDEX(新属性投放!T$25:T$28,卡牌属性!M669-1)))*SQRT(INDEX($I$5:$I$42,L669)),2)</f>
        <v>78136</v>
      </c>
      <c r="Y669" s="29" t="s">
        <v>177</v>
      </c>
      <c r="Z669" s="14">
        <f>ROUND(IF(Q669=1,INDEX(新属性投放!$D$14:$D$34,卡牌属性!R669),INDEX(新属性投放!$D$42:$D$62,卡牌属性!R669))*INDEX($G$5:$G$42,L669)/SQRT(INDEX($I$5:$I$42,L669)),2)</f>
        <v>348.84</v>
      </c>
      <c r="AA669" s="29" t="s">
        <v>178</v>
      </c>
      <c r="AB669" s="14">
        <f>ROUND(IF(Q669=1,INDEX(新属性投放!$E$14:$E$34,卡牌属性!R669),INDEX(新属性投放!$E$42:$E$62,卡牌属性!R669))*INDEX($G$5:$G$42,L669),2)</f>
        <v>174.42</v>
      </c>
      <c r="AC669" s="29" t="s">
        <v>179</v>
      </c>
      <c r="AD669" s="14">
        <f>ROUND(IF(Q669=1,INDEX(新属性投放!$F$14:$F$34,卡牌属性!R669),INDEX(新属性投放!$F$42:$F$62,卡牌属性!R669))*INDEX($G$5:$G$42,L669)*SQRT(INDEX($I$5:$I$42,L669)),2)</f>
        <v>1569</v>
      </c>
      <c r="AF669" s="14">
        <f t="shared" si="283"/>
        <v>3488</v>
      </c>
      <c r="AG669" s="14">
        <f t="shared" si="284"/>
        <v>1744</v>
      </c>
      <c r="AH669" s="14">
        <f t="shared" si="285"/>
        <v>15690</v>
      </c>
      <c r="AJ669" s="14">
        <f t="shared" si="289"/>
        <v>21087</v>
      </c>
      <c r="AK669" s="14">
        <f t="shared" si="290"/>
        <v>10540</v>
      </c>
      <c r="AL669" s="14">
        <f t="shared" si="291"/>
        <v>94815</v>
      </c>
    </row>
    <row r="670" spans="11:38" ht="16.5" x14ac:dyDescent="0.2">
      <c r="K670" s="13">
        <v>667</v>
      </c>
      <c r="L670" s="13">
        <f t="shared" si="277"/>
        <v>32</v>
      </c>
      <c r="M670" s="13">
        <f t="shared" si="278"/>
        <v>5</v>
      </c>
      <c r="N670" s="14">
        <f t="shared" si="279"/>
        <v>1102016</v>
      </c>
      <c r="O670" s="14" t="str">
        <f t="shared" si="280"/>
        <v>西方龙16突</v>
      </c>
      <c r="P670" s="29" t="s">
        <v>470</v>
      </c>
      <c r="Q670" s="14">
        <f t="shared" si="281"/>
        <v>2</v>
      </c>
      <c r="R670" s="14">
        <f t="shared" si="282"/>
        <v>16</v>
      </c>
      <c r="S670" s="14" t="s">
        <v>39</v>
      </c>
      <c r="T670" s="14">
        <f>ROUND(((IF(Q670=1,INDEX(新属性投放!$J$14:$J$34,卡牌属性!R670),INDEX(新属性投放!$J$42:$J$62,卡牌属性!R670)))*INDEX($G$5:$G$42,L670)+IF(Q670=1,INDEX(新属性投放!R$20:R$23,卡牌属性!M670-1),INDEX(新属性投放!R$25:R$28,卡牌属性!M670-1)))/SQRT(INDEX($I$5:$I$42,L670)),2)</f>
        <v>16982.03</v>
      </c>
      <c r="U670" s="29" t="s">
        <v>178</v>
      </c>
      <c r="V670" s="14">
        <f>ROUND((IF(Q670=1,INDEX(新属性投放!$K$14:$K$34,卡牌属性!R670),INDEX(新属性投放!$K$42:$K$62,卡牌属性!R670))+IF(Q670=1,INDEX(新属性投放!S$20:S$23,卡牌属性!M670-1),INDEX(新属性投放!S$25:S$28,卡牌属性!M670-1)))*INDEX($G$5:$G$42,L670),2)</f>
        <v>8151.26</v>
      </c>
      <c r="W670" s="29" t="s">
        <v>179</v>
      </c>
      <c r="X670" s="14">
        <f>ROUND((IF(Q670=1,INDEX(新属性投放!$L$14:$L$34,卡牌属性!R670),INDEX(新属性投放!$L$42:$L$62,卡牌属性!R670))*INDEX($G$5:$G$42,L670)+IF(Q670=1,INDEX(新属性投放!T$20:T$23,卡牌属性!M670-1),INDEX(新属性投放!T$25:T$28,卡牌属性!M670-1)))*SQRT(INDEX($I$5:$I$42,L670)),2)</f>
        <v>89909.5</v>
      </c>
      <c r="Y670" s="29" t="s">
        <v>177</v>
      </c>
      <c r="Z670" s="14">
        <f>ROUND(IF(Q670=1,INDEX(新属性投放!$D$14:$D$34,卡牌属性!R670),INDEX(新属性投放!$D$42:$D$62,卡牌属性!R670))*INDEX($G$5:$G$42,L670)/SQRT(INDEX($I$5:$I$42,L670)),2)</f>
        <v>403.37</v>
      </c>
      <c r="AA670" s="29" t="s">
        <v>178</v>
      </c>
      <c r="AB670" s="14">
        <f>ROUND(IF(Q670=1,INDEX(新属性投放!$E$14:$E$34,卡牌属性!R670),INDEX(新属性投放!$E$42:$E$62,卡牌属性!R670))*INDEX($G$5:$G$42,L670),2)</f>
        <v>201.68</v>
      </c>
      <c r="AC670" s="29" t="s">
        <v>179</v>
      </c>
      <c r="AD670" s="14">
        <f>ROUND(IF(Q670=1,INDEX(新属性投放!$F$14:$F$34,卡牌属性!R670),INDEX(新属性投放!$F$42:$F$62,卡牌属性!R670))*INDEX($G$5:$G$42,L670)*SQRT(INDEX($I$5:$I$42,L670)),2)</f>
        <v>1815</v>
      </c>
      <c r="AF670" s="14">
        <f t="shared" si="283"/>
        <v>4033</v>
      </c>
      <c r="AG670" s="14">
        <f t="shared" si="284"/>
        <v>2016</v>
      </c>
      <c r="AH670" s="14">
        <f t="shared" si="285"/>
        <v>18150</v>
      </c>
      <c r="AJ670" s="14">
        <f t="shared" si="289"/>
        <v>25120</v>
      </c>
      <c r="AK670" s="14">
        <f t="shared" si="290"/>
        <v>12556</v>
      </c>
      <c r="AL670" s="14">
        <f t="shared" si="291"/>
        <v>112965</v>
      </c>
    </row>
    <row r="671" spans="11:38" ht="16.5" x14ac:dyDescent="0.2">
      <c r="K671" s="13">
        <v>668</v>
      </c>
      <c r="L671" s="13">
        <f t="shared" si="277"/>
        <v>32</v>
      </c>
      <c r="M671" s="13">
        <f t="shared" si="278"/>
        <v>5</v>
      </c>
      <c r="N671" s="14">
        <f t="shared" si="279"/>
        <v>1102016</v>
      </c>
      <c r="O671" s="14" t="str">
        <f t="shared" si="280"/>
        <v>西方龙17突</v>
      </c>
      <c r="P671" s="29" t="s">
        <v>470</v>
      </c>
      <c r="Q671" s="14">
        <f t="shared" si="281"/>
        <v>2</v>
      </c>
      <c r="R671" s="14">
        <f t="shared" si="282"/>
        <v>17</v>
      </c>
      <c r="S671" s="14" t="s">
        <v>39</v>
      </c>
      <c r="T671" s="14">
        <f>ROUND(((IF(Q671=1,INDEX(新属性投放!$J$14:$J$34,卡牌属性!R671),INDEX(新属性投放!$J$42:$J$62,卡牌属性!R671)))*INDEX($G$5:$G$42,L671)+IF(Q671=1,INDEX(新属性投放!R$20:R$23,卡牌属性!M671-1),INDEX(新属性投放!R$25:R$28,卡牌属性!M671-1)))/SQRT(INDEX($I$5:$I$42,L671)),2)</f>
        <v>19502.849999999999</v>
      </c>
      <c r="U671" s="29" t="s">
        <v>178</v>
      </c>
      <c r="V671" s="14">
        <f>ROUND((IF(Q671=1,INDEX(新属性投放!$K$14:$K$34,卡牌属性!R671),INDEX(新属性投放!$K$42:$K$62,卡牌属性!R671))+IF(Q671=1,INDEX(新属性投放!S$20:S$23,卡牌属性!M671-1),INDEX(新属性投放!S$25:S$28,卡牌属性!M671-1)))*INDEX($G$5:$G$42,L671),2)</f>
        <v>9411.68</v>
      </c>
      <c r="W671" s="29" t="s">
        <v>179</v>
      </c>
      <c r="X671" s="14">
        <f>ROUND((IF(Q671=1,INDEX(新属性投放!$L$14:$L$34,卡牌属性!R671),INDEX(新属性投放!$L$42:$L$62,卡牌属性!R671))*INDEX($G$5:$G$42,L671)+IF(Q671=1,INDEX(新属性投放!T$20:T$23,卡牌属性!M671-1),INDEX(新属性投放!T$25:T$28,卡牌属性!M671-1)))*SQRT(INDEX($I$5:$I$42,L671)),2)</f>
        <v>103520.5</v>
      </c>
      <c r="Y671" s="29" t="s">
        <v>177</v>
      </c>
      <c r="Z671" s="14">
        <f>ROUND(IF(Q671=1,INDEX(新属性投放!$D$14:$D$34,卡牌属性!R671),INDEX(新属性投放!$D$42:$D$62,卡牌属性!R671))*INDEX($G$5:$G$42,L671)/SQRT(INDEX($I$5:$I$42,L671)),2)</f>
        <v>466.38</v>
      </c>
      <c r="AA671" s="29" t="s">
        <v>178</v>
      </c>
      <c r="AB671" s="14">
        <f>ROUND(IF(Q671=1,INDEX(新属性投放!$E$14:$E$34,卡牌属性!R671),INDEX(新属性投放!$E$42:$E$62,卡牌属性!R671))*INDEX($G$5:$G$42,L671),2)</f>
        <v>233.19</v>
      </c>
      <c r="AC671" s="29" t="s">
        <v>179</v>
      </c>
      <c r="AD671" s="14">
        <f>ROUND(IF(Q671=1,INDEX(新属性投放!$F$14:$F$34,卡牌属性!R671),INDEX(新属性投放!$F$42:$F$62,卡牌属性!R671))*INDEX($G$5:$G$42,L671)*SQRT(INDEX($I$5:$I$42,L671)),2)</f>
        <v>2098.5</v>
      </c>
      <c r="AF671" s="14">
        <f t="shared" si="283"/>
        <v>4663</v>
      </c>
      <c r="AG671" s="14">
        <f t="shared" si="284"/>
        <v>2331</v>
      </c>
      <c r="AH671" s="14">
        <f t="shared" si="285"/>
        <v>20985</v>
      </c>
      <c r="AJ671" s="14">
        <f t="shared" si="289"/>
        <v>29783</v>
      </c>
      <c r="AK671" s="14">
        <f t="shared" si="290"/>
        <v>14887</v>
      </c>
      <c r="AL671" s="14">
        <f t="shared" si="291"/>
        <v>133950</v>
      </c>
    </row>
    <row r="672" spans="11:38" ht="16.5" x14ac:dyDescent="0.2">
      <c r="K672" s="13">
        <v>669</v>
      </c>
      <c r="L672" s="13">
        <f t="shared" si="277"/>
        <v>32</v>
      </c>
      <c r="M672" s="13">
        <f t="shared" si="278"/>
        <v>5</v>
      </c>
      <c r="N672" s="14">
        <f t="shared" si="279"/>
        <v>1102016</v>
      </c>
      <c r="O672" s="14" t="str">
        <f t="shared" si="280"/>
        <v>西方龙18突</v>
      </c>
      <c r="P672" s="29" t="s">
        <v>470</v>
      </c>
      <c r="Q672" s="14">
        <f t="shared" si="281"/>
        <v>2</v>
      </c>
      <c r="R672" s="14">
        <f t="shared" si="282"/>
        <v>18</v>
      </c>
      <c r="S672" s="14" t="s">
        <v>39</v>
      </c>
      <c r="T672" s="14">
        <f>ROUND(((IF(Q672=1,INDEX(新属性投放!$J$14:$J$34,卡牌属性!R672),INDEX(新属性投放!$J$42:$J$62,卡牌属性!R672)))*INDEX($G$5:$G$42,L672)+IF(Q672=1,INDEX(新属性投放!R$20:R$23,卡牌属性!M672-1),INDEX(新属性投放!R$25:R$28,卡牌属性!M672-1)))/SQRT(INDEX($I$5:$I$42,L672)),2)</f>
        <v>22418.25</v>
      </c>
      <c r="U672" s="29" t="s">
        <v>178</v>
      </c>
      <c r="V672" s="14">
        <f>ROUND((IF(Q672=1,INDEX(新属性投放!$K$14:$K$34,卡牌属性!R672),INDEX(新属性投放!$K$42:$K$62,卡牌属性!R672))+IF(Q672=1,INDEX(新属性投放!S$20:S$23,卡牌属性!M672-1),INDEX(新属性投放!S$25:S$28,卡牌属性!M672-1)))*INDEX($G$5:$G$42,L672),2)</f>
        <v>10868.63</v>
      </c>
      <c r="W672" s="29" t="s">
        <v>179</v>
      </c>
      <c r="X672" s="14">
        <f>ROUND((IF(Q672=1,INDEX(新属性投放!$L$14:$L$34,卡牌属性!R672),INDEX(新属性投放!$L$42:$L$62,卡牌属性!R672))*INDEX($G$5:$G$42,L672)+IF(Q672=1,INDEX(新属性投放!T$20:T$23,卡牌属性!M672-1),INDEX(新属性投放!T$25:T$28,卡牌属性!M672-1)))*SQRT(INDEX($I$5:$I$42,L672)),2)</f>
        <v>119264.5</v>
      </c>
      <c r="Y672" s="29" t="s">
        <v>177</v>
      </c>
      <c r="Z672" s="14">
        <f>ROUND(IF(Q672=1,INDEX(新属性投放!$D$14:$D$34,卡牌属性!R672),INDEX(新属性投放!$D$42:$D$62,卡牌属性!R672))*INDEX($G$5:$G$42,L672)/SQRT(INDEX($I$5:$I$42,L672)),2)</f>
        <v>539.27</v>
      </c>
      <c r="AA672" s="29" t="s">
        <v>178</v>
      </c>
      <c r="AB672" s="14">
        <f>ROUND(IF(Q672=1,INDEX(新属性投放!$E$14:$E$34,卡牌属性!R672),INDEX(新属性投放!$E$42:$E$62,卡牌属性!R672))*INDEX($G$5:$G$42,L672),2)</f>
        <v>269.63</v>
      </c>
      <c r="AC672" s="29" t="s">
        <v>179</v>
      </c>
      <c r="AD672" s="14">
        <f>ROUND(IF(Q672=1,INDEX(新属性投放!$F$14:$F$34,卡牌属性!R672),INDEX(新属性投放!$F$42:$F$62,卡牌属性!R672))*INDEX($G$5:$G$42,L672)*SQRT(INDEX($I$5:$I$42,L672)),2)</f>
        <v>2425.5</v>
      </c>
      <c r="AF672" s="14">
        <f t="shared" si="283"/>
        <v>5392</v>
      </c>
      <c r="AG672" s="14">
        <f t="shared" si="284"/>
        <v>2696</v>
      </c>
      <c r="AH672" s="14">
        <f t="shared" si="285"/>
        <v>24255</v>
      </c>
      <c r="AJ672" s="14">
        <f t="shared" si="289"/>
        <v>35175</v>
      </c>
      <c r="AK672" s="14">
        <f t="shared" si="290"/>
        <v>17583</v>
      </c>
      <c r="AL672" s="14">
        <f t="shared" si="291"/>
        <v>158205</v>
      </c>
    </row>
    <row r="673" spans="11:38" ht="16.5" x14ac:dyDescent="0.2">
      <c r="K673" s="13">
        <v>670</v>
      </c>
      <c r="L673" s="13">
        <f t="shared" si="277"/>
        <v>32</v>
      </c>
      <c r="M673" s="13">
        <f t="shared" si="278"/>
        <v>5</v>
      </c>
      <c r="N673" s="14">
        <f t="shared" si="279"/>
        <v>1102016</v>
      </c>
      <c r="O673" s="14" t="str">
        <f t="shared" si="280"/>
        <v>西方龙19突</v>
      </c>
      <c r="P673" s="29" t="s">
        <v>470</v>
      </c>
      <c r="Q673" s="14">
        <f t="shared" si="281"/>
        <v>2</v>
      </c>
      <c r="R673" s="14">
        <f t="shared" si="282"/>
        <v>19</v>
      </c>
      <c r="S673" s="14" t="s">
        <v>39</v>
      </c>
      <c r="T673" s="14">
        <f>ROUND(((IF(Q673=1,INDEX(新属性投放!$J$14:$J$34,卡牌属性!R673),INDEX(新属性投放!$J$42:$J$62,卡牌属性!R673)))*INDEX($G$5:$G$42,L673)+IF(Q673=1,INDEX(新属性投放!R$20:R$23,卡牌属性!M673-1),INDEX(新属性投放!R$25:R$28,卡牌属性!M673-1)))/SQRT(INDEX($I$5:$I$42,L673)),2)</f>
        <v>25788.080000000002</v>
      </c>
      <c r="U673" s="29" t="s">
        <v>178</v>
      </c>
      <c r="V673" s="14">
        <f>ROUND((IF(Q673=1,INDEX(新属性投放!$K$14:$K$34,卡牌属性!R673),INDEX(新属性投放!$K$42:$K$62,卡牌属性!R673))+IF(Q673=1,INDEX(新属性投放!S$20:S$23,卡牌属性!M673-1),INDEX(新属性投放!S$25:S$28,卡牌属性!M673-1)))*INDEX($G$5:$G$42,L673),2)</f>
        <v>12554.29</v>
      </c>
      <c r="W673" s="29" t="s">
        <v>179</v>
      </c>
      <c r="X673" s="14">
        <f>ROUND((IF(Q673=1,INDEX(新属性投放!$L$14:$L$34,卡牌属性!R673),INDEX(新属性投放!$L$42:$L$62,卡牌属性!R673))*INDEX($G$5:$G$42,L673)+IF(Q673=1,INDEX(新属性投放!T$20:T$23,卡牌属性!M673-1),INDEX(新属性投放!T$25:T$28,卡牌属性!M673-1)))*SQRT(INDEX($I$5:$I$42,L673)),2)</f>
        <v>137453.5</v>
      </c>
      <c r="Y673" s="29" t="s">
        <v>177</v>
      </c>
      <c r="Z673" s="14">
        <f>ROUND(IF(Q673=1,INDEX(新属性投放!$D$14:$D$34,卡牌属性!R673),INDEX(新属性投放!$D$42:$D$62,卡牌属性!R673))*INDEX($G$5:$G$42,L673)/SQRT(INDEX($I$5:$I$42,L673)),2)</f>
        <v>623.52</v>
      </c>
      <c r="AA673" s="29" t="s">
        <v>178</v>
      </c>
      <c r="AB673" s="14">
        <f>ROUND(IF(Q673=1,INDEX(新属性投放!$E$14:$E$34,卡牌属性!R673),INDEX(新属性投放!$E$42:$E$62,卡牌属性!R673))*INDEX($G$5:$G$42,L673),2)</f>
        <v>311.76</v>
      </c>
      <c r="AC673" s="29" t="s">
        <v>179</v>
      </c>
      <c r="AD673" s="14">
        <f>ROUND(IF(Q673=1,INDEX(新属性投放!$F$14:$F$34,卡牌属性!R673),INDEX(新属性投放!$F$42:$F$62,卡牌属性!R673))*INDEX($G$5:$G$42,L673)*SQRT(INDEX($I$5:$I$42,L673)),2)</f>
        <v>2805</v>
      </c>
      <c r="AF673" s="14">
        <f t="shared" si="283"/>
        <v>6235</v>
      </c>
      <c r="AG673" s="14">
        <f t="shared" si="284"/>
        <v>3117</v>
      </c>
      <c r="AH673" s="14">
        <f t="shared" si="285"/>
        <v>28050</v>
      </c>
      <c r="AJ673" s="14">
        <f t="shared" si="289"/>
        <v>41410</v>
      </c>
      <c r="AK673" s="14">
        <f t="shared" si="290"/>
        <v>20700</v>
      </c>
      <c r="AL673" s="14">
        <f t="shared" si="291"/>
        <v>186255</v>
      </c>
    </row>
    <row r="674" spans="11:38" ht="16.5" x14ac:dyDescent="0.2">
      <c r="K674" s="13">
        <v>671</v>
      </c>
      <c r="L674" s="13">
        <f t="shared" si="277"/>
        <v>32</v>
      </c>
      <c r="M674" s="13">
        <f t="shared" si="278"/>
        <v>5</v>
      </c>
      <c r="N674" s="14">
        <f t="shared" si="279"/>
        <v>1102016</v>
      </c>
      <c r="O674" s="14" t="str">
        <f t="shared" si="280"/>
        <v>西方龙20突</v>
      </c>
      <c r="P674" s="29" t="s">
        <v>470</v>
      </c>
      <c r="Q674" s="14">
        <f t="shared" si="281"/>
        <v>2</v>
      </c>
      <c r="R674" s="14">
        <f t="shared" si="282"/>
        <v>20</v>
      </c>
      <c r="S674" s="14" t="s">
        <v>39</v>
      </c>
      <c r="T674" s="14">
        <f>ROUND(((IF(Q674=1,INDEX(新属性投放!$J$14:$J$34,卡牌属性!R674),INDEX(新属性投放!$J$42:$J$62,卡牌属性!R674)))*INDEX($G$5:$G$42,L674)+IF(Q674=1,INDEX(新属性投放!R$20:R$23,卡牌属性!M674-1),INDEX(新属性投放!R$25:R$28,卡牌属性!M674-1)))/SQRT(INDEX($I$5:$I$42,L674)),2)</f>
        <v>29685.68</v>
      </c>
      <c r="U674" s="29" t="s">
        <v>178</v>
      </c>
      <c r="V674" s="14">
        <f>ROUND((IF(Q674=1,INDEX(新属性投放!$K$14:$K$34,卡牌属性!R674),INDEX(新属性投放!$K$42:$K$62,卡牌属性!R674))+IF(Q674=1,INDEX(新属性投放!S$20:S$23,卡牌属性!M674-1),INDEX(新属性投放!S$25:S$28,卡牌属性!M674-1)))*INDEX($G$5:$G$42,L674),2)</f>
        <v>14503.09</v>
      </c>
      <c r="W674" s="29" t="s">
        <v>179</v>
      </c>
      <c r="X674" s="14">
        <f>ROUND((IF(Q674=1,INDEX(新属性投放!$L$14:$L$34,卡牌属性!R674),INDEX(新属性投放!$L$42:$L$62,卡牌属性!R674))*INDEX($G$5:$G$42,L674)+IF(Q674=1,INDEX(新属性投放!T$20:T$23,卡牌属性!M674-1),INDEX(新属性投放!T$25:T$28,卡牌属性!M674-1)))*SQRT(INDEX($I$5:$I$42,L674)),2)</f>
        <v>158498.5</v>
      </c>
      <c r="Y674" s="29" t="s">
        <v>177</v>
      </c>
      <c r="Z674" s="14">
        <f>ROUND(IF(Q674=1,INDEX(新属性投放!$D$14:$D$34,卡牌属性!R674),INDEX(新属性投放!$D$42:$D$62,卡牌属性!R674))*INDEX($G$5:$G$42,L674)/SQRT(INDEX($I$5:$I$42,L674)),2)</f>
        <v>720.96</v>
      </c>
      <c r="AA674" s="29" t="s">
        <v>178</v>
      </c>
      <c r="AB674" s="14">
        <f>ROUND(IF(Q674=1,INDEX(新属性投放!$E$14:$E$34,卡牌属性!R674),INDEX(新属性投放!$E$42:$E$62,卡牌属性!R674))*INDEX($G$5:$G$42,L674),2)</f>
        <v>360.48</v>
      </c>
      <c r="AC674" s="29" t="s">
        <v>179</v>
      </c>
      <c r="AD674" s="14">
        <f>ROUND(IF(Q674=1,INDEX(新属性投放!$F$14:$F$34,卡牌属性!R674),INDEX(新属性投放!$F$42:$F$62,卡牌属性!R674))*INDEX($G$5:$G$42,L674)*SQRT(INDEX($I$5:$I$42,L674)),2)</f>
        <v>3243</v>
      </c>
      <c r="AF674" s="14">
        <f t="shared" si="283"/>
        <v>7209</v>
      </c>
      <c r="AG674" s="14">
        <f t="shared" si="284"/>
        <v>3604</v>
      </c>
      <c r="AH674" s="14">
        <f t="shared" si="285"/>
        <v>32430</v>
      </c>
      <c r="AJ674" s="14">
        <f t="shared" si="289"/>
        <v>48619</v>
      </c>
      <c r="AK674" s="14">
        <f t="shared" si="290"/>
        <v>24304</v>
      </c>
      <c r="AL674" s="14">
        <f t="shared" si="291"/>
        <v>218685</v>
      </c>
    </row>
    <row r="675" spans="11:38" ht="16.5" x14ac:dyDescent="0.2">
      <c r="K675" s="13">
        <v>672</v>
      </c>
      <c r="L675" s="13">
        <f t="shared" si="277"/>
        <v>32</v>
      </c>
      <c r="M675" s="13">
        <f t="shared" si="278"/>
        <v>5</v>
      </c>
      <c r="N675" s="14">
        <f t="shared" si="279"/>
        <v>1102016</v>
      </c>
      <c r="O675" s="14" t="str">
        <f t="shared" si="280"/>
        <v>西方龙21突</v>
      </c>
      <c r="P675" s="29" t="s">
        <v>470</v>
      </c>
      <c r="Q675" s="14">
        <f t="shared" si="281"/>
        <v>2</v>
      </c>
      <c r="R675" s="14">
        <f t="shared" si="282"/>
        <v>21</v>
      </c>
      <c r="S675" s="14" t="s">
        <v>39</v>
      </c>
      <c r="T675" s="14">
        <f>ROUND(((IF(Q675=1,INDEX(新属性投放!$J$14:$J$34,卡牌属性!R675),INDEX(新属性投放!$J$42:$J$62,卡牌属性!R675)))*INDEX($G$5:$G$42,L675)+IF(Q675=1,INDEX(新属性投放!R$20:R$23,卡牌属性!M675-1),INDEX(新属性投放!R$25:R$28,卡牌属性!M675-1)))/SQRT(INDEX($I$5:$I$42,L675)),2)</f>
        <v>34191.980000000003</v>
      </c>
      <c r="U675" s="29" t="s">
        <v>178</v>
      </c>
      <c r="V675" s="14">
        <f>ROUND((IF(Q675=1,INDEX(新属性投放!$K$14:$K$34,卡牌属性!R675),INDEX(新属性投放!$K$42:$K$62,卡牌属性!R675))+IF(Q675=1,INDEX(新属性投放!S$20:S$23,卡牌属性!M675-1),INDEX(新属性投放!S$25:S$28,卡牌属性!M675-1)))*INDEX($G$5:$G$42,L675),2)</f>
        <v>16755.490000000002</v>
      </c>
      <c r="W675" s="29" t="s">
        <v>179</v>
      </c>
      <c r="X675" s="14">
        <f>ROUND((IF(Q675=1,INDEX(新属性投放!$L$14:$L$34,卡牌属性!R675),INDEX(新属性投放!$L$42:$L$62,卡牌属性!R675))*INDEX($G$5:$G$42,L675)+IF(Q675=1,INDEX(新属性投放!T$20:T$23,卡牌属性!M675-1),INDEX(新属性投放!T$25:T$28,卡牌属性!M675-1)))*SQRT(INDEX($I$5:$I$42,L675)),2)</f>
        <v>182827</v>
      </c>
      <c r="Y675" s="29" t="s">
        <v>177</v>
      </c>
      <c r="Z675" s="14">
        <f>ROUND(IF(Q675=1,INDEX(新属性投放!$D$14:$D$34,卡牌属性!R675),INDEX(新属性投放!$D$42:$D$62,卡牌属性!R675))*INDEX($G$5:$G$42,L675)/SQRT(INDEX($I$5:$I$42,L675)),2)</f>
        <v>833.61</v>
      </c>
      <c r="AA675" s="29" t="s">
        <v>178</v>
      </c>
      <c r="AB675" s="14">
        <f>ROUND(IF(Q675=1,INDEX(新属性投放!$E$14:$E$34,卡牌属性!R675),INDEX(新属性投放!$E$42:$E$62,卡牌属性!R675))*INDEX($G$5:$G$42,L675),2)</f>
        <v>416.81</v>
      </c>
      <c r="AC675" s="29" t="s">
        <v>179</v>
      </c>
      <c r="AD675" s="14">
        <f>ROUND(IF(Q675=1,INDEX(新属性投放!$F$14:$F$34,卡牌属性!R675),INDEX(新属性投放!$F$42:$F$62,卡牌属性!R675))*INDEX($G$5:$G$42,L675)*SQRT(INDEX($I$5:$I$42,L675)),2)</f>
        <v>3750</v>
      </c>
      <c r="AF675" s="14">
        <f t="shared" si="283"/>
        <v>8336</v>
      </c>
      <c r="AG675" s="14">
        <f t="shared" si="284"/>
        <v>4168</v>
      </c>
      <c r="AH675" s="14">
        <f t="shared" si="285"/>
        <v>37500</v>
      </c>
      <c r="AJ675" s="14">
        <f t="shared" si="289"/>
        <v>56955</v>
      </c>
      <c r="AK675" s="14">
        <f t="shared" si="290"/>
        <v>28472</v>
      </c>
      <c r="AL675" s="14">
        <f t="shared" si="291"/>
        <v>256185</v>
      </c>
    </row>
    <row r="676" spans="11:38" ht="16.5" x14ac:dyDescent="0.2">
      <c r="K676" s="13">
        <v>673</v>
      </c>
      <c r="L676" s="13">
        <f t="shared" si="277"/>
        <v>33</v>
      </c>
      <c r="M676" s="13">
        <f t="shared" si="278"/>
        <v>4</v>
      </c>
      <c r="N676" s="14">
        <f t="shared" si="279"/>
        <v>1102017</v>
      </c>
      <c r="O676" s="14" t="str">
        <f t="shared" si="280"/>
        <v>飞廉1突</v>
      </c>
      <c r="P676" s="29" t="s">
        <v>470</v>
      </c>
      <c r="Q676" s="14">
        <f t="shared" si="281"/>
        <v>2</v>
      </c>
      <c r="R676" s="14">
        <f t="shared" si="282"/>
        <v>1</v>
      </c>
      <c r="S676" s="14" t="s">
        <v>39</v>
      </c>
      <c r="T676" s="14">
        <f>ROUND(((IF(Q676=1,INDEX(新属性投放!$J$14:$J$34,卡牌属性!R676),INDEX(新属性投放!$J$42:$J$62,卡牌属性!R676)))*INDEX($G$5:$G$42,L676)+IF(Q676=1,INDEX(新属性投放!R$20:R$23,卡牌属性!M676-1),INDEX(新属性投放!R$25:R$28,卡牌属性!M676-1)))/SQRT(INDEX($I$5:$I$42,L676)),2)</f>
        <v>655</v>
      </c>
      <c r="U676" s="29" t="s">
        <v>178</v>
      </c>
      <c r="V676" s="14">
        <f>ROUND((IF(Q676=1,INDEX(新属性投放!$K$14:$K$34,卡牌属性!R676),INDEX(新属性投放!$K$42:$K$62,卡牌属性!R676))+IF(Q676=1,INDEX(新属性投放!S$20:S$23,卡牌属性!M676-1),INDEX(新属性投放!S$25:S$28,卡牌属性!M676-1)))*INDEX($G$5:$G$42,L676),2)</f>
        <v>130</v>
      </c>
      <c r="W676" s="29" t="s">
        <v>179</v>
      </c>
      <c r="X676" s="14">
        <f>ROUND((IF(Q676=1,INDEX(新属性投放!$L$14:$L$34,卡牌属性!R676),INDEX(新属性投放!$L$42:$L$62,卡牌属性!R676))*INDEX($G$5:$G$42,L676)+IF(Q676=1,INDEX(新属性投放!T$20:T$23,卡牌属性!M676-1),INDEX(新属性投放!T$25:T$28,卡牌属性!M676-1)))*SQRT(INDEX($I$5:$I$42,L676)),2)</f>
        <v>1975</v>
      </c>
      <c r="Y676" s="29" t="s">
        <v>177</v>
      </c>
      <c r="Z676" s="14">
        <f>ROUND(IF(Q676=1,INDEX(新属性投放!$D$14:$D$34,卡牌属性!R676),INDEX(新属性投放!$D$42:$D$62,卡牌属性!R676))*INDEX($G$5:$G$42,L676)/SQRT(INDEX($I$5:$I$42,L676)),2)</f>
        <v>19.5</v>
      </c>
      <c r="AA676" s="29" t="s">
        <v>178</v>
      </c>
      <c r="AB676" s="14">
        <f>ROUND(IF(Q676=1,INDEX(新属性投放!$E$14:$E$34,卡牌属性!R676),INDEX(新属性投放!$E$42:$E$62,卡牌属性!R676))*INDEX($G$5:$G$42,L676),2)</f>
        <v>9.75</v>
      </c>
      <c r="AC676" s="29" t="s">
        <v>179</v>
      </c>
      <c r="AD676" s="14">
        <f>ROUND(IF(Q676=1,INDEX(新属性投放!$F$14:$F$34,卡牌属性!R676),INDEX(新属性投放!$F$42:$F$62,卡牌属性!R676))*INDEX($G$5:$G$42,L676)*SQRT(INDEX($I$5:$I$42,L676)),2)</f>
        <v>87.1</v>
      </c>
      <c r="AF676" s="14">
        <f t="shared" si="283"/>
        <v>195</v>
      </c>
      <c r="AG676" s="14">
        <f t="shared" si="284"/>
        <v>97</v>
      </c>
      <c r="AH676" s="14">
        <f t="shared" si="285"/>
        <v>871</v>
      </c>
      <c r="AJ676" s="14">
        <f t="shared" ref="AJ676" si="292">AF676</f>
        <v>195</v>
      </c>
      <c r="AK676" s="14">
        <f t="shared" ref="AK676" si="293">AG676</f>
        <v>97</v>
      </c>
      <c r="AL676" s="14">
        <f t="shared" ref="AL676" si="294">AH676</f>
        <v>871</v>
      </c>
    </row>
    <row r="677" spans="11:38" ht="16.5" x14ac:dyDescent="0.2">
      <c r="K677" s="13">
        <v>674</v>
      </c>
      <c r="L677" s="13">
        <f t="shared" si="277"/>
        <v>33</v>
      </c>
      <c r="M677" s="13">
        <f t="shared" si="278"/>
        <v>4</v>
      </c>
      <c r="N677" s="14">
        <f t="shared" si="279"/>
        <v>1102017</v>
      </c>
      <c r="O677" s="14" t="str">
        <f t="shared" si="280"/>
        <v>飞廉2突</v>
      </c>
      <c r="P677" s="29" t="s">
        <v>470</v>
      </c>
      <c r="Q677" s="14">
        <f t="shared" si="281"/>
        <v>2</v>
      </c>
      <c r="R677" s="14">
        <f t="shared" si="282"/>
        <v>2</v>
      </c>
      <c r="S677" s="14" t="s">
        <v>39</v>
      </c>
      <c r="T677" s="14">
        <f>ROUND(((IF(Q677=1,INDEX(新属性投放!$J$14:$J$34,卡牌属性!R677),INDEX(新属性投放!$J$42:$J$62,卡牌属性!R677)))*INDEX($G$5:$G$42,L677)+IF(Q677=1,INDEX(新属性投放!R$20:R$23,卡牌属性!M677-1),INDEX(新属性投放!R$25:R$28,卡牌属性!M677-1)))/SQRT(INDEX($I$5:$I$42,L677)),2)</f>
        <v>863</v>
      </c>
      <c r="U677" s="29" t="s">
        <v>178</v>
      </c>
      <c r="V677" s="14">
        <f>ROUND((IF(Q677=1,INDEX(新属性投放!$K$14:$K$34,卡牌属性!R677),INDEX(新属性投放!$K$42:$K$62,卡牌属性!R677))+IF(Q677=1,INDEX(新属性投放!S$20:S$23,卡牌属性!M677-1),INDEX(新属性投放!S$25:S$28,卡牌属性!M677-1)))*INDEX($G$5:$G$42,L677),2)</f>
        <v>230.75</v>
      </c>
      <c r="W677" s="29" t="s">
        <v>179</v>
      </c>
      <c r="X677" s="14">
        <f>ROUND((IF(Q677=1,INDEX(新属性投放!$L$14:$L$34,卡牌属性!R677),INDEX(新属性投放!$L$42:$L$62,卡牌属性!R677))*INDEX($G$5:$G$42,L677)+IF(Q677=1,INDEX(新属性投放!T$20:T$23,卡牌属性!M677-1),INDEX(新属性投放!T$25:T$28,卡牌属性!M677-1)))*SQRT(INDEX($I$5:$I$42,L677)),2)</f>
        <v>3051.4</v>
      </c>
      <c r="Y677" s="29" t="s">
        <v>177</v>
      </c>
      <c r="Z677" s="14">
        <f>ROUND(IF(Q677=1,INDEX(新属性投放!$D$14:$D$34,卡牌属性!R677),INDEX(新属性投放!$D$42:$D$62,卡牌属性!R677))*INDEX($G$5:$G$42,L677)/SQRT(INDEX($I$5:$I$42,L677)),2)</f>
        <v>17.899999999999999</v>
      </c>
      <c r="AA677" s="29" t="s">
        <v>178</v>
      </c>
      <c r="AB677" s="14">
        <f>ROUND(IF(Q677=1,INDEX(新属性投放!$E$14:$E$34,卡牌属性!R677),INDEX(新属性投放!$E$42:$E$62,卡牌属性!R677))*INDEX($G$5:$G$42,L677),2)</f>
        <v>8.9499999999999993</v>
      </c>
      <c r="AC677" s="29" t="s">
        <v>179</v>
      </c>
      <c r="AD677" s="14">
        <f>ROUND(IF(Q677=1,INDEX(新属性投放!$F$14:$F$34,卡牌属性!R677),INDEX(新属性投放!$F$42:$F$62,卡牌属性!R677))*INDEX($G$5:$G$42,L677)*SQRT(INDEX($I$5:$I$42,L677)),2)</f>
        <v>79.3</v>
      </c>
      <c r="AF677" s="14">
        <f t="shared" si="283"/>
        <v>179</v>
      </c>
      <c r="AG677" s="14">
        <f t="shared" si="284"/>
        <v>89</v>
      </c>
      <c r="AH677" s="14">
        <f t="shared" si="285"/>
        <v>793</v>
      </c>
      <c r="AJ677" s="14">
        <f t="shared" ref="AJ677:AJ696" si="295">AJ676+AF677</f>
        <v>374</v>
      </c>
      <c r="AK677" s="14">
        <f t="shared" ref="AK677:AK696" si="296">AK676+AG677</f>
        <v>186</v>
      </c>
      <c r="AL677" s="14">
        <f t="shared" ref="AL677:AL696" si="297">AL676+AH677</f>
        <v>1664</v>
      </c>
    </row>
    <row r="678" spans="11:38" ht="16.5" x14ac:dyDescent="0.2">
      <c r="K678" s="13">
        <v>675</v>
      </c>
      <c r="L678" s="13">
        <f t="shared" si="277"/>
        <v>33</v>
      </c>
      <c r="M678" s="13">
        <f t="shared" si="278"/>
        <v>4</v>
      </c>
      <c r="N678" s="14">
        <f t="shared" si="279"/>
        <v>1102017</v>
      </c>
      <c r="O678" s="14" t="str">
        <f t="shared" si="280"/>
        <v>飞廉3突</v>
      </c>
      <c r="P678" s="29" t="s">
        <v>470</v>
      </c>
      <c r="Q678" s="14">
        <f t="shared" si="281"/>
        <v>2</v>
      </c>
      <c r="R678" s="14">
        <f t="shared" si="282"/>
        <v>3</v>
      </c>
      <c r="S678" s="14" t="s">
        <v>39</v>
      </c>
      <c r="T678" s="14">
        <f>ROUND(((IF(Q678=1,INDEX(新属性投放!$J$14:$J$34,卡牌属性!R678),INDEX(新属性投放!$J$42:$J$62,卡牌属性!R678)))*INDEX($G$5:$G$42,L678)+IF(Q678=1,INDEX(新属性投放!R$20:R$23,卡牌属性!M678-1),INDEX(新属性投放!R$25:R$28,卡牌属性!M678-1)))/SQRT(INDEX($I$5:$I$42,L678)),2)</f>
        <v>1086.21</v>
      </c>
      <c r="U678" s="29" t="s">
        <v>178</v>
      </c>
      <c r="V678" s="14">
        <f>ROUND((IF(Q678=1,INDEX(新属性投放!$K$14:$K$34,卡牌属性!R678),INDEX(新属性投放!$K$42:$K$62,卡牌属性!R678))+IF(Q678=1,INDEX(新属性投放!S$20:S$23,卡牌属性!M678-1),INDEX(新属性投放!S$25:S$28,卡牌属性!M678-1)))*INDEX($G$5:$G$42,L678),2)</f>
        <v>342.36</v>
      </c>
      <c r="W678" s="29" t="s">
        <v>179</v>
      </c>
      <c r="X678" s="14">
        <f>ROUND((IF(Q678=1,INDEX(新属性投放!$L$14:$L$34,卡牌属性!R678),INDEX(新属性投放!$L$42:$L$62,卡牌属性!R678))*INDEX($G$5:$G$42,L678)+IF(Q678=1,INDEX(新属性投放!T$20:T$23,卡牌属性!M678-1),INDEX(新属性投放!T$25:T$28,卡牌属性!M678-1)))*SQRT(INDEX($I$5:$I$42,L678)),2)</f>
        <v>4242.2</v>
      </c>
      <c r="Y678" s="29" t="s">
        <v>177</v>
      </c>
      <c r="Z678" s="14">
        <f>ROUND(IF(Q678=1,INDEX(新属性投放!$D$14:$D$34,卡牌属性!R678),INDEX(新属性投放!$D$42:$D$62,卡牌属性!R678))*INDEX($G$5:$G$42,L678)/SQRT(INDEX($I$5:$I$42,L678)),2)</f>
        <v>32.72</v>
      </c>
      <c r="AA678" s="29" t="s">
        <v>178</v>
      </c>
      <c r="AB678" s="14">
        <f>ROUND(IF(Q678=1,INDEX(新属性投放!$E$14:$E$34,卡牌属性!R678),INDEX(新属性投放!$E$42:$E$62,卡牌属性!R678))*INDEX($G$5:$G$42,L678),2)</f>
        <v>16.36</v>
      </c>
      <c r="AC678" s="29" t="s">
        <v>179</v>
      </c>
      <c r="AD678" s="14">
        <f>ROUND(IF(Q678=1,INDEX(新属性投放!$F$14:$F$34,卡牌属性!R678),INDEX(新属性投放!$F$42:$F$62,卡牌属性!R678))*INDEX($G$5:$G$42,L678)*SQRT(INDEX($I$5:$I$42,L678)),2)</f>
        <v>146.9</v>
      </c>
      <c r="AF678" s="14">
        <f t="shared" si="283"/>
        <v>327</v>
      </c>
      <c r="AG678" s="14">
        <f t="shared" si="284"/>
        <v>163</v>
      </c>
      <c r="AH678" s="14">
        <f t="shared" si="285"/>
        <v>1469</v>
      </c>
      <c r="AJ678" s="14">
        <f t="shared" si="295"/>
        <v>701</v>
      </c>
      <c r="AK678" s="14">
        <f t="shared" si="296"/>
        <v>349</v>
      </c>
      <c r="AL678" s="14">
        <f t="shared" si="297"/>
        <v>3133</v>
      </c>
    </row>
    <row r="679" spans="11:38" ht="16.5" x14ac:dyDescent="0.2">
      <c r="K679" s="13">
        <v>676</v>
      </c>
      <c r="L679" s="13">
        <f t="shared" si="277"/>
        <v>33</v>
      </c>
      <c r="M679" s="13">
        <f t="shared" si="278"/>
        <v>4</v>
      </c>
      <c r="N679" s="14">
        <f t="shared" si="279"/>
        <v>1102017</v>
      </c>
      <c r="O679" s="14" t="str">
        <f t="shared" si="280"/>
        <v>飞廉4突</v>
      </c>
      <c r="P679" s="29" t="s">
        <v>470</v>
      </c>
      <c r="Q679" s="14">
        <f t="shared" si="281"/>
        <v>2</v>
      </c>
      <c r="R679" s="14">
        <f t="shared" si="282"/>
        <v>4</v>
      </c>
      <c r="S679" s="14" t="s">
        <v>39</v>
      </c>
      <c r="T679" s="14">
        <f>ROUND(((IF(Q679=1,INDEX(新属性投放!$J$14:$J$34,卡牌属性!R679),INDEX(新属性投放!$J$42:$J$62,卡牌属性!R679)))*INDEX($G$5:$G$42,L679)+IF(Q679=1,INDEX(新属性投放!R$20:R$23,卡牌属性!M679-1),INDEX(新属性投放!R$25:R$28,卡牌属性!M679-1)))/SQRT(INDEX($I$5:$I$42,L679)),2)</f>
        <v>1495.32</v>
      </c>
      <c r="U679" s="29" t="s">
        <v>178</v>
      </c>
      <c r="V679" s="14">
        <f>ROUND((IF(Q679=1,INDEX(新属性投放!$K$14:$K$34,卡牌属性!R679),INDEX(新属性投放!$K$42:$K$62,卡牌属性!R679))+IF(Q679=1,INDEX(新属性投放!S$20:S$23,卡牌属性!M679-1),INDEX(新属性投放!S$25:S$28,卡牌属性!M679-1)))*INDEX($G$5:$G$42,L679),2)</f>
        <v>546.26</v>
      </c>
      <c r="W679" s="29" t="s">
        <v>179</v>
      </c>
      <c r="X679" s="14">
        <f>ROUND((IF(Q679=1,INDEX(新属性投放!$L$14:$L$34,卡牌属性!R679),INDEX(新属性投放!$L$42:$L$62,卡牌属性!R679))*INDEX($G$5:$G$42,L679)+IF(Q679=1,INDEX(新属性投放!T$20:T$23,卡牌属性!M679-1),INDEX(新属性投放!T$25:T$28,卡牌属性!M679-1)))*SQRT(INDEX($I$5:$I$42,L679)),2)</f>
        <v>6448.3</v>
      </c>
      <c r="Y679" s="29" t="s">
        <v>177</v>
      </c>
      <c r="Z679" s="14">
        <f>ROUND(IF(Q679=1,INDEX(新属性投放!$D$14:$D$34,卡牌属性!R679),INDEX(新属性投放!$D$42:$D$62,卡牌属性!R679))*INDEX($G$5:$G$42,L679)/SQRT(INDEX($I$5:$I$42,L679)),2)</f>
        <v>39.17</v>
      </c>
      <c r="AA679" s="29" t="s">
        <v>178</v>
      </c>
      <c r="AB679" s="14">
        <f>ROUND(IF(Q679=1,INDEX(新属性投放!$E$14:$E$34,卡牌属性!R679),INDEX(新属性投放!$E$42:$E$62,卡牌属性!R679))*INDEX($G$5:$G$42,L679),2)</f>
        <v>19.579999999999998</v>
      </c>
      <c r="AC679" s="29" t="s">
        <v>179</v>
      </c>
      <c r="AD679" s="14">
        <f>ROUND(IF(Q679=1,INDEX(新属性投放!$F$14:$F$34,卡牌属性!R679),INDEX(新属性投放!$F$42:$F$62,卡牌属性!R679))*INDEX($G$5:$G$42,L679)*SQRT(INDEX($I$5:$I$42,L679)),2)</f>
        <v>175.5</v>
      </c>
      <c r="AF679" s="14">
        <f t="shared" si="283"/>
        <v>391</v>
      </c>
      <c r="AG679" s="14">
        <f t="shared" si="284"/>
        <v>195</v>
      </c>
      <c r="AH679" s="14">
        <f t="shared" si="285"/>
        <v>1755</v>
      </c>
      <c r="AJ679" s="14">
        <f t="shared" si="295"/>
        <v>1092</v>
      </c>
      <c r="AK679" s="14">
        <f t="shared" si="296"/>
        <v>544</v>
      </c>
      <c r="AL679" s="14">
        <f t="shared" si="297"/>
        <v>4888</v>
      </c>
    </row>
    <row r="680" spans="11:38" ht="16.5" x14ac:dyDescent="0.2">
      <c r="K680" s="13">
        <v>677</v>
      </c>
      <c r="L680" s="13">
        <f t="shared" si="277"/>
        <v>33</v>
      </c>
      <c r="M680" s="13">
        <f t="shared" si="278"/>
        <v>4</v>
      </c>
      <c r="N680" s="14">
        <f t="shared" si="279"/>
        <v>1102017</v>
      </c>
      <c r="O680" s="14" t="str">
        <f t="shared" si="280"/>
        <v>飞廉5突</v>
      </c>
      <c r="P680" s="29" t="s">
        <v>470</v>
      </c>
      <c r="Q680" s="14">
        <f t="shared" si="281"/>
        <v>2</v>
      </c>
      <c r="R680" s="14">
        <f t="shared" si="282"/>
        <v>5</v>
      </c>
      <c r="S680" s="14" t="s">
        <v>39</v>
      </c>
      <c r="T680" s="14">
        <f>ROUND(((IF(Q680=1,INDEX(新属性投放!$J$14:$J$34,卡牌属性!R680),INDEX(新属性投放!$J$42:$J$62,卡牌属性!R680)))*INDEX($G$5:$G$42,L680)+IF(Q680=1,INDEX(新属性投放!R$20:R$23,卡牌属性!M680-1),INDEX(新属性投放!R$25:R$28,卡牌属性!M680-1)))/SQRT(INDEX($I$5:$I$42,L680)),2)</f>
        <v>1984.51</v>
      </c>
      <c r="U680" s="29" t="s">
        <v>178</v>
      </c>
      <c r="V680" s="14">
        <f>ROUND((IF(Q680=1,INDEX(新属性投放!$K$14:$K$34,卡牌属性!R680),INDEX(新属性投放!$K$42:$K$62,卡牌属性!R680))+IF(Q680=1,INDEX(新属性投放!S$20:S$23,卡牌属性!M680-1),INDEX(新属性投放!S$25:S$28,卡牌属性!M680-1)))*INDEX($G$5:$G$42,L680),2)</f>
        <v>791.51</v>
      </c>
      <c r="W680" s="29" t="s">
        <v>179</v>
      </c>
      <c r="X680" s="14">
        <f>ROUND((IF(Q680=1,INDEX(新属性投放!$L$14:$L$34,卡牌属性!R680),INDEX(新属性投放!$L$42:$L$62,卡牌属性!R680))*INDEX($G$5:$G$42,L680)+IF(Q680=1,INDEX(新属性投放!T$20:T$23,卡牌属性!M680-1),INDEX(新属性投放!T$25:T$28,卡牌属性!M680-1)))*SQRT(INDEX($I$5:$I$42,L680)),2)</f>
        <v>9080.7999999999993</v>
      </c>
      <c r="Y680" s="29" t="s">
        <v>177</v>
      </c>
      <c r="Z680" s="14">
        <f>ROUND(IF(Q680=1,INDEX(新属性投放!$D$14:$D$34,卡牌属性!R680),INDEX(新属性投放!$D$42:$D$62,卡牌属性!R680))*INDEX($G$5:$G$42,L680)/SQRT(INDEX($I$5:$I$42,L680)),2)</f>
        <v>48.96</v>
      </c>
      <c r="AA680" s="29" t="s">
        <v>178</v>
      </c>
      <c r="AB680" s="14">
        <f>ROUND(IF(Q680=1,INDEX(新属性投放!$E$14:$E$34,卡牌属性!R680),INDEX(新属性投放!$E$42:$E$62,卡牌属性!R680))*INDEX($G$5:$G$42,L680),2)</f>
        <v>24.48</v>
      </c>
      <c r="AC680" s="29" t="s">
        <v>179</v>
      </c>
      <c r="AD680" s="14">
        <f>ROUND(IF(Q680=1,INDEX(新属性投放!$F$14:$F$34,卡牌属性!R680),INDEX(新属性投放!$F$42:$F$62,卡牌属性!R680))*INDEX($G$5:$G$42,L680)*SQRT(INDEX($I$5:$I$42,L680)),2)</f>
        <v>219.7</v>
      </c>
      <c r="AF680" s="14">
        <f t="shared" si="283"/>
        <v>489</v>
      </c>
      <c r="AG680" s="14">
        <f t="shared" si="284"/>
        <v>244</v>
      </c>
      <c r="AH680" s="14">
        <f t="shared" si="285"/>
        <v>2197</v>
      </c>
      <c r="AJ680" s="14">
        <f t="shared" si="295"/>
        <v>1581</v>
      </c>
      <c r="AK680" s="14">
        <f t="shared" si="296"/>
        <v>788</v>
      </c>
      <c r="AL680" s="14">
        <f t="shared" si="297"/>
        <v>7085</v>
      </c>
    </row>
    <row r="681" spans="11:38" ht="16.5" x14ac:dyDescent="0.2">
      <c r="K681" s="13">
        <v>678</v>
      </c>
      <c r="L681" s="13">
        <f t="shared" si="277"/>
        <v>33</v>
      </c>
      <c r="M681" s="13">
        <f t="shared" si="278"/>
        <v>4</v>
      </c>
      <c r="N681" s="14">
        <f t="shared" si="279"/>
        <v>1102017</v>
      </c>
      <c r="O681" s="14" t="str">
        <f t="shared" si="280"/>
        <v>飞廉6突</v>
      </c>
      <c r="P681" s="29" t="s">
        <v>470</v>
      </c>
      <c r="Q681" s="14">
        <f t="shared" si="281"/>
        <v>2</v>
      </c>
      <c r="R681" s="14">
        <f t="shared" si="282"/>
        <v>6</v>
      </c>
      <c r="S681" s="14" t="s">
        <v>39</v>
      </c>
      <c r="T681" s="14">
        <f>ROUND(((IF(Q681=1,INDEX(新属性投放!$J$14:$J$34,卡牌属性!R681),INDEX(新属性投放!$J$42:$J$62,卡牌属性!R681)))*INDEX($G$5:$G$42,L681)+IF(Q681=1,INDEX(新属性投放!R$20:R$23,卡牌属性!M681-1),INDEX(新属性投放!R$25:R$28,卡牌属性!M681-1)))/SQRT(INDEX($I$5:$I$42,L681)),2)</f>
        <v>2596.29</v>
      </c>
      <c r="U681" s="29" t="s">
        <v>178</v>
      </c>
      <c r="V681" s="14">
        <f>ROUND((IF(Q681=1,INDEX(新属性投放!$K$14:$K$34,卡牌属性!R681),INDEX(新属性投放!$K$42:$K$62,卡牌属性!R681))+IF(Q681=1,INDEX(新属性投放!S$20:S$23,卡牌属性!M681-1),INDEX(新属性投放!S$25:S$28,卡牌属性!M681-1)))*INDEX($G$5:$G$42,L681),2)</f>
        <v>1097.4000000000001</v>
      </c>
      <c r="W681" s="29" t="s">
        <v>179</v>
      </c>
      <c r="X681" s="14">
        <f>ROUND((IF(Q681=1,INDEX(新属性投放!$L$14:$L$34,卡牌属性!R681),INDEX(新属性投放!$L$42:$L$62,卡牌属性!R681))*INDEX($G$5:$G$42,L681)+IF(Q681=1,INDEX(新属性投放!T$20:T$23,卡牌属性!M681-1),INDEX(新属性投放!T$25:T$28,卡牌属性!M681-1)))*SQRT(INDEX($I$5:$I$42,L681)),2)</f>
        <v>12377.6</v>
      </c>
      <c r="Y681" s="29" t="s">
        <v>177</v>
      </c>
      <c r="Z681" s="14">
        <f>ROUND(IF(Q681=1,INDEX(新属性投放!$D$14:$D$34,卡牌属性!R681),INDEX(新属性投放!$D$42:$D$62,卡牌属性!R681))*INDEX($G$5:$G$42,L681)/SQRT(INDEX($I$5:$I$42,L681)),2)</f>
        <v>63.51</v>
      </c>
      <c r="AA681" s="29" t="s">
        <v>178</v>
      </c>
      <c r="AB681" s="14">
        <f>ROUND(IF(Q681=1,INDEX(新属性投放!$E$14:$E$34,卡牌属性!R681),INDEX(新属性投放!$E$42:$E$62,卡牌属性!R681))*INDEX($G$5:$G$42,L681),2)</f>
        <v>31.75</v>
      </c>
      <c r="AC681" s="29" t="s">
        <v>179</v>
      </c>
      <c r="AD681" s="14">
        <f>ROUND(IF(Q681=1,INDEX(新属性投放!$F$14:$F$34,卡牌属性!R681),INDEX(新属性投放!$F$42:$F$62,卡牌属性!R681))*INDEX($G$5:$G$42,L681)*SQRT(INDEX($I$5:$I$42,L681)),2)</f>
        <v>284.7</v>
      </c>
      <c r="AF681" s="14">
        <f t="shared" si="283"/>
        <v>635</v>
      </c>
      <c r="AG681" s="14">
        <f t="shared" si="284"/>
        <v>317</v>
      </c>
      <c r="AH681" s="14">
        <f t="shared" si="285"/>
        <v>2847</v>
      </c>
      <c r="AJ681" s="14">
        <f t="shared" si="295"/>
        <v>2216</v>
      </c>
      <c r="AK681" s="14">
        <f t="shared" si="296"/>
        <v>1105</v>
      </c>
      <c r="AL681" s="14">
        <f t="shared" si="297"/>
        <v>9932</v>
      </c>
    </row>
    <row r="682" spans="11:38" ht="16.5" x14ac:dyDescent="0.2">
      <c r="K682" s="13">
        <v>679</v>
      </c>
      <c r="L682" s="13">
        <f t="shared" si="277"/>
        <v>33</v>
      </c>
      <c r="M682" s="13">
        <f t="shared" si="278"/>
        <v>4</v>
      </c>
      <c r="N682" s="14">
        <f t="shared" si="279"/>
        <v>1102017</v>
      </c>
      <c r="O682" s="14" t="str">
        <f t="shared" si="280"/>
        <v>飞廉7突</v>
      </c>
      <c r="P682" s="29" t="s">
        <v>470</v>
      </c>
      <c r="Q682" s="14">
        <f t="shared" si="281"/>
        <v>2</v>
      </c>
      <c r="R682" s="14">
        <f t="shared" si="282"/>
        <v>7</v>
      </c>
      <c r="S682" s="14" t="s">
        <v>39</v>
      </c>
      <c r="T682" s="14">
        <f>ROUND(((IF(Q682=1,INDEX(新属性投放!$J$14:$J$34,卡牌属性!R682),INDEX(新属性投放!$J$42:$J$62,卡牌属性!R682)))*INDEX($G$5:$G$42,L682)+IF(Q682=1,INDEX(新属性投放!R$20:R$23,卡牌属性!M682-1),INDEX(新属性投放!R$25:R$28,卡牌属性!M682-1)))/SQRT(INDEX($I$5:$I$42,L682)),2)</f>
        <v>3389.94</v>
      </c>
      <c r="U682" s="29" t="s">
        <v>178</v>
      </c>
      <c r="V682" s="14">
        <f>ROUND((IF(Q682=1,INDEX(新属性投放!$K$14:$K$34,卡牌属性!R682),INDEX(新属性投放!$K$42:$K$62,卡牌属性!R682))+IF(Q682=1,INDEX(新属性投放!S$20:S$23,卡牌属性!M682-1),INDEX(新属性投放!S$25:S$28,卡牌属性!M682-1)))*INDEX($G$5:$G$42,L682),2)</f>
        <v>1494.22</v>
      </c>
      <c r="W682" s="29" t="s">
        <v>179</v>
      </c>
      <c r="X682" s="14">
        <f>ROUND((IF(Q682=1,INDEX(新属性投放!$L$14:$L$34,卡牌属性!R682),INDEX(新属性投放!$L$42:$L$62,卡牌属性!R682))*INDEX($G$5:$G$42,L682)+IF(Q682=1,INDEX(新属性投放!T$20:T$23,卡牌属性!M682-1),INDEX(新属性投放!T$25:T$28,卡牌属性!M682-1)))*SQRT(INDEX($I$5:$I$42,L682)),2)</f>
        <v>16652</v>
      </c>
      <c r="Y682" s="29" t="s">
        <v>177</v>
      </c>
      <c r="Z682" s="14">
        <f>ROUND(IF(Q682=1,INDEX(新属性投放!$D$14:$D$34,卡牌属性!R682),INDEX(新属性投放!$D$42:$D$62,卡牌属性!R682))*INDEX($G$5:$G$42,L682)/SQRT(INDEX($I$5:$I$42,L682)),2)</f>
        <v>78.25</v>
      </c>
      <c r="AA682" s="29" t="s">
        <v>178</v>
      </c>
      <c r="AB682" s="14">
        <f>ROUND(IF(Q682=1,INDEX(新属性投放!$E$14:$E$34,卡牌属性!R682),INDEX(新属性投放!$E$42:$E$62,卡牌属性!R682))*INDEX($G$5:$G$42,L682),2)</f>
        <v>39.119999999999997</v>
      </c>
      <c r="AC682" s="29" t="s">
        <v>179</v>
      </c>
      <c r="AD682" s="14">
        <f>ROUND(IF(Q682=1,INDEX(新属性投放!$F$14:$F$34,卡牌属性!R682),INDEX(新属性投放!$F$42:$F$62,卡牌属性!R682))*INDEX($G$5:$G$42,L682)*SQRT(INDEX($I$5:$I$42,L682)),2)</f>
        <v>351</v>
      </c>
      <c r="AF682" s="14">
        <f t="shared" si="283"/>
        <v>782</v>
      </c>
      <c r="AG682" s="14">
        <f t="shared" si="284"/>
        <v>391</v>
      </c>
      <c r="AH682" s="14">
        <f t="shared" si="285"/>
        <v>3510</v>
      </c>
      <c r="AJ682" s="14">
        <f t="shared" si="295"/>
        <v>2998</v>
      </c>
      <c r="AK682" s="14">
        <f t="shared" si="296"/>
        <v>1496</v>
      </c>
      <c r="AL682" s="14">
        <f t="shared" si="297"/>
        <v>13442</v>
      </c>
    </row>
    <row r="683" spans="11:38" ht="16.5" x14ac:dyDescent="0.2">
      <c r="K683" s="13">
        <v>680</v>
      </c>
      <c r="L683" s="13">
        <f t="shared" si="277"/>
        <v>33</v>
      </c>
      <c r="M683" s="13">
        <f t="shared" si="278"/>
        <v>4</v>
      </c>
      <c r="N683" s="14">
        <f t="shared" si="279"/>
        <v>1102017</v>
      </c>
      <c r="O683" s="14" t="str">
        <f t="shared" si="280"/>
        <v>飞廉8突</v>
      </c>
      <c r="P683" s="29" t="s">
        <v>470</v>
      </c>
      <c r="Q683" s="14">
        <f t="shared" si="281"/>
        <v>2</v>
      </c>
      <c r="R683" s="14">
        <f t="shared" si="282"/>
        <v>8</v>
      </c>
      <c r="S683" s="14" t="s">
        <v>39</v>
      </c>
      <c r="T683" s="14">
        <f>ROUND(((IF(Q683=1,INDEX(新属性投放!$J$14:$J$34,卡牌属性!R683),INDEX(新属性投放!$J$42:$J$62,卡牌属性!R683)))*INDEX($G$5:$G$42,L683)+IF(Q683=1,INDEX(新属性投放!R$20:R$23,卡牌属性!M683-1),INDEX(新属性投放!R$25:R$28,卡牌属性!M683-1)))/SQRT(INDEX($I$5:$I$42,L683)),2)</f>
        <v>4367.41</v>
      </c>
      <c r="U683" s="29" t="s">
        <v>178</v>
      </c>
      <c r="V683" s="14">
        <f>ROUND((IF(Q683=1,INDEX(新属性投放!$K$14:$K$34,卡牌属性!R683),INDEX(新属性投放!$K$42:$K$62,卡牌属性!R683))+IF(Q683=1,INDEX(新属性投放!S$20:S$23,卡牌属性!M683-1),INDEX(新属性投放!S$25:S$28,卡牌属性!M683-1)))*INDEX($G$5:$G$42,L683),2)</f>
        <v>1982.96</v>
      </c>
      <c r="W683" s="29" t="s">
        <v>179</v>
      </c>
      <c r="X683" s="14">
        <f>ROUND((IF(Q683=1,INDEX(新属性投放!$L$14:$L$34,卡牌属性!R683),INDEX(新属性投放!$L$42:$L$62,卡牌属性!R683))*INDEX($G$5:$G$42,L683)+IF(Q683=1,INDEX(新属性投放!T$20:T$23,卡牌属性!M683-1),INDEX(新属性投放!T$25:T$28,卡牌属性!M683-1)))*SQRT(INDEX($I$5:$I$42,L683)),2)</f>
        <v>21917</v>
      </c>
      <c r="Y683" s="29" t="s">
        <v>177</v>
      </c>
      <c r="Z683" s="14">
        <f>ROUND(IF(Q683=1,INDEX(新属性投放!$D$14:$D$34,卡牌属性!R683),INDEX(新属性投放!$D$42:$D$62,卡牌属性!R683))*INDEX($G$5:$G$42,L683)/SQRT(INDEX($I$5:$I$42,L683)),2)</f>
        <v>97.75</v>
      </c>
      <c r="AA683" s="29" t="s">
        <v>178</v>
      </c>
      <c r="AB683" s="14">
        <f>ROUND(IF(Q683=1,INDEX(新属性投放!$E$14:$E$34,卡牌属性!R683),INDEX(新属性投放!$E$42:$E$62,卡牌属性!R683))*INDEX($G$5:$G$42,L683),2)</f>
        <v>48.87</v>
      </c>
      <c r="AC683" s="29" t="s">
        <v>179</v>
      </c>
      <c r="AD683" s="14">
        <f>ROUND(IF(Q683=1,INDEX(新属性投放!$F$14:$F$34,卡牌属性!R683),INDEX(新属性投放!$F$42:$F$62,卡牌属性!R683))*INDEX($G$5:$G$42,L683)*SQRT(INDEX($I$5:$I$42,L683)),2)</f>
        <v>439.4</v>
      </c>
      <c r="AF683" s="14">
        <f t="shared" si="283"/>
        <v>977</v>
      </c>
      <c r="AG683" s="14">
        <f t="shared" si="284"/>
        <v>488</v>
      </c>
      <c r="AH683" s="14">
        <f t="shared" si="285"/>
        <v>4394</v>
      </c>
      <c r="AJ683" s="14">
        <f t="shared" si="295"/>
        <v>3975</v>
      </c>
      <c r="AK683" s="14">
        <f t="shared" si="296"/>
        <v>1984</v>
      </c>
      <c r="AL683" s="14">
        <f t="shared" si="297"/>
        <v>17836</v>
      </c>
    </row>
    <row r="684" spans="11:38" ht="16.5" x14ac:dyDescent="0.2">
      <c r="K684" s="13">
        <v>681</v>
      </c>
      <c r="L684" s="13">
        <f t="shared" si="277"/>
        <v>33</v>
      </c>
      <c r="M684" s="13">
        <f t="shared" si="278"/>
        <v>4</v>
      </c>
      <c r="N684" s="14">
        <f t="shared" si="279"/>
        <v>1102017</v>
      </c>
      <c r="O684" s="14" t="str">
        <f t="shared" si="280"/>
        <v>飞廉9突</v>
      </c>
      <c r="P684" s="29" t="s">
        <v>470</v>
      </c>
      <c r="Q684" s="14">
        <f t="shared" si="281"/>
        <v>2</v>
      </c>
      <c r="R684" s="14">
        <f t="shared" si="282"/>
        <v>9</v>
      </c>
      <c r="S684" s="14" t="s">
        <v>39</v>
      </c>
      <c r="T684" s="14">
        <f>ROUND(((IF(Q684=1,INDEX(新属性投放!$J$14:$J$34,卡牌属性!R684),INDEX(新属性投放!$J$42:$J$62,卡牌属性!R684)))*INDEX($G$5:$G$42,L684)+IF(Q684=1,INDEX(新属性投放!R$20:R$23,卡牌属性!M684-1),INDEX(新属性投放!R$25:R$28,卡牌属性!M684-1)))/SQRT(INDEX($I$5:$I$42,L684)),2)</f>
        <v>5589.28</v>
      </c>
      <c r="U684" s="29" t="s">
        <v>178</v>
      </c>
      <c r="V684" s="14">
        <f>ROUND((IF(Q684=1,INDEX(新属性投放!$K$14:$K$34,卡牌属性!R684),INDEX(新属性投放!$K$42:$K$62,卡牌属性!R684))+IF(Q684=1,INDEX(新属性投放!S$20:S$23,卡牌属性!M684-1),INDEX(新属性投放!S$25:S$28,卡牌属性!M684-1)))*INDEX($G$5:$G$42,L684),2)</f>
        <v>2593.89</v>
      </c>
      <c r="W684" s="29" t="s">
        <v>179</v>
      </c>
      <c r="X684" s="14">
        <f>ROUND((IF(Q684=1,INDEX(新属性投放!$L$14:$L$34,卡牌属性!R684),INDEX(新属性投放!$L$42:$L$62,卡牌属性!R684))*INDEX($G$5:$G$42,L684)+IF(Q684=1,INDEX(新属性投放!T$20:T$23,卡牌属性!M684-1),INDEX(新属性投放!T$25:T$28,卡牌属性!M684-1)))*SQRT(INDEX($I$5:$I$42,L684)),2)</f>
        <v>28510.6</v>
      </c>
      <c r="Y684" s="29" t="s">
        <v>177</v>
      </c>
      <c r="Z684" s="14">
        <f>ROUND(IF(Q684=1,INDEX(新属性投放!$D$14:$D$34,卡牌属性!R684),INDEX(新属性投放!$D$42:$D$62,卡牌属性!R684))*INDEX($G$5:$G$42,L684)/SQRT(INDEX($I$5:$I$42,L684)),2)</f>
        <v>127.13</v>
      </c>
      <c r="AA684" s="29" t="s">
        <v>178</v>
      </c>
      <c r="AB684" s="14">
        <f>ROUND(IF(Q684=1,INDEX(新属性投放!$E$14:$E$34,卡牌属性!R684),INDEX(新属性投放!$E$42:$E$62,卡牌属性!R684))*INDEX($G$5:$G$42,L684),2)</f>
        <v>63.56</v>
      </c>
      <c r="AC684" s="29" t="s">
        <v>179</v>
      </c>
      <c r="AD684" s="14">
        <f>ROUND(IF(Q684=1,INDEX(新属性投放!$F$14:$F$34,卡牌属性!R684),INDEX(新属性投放!$F$42:$F$62,卡牌属性!R684))*INDEX($G$5:$G$42,L684)*SQRT(INDEX($I$5:$I$42,L684)),2)</f>
        <v>572</v>
      </c>
      <c r="AF684" s="14">
        <f t="shared" si="283"/>
        <v>1271</v>
      </c>
      <c r="AG684" s="14">
        <f t="shared" si="284"/>
        <v>635</v>
      </c>
      <c r="AH684" s="14">
        <f t="shared" si="285"/>
        <v>5720</v>
      </c>
      <c r="AJ684" s="14">
        <f t="shared" si="295"/>
        <v>5246</v>
      </c>
      <c r="AK684" s="14">
        <f t="shared" si="296"/>
        <v>2619</v>
      </c>
      <c r="AL684" s="14">
        <f t="shared" si="297"/>
        <v>23556</v>
      </c>
    </row>
    <row r="685" spans="11:38" ht="16.5" x14ac:dyDescent="0.2">
      <c r="K685" s="13">
        <v>682</v>
      </c>
      <c r="L685" s="13">
        <f t="shared" si="277"/>
        <v>33</v>
      </c>
      <c r="M685" s="13">
        <f t="shared" si="278"/>
        <v>4</v>
      </c>
      <c r="N685" s="14">
        <f t="shared" si="279"/>
        <v>1102017</v>
      </c>
      <c r="O685" s="14" t="str">
        <f t="shared" si="280"/>
        <v>飞廉10突</v>
      </c>
      <c r="P685" s="29" t="s">
        <v>470</v>
      </c>
      <c r="Q685" s="14">
        <f t="shared" si="281"/>
        <v>2</v>
      </c>
      <c r="R685" s="14">
        <f t="shared" si="282"/>
        <v>10</v>
      </c>
      <c r="S685" s="14" t="s">
        <v>39</v>
      </c>
      <c r="T685" s="14">
        <f>ROUND(((IF(Q685=1,INDEX(新属性投放!$J$14:$J$34,卡牌属性!R685),INDEX(新属性投放!$J$42:$J$62,卡牌属性!R685)))*INDEX($G$5:$G$42,L685)+IF(Q685=1,INDEX(新属性投放!R$20:R$23,卡牌属性!M685-1),INDEX(新属性投放!R$25:R$28,卡牌属性!M685-1)))/SQRT(INDEX($I$5:$I$42,L685)),2)</f>
        <v>6383.52</v>
      </c>
      <c r="U685" s="29" t="s">
        <v>178</v>
      </c>
      <c r="V685" s="14">
        <f>ROUND((IF(Q685=1,INDEX(新属性投放!$K$14:$K$34,卡牌属性!R685),INDEX(新属性投放!$K$42:$K$62,卡牌属性!R685))+IF(Q685=1,INDEX(新属性投放!S$20:S$23,卡牌属性!M685-1),INDEX(新属性投放!S$25:S$28,卡牌属性!M685-1)))*INDEX($G$5:$G$42,L685),2)</f>
        <v>2991.01</v>
      </c>
      <c r="W685" s="29" t="s">
        <v>179</v>
      </c>
      <c r="X685" s="14">
        <f>ROUND((IF(Q685=1,INDEX(新属性投放!$L$14:$L$34,卡牌属性!R685),INDEX(新属性投放!$L$42:$L$62,卡牌属性!R685))*INDEX($G$5:$G$42,L685)+IF(Q685=1,INDEX(新属性投放!T$20:T$23,卡牌属性!M685-1),INDEX(新属性投放!T$25:T$28,卡牌属性!M685-1)))*SQRT(INDEX($I$5:$I$42,L685)),2)</f>
        <v>32798</v>
      </c>
      <c r="Y685" s="29" t="s">
        <v>177</v>
      </c>
      <c r="Z685" s="14">
        <f>ROUND(IF(Q685=1,INDEX(新属性投放!$D$14:$D$34,卡牌属性!R685),INDEX(新属性投放!$D$42:$D$62,卡牌属性!R685))*INDEX($G$5:$G$42,L685)/SQRT(INDEX($I$5:$I$42,L685)),2)</f>
        <v>146.68</v>
      </c>
      <c r="AA685" s="29" t="s">
        <v>178</v>
      </c>
      <c r="AB685" s="14">
        <f>ROUND(IF(Q685=1,INDEX(新属性投放!$E$14:$E$34,卡牌属性!R685),INDEX(新属性投放!$E$42:$E$62,卡牌属性!R685))*INDEX($G$5:$G$42,L685),2)</f>
        <v>73.34</v>
      </c>
      <c r="AC685" s="29" t="s">
        <v>179</v>
      </c>
      <c r="AD685" s="14">
        <f>ROUND(IF(Q685=1,INDEX(新属性投放!$F$14:$F$34,卡牌属性!R685),INDEX(新属性投放!$F$42:$F$62,卡牌属性!R685))*INDEX($G$5:$G$42,L685)*SQRT(INDEX($I$5:$I$42,L685)),2)</f>
        <v>659.1</v>
      </c>
      <c r="AF685" s="14">
        <f t="shared" si="283"/>
        <v>1466</v>
      </c>
      <c r="AG685" s="14">
        <f t="shared" si="284"/>
        <v>733</v>
      </c>
      <c r="AH685" s="14">
        <f t="shared" si="285"/>
        <v>6591</v>
      </c>
      <c r="AJ685" s="14">
        <f t="shared" si="295"/>
        <v>6712</v>
      </c>
      <c r="AK685" s="14">
        <f t="shared" si="296"/>
        <v>3352</v>
      </c>
      <c r="AL685" s="14">
        <f t="shared" si="297"/>
        <v>30147</v>
      </c>
    </row>
    <row r="686" spans="11:38" ht="16.5" x14ac:dyDescent="0.2">
      <c r="K686" s="13">
        <v>683</v>
      </c>
      <c r="L686" s="13">
        <f t="shared" si="277"/>
        <v>33</v>
      </c>
      <c r="M686" s="13">
        <f t="shared" si="278"/>
        <v>4</v>
      </c>
      <c r="N686" s="14">
        <f t="shared" si="279"/>
        <v>1102017</v>
      </c>
      <c r="O686" s="14" t="str">
        <f t="shared" si="280"/>
        <v>飞廉11突</v>
      </c>
      <c r="P686" s="29" t="s">
        <v>470</v>
      </c>
      <c r="Q686" s="14">
        <f t="shared" si="281"/>
        <v>2</v>
      </c>
      <c r="R686" s="14">
        <f t="shared" si="282"/>
        <v>11</v>
      </c>
      <c r="S686" s="14" t="s">
        <v>39</v>
      </c>
      <c r="T686" s="14">
        <f>ROUND(((IF(Q686=1,INDEX(新属性投放!$J$14:$J$34,卡牌属性!R686),INDEX(新属性投放!$J$42:$J$62,卡牌属性!R686)))*INDEX($G$5:$G$42,L686)+IF(Q686=1,INDEX(新属性投放!R$20:R$23,卡牌属性!M686-1),INDEX(新属性投放!R$25:R$28,卡牌属性!M686-1)))/SQRT(INDEX($I$5:$I$42,L686)),2)</f>
        <v>7300.21</v>
      </c>
      <c r="U686" s="29" t="s">
        <v>178</v>
      </c>
      <c r="V686" s="14">
        <f>ROUND((IF(Q686=1,INDEX(新属性投放!$K$14:$K$34,卡牌属性!R686),INDEX(新属性投放!$K$42:$K$62,卡牌属性!R686))+IF(Q686=1,INDEX(新属性投放!S$20:S$23,卡牌属性!M686-1),INDEX(新属性投放!S$25:S$28,卡牌属性!M686-1)))*INDEX($G$5:$G$42,L686),2)</f>
        <v>3450.01</v>
      </c>
      <c r="W686" s="29" t="s">
        <v>179</v>
      </c>
      <c r="X686" s="14">
        <f>ROUND((IF(Q686=1,INDEX(新属性投放!$L$14:$L$34,卡牌属性!R686),INDEX(新属性投放!$L$42:$L$62,卡牌属性!R686))*INDEX($G$5:$G$42,L686)+IF(Q686=1,INDEX(新属性投放!T$20:T$23,卡牌属性!M686-1),INDEX(新属性投放!T$25:T$28,卡牌属性!M686-1)))*SQRT(INDEX($I$5:$I$42,L686)),2)</f>
        <v>37743.199999999997</v>
      </c>
      <c r="Y686" s="29" t="s">
        <v>177</v>
      </c>
      <c r="Z686" s="14">
        <f>ROUND(IF(Q686=1,INDEX(新属性投放!$D$14:$D$34,卡牌属性!R686),INDEX(新属性投放!$D$42:$D$62,卡牌属性!R686))*INDEX($G$5:$G$42,L686)/SQRT(INDEX($I$5:$I$42,L686)),2)</f>
        <v>171.05</v>
      </c>
      <c r="AA686" s="29" t="s">
        <v>178</v>
      </c>
      <c r="AB686" s="14">
        <f>ROUND(IF(Q686=1,INDEX(新属性投放!$E$14:$E$34,卡牌属性!R686),INDEX(新属性投放!$E$42:$E$62,卡牌属性!R686))*INDEX($G$5:$G$42,L686),2)</f>
        <v>85.53</v>
      </c>
      <c r="AC686" s="29" t="s">
        <v>179</v>
      </c>
      <c r="AD686" s="14">
        <f>ROUND(IF(Q686=1,INDEX(新属性投放!$F$14:$F$34,卡牌属性!R686),INDEX(新属性投放!$F$42:$F$62,卡牌属性!R686))*INDEX($G$5:$G$42,L686)*SQRT(INDEX($I$5:$I$42,L686)),2)</f>
        <v>769.6</v>
      </c>
      <c r="AF686" s="14">
        <f t="shared" si="283"/>
        <v>1710</v>
      </c>
      <c r="AG686" s="14">
        <f t="shared" si="284"/>
        <v>855</v>
      </c>
      <c r="AH686" s="14">
        <f t="shared" si="285"/>
        <v>7696</v>
      </c>
      <c r="AJ686" s="14">
        <f t="shared" si="295"/>
        <v>8422</v>
      </c>
      <c r="AK686" s="14">
        <f t="shared" si="296"/>
        <v>4207</v>
      </c>
      <c r="AL686" s="14">
        <f t="shared" si="297"/>
        <v>37843</v>
      </c>
    </row>
    <row r="687" spans="11:38" ht="16.5" x14ac:dyDescent="0.2">
      <c r="K687" s="13">
        <v>684</v>
      </c>
      <c r="L687" s="13">
        <f t="shared" si="277"/>
        <v>33</v>
      </c>
      <c r="M687" s="13">
        <f t="shared" si="278"/>
        <v>4</v>
      </c>
      <c r="N687" s="14">
        <f t="shared" si="279"/>
        <v>1102017</v>
      </c>
      <c r="O687" s="14" t="str">
        <f t="shared" si="280"/>
        <v>飞廉12突</v>
      </c>
      <c r="P687" s="29" t="s">
        <v>470</v>
      </c>
      <c r="Q687" s="14">
        <f t="shared" si="281"/>
        <v>2</v>
      </c>
      <c r="R687" s="14">
        <f t="shared" si="282"/>
        <v>12</v>
      </c>
      <c r="S687" s="14" t="s">
        <v>39</v>
      </c>
      <c r="T687" s="14">
        <f>ROUND(((IF(Q687=1,INDEX(新属性投放!$J$14:$J$34,卡牌属性!R687),INDEX(新属性投放!$J$42:$J$62,卡牌属性!R687)))*INDEX($G$5:$G$42,L687)+IF(Q687=1,INDEX(新属性投放!R$20:R$23,卡牌属性!M687-1),INDEX(新属性投放!R$25:R$28,卡牌属性!M687-1)))/SQRT(INDEX($I$5:$I$42,L687)),2)</f>
        <v>8368.68</v>
      </c>
      <c r="U687" s="29" t="s">
        <v>178</v>
      </c>
      <c r="V687" s="14">
        <f>ROUND((IF(Q687=1,INDEX(新属性投放!$K$14:$K$34,卡牌属性!R687),INDEX(新属性投放!$K$42:$K$62,卡牌属性!R687))+IF(Q687=1,INDEX(新属性投放!S$20:S$23,卡牌属性!M687-1),INDEX(新属性投放!S$25:S$28,卡牌属性!M687-1)))*INDEX($G$5:$G$42,L687),2)</f>
        <v>3984.24</v>
      </c>
      <c r="W687" s="29" t="s">
        <v>179</v>
      </c>
      <c r="X687" s="14">
        <f>ROUND((IF(Q687=1,INDEX(新属性投放!$L$14:$L$34,卡牌属性!R687),INDEX(新属性投放!$L$42:$L$62,卡牌属性!R687))*INDEX($G$5:$G$42,L687)+IF(Q687=1,INDEX(新属性投放!T$20:T$23,卡牌属性!M687-1),INDEX(新属性投放!T$25:T$28,卡牌属性!M687-1)))*SQRT(INDEX($I$5:$I$42,L687)),2)</f>
        <v>43510</v>
      </c>
      <c r="Y687" s="29" t="s">
        <v>177</v>
      </c>
      <c r="Z687" s="14">
        <f>ROUND(IF(Q687=1,INDEX(新属性投放!$D$14:$D$34,卡牌属性!R687),INDEX(新属性投放!$D$42:$D$62,卡牌属性!R687))*INDEX($G$5:$G$42,L687)/SQRT(INDEX($I$5:$I$42,L687)),2)</f>
        <v>195.61</v>
      </c>
      <c r="AA687" s="29" t="s">
        <v>178</v>
      </c>
      <c r="AB687" s="14">
        <f>ROUND(IF(Q687=1,INDEX(新属性投放!$E$14:$E$34,卡牌属性!R687),INDEX(新属性投放!$E$42:$E$62,卡牌属性!R687))*INDEX($G$5:$G$42,L687),2)</f>
        <v>97.81</v>
      </c>
      <c r="AC687" s="29" t="s">
        <v>179</v>
      </c>
      <c r="AD687" s="14">
        <f>ROUND(IF(Q687=1,INDEX(新属性投放!$F$14:$F$34,卡牌属性!R687),INDEX(新属性投放!$F$42:$F$62,卡牌属性!R687))*INDEX($G$5:$G$42,L687)*SQRT(INDEX($I$5:$I$42,L687)),2)</f>
        <v>880.1</v>
      </c>
      <c r="AF687" s="14">
        <f t="shared" si="283"/>
        <v>1956</v>
      </c>
      <c r="AG687" s="14">
        <f t="shared" si="284"/>
        <v>978</v>
      </c>
      <c r="AH687" s="14">
        <f t="shared" si="285"/>
        <v>8801</v>
      </c>
      <c r="AJ687" s="14">
        <f t="shared" si="295"/>
        <v>10378</v>
      </c>
      <c r="AK687" s="14">
        <f t="shared" si="296"/>
        <v>5185</v>
      </c>
      <c r="AL687" s="14">
        <f t="shared" si="297"/>
        <v>46644</v>
      </c>
    </row>
    <row r="688" spans="11:38" ht="16.5" x14ac:dyDescent="0.2">
      <c r="K688" s="13">
        <v>685</v>
      </c>
      <c r="L688" s="13">
        <f t="shared" si="277"/>
        <v>33</v>
      </c>
      <c r="M688" s="13">
        <f t="shared" si="278"/>
        <v>4</v>
      </c>
      <c r="N688" s="14">
        <f t="shared" si="279"/>
        <v>1102017</v>
      </c>
      <c r="O688" s="14" t="str">
        <f t="shared" si="280"/>
        <v>飞廉13突</v>
      </c>
      <c r="P688" s="29" t="s">
        <v>470</v>
      </c>
      <c r="Q688" s="14">
        <f t="shared" si="281"/>
        <v>2</v>
      </c>
      <c r="R688" s="14">
        <f t="shared" si="282"/>
        <v>13</v>
      </c>
      <c r="S688" s="14" t="s">
        <v>39</v>
      </c>
      <c r="T688" s="14">
        <f>ROUND(((IF(Q688=1,INDEX(新属性投放!$J$14:$J$34,卡牌属性!R688),INDEX(新属性投放!$J$42:$J$62,卡牌属性!R688)))*INDEX($G$5:$G$42,L688)+IF(Q688=1,INDEX(新属性投放!R$20:R$23,卡牌属性!M688-1),INDEX(新属性投放!R$25:R$28,卡牌属性!M688-1)))/SQRT(INDEX($I$5:$I$42,L688)),2)</f>
        <v>9591.14</v>
      </c>
      <c r="U688" s="29" t="s">
        <v>178</v>
      </c>
      <c r="V688" s="14">
        <f>ROUND((IF(Q688=1,INDEX(新属性投放!$K$14:$K$34,卡牌属性!R688),INDEX(新属性投放!$K$42:$K$62,卡牌属性!R688))+IF(Q688=1,INDEX(新属性投放!S$20:S$23,卡牌属性!M688-1),INDEX(新属性投放!S$25:S$28,卡牌属性!M688-1)))*INDEX($G$5:$G$42,L688),2)</f>
        <v>4595.47</v>
      </c>
      <c r="W688" s="29" t="s">
        <v>179</v>
      </c>
      <c r="X688" s="14">
        <f>ROUND((IF(Q688=1,INDEX(新属性投放!$L$14:$L$34,卡牌属性!R688),INDEX(新属性投放!$L$42:$L$62,卡牌属性!R688))*INDEX($G$5:$G$42,L688)+IF(Q688=1,INDEX(新属性投放!T$20:T$23,卡牌属性!M688-1),INDEX(新属性投放!T$25:T$28,卡牌属性!M688-1)))*SQRT(INDEX($I$5:$I$42,L688)),2)</f>
        <v>50110.1</v>
      </c>
      <c r="Y688" s="29" t="s">
        <v>177</v>
      </c>
      <c r="Z688" s="14">
        <f>ROUND(IF(Q688=1,INDEX(新属性投放!$D$14:$D$34,卡牌属性!R688),INDEX(新属性投放!$D$42:$D$62,卡牌属性!R688))*INDEX($G$5:$G$42,L688)/SQRT(INDEX($I$5:$I$42,L688)),2)</f>
        <v>226.16</v>
      </c>
      <c r="AA688" s="29" t="s">
        <v>178</v>
      </c>
      <c r="AB688" s="14">
        <f>ROUND(IF(Q688=1,INDEX(新属性投放!$E$14:$E$34,卡牌属性!R688),INDEX(新属性投放!$E$42:$E$62,卡牌属性!R688))*INDEX($G$5:$G$42,L688),2)</f>
        <v>113.08</v>
      </c>
      <c r="AC688" s="29" t="s">
        <v>179</v>
      </c>
      <c r="AD688" s="14">
        <f>ROUND(IF(Q688=1,INDEX(新属性投放!$F$14:$F$34,卡牌属性!R688),INDEX(新属性投放!$F$42:$F$62,卡牌属性!R688))*INDEX($G$5:$G$42,L688)*SQRT(INDEX($I$5:$I$42,L688)),2)</f>
        <v>1016.6</v>
      </c>
      <c r="AF688" s="14">
        <f t="shared" si="283"/>
        <v>2261</v>
      </c>
      <c r="AG688" s="14">
        <f t="shared" si="284"/>
        <v>1130</v>
      </c>
      <c r="AH688" s="14">
        <f t="shared" si="285"/>
        <v>10166</v>
      </c>
      <c r="AJ688" s="14">
        <f t="shared" si="295"/>
        <v>12639</v>
      </c>
      <c r="AK688" s="14">
        <f t="shared" si="296"/>
        <v>6315</v>
      </c>
      <c r="AL688" s="14">
        <f t="shared" si="297"/>
        <v>56810</v>
      </c>
    </row>
    <row r="689" spans="11:38" ht="16.5" x14ac:dyDescent="0.2">
      <c r="K689" s="13">
        <v>686</v>
      </c>
      <c r="L689" s="13">
        <f t="shared" si="277"/>
        <v>33</v>
      </c>
      <c r="M689" s="13">
        <f t="shared" si="278"/>
        <v>4</v>
      </c>
      <c r="N689" s="14">
        <f t="shared" si="279"/>
        <v>1102017</v>
      </c>
      <c r="O689" s="14" t="str">
        <f t="shared" si="280"/>
        <v>飞廉14突</v>
      </c>
      <c r="P689" s="29" t="s">
        <v>470</v>
      </c>
      <c r="Q689" s="14">
        <f t="shared" si="281"/>
        <v>2</v>
      </c>
      <c r="R689" s="14">
        <f t="shared" si="282"/>
        <v>14</v>
      </c>
      <c r="S689" s="14" t="s">
        <v>39</v>
      </c>
      <c r="T689" s="14">
        <f>ROUND(((IF(Q689=1,INDEX(新属性投放!$J$14:$J$34,卡牌属性!R689),INDEX(新属性投放!$J$42:$J$62,卡牌属性!R689)))*INDEX($G$5:$G$42,L689)+IF(Q689=1,INDEX(新属性投放!R$20:R$23,卡牌属性!M689-1),INDEX(新属性投放!R$25:R$28,卡牌属性!M689-1)))/SQRT(INDEX($I$5:$I$42,L689)),2)</f>
        <v>11004.04</v>
      </c>
      <c r="U689" s="29" t="s">
        <v>178</v>
      </c>
      <c r="V689" s="14">
        <f>ROUND((IF(Q689=1,INDEX(新属性投放!$K$14:$K$34,卡牌属性!R689),INDEX(新属性投放!$K$42:$K$62,卡牌属性!R689))+IF(Q689=1,INDEX(新属性投放!S$20:S$23,卡牌属性!M689-1),INDEX(新属性投放!S$25:S$28,卡牌属性!M689-1)))*INDEX($G$5:$G$42,L689),2)</f>
        <v>5302.57</v>
      </c>
      <c r="W689" s="29" t="s">
        <v>179</v>
      </c>
      <c r="X689" s="14">
        <f>ROUND((IF(Q689=1,INDEX(新属性投放!$L$14:$L$34,卡牌属性!R689),INDEX(新属性投放!$L$42:$L$62,卡牌属性!R689))*INDEX($G$5:$G$42,L689)+IF(Q689=1,INDEX(新属性投放!T$20:T$23,卡牌属性!M689-1),INDEX(新属性投放!T$25:T$28,卡牌属性!M689-1)))*SQRT(INDEX($I$5:$I$42,L689)),2)</f>
        <v>57732</v>
      </c>
      <c r="Y689" s="29" t="s">
        <v>177</v>
      </c>
      <c r="Z689" s="14">
        <f>ROUND(IF(Q689=1,INDEX(新属性投放!$D$14:$D$34,卡牌属性!R689),INDEX(新属性投放!$D$42:$D$62,卡牌属性!R689))*INDEX($G$5:$G$42,L689)/SQRT(INDEX($I$5:$I$42,L689)),2)</f>
        <v>261.5</v>
      </c>
      <c r="AA689" s="29" t="s">
        <v>178</v>
      </c>
      <c r="AB689" s="14">
        <f>ROUND(IF(Q689=1,INDEX(新属性投放!$E$14:$E$34,卡牌属性!R689),INDEX(新属性投放!$E$42:$E$62,卡牌属性!R689))*INDEX($G$5:$G$42,L689),2)</f>
        <v>130.75</v>
      </c>
      <c r="AC689" s="29" t="s">
        <v>179</v>
      </c>
      <c r="AD689" s="14">
        <f>ROUND(IF(Q689=1,INDEX(新属性投放!$F$14:$F$34,卡牌属性!R689),INDEX(新属性投放!$F$42:$F$62,卡牌属性!R689))*INDEX($G$5:$G$42,L689)*SQRT(INDEX($I$5:$I$42,L689)),2)</f>
        <v>1176.5</v>
      </c>
      <c r="AF689" s="14">
        <f t="shared" si="283"/>
        <v>2615</v>
      </c>
      <c r="AG689" s="14">
        <f t="shared" si="284"/>
        <v>1307</v>
      </c>
      <c r="AH689" s="14">
        <f t="shared" si="285"/>
        <v>11765</v>
      </c>
      <c r="AJ689" s="14">
        <f t="shared" si="295"/>
        <v>15254</v>
      </c>
      <c r="AK689" s="14">
        <f t="shared" si="296"/>
        <v>7622</v>
      </c>
      <c r="AL689" s="14">
        <f t="shared" si="297"/>
        <v>68575</v>
      </c>
    </row>
    <row r="690" spans="11:38" ht="16.5" x14ac:dyDescent="0.2">
      <c r="K690" s="13">
        <v>687</v>
      </c>
      <c r="L690" s="13">
        <f t="shared" si="277"/>
        <v>33</v>
      </c>
      <c r="M690" s="13">
        <f t="shared" si="278"/>
        <v>4</v>
      </c>
      <c r="N690" s="14">
        <f t="shared" si="279"/>
        <v>1102017</v>
      </c>
      <c r="O690" s="14" t="str">
        <f t="shared" si="280"/>
        <v>飞廉15突</v>
      </c>
      <c r="P690" s="29" t="s">
        <v>470</v>
      </c>
      <c r="Q690" s="14">
        <f t="shared" si="281"/>
        <v>2</v>
      </c>
      <c r="R690" s="14">
        <f t="shared" si="282"/>
        <v>15</v>
      </c>
      <c r="S690" s="14" t="s">
        <v>39</v>
      </c>
      <c r="T690" s="14">
        <f>ROUND(((IF(Q690=1,INDEX(新属性投放!$J$14:$J$34,卡牌属性!R690),INDEX(新属性投放!$J$42:$J$62,卡牌属性!R690)))*INDEX($G$5:$G$42,L690)+IF(Q690=1,INDEX(新属性投放!R$20:R$23,卡牌属性!M690-1),INDEX(新属性投放!R$25:R$28,卡牌属性!M690-1)))/SQRT(INDEX($I$5:$I$42,L690)),2)</f>
        <v>12637.82</v>
      </c>
      <c r="U690" s="29" t="s">
        <v>178</v>
      </c>
      <c r="V690" s="14">
        <f>ROUND((IF(Q690=1,INDEX(新属性投放!$K$14:$K$34,卡牌属性!R690),INDEX(新属性投放!$K$42:$K$62,卡牌属性!R690))+IF(Q690=1,INDEX(新属性投放!S$20:S$23,卡牌属性!M690-1),INDEX(新属性投放!S$25:S$28,卡牌属性!M690-1)))*INDEX($G$5:$G$42,L690),2)</f>
        <v>6120.11</v>
      </c>
      <c r="W690" s="29" t="s">
        <v>179</v>
      </c>
      <c r="X690" s="14">
        <f>ROUND((IF(Q690=1,INDEX(新属性投放!$L$14:$L$34,卡牌属性!R690),INDEX(新属性投放!$L$42:$L$62,卡牌属性!R690))*INDEX($G$5:$G$42,L690)+IF(Q690=1,INDEX(新属性投放!T$20:T$23,卡牌属性!M690-1),INDEX(新属性投放!T$25:T$28,卡牌属性!M690-1)))*SQRT(INDEX($I$5:$I$42,L690)),2)</f>
        <v>66551.199999999997</v>
      </c>
      <c r="Y690" s="29" t="s">
        <v>177</v>
      </c>
      <c r="Z690" s="14">
        <f>ROUND(IF(Q690=1,INDEX(新属性投放!$D$14:$D$34,卡牌属性!R690),INDEX(新属性投放!$D$42:$D$62,卡牌属性!R690))*INDEX($G$5:$G$42,L690)/SQRT(INDEX($I$5:$I$42,L690)),2)</f>
        <v>302.33</v>
      </c>
      <c r="AA690" s="29" t="s">
        <v>178</v>
      </c>
      <c r="AB690" s="14">
        <f>ROUND(IF(Q690=1,INDEX(新属性投放!$E$14:$E$34,卡牌属性!R690),INDEX(新属性投放!$E$42:$E$62,卡牌属性!R690))*INDEX($G$5:$G$42,L690),2)</f>
        <v>151.16</v>
      </c>
      <c r="AC690" s="29" t="s">
        <v>179</v>
      </c>
      <c r="AD690" s="14">
        <f>ROUND(IF(Q690=1,INDEX(新属性投放!$F$14:$F$34,卡牌属性!R690),INDEX(新属性投放!$F$42:$F$62,卡牌属性!R690))*INDEX($G$5:$G$42,L690)*SQRT(INDEX($I$5:$I$42,L690)),2)</f>
        <v>1359.8</v>
      </c>
      <c r="AF690" s="14">
        <f t="shared" si="283"/>
        <v>3023</v>
      </c>
      <c r="AG690" s="14">
        <f t="shared" si="284"/>
        <v>1511</v>
      </c>
      <c r="AH690" s="14">
        <f t="shared" si="285"/>
        <v>13598</v>
      </c>
      <c r="AJ690" s="14">
        <f t="shared" si="295"/>
        <v>18277</v>
      </c>
      <c r="AK690" s="14">
        <f t="shared" si="296"/>
        <v>9133</v>
      </c>
      <c r="AL690" s="14">
        <f t="shared" si="297"/>
        <v>82173</v>
      </c>
    </row>
    <row r="691" spans="11:38" ht="16.5" x14ac:dyDescent="0.2">
      <c r="K691" s="13">
        <v>688</v>
      </c>
      <c r="L691" s="13">
        <f t="shared" si="277"/>
        <v>33</v>
      </c>
      <c r="M691" s="13">
        <f t="shared" si="278"/>
        <v>4</v>
      </c>
      <c r="N691" s="14">
        <f t="shared" si="279"/>
        <v>1102017</v>
      </c>
      <c r="O691" s="14" t="str">
        <f t="shared" si="280"/>
        <v>飞廉16突</v>
      </c>
      <c r="P691" s="29" t="s">
        <v>470</v>
      </c>
      <c r="Q691" s="14">
        <f t="shared" si="281"/>
        <v>2</v>
      </c>
      <c r="R691" s="14">
        <f t="shared" si="282"/>
        <v>16</v>
      </c>
      <c r="S691" s="14" t="s">
        <v>39</v>
      </c>
      <c r="T691" s="14">
        <f>ROUND(((IF(Q691=1,INDEX(新属性投放!$J$14:$J$34,卡牌属性!R691),INDEX(新属性投放!$J$42:$J$62,卡牌属性!R691)))*INDEX($G$5:$G$42,L691)+IF(Q691=1,INDEX(新属性投放!R$20:R$23,卡牌属性!M691-1),INDEX(新属性投放!R$25:R$28,卡牌属性!M691-1)))/SQRT(INDEX($I$5:$I$42,L691)),2)</f>
        <v>14527.76</v>
      </c>
      <c r="U691" s="29" t="s">
        <v>178</v>
      </c>
      <c r="V691" s="14">
        <f>ROUND((IF(Q691=1,INDEX(新属性投放!$K$14:$K$34,卡牌属性!R691),INDEX(新属性投放!$K$42:$K$62,卡牌属性!R691))+IF(Q691=1,INDEX(新属性投放!S$20:S$23,卡牌属性!M691-1),INDEX(新属性投放!S$25:S$28,卡牌属性!M691-1)))*INDEX($G$5:$G$42,L691),2)</f>
        <v>7064.43</v>
      </c>
      <c r="W691" s="29" t="s">
        <v>179</v>
      </c>
      <c r="X691" s="14">
        <f>ROUND((IF(Q691=1,INDEX(新属性投放!$L$14:$L$34,卡牌属性!R691),INDEX(新属性投放!$L$42:$L$62,卡牌属性!R691))*INDEX($G$5:$G$42,L691)+IF(Q691=1,INDEX(新属性投放!T$20:T$23,卡牌属性!M691-1),INDEX(新属性投放!T$25:T$28,卡牌属性!M691-1)))*SQRT(INDEX($I$5:$I$42,L691)),2)</f>
        <v>76754.899999999994</v>
      </c>
      <c r="Y691" s="29" t="s">
        <v>177</v>
      </c>
      <c r="Z691" s="14">
        <f>ROUND(IF(Q691=1,INDEX(新属性投放!$D$14:$D$34,卡牌属性!R691),INDEX(新属性投放!$D$42:$D$62,卡牌属性!R691))*INDEX($G$5:$G$42,L691)/SQRT(INDEX($I$5:$I$42,L691)),2)</f>
        <v>349.58</v>
      </c>
      <c r="AA691" s="29" t="s">
        <v>178</v>
      </c>
      <c r="AB691" s="14">
        <f>ROUND(IF(Q691=1,INDEX(新属性投放!$E$14:$E$34,卡牌属性!R691),INDEX(新属性投放!$E$42:$E$62,卡牌属性!R691))*INDEX($G$5:$G$42,L691),2)</f>
        <v>174.79</v>
      </c>
      <c r="AC691" s="29" t="s">
        <v>179</v>
      </c>
      <c r="AD691" s="14">
        <f>ROUND(IF(Q691=1,INDEX(新属性投放!$F$14:$F$34,卡牌属性!R691),INDEX(新属性投放!$F$42:$F$62,卡牌属性!R691))*INDEX($G$5:$G$42,L691)*SQRT(INDEX($I$5:$I$42,L691)),2)</f>
        <v>1573</v>
      </c>
      <c r="AF691" s="14">
        <f t="shared" si="283"/>
        <v>3495</v>
      </c>
      <c r="AG691" s="14">
        <f t="shared" si="284"/>
        <v>1747</v>
      </c>
      <c r="AH691" s="14">
        <f t="shared" si="285"/>
        <v>15730</v>
      </c>
      <c r="AJ691" s="14">
        <f t="shared" si="295"/>
        <v>21772</v>
      </c>
      <c r="AK691" s="14">
        <f t="shared" si="296"/>
        <v>10880</v>
      </c>
      <c r="AL691" s="14">
        <f t="shared" si="297"/>
        <v>97903</v>
      </c>
    </row>
    <row r="692" spans="11:38" ht="16.5" x14ac:dyDescent="0.2">
      <c r="K692" s="13">
        <v>689</v>
      </c>
      <c r="L692" s="13">
        <f t="shared" si="277"/>
        <v>33</v>
      </c>
      <c r="M692" s="13">
        <f t="shared" si="278"/>
        <v>4</v>
      </c>
      <c r="N692" s="14">
        <f t="shared" si="279"/>
        <v>1102017</v>
      </c>
      <c r="O692" s="14" t="str">
        <f t="shared" si="280"/>
        <v>飞廉17突</v>
      </c>
      <c r="P692" s="29" t="s">
        <v>470</v>
      </c>
      <c r="Q692" s="14">
        <f t="shared" si="281"/>
        <v>2</v>
      </c>
      <c r="R692" s="14">
        <f t="shared" si="282"/>
        <v>17</v>
      </c>
      <c r="S692" s="14" t="s">
        <v>39</v>
      </c>
      <c r="T692" s="14">
        <f>ROUND(((IF(Q692=1,INDEX(新属性投放!$J$14:$J$34,卡牌属性!R692),INDEX(新属性投放!$J$42:$J$62,卡牌属性!R692)))*INDEX($G$5:$G$42,L692)+IF(Q692=1,INDEX(新属性投放!R$20:R$23,卡牌属性!M692-1),INDEX(新属性投放!R$25:R$28,卡牌属性!M692-1)))/SQRT(INDEX($I$5:$I$42,L692)),2)</f>
        <v>16712.47</v>
      </c>
      <c r="U692" s="29" t="s">
        <v>178</v>
      </c>
      <c r="V692" s="14">
        <f>ROUND((IF(Q692=1,INDEX(新属性投放!$K$14:$K$34,卡牌属性!R692),INDEX(新属性投放!$K$42:$K$62,卡牌属性!R692))+IF(Q692=1,INDEX(新属性投放!S$20:S$23,卡牌属性!M692-1),INDEX(新属性投放!S$25:S$28,卡牌属性!M692-1)))*INDEX($G$5:$G$42,L692),2)</f>
        <v>8156.79</v>
      </c>
      <c r="W692" s="29" t="s">
        <v>179</v>
      </c>
      <c r="X692" s="14">
        <f>ROUND((IF(Q692=1,INDEX(新属性投放!$L$14:$L$34,卡牌属性!R692),INDEX(新属性投放!$L$42:$L$62,卡牌属性!R692))*INDEX($G$5:$G$42,L692)+IF(Q692=1,INDEX(新属性投放!T$20:T$23,卡牌属性!M692-1),INDEX(新属性投放!T$25:T$28,卡牌属性!M692-1)))*SQRT(INDEX($I$5:$I$42,L692)),2)</f>
        <v>88551.1</v>
      </c>
      <c r="Y692" s="29" t="s">
        <v>177</v>
      </c>
      <c r="Z692" s="14">
        <f>ROUND(IF(Q692=1,INDEX(新属性投放!$D$14:$D$34,卡牌属性!R692),INDEX(新属性投放!$D$42:$D$62,卡牌属性!R692))*INDEX($G$5:$G$42,L692)/SQRT(INDEX($I$5:$I$42,L692)),2)</f>
        <v>404.2</v>
      </c>
      <c r="AA692" s="29" t="s">
        <v>178</v>
      </c>
      <c r="AB692" s="14">
        <f>ROUND(IF(Q692=1,INDEX(新属性投放!$E$14:$E$34,卡牌属性!R692),INDEX(新属性投放!$E$42:$E$62,卡牌属性!R692))*INDEX($G$5:$G$42,L692),2)</f>
        <v>202.1</v>
      </c>
      <c r="AC692" s="29" t="s">
        <v>179</v>
      </c>
      <c r="AD692" s="14">
        <f>ROUND(IF(Q692=1,INDEX(新属性投放!$F$14:$F$34,卡牌属性!R692),INDEX(新属性投放!$F$42:$F$62,卡牌属性!R692))*INDEX($G$5:$G$42,L692)*SQRT(INDEX($I$5:$I$42,L692)),2)</f>
        <v>1818.7</v>
      </c>
      <c r="AF692" s="14">
        <f t="shared" si="283"/>
        <v>4042</v>
      </c>
      <c r="AG692" s="14">
        <f t="shared" si="284"/>
        <v>2021</v>
      </c>
      <c r="AH692" s="14">
        <f t="shared" si="285"/>
        <v>18187</v>
      </c>
      <c r="AJ692" s="14">
        <f t="shared" si="295"/>
        <v>25814</v>
      </c>
      <c r="AK692" s="14">
        <f t="shared" si="296"/>
        <v>12901</v>
      </c>
      <c r="AL692" s="14">
        <f t="shared" si="297"/>
        <v>116090</v>
      </c>
    </row>
    <row r="693" spans="11:38" ht="16.5" x14ac:dyDescent="0.2">
      <c r="K693" s="13">
        <v>690</v>
      </c>
      <c r="L693" s="13">
        <f t="shared" si="277"/>
        <v>33</v>
      </c>
      <c r="M693" s="13">
        <f t="shared" si="278"/>
        <v>4</v>
      </c>
      <c r="N693" s="14">
        <f t="shared" si="279"/>
        <v>1102017</v>
      </c>
      <c r="O693" s="14" t="str">
        <f t="shared" si="280"/>
        <v>飞廉18突</v>
      </c>
      <c r="P693" s="29" t="s">
        <v>470</v>
      </c>
      <c r="Q693" s="14">
        <f t="shared" si="281"/>
        <v>2</v>
      </c>
      <c r="R693" s="14">
        <f t="shared" si="282"/>
        <v>18</v>
      </c>
      <c r="S693" s="14" t="s">
        <v>39</v>
      </c>
      <c r="T693" s="14">
        <f>ROUND(((IF(Q693=1,INDEX(新属性投放!$J$14:$J$34,卡牌属性!R693),INDEX(新属性投放!$J$42:$J$62,卡牌属性!R693)))*INDEX($G$5:$G$42,L693)+IF(Q693=1,INDEX(新属性投放!R$20:R$23,卡牌属性!M693-1),INDEX(新属性投放!R$25:R$28,卡牌属性!M693-1)))/SQRT(INDEX($I$5:$I$42,L693)),2)</f>
        <v>19239.150000000001</v>
      </c>
      <c r="U693" s="29" t="s">
        <v>178</v>
      </c>
      <c r="V693" s="14">
        <f>ROUND((IF(Q693=1,INDEX(新属性投放!$K$14:$K$34,卡牌属性!R693),INDEX(新属性投放!$K$42:$K$62,卡牌属性!R693))+IF(Q693=1,INDEX(新属性投放!S$20:S$23,卡牌属性!M693-1),INDEX(新属性投放!S$25:S$28,卡牌属性!M693-1)))*INDEX($G$5:$G$42,L693),2)</f>
        <v>9419.48</v>
      </c>
      <c r="W693" s="29" t="s">
        <v>179</v>
      </c>
      <c r="X693" s="14">
        <f>ROUND((IF(Q693=1,INDEX(新属性投放!$L$14:$L$34,卡牌属性!R693),INDEX(新属性投放!$L$42:$L$62,卡牌属性!R693))*INDEX($G$5:$G$42,L693)+IF(Q693=1,INDEX(新属性投放!T$20:T$23,卡牌属性!M693-1),INDEX(新属性投放!T$25:T$28,卡牌属性!M693-1)))*SQRT(INDEX($I$5:$I$42,L693)),2)</f>
        <v>102195.9</v>
      </c>
      <c r="Y693" s="29" t="s">
        <v>177</v>
      </c>
      <c r="Z693" s="14">
        <f>ROUND(IF(Q693=1,INDEX(新属性投放!$D$14:$D$34,卡牌属性!R693),INDEX(新属性投放!$D$42:$D$62,卡牌属性!R693))*INDEX($G$5:$G$42,L693)/SQRT(INDEX($I$5:$I$42,L693)),2)</f>
        <v>467.36</v>
      </c>
      <c r="AA693" s="29" t="s">
        <v>178</v>
      </c>
      <c r="AB693" s="14">
        <f>ROUND(IF(Q693=1,INDEX(新属性投放!$E$14:$E$34,卡牌属性!R693),INDEX(新属性投放!$E$42:$E$62,卡牌属性!R693))*INDEX($G$5:$G$42,L693),2)</f>
        <v>233.68</v>
      </c>
      <c r="AC693" s="29" t="s">
        <v>179</v>
      </c>
      <c r="AD693" s="14">
        <f>ROUND(IF(Q693=1,INDEX(新属性投放!$F$14:$F$34,卡牌属性!R693),INDEX(新属性投放!$F$42:$F$62,卡牌属性!R693))*INDEX($G$5:$G$42,L693)*SQRT(INDEX($I$5:$I$42,L693)),2)</f>
        <v>2102.1</v>
      </c>
      <c r="AF693" s="14">
        <f t="shared" si="283"/>
        <v>4673</v>
      </c>
      <c r="AG693" s="14">
        <f t="shared" si="284"/>
        <v>2336</v>
      </c>
      <c r="AH693" s="14">
        <f t="shared" si="285"/>
        <v>21021</v>
      </c>
      <c r="AJ693" s="14">
        <f t="shared" si="295"/>
        <v>30487</v>
      </c>
      <c r="AK693" s="14">
        <f t="shared" si="296"/>
        <v>15237</v>
      </c>
      <c r="AL693" s="14">
        <f t="shared" si="297"/>
        <v>137111</v>
      </c>
    </row>
    <row r="694" spans="11:38" ht="16.5" x14ac:dyDescent="0.2">
      <c r="K694" s="13">
        <v>691</v>
      </c>
      <c r="L694" s="13">
        <f t="shared" si="277"/>
        <v>33</v>
      </c>
      <c r="M694" s="13">
        <f t="shared" si="278"/>
        <v>4</v>
      </c>
      <c r="N694" s="14">
        <f t="shared" si="279"/>
        <v>1102017</v>
      </c>
      <c r="O694" s="14" t="str">
        <f t="shared" si="280"/>
        <v>飞廉19突</v>
      </c>
      <c r="P694" s="29" t="s">
        <v>470</v>
      </c>
      <c r="Q694" s="14">
        <f t="shared" si="281"/>
        <v>2</v>
      </c>
      <c r="R694" s="14">
        <f t="shared" si="282"/>
        <v>19</v>
      </c>
      <c r="S694" s="14" t="s">
        <v>39</v>
      </c>
      <c r="T694" s="14">
        <f>ROUND(((IF(Q694=1,INDEX(新属性投放!$J$14:$J$34,卡牌属性!R694),INDEX(新属性投放!$J$42:$J$62,卡牌属性!R694)))*INDEX($G$5:$G$42,L694)+IF(Q694=1,INDEX(新属性投放!R$20:R$23,卡牌属性!M694-1),INDEX(新属性投放!R$25:R$28,卡牌属性!M694-1)))/SQRT(INDEX($I$5:$I$42,L694)),2)</f>
        <v>22159.67</v>
      </c>
      <c r="U694" s="29" t="s">
        <v>178</v>
      </c>
      <c r="V694" s="14">
        <f>ROUND((IF(Q694=1,INDEX(新属性投放!$K$14:$K$34,卡牌属性!R694),INDEX(新属性投放!$K$42:$K$62,卡牌属性!R694))+IF(Q694=1,INDEX(新属性投放!S$20:S$23,卡牌属性!M694-1),INDEX(新属性投放!S$25:S$28,卡牌属性!M694-1)))*INDEX($G$5:$G$42,L694),2)</f>
        <v>10880.38</v>
      </c>
      <c r="W694" s="29" t="s">
        <v>179</v>
      </c>
      <c r="X694" s="14">
        <f>ROUND((IF(Q694=1,INDEX(新属性投放!$L$14:$L$34,卡牌属性!R694),INDEX(新属性投放!$L$42:$L$62,卡牌属性!R694))*INDEX($G$5:$G$42,L694)+IF(Q694=1,INDEX(新属性投放!T$20:T$23,卡牌属性!M694-1),INDEX(新属性投放!T$25:T$28,卡牌属性!M694-1)))*SQRT(INDEX($I$5:$I$42,L694)),2)</f>
        <v>117959.7</v>
      </c>
      <c r="Y694" s="29" t="s">
        <v>177</v>
      </c>
      <c r="Z694" s="14">
        <f>ROUND(IF(Q694=1,INDEX(新属性投放!$D$14:$D$34,卡牌属性!R694),INDEX(新属性投放!$D$42:$D$62,卡牌属性!R694))*INDEX($G$5:$G$42,L694)/SQRT(INDEX($I$5:$I$42,L694)),2)</f>
        <v>540.38</v>
      </c>
      <c r="AA694" s="29" t="s">
        <v>178</v>
      </c>
      <c r="AB694" s="14">
        <f>ROUND(IF(Q694=1,INDEX(新属性投放!$E$14:$E$34,卡牌属性!R694),INDEX(新属性投放!$E$42:$E$62,卡牌属性!R694))*INDEX($G$5:$G$42,L694),2)</f>
        <v>270.19</v>
      </c>
      <c r="AC694" s="29" t="s">
        <v>179</v>
      </c>
      <c r="AD694" s="14">
        <f>ROUND(IF(Q694=1,INDEX(新属性投放!$F$14:$F$34,卡牌属性!R694),INDEX(新属性投放!$F$42:$F$62,卡牌属性!R694))*INDEX($G$5:$G$42,L694)*SQRT(INDEX($I$5:$I$42,L694)),2)</f>
        <v>2431</v>
      </c>
      <c r="AF694" s="14">
        <f t="shared" si="283"/>
        <v>5403</v>
      </c>
      <c r="AG694" s="14">
        <f t="shared" si="284"/>
        <v>2701</v>
      </c>
      <c r="AH694" s="14">
        <f t="shared" si="285"/>
        <v>24310</v>
      </c>
      <c r="AJ694" s="14">
        <f t="shared" si="295"/>
        <v>35890</v>
      </c>
      <c r="AK694" s="14">
        <f t="shared" si="296"/>
        <v>17938</v>
      </c>
      <c r="AL694" s="14">
        <f t="shared" si="297"/>
        <v>161421</v>
      </c>
    </row>
    <row r="695" spans="11:38" ht="16.5" x14ac:dyDescent="0.2">
      <c r="K695" s="13">
        <v>692</v>
      </c>
      <c r="L695" s="13">
        <f t="shared" si="277"/>
        <v>33</v>
      </c>
      <c r="M695" s="13">
        <f t="shared" si="278"/>
        <v>4</v>
      </c>
      <c r="N695" s="14">
        <f t="shared" si="279"/>
        <v>1102017</v>
      </c>
      <c r="O695" s="14" t="str">
        <f t="shared" si="280"/>
        <v>飞廉20突</v>
      </c>
      <c r="P695" s="29" t="s">
        <v>470</v>
      </c>
      <c r="Q695" s="14">
        <f t="shared" si="281"/>
        <v>2</v>
      </c>
      <c r="R695" s="14">
        <f t="shared" si="282"/>
        <v>20</v>
      </c>
      <c r="S695" s="14" t="s">
        <v>39</v>
      </c>
      <c r="T695" s="14">
        <f>ROUND(((IF(Q695=1,INDEX(新属性投放!$J$14:$J$34,卡牌属性!R695),INDEX(新属性投放!$J$42:$J$62,卡牌属性!R695)))*INDEX($G$5:$G$42,L695)+IF(Q695=1,INDEX(新属性投放!R$20:R$23,卡牌属性!M695-1),INDEX(新属性投放!R$25:R$28,卡牌属性!M695-1)))/SQRT(INDEX($I$5:$I$42,L695)),2)</f>
        <v>25537.59</v>
      </c>
      <c r="U695" s="29" t="s">
        <v>178</v>
      </c>
      <c r="V695" s="14">
        <f>ROUND((IF(Q695=1,INDEX(新属性投放!$K$14:$K$34,卡牌属性!R695),INDEX(新属性投放!$K$42:$K$62,卡牌属性!R695))+IF(Q695=1,INDEX(新属性投放!S$20:S$23,卡牌属性!M695-1),INDEX(新属性投放!S$25:S$28,卡牌属性!M695-1)))*INDEX($G$5:$G$42,L695),2)</f>
        <v>12569.34</v>
      </c>
      <c r="W695" s="29" t="s">
        <v>179</v>
      </c>
      <c r="X695" s="14">
        <f>ROUND((IF(Q695=1,INDEX(新属性投放!$L$14:$L$34,卡牌属性!R695),INDEX(新属性投放!$L$42:$L$62,卡牌属性!R695))*INDEX($G$5:$G$42,L695)+IF(Q695=1,INDEX(新属性投放!T$20:T$23,卡牌属性!M695-1),INDEX(新属性投放!T$25:T$28,卡牌属性!M695-1)))*SQRT(INDEX($I$5:$I$42,L695)),2)</f>
        <v>136198.70000000001</v>
      </c>
      <c r="Y695" s="29" t="s">
        <v>177</v>
      </c>
      <c r="Z695" s="14">
        <f>ROUND(IF(Q695=1,INDEX(新属性投放!$D$14:$D$34,卡牌属性!R695),INDEX(新属性投放!$D$42:$D$62,卡牌属性!R695))*INDEX($G$5:$G$42,L695)/SQRT(INDEX($I$5:$I$42,L695)),2)</f>
        <v>624.83000000000004</v>
      </c>
      <c r="AA695" s="29" t="s">
        <v>178</v>
      </c>
      <c r="AB695" s="14">
        <f>ROUND(IF(Q695=1,INDEX(新属性投放!$E$14:$E$34,卡牌属性!R695),INDEX(新属性投放!$E$42:$E$62,卡牌属性!R695))*INDEX($G$5:$G$42,L695),2)</f>
        <v>312.42</v>
      </c>
      <c r="AC695" s="29" t="s">
        <v>179</v>
      </c>
      <c r="AD695" s="14">
        <f>ROUND(IF(Q695=1,INDEX(新属性投放!$F$14:$F$34,卡牌属性!R695),INDEX(新属性投放!$F$42:$F$62,卡牌属性!R695))*INDEX($G$5:$G$42,L695)*SQRT(INDEX($I$5:$I$42,L695)),2)</f>
        <v>2810.6</v>
      </c>
      <c r="AF695" s="14">
        <f t="shared" si="283"/>
        <v>6248</v>
      </c>
      <c r="AG695" s="14">
        <f t="shared" si="284"/>
        <v>3124</v>
      </c>
      <c r="AH695" s="14">
        <f t="shared" si="285"/>
        <v>28106</v>
      </c>
      <c r="AJ695" s="14">
        <f t="shared" si="295"/>
        <v>42138</v>
      </c>
      <c r="AK695" s="14">
        <f t="shared" si="296"/>
        <v>21062</v>
      </c>
      <c r="AL695" s="14">
        <f t="shared" si="297"/>
        <v>189527</v>
      </c>
    </row>
    <row r="696" spans="11:38" ht="16.5" x14ac:dyDescent="0.2">
      <c r="K696" s="13">
        <v>693</v>
      </c>
      <c r="L696" s="13">
        <f t="shared" si="277"/>
        <v>33</v>
      </c>
      <c r="M696" s="13">
        <f t="shared" si="278"/>
        <v>4</v>
      </c>
      <c r="N696" s="14">
        <f t="shared" si="279"/>
        <v>1102017</v>
      </c>
      <c r="O696" s="14" t="str">
        <f t="shared" si="280"/>
        <v>飞廉21突</v>
      </c>
      <c r="P696" s="29" t="s">
        <v>470</v>
      </c>
      <c r="Q696" s="14">
        <f t="shared" si="281"/>
        <v>2</v>
      </c>
      <c r="R696" s="14">
        <f t="shared" si="282"/>
        <v>21</v>
      </c>
      <c r="S696" s="14" t="s">
        <v>39</v>
      </c>
      <c r="T696" s="14">
        <f>ROUND(((IF(Q696=1,INDEX(新属性投放!$J$14:$J$34,卡牌属性!R696),INDEX(新属性投放!$J$42:$J$62,卡牌属性!R696)))*INDEX($G$5:$G$42,L696)+IF(Q696=1,INDEX(新属性投放!R$20:R$23,卡牌属性!M696-1),INDEX(新属性投放!R$25:R$28,卡牌属性!M696-1)))/SQRT(INDEX($I$5:$I$42,L696)),2)</f>
        <v>29443.05</v>
      </c>
      <c r="U696" s="29" t="s">
        <v>178</v>
      </c>
      <c r="V696" s="14">
        <f>ROUND((IF(Q696=1,INDEX(新属性投放!$K$14:$K$34,卡牌属性!R696),INDEX(新属性投放!$K$42:$K$62,卡牌属性!R696))+IF(Q696=1,INDEX(新属性投放!S$20:S$23,卡牌属性!M696-1),INDEX(新属性投放!S$25:S$28,卡牌属性!M696-1)))*INDEX($G$5:$G$42,L696),2)</f>
        <v>14521.42</v>
      </c>
      <c r="W696" s="29" t="s">
        <v>179</v>
      </c>
      <c r="X696" s="14">
        <f>ROUND((IF(Q696=1,INDEX(新属性投放!$L$14:$L$34,卡牌属性!R696),INDEX(新属性投放!$L$42:$L$62,卡牌属性!R696))*INDEX($G$5:$G$42,L696)+IF(Q696=1,INDEX(新属性投放!T$20:T$23,卡牌属性!M696-1),INDEX(新属性投放!T$25:T$28,卡牌属性!M696-1)))*SQRT(INDEX($I$5:$I$42,L696)),2)</f>
        <v>157283.4</v>
      </c>
      <c r="Y696" s="29" t="s">
        <v>177</v>
      </c>
      <c r="Z696" s="14">
        <f>ROUND(IF(Q696=1,INDEX(新属性投放!$D$14:$D$34,卡牌属性!R696),INDEX(新属性投放!$D$42:$D$62,卡牌属性!R696))*INDEX($G$5:$G$42,L696)/SQRT(INDEX($I$5:$I$42,L696)),2)</f>
        <v>722.46</v>
      </c>
      <c r="AA696" s="29" t="s">
        <v>178</v>
      </c>
      <c r="AB696" s="14">
        <f>ROUND(IF(Q696=1,INDEX(新属性投放!$E$14:$E$34,卡牌属性!R696),INDEX(新属性投放!$E$42:$E$62,卡牌属性!R696))*INDEX($G$5:$G$42,L696),2)</f>
        <v>361.23</v>
      </c>
      <c r="AC696" s="29" t="s">
        <v>179</v>
      </c>
      <c r="AD696" s="14">
        <f>ROUND(IF(Q696=1,INDEX(新属性投放!$F$14:$F$34,卡牌属性!R696),INDEX(新属性投放!$F$42:$F$62,卡牌属性!R696))*INDEX($G$5:$G$42,L696)*SQRT(INDEX($I$5:$I$42,L696)),2)</f>
        <v>3250</v>
      </c>
      <c r="AF696" s="14">
        <f t="shared" si="283"/>
        <v>7224</v>
      </c>
      <c r="AG696" s="14">
        <f t="shared" si="284"/>
        <v>3612</v>
      </c>
      <c r="AH696" s="14">
        <f t="shared" si="285"/>
        <v>32500</v>
      </c>
      <c r="AJ696" s="14">
        <f t="shared" si="295"/>
        <v>49362</v>
      </c>
      <c r="AK696" s="14">
        <f t="shared" si="296"/>
        <v>24674</v>
      </c>
      <c r="AL696" s="14">
        <f t="shared" si="297"/>
        <v>222027</v>
      </c>
    </row>
    <row r="697" spans="11:38" ht="16.5" x14ac:dyDescent="0.2">
      <c r="K697" s="13">
        <v>694</v>
      </c>
      <c r="L697" s="13">
        <f t="shared" si="277"/>
        <v>34</v>
      </c>
      <c r="M697" s="13">
        <f t="shared" si="278"/>
        <v>2</v>
      </c>
      <c r="N697" s="14">
        <f t="shared" si="279"/>
        <v>1102018</v>
      </c>
      <c r="O697" s="14" t="str">
        <f t="shared" si="280"/>
        <v>噬日1突</v>
      </c>
      <c r="P697" s="29" t="s">
        <v>470</v>
      </c>
      <c r="Q697" s="14">
        <f t="shared" si="281"/>
        <v>2</v>
      </c>
      <c r="R697" s="14">
        <f t="shared" si="282"/>
        <v>1</v>
      </c>
      <c r="S697" s="14" t="s">
        <v>39</v>
      </c>
      <c r="T697" s="14">
        <f>ROUND(((IF(Q697=1,INDEX(新属性投放!$J$14:$J$34,卡牌属性!R697),INDEX(新属性投放!$J$42:$J$62,卡牌属性!R697)))*INDEX($G$5:$G$42,L697)+IF(Q697=1,INDEX(新属性投放!R$20:R$23,卡牌属性!M697-1),INDEX(新属性投放!R$25:R$28,卡牌属性!M697-1)))/SQRT(INDEX($I$5:$I$42,L697)),2)</f>
        <v>350</v>
      </c>
      <c r="U697" s="29" t="s">
        <v>178</v>
      </c>
      <c r="V697" s="14">
        <f>ROUND((IF(Q697=1,INDEX(新属性投放!$K$14:$K$34,卡牌属性!R697),INDEX(新属性投放!$K$42:$K$62,卡牌属性!R697))+IF(Q697=1,INDEX(新属性投放!S$20:S$23,卡牌属性!M697-1),INDEX(新属性投放!S$25:S$28,卡牌属性!M697-1)))*INDEX($G$5:$G$42,L697),2)</f>
        <v>100</v>
      </c>
      <c r="W697" s="29" t="s">
        <v>179</v>
      </c>
      <c r="X697" s="14">
        <f>ROUND((IF(Q697=1,INDEX(新属性投放!$L$14:$L$34,卡牌属性!R697),INDEX(新属性投放!$L$42:$L$62,卡牌属性!R697))*INDEX($G$5:$G$42,L697)+IF(Q697=1,INDEX(新属性投放!T$20:T$23,卡牌属性!M697-1),INDEX(新属性投放!T$25:T$28,卡牌属性!M697-1)))*SQRT(INDEX($I$5:$I$42,L697)),2)</f>
        <v>750</v>
      </c>
      <c r="Y697" s="29" t="s">
        <v>177</v>
      </c>
      <c r="Z697" s="14">
        <f>ROUND(IF(Q697=1,INDEX(新属性投放!$D$14:$D$34,卡牌属性!R697),INDEX(新属性投放!$D$42:$D$62,卡牌属性!R697))*INDEX($G$5:$G$42,L697)/SQRT(INDEX($I$5:$I$42,L697)),2)</f>
        <v>15</v>
      </c>
      <c r="AA697" s="29" t="s">
        <v>178</v>
      </c>
      <c r="AB697" s="14">
        <f>ROUND(IF(Q697=1,INDEX(新属性投放!$E$14:$E$34,卡牌属性!R697),INDEX(新属性投放!$E$42:$E$62,卡牌属性!R697))*INDEX($G$5:$G$42,L697),2)</f>
        <v>7.5</v>
      </c>
      <c r="AC697" s="29" t="s">
        <v>179</v>
      </c>
      <c r="AD697" s="14">
        <f>ROUND(IF(Q697=1,INDEX(新属性投放!$F$14:$F$34,卡牌属性!R697),INDEX(新属性投放!$F$42:$F$62,卡牌属性!R697))*INDEX($G$5:$G$42,L697)*SQRT(INDEX($I$5:$I$42,L697)),2)</f>
        <v>67</v>
      </c>
      <c r="AF697" s="14">
        <f t="shared" si="283"/>
        <v>150</v>
      </c>
      <c r="AG697" s="14">
        <f t="shared" si="284"/>
        <v>75</v>
      </c>
      <c r="AH697" s="14">
        <f t="shared" si="285"/>
        <v>670</v>
      </c>
      <c r="AJ697" s="14">
        <f t="shared" ref="AJ697" si="298">AF697</f>
        <v>150</v>
      </c>
      <c r="AK697" s="14">
        <f t="shared" ref="AK697" si="299">AG697</f>
        <v>75</v>
      </c>
      <c r="AL697" s="14">
        <f t="shared" ref="AL697" si="300">AH697</f>
        <v>670</v>
      </c>
    </row>
    <row r="698" spans="11:38" ht="16.5" x14ac:dyDescent="0.2">
      <c r="K698" s="13">
        <v>695</v>
      </c>
      <c r="L698" s="13">
        <f t="shared" si="277"/>
        <v>34</v>
      </c>
      <c r="M698" s="13">
        <f t="shared" si="278"/>
        <v>2</v>
      </c>
      <c r="N698" s="14">
        <f t="shared" si="279"/>
        <v>1102018</v>
      </c>
      <c r="O698" s="14" t="str">
        <f t="shared" si="280"/>
        <v>噬日2突</v>
      </c>
      <c r="P698" s="29" t="s">
        <v>470</v>
      </c>
      <c r="Q698" s="14">
        <f t="shared" si="281"/>
        <v>2</v>
      </c>
      <c r="R698" s="14">
        <f t="shared" si="282"/>
        <v>2</v>
      </c>
      <c r="S698" s="14" t="s">
        <v>39</v>
      </c>
      <c r="T698" s="14">
        <f>ROUND(((IF(Q698=1,INDEX(新属性投放!$J$14:$J$34,卡牌属性!R698),INDEX(新属性投放!$J$42:$J$62,卡牌属性!R698)))*INDEX($G$5:$G$42,L698)+IF(Q698=1,INDEX(新属性投放!R$20:R$23,卡牌属性!M698-1),INDEX(新属性投放!R$25:R$28,卡牌属性!M698-1)))/SQRT(INDEX($I$5:$I$42,L698)),2)</f>
        <v>510</v>
      </c>
      <c r="U698" s="29" t="s">
        <v>178</v>
      </c>
      <c r="V698" s="14">
        <f>ROUND((IF(Q698=1,INDEX(新属性投放!$K$14:$K$34,卡牌属性!R698),INDEX(新属性投放!$K$42:$K$62,卡牌属性!R698))+IF(Q698=1,INDEX(新属性投放!S$20:S$23,卡牌属性!M698-1),INDEX(新属性投放!S$25:S$28,卡牌属性!M698-1)))*INDEX($G$5:$G$42,L698),2)</f>
        <v>177.5</v>
      </c>
      <c r="W698" s="29" t="s">
        <v>179</v>
      </c>
      <c r="X698" s="14">
        <f>ROUND((IF(Q698=1,INDEX(新属性投放!$L$14:$L$34,卡牌属性!R698),INDEX(新属性投放!$L$42:$L$62,卡牌属性!R698))*INDEX($G$5:$G$42,L698)+IF(Q698=1,INDEX(新属性投放!T$20:T$23,卡牌属性!M698-1),INDEX(新属性投放!T$25:T$28,卡牌属性!M698-1)))*SQRT(INDEX($I$5:$I$42,L698)),2)</f>
        <v>1578</v>
      </c>
      <c r="Y698" s="29" t="s">
        <v>177</v>
      </c>
      <c r="Z698" s="14">
        <f>ROUND(IF(Q698=1,INDEX(新属性投放!$D$14:$D$34,卡牌属性!R698),INDEX(新属性投放!$D$42:$D$62,卡牌属性!R698))*INDEX($G$5:$G$42,L698)/SQRT(INDEX($I$5:$I$42,L698)),2)</f>
        <v>13.77</v>
      </c>
      <c r="AA698" s="29" t="s">
        <v>178</v>
      </c>
      <c r="AB698" s="14">
        <f>ROUND(IF(Q698=1,INDEX(新属性投放!$E$14:$E$34,卡牌属性!R698),INDEX(新属性投放!$E$42:$E$62,卡牌属性!R698))*INDEX($G$5:$G$42,L698),2)</f>
        <v>6.89</v>
      </c>
      <c r="AC698" s="29" t="s">
        <v>179</v>
      </c>
      <c r="AD698" s="14">
        <f>ROUND(IF(Q698=1,INDEX(新属性投放!$F$14:$F$34,卡牌属性!R698),INDEX(新属性投放!$F$42:$F$62,卡牌属性!R698))*INDEX($G$5:$G$42,L698)*SQRT(INDEX($I$5:$I$42,L698)),2)</f>
        <v>61</v>
      </c>
      <c r="AF698" s="14">
        <f t="shared" si="283"/>
        <v>137</v>
      </c>
      <c r="AG698" s="14">
        <f t="shared" si="284"/>
        <v>68</v>
      </c>
      <c r="AH698" s="14">
        <f t="shared" si="285"/>
        <v>610</v>
      </c>
      <c r="AJ698" s="14">
        <f t="shared" ref="AJ698:AJ717" si="301">AJ697+AF698</f>
        <v>287</v>
      </c>
      <c r="AK698" s="14">
        <f t="shared" ref="AK698:AK717" si="302">AK697+AG698</f>
        <v>143</v>
      </c>
      <c r="AL698" s="14">
        <f t="shared" ref="AL698:AL717" si="303">AL697+AH698</f>
        <v>1280</v>
      </c>
    </row>
    <row r="699" spans="11:38" ht="16.5" x14ac:dyDescent="0.2">
      <c r="K699" s="13">
        <v>696</v>
      </c>
      <c r="L699" s="13">
        <f t="shared" si="277"/>
        <v>34</v>
      </c>
      <c r="M699" s="13">
        <f t="shared" si="278"/>
        <v>2</v>
      </c>
      <c r="N699" s="14">
        <f t="shared" si="279"/>
        <v>1102018</v>
      </c>
      <c r="O699" s="14" t="str">
        <f t="shared" si="280"/>
        <v>噬日3突</v>
      </c>
      <c r="P699" s="29" t="s">
        <v>470</v>
      </c>
      <c r="Q699" s="14">
        <f t="shared" si="281"/>
        <v>2</v>
      </c>
      <c r="R699" s="14">
        <f t="shared" si="282"/>
        <v>3</v>
      </c>
      <c r="S699" s="14" t="s">
        <v>39</v>
      </c>
      <c r="T699" s="14">
        <f>ROUND(((IF(Q699=1,INDEX(新属性投放!$J$14:$J$34,卡牌属性!R699),INDEX(新属性投放!$J$42:$J$62,卡牌属性!R699)))*INDEX($G$5:$G$42,L699)+IF(Q699=1,INDEX(新属性投放!R$20:R$23,卡牌属性!M699-1),INDEX(新属性投放!R$25:R$28,卡牌属性!M699-1)))/SQRT(INDEX($I$5:$I$42,L699)),2)</f>
        <v>681.7</v>
      </c>
      <c r="U699" s="29" t="s">
        <v>178</v>
      </c>
      <c r="V699" s="14">
        <f>ROUND((IF(Q699=1,INDEX(新属性投放!$K$14:$K$34,卡牌属性!R699),INDEX(新属性投放!$K$42:$K$62,卡牌属性!R699))+IF(Q699=1,INDEX(新属性投放!S$20:S$23,卡牌属性!M699-1),INDEX(新属性投放!S$25:S$28,卡牌属性!M699-1)))*INDEX($G$5:$G$42,L699),2)</f>
        <v>263.35000000000002</v>
      </c>
      <c r="W699" s="29" t="s">
        <v>179</v>
      </c>
      <c r="X699" s="14">
        <f>ROUND((IF(Q699=1,INDEX(新属性投放!$L$14:$L$34,卡牌属性!R699),INDEX(新属性投放!$L$42:$L$62,卡牌属性!R699))*INDEX($G$5:$G$42,L699)+IF(Q699=1,INDEX(新属性投放!T$20:T$23,卡牌属性!M699-1),INDEX(新属性投放!T$25:T$28,卡牌属性!M699-1)))*SQRT(INDEX($I$5:$I$42,L699)),2)</f>
        <v>2494</v>
      </c>
      <c r="Y699" s="29" t="s">
        <v>177</v>
      </c>
      <c r="Z699" s="14">
        <f>ROUND(IF(Q699=1,INDEX(新属性投放!$D$14:$D$34,卡牌属性!R699),INDEX(新属性投放!$D$42:$D$62,卡牌属性!R699))*INDEX($G$5:$G$42,L699)/SQRT(INDEX($I$5:$I$42,L699)),2)</f>
        <v>25.17</v>
      </c>
      <c r="AA699" s="29" t="s">
        <v>178</v>
      </c>
      <c r="AB699" s="14">
        <f>ROUND(IF(Q699=1,INDEX(新属性投放!$E$14:$E$34,卡牌属性!R699),INDEX(新属性投放!$E$42:$E$62,卡牌属性!R699))*INDEX($G$5:$G$42,L699),2)</f>
        <v>12.59</v>
      </c>
      <c r="AC699" s="29" t="s">
        <v>179</v>
      </c>
      <c r="AD699" s="14">
        <f>ROUND(IF(Q699=1,INDEX(新属性投放!$F$14:$F$34,卡牌属性!R699),INDEX(新属性投放!$F$42:$F$62,卡牌属性!R699))*INDEX($G$5:$G$42,L699)*SQRT(INDEX($I$5:$I$42,L699)),2)</f>
        <v>113</v>
      </c>
      <c r="AF699" s="14">
        <f t="shared" si="283"/>
        <v>251</v>
      </c>
      <c r="AG699" s="14">
        <f t="shared" si="284"/>
        <v>125</v>
      </c>
      <c r="AH699" s="14">
        <f t="shared" si="285"/>
        <v>1130</v>
      </c>
      <c r="AJ699" s="14">
        <f t="shared" si="301"/>
        <v>538</v>
      </c>
      <c r="AK699" s="14">
        <f t="shared" si="302"/>
        <v>268</v>
      </c>
      <c r="AL699" s="14">
        <f t="shared" si="303"/>
        <v>2410</v>
      </c>
    </row>
    <row r="700" spans="11:38" ht="16.5" x14ac:dyDescent="0.2">
      <c r="K700" s="13">
        <v>697</v>
      </c>
      <c r="L700" s="13">
        <f t="shared" si="277"/>
        <v>34</v>
      </c>
      <c r="M700" s="13">
        <f t="shared" si="278"/>
        <v>2</v>
      </c>
      <c r="N700" s="14">
        <f t="shared" si="279"/>
        <v>1102018</v>
      </c>
      <c r="O700" s="14" t="str">
        <f t="shared" si="280"/>
        <v>噬日4突</v>
      </c>
      <c r="P700" s="29" t="s">
        <v>470</v>
      </c>
      <c r="Q700" s="14">
        <f t="shared" si="281"/>
        <v>2</v>
      </c>
      <c r="R700" s="14">
        <f t="shared" si="282"/>
        <v>4</v>
      </c>
      <c r="S700" s="14" t="s">
        <v>39</v>
      </c>
      <c r="T700" s="14">
        <f>ROUND(((IF(Q700=1,INDEX(新属性投放!$J$14:$J$34,卡牌属性!R700),INDEX(新属性投放!$J$42:$J$62,卡牌属性!R700)))*INDEX($G$5:$G$42,L700)+IF(Q700=1,INDEX(新属性投放!R$20:R$23,卡牌属性!M700-1),INDEX(新属性投放!R$25:R$28,卡牌属性!M700-1)))/SQRT(INDEX($I$5:$I$42,L700)),2)</f>
        <v>996.4</v>
      </c>
      <c r="U700" s="29" t="s">
        <v>178</v>
      </c>
      <c r="V700" s="14">
        <f>ROUND((IF(Q700=1,INDEX(新属性投放!$K$14:$K$34,卡牌属性!R700),INDEX(新属性投放!$K$42:$K$62,卡牌属性!R700))+IF(Q700=1,INDEX(新属性投放!S$20:S$23,卡牌属性!M700-1),INDEX(新属性投放!S$25:S$28,卡牌属性!M700-1)))*INDEX($G$5:$G$42,L700),2)</f>
        <v>420.2</v>
      </c>
      <c r="W700" s="29" t="s">
        <v>179</v>
      </c>
      <c r="X700" s="14">
        <f>ROUND((IF(Q700=1,INDEX(新属性投放!$L$14:$L$34,卡牌属性!R700),INDEX(新属性投放!$L$42:$L$62,卡牌属性!R700))*INDEX($G$5:$G$42,L700)+IF(Q700=1,INDEX(新属性投放!T$20:T$23,卡牌属性!M700-1),INDEX(新属性投放!T$25:T$28,卡牌属性!M700-1)))*SQRT(INDEX($I$5:$I$42,L700)),2)</f>
        <v>4191</v>
      </c>
      <c r="Y700" s="29" t="s">
        <v>177</v>
      </c>
      <c r="Z700" s="14">
        <f>ROUND(IF(Q700=1,INDEX(新属性投放!$D$14:$D$34,卡牌属性!R700),INDEX(新属性投放!$D$42:$D$62,卡牌属性!R700))*INDEX($G$5:$G$42,L700)/SQRT(INDEX($I$5:$I$42,L700)),2)</f>
        <v>30.13</v>
      </c>
      <c r="AA700" s="29" t="s">
        <v>178</v>
      </c>
      <c r="AB700" s="14">
        <f>ROUND(IF(Q700=1,INDEX(新属性投放!$E$14:$E$34,卡牌属性!R700),INDEX(新属性投放!$E$42:$E$62,卡牌属性!R700))*INDEX($G$5:$G$42,L700),2)</f>
        <v>15.07</v>
      </c>
      <c r="AC700" s="29" t="s">
        <v>179</v>
      </c>
      <c r="AD700" s="14">
        <f>ROUND(IF(Q700=1,INDEX(新属性投放!$F$14:$F$34,卡牌属性!R700),INDEX(新属性投放!$F$42:$F$62,卡牌属性!R700))*INDEX($G$5:$G$42,L700)*SQRT(INDEX($I$5:$I$42,L700)),2)</f>
        <v>135</v>
      </c>
      <c r="AF700" s="14">
        <f t="shared" si="283"/>
        <v>301</v>
      </c>
      <c r="AG700" s="14">
        <f t="shared" si="284"/>
        <v>150</v>
      </c>
      <c r="AH700" s="14">
        <f t="shared" si="285"/>
        <v>1350</v>
      </c>
      <c r="AJ700" s="14">
        <f t="shared" si="301"/>
        <v>839</v>
      </c>
      <c r="AK700" s="14">
        <f t="shared" si="302"/>
        <v>418</v>
      </c>
      <c r="AL700" s="14">
        <f t="shared" si="303"/>
        <v>3760</v>
      </c>
    </row>
    <row r="701" spans="11:38" ht="16.5" x14ac:dyDescent="0.2">
      <c r="K701" s="13">
        <v>698</v>
      </c>
      <c r="L701" s="13">
        <f t="shared" si="277"/>
        <v>34</v>
      </c>
      <c r="M701" s="13">
        <f t="shared" si="278"/>
        <v>2</v>
      </c>
      <c r="N701" s="14">
        <f t="shared" si="279"/>
        <v>1102018</v>
      </c>
      <c r="O701" s="14" t="str">
        <f t="shared" si="280"/>
        <v>噬日5突</v>
      </c>
      <c r="P701" s="29" t="s">
        <v>470</v>
      </c>
      <c r="Q701" s="14">
        <f t="shared" si="281"/>
        <v>2</v>
      </c>
      <c r="R701" s="14">
        <f t="shared" si="282"/>
        <v>5</v>
      </c>
      <c r="S701" s="14" t="s">
        <v>39</v>
      </c>
      <c r="T701" s="14">
        <f>ROUND(((IF(Q701=1,INDEX(新属性投放!$J$14:$J$34,卡牌属性!R701),INDEX(新属性投放!$J$42:$J$62,卡牌属性!R701)))*INDEX($G$5:$G$42,L701)+IF(Q701=1,INDEX(新属性投放!R$20:R$23,卡牌属性!M701-1),INDEX(新属性投放!R$25:R$28,卡牌属性!M701-1)))/SQRT(INDEX($I$5:$I$42,L701)),2)</f>
        <v>1372.7</v>
      </c>
      <c r="U701" s="29" t="s">
        <v>178</v>
      </c>
      <c r="V701" s="14">
        <f>ROUND((IF(Q701=1,INDEX(新属性投放!$K$14:$K$34,卡牌属性!R701),INDEX(新属性投放!$K$42:$K$62,卡牌属性!R701))+IF(Q701=1,INDEX(新属性投放!S$20:S$23,卡牌属性!M701-1),INDEX(新属性投放!S$25:S$28,卡牌属性!M701-1)))*INDEX($G$5:$G$42,L701),2)</f>
        <v>608.85</v>
      </c>
      <c r="W701" s="29" t="s">
        <v>179</v>
      </c>
      <c r="X701" s="14">
        <f>ROUND((IF(Q701=1,INDEX(新属性投放!$L$14:$L$34,卡牌属性!R701),INDEX(新属性投放!$L$42:$L$62,卡牌属性!R701))*INDEX($G$5:$G$42,L701)+IF(Q701=1,INDEX(新属性投放!T$20:T$23,卡牌属性!M701-1),INDEX(新属性投放!T$25:T$28,卡牌属性!M701-1)))*SQRT(INDEX($I$5:$I$42,L701)),2)</f>
        <v>6216</v>
      </c>
      <c r="Y701" s="29" t="s">
        <v>177</v>
      </c>
      <c r="Z701" s="14">
        <f>ROUND(IF(Q701=1,INDEX(新属性投放!$D$14:$D$34,卡牌属性!R701),INDEX(新属性投放!$D$42:$D$62,卡牌属性!R701))*INDEX($G$5:$G$42,L701)/SQRT(INDEX($I$5:$I$42,L701)),2)</f>
        <v>37.659999999999997</v>
      </c>
      <c r="AA701" s="29" t="s">
        <v>178</v>
      </c>
      <c r="AB701" s="14">
        <f>ROUND(IF(Q701=1,INDEX(新属性投放!$E$14:$E$34,卡牌属性!R701),INDEX(新属性投放!$E$42:$E$62,卡牌属性!R701))*INDEX($G$5:$G$42,L701),2)</f>
        <v>18.829999999999998</v>
      </c>
      <c r="AC701" s="29" t="s">
        <v>179</v>
      </c>
      <c r="AD701" s="14">
        <f>ROUND(IF(Q701=1,INDEX(新属性投放!$F$14:$F$34,卡牌属性!R701),INDEX(新属性投放!$F$42:$F$62,卡牌属性!R701))*INDEX($G$5:$G$42,L701)*SQRT(INDEX($I$5:$I$42,L701)),2)</f>
        <v>169</v>
      </c>
      <c r="AF701" s="14">
        <f t="shared" si="283"/>
        <v>376</v>
      </c>
      <c r="AG701" s="14">
        <f t="shared" si="284"/>
        <v>188</v>
      </c>
      <c r="AH701" s="14">
        <f t="shared" si="285"/>
        <v>1690</v>
      </c>
      <c r="AJ701" s="14">
        <f t="shared" si="301"/>
        <v>1215</v>
      </c>
      <c r="AK701" s="14">
        <f t="shared" si="302"/>
        <v>606</v>
      </c>
      <c r="AL701" s="14">
        <f t="shared" si="303"/>
        <v>5450</v>
      </c>
    </row>
    <row r="702" spans="11:38" ht="16.5" x14ac:dyDescent="0.2">
      <c r="K702" s="13">
        <v>699</v>
      </c>
      <c r="L702" s="13">
        <f t="shared" si="277"/>
        <v>34</v>
      </c>
      <c r="M702" s="13">
        <f t="shared" si="278"/>
        <v>2</v>
      </c>
      <c r="N702" s="14">
        <f t="shared" si="279"/>
        <v>1102018</v>
      </c>
      <c r="O702" s="14" t="str">
        <f t="shared" si="280"/>
        <v>噬日6突</v>
      </c>
      <c r="P702" s="29" t="s">
        <v>470</v>
      </c>
      <c r="Q702" s="14">
        <f t="shared" si="281"/>
        <v>2</v>
      </c>
      <c r="R702" s="14">
        <f t="shared" si="282"/>
        <v>6</v>
      </c>
      <c r="S702" s="14" t="s">
        <v>39</v>
      </c>
      <c r="T702" s="14">
        <f>ROUND(((IF(Q702=1,INDEX(新属性投放!$J$14:$J$34,卡牌属性!R702),INDEX(新属性投放!$J$42:$J$62,卡牌属性!R702)))*INDEX($G$5:$G$42,L702)+IF(Q702=1,INDEX(新属性投放!R$20:R$23,卡牌属性!M702-1),INDEX(新属性投放!R$25:R$28,卡牌属性!M702-1)))/SQRT(INDEX($I$5:$I$42,L702)),2)</f>
        <v>1843.3</v>
      </c>
      <c r="U702" s="29" t="s">
        <v>178</v>
      </c>
      <c r="V702" s="14">
        <f>ROUND((IF(Q702=1,INDEX(新属性投放!$K$14:$K$34,卡牌属性!R702),INDEX(新属性投放!$K$42:$K$62,卡牌属性!R702))+IF(Q702=1,INDEX(新属性投放!S$20:S$23,卡牌属性!M702-1),INDEX(新属性投放!S$25:S$28,卡牌属性!M702-1)))*INDEX($G$5:$G$42,L702),2)</f>
        <v>844.15</v>
      </c>
      <c r="W702" s="29" t="s">
        <v>179</v>
      </c>
      <c r="X702" s="14">
        <f>ROUND((IF(Q702=1,INDEX(新属性投放!$L$14:$L$34,卡牌属性!R702),INDEX(新属性投放!$L$42:$L$62,卡牌属性!R702))*INDEX($G$5:$G$42,L702)+IF(Q702=1,INDEX(新属性投放!T$20:T$23,卡牌属性!M702-1),INDEX(新属性投放!T$25:T$28,卡牌属性!M702-1)))*SQRT(INDEX($I$5:$I$42,L702)),2)</f>
        <v>8752</v>
      </c>
      <c r="Y702" s="29" t="s">
        <v>177</v>
      </c>
      <c r="Z702" s="14">
        <f>ROUND(IF(Q702=1,INDEX(新属性投放!$D$14:$D$34,卡牌属性!R702),INDEX(新属性投放!$D$42:$D$62,卡牌属性!R702))*INDEX($G$5:$G$42,L702)/SQRT(INDEX($I$5:$I$42,L702)),2)</f>
        <v>48.85</v>
      </c>
      <c r="AA702" s="29" t="s">
        <v>178</v>
      </c>
      <c r="AB702" s="14">
        <f>ROUND(IF(Q702=1,INDEX(新属性投放!$E$14:$E$34,卡牌属性!R702),INDEX(新属性投放!$E$42:$E$62,卡牌属性!R702))*INDEX($G$5:$G$42,L702),2)</f>
        <v>24.43</v>
      </c>
      <c r="AC702" s="29" t="s">
        <v>179</v>
      </c>
      <c r="AD702" s="14">
        <f>ROUND(IF(Q702=1,INDEX(新属性投放!$F$14:$F$34,卡牌属性!R702),INDEX(新属性投放!$F$42:$F$62,卡牌属性!R702))*INDEX($G$5:$G$42,L702)*SQRT(INDEX($I$5:$I$42,L702)),2)</f>
        <v>219</v>
      </c>
      <c r="AF702" s="14">
        <f t="shared" si="283"/>
        <v>488</v>
      </c>
      <c r="AG702" s="14">
        <f t="shared" si="284"/>
        <v>244</v>
      </c>
      <c r="AH702" s="14">
        <f t="shared" si="285"/>
        <v>2190</v>
      </c>
      <c r="AJ702" s="14">
        <f t="shared" si="301"/>
        <v>1703</v>
      </c>
      <c r="AK702" s="14">
        <f t="shared" si="302"/>
        <v>850</v>
      </c>
      <c r="AL702" s="14">
        <f t="shared" si="303"/>
        <v>7640</v>
      </c>
    </row>
    <row r="703" spans="11:38" ht="16.5" x14ac:dyDescent="0.2">
      <c r="K703" s="13">
        <v>700</v>
      </c>
      <c r="L703" s="13">
        <f t="shared" si="277"/>
        <v>34</v>
      </c>
      <c r="M703" s="13">
        <f t="shared" si="278"/>
        <v>2</v>
      </c>
      <c r="N703" s="14">
        <f t="shared" si="279"/>
        <v>1102018</v>
      </c>
      <c r="O703" s="14" t="str">
        <f t="shared" si="280"/>
        <v>噬日7突</v>
      </c>
      <c r="P703" s="29" t="s">
        <v>470</v>
      </c>
      <c r="Q703" s="14">
        <f t="shared" si="281"/>
        <v>2</v>
      </c>
      <c r="R703" s="14">
        <f t="shared" si="282"/>
        <v>7</v>
      </c>
      <c r="S703" s="14" t="s">
        <v>39</v>
      </c>
      <c r="T703" s="14">
        <f>ROUND(((IF(Q703=1,INDEX(新属性投放!$J$14:$J$34,卡牌属性!R703),INDEX(新属性投放!$J$42:$J$62,卡牌属性!R703)))*INDEX($G$5:$G$42,L703)+IF(Q703=1,INDEX(新属性投放!R$20:R$23,卡牌属性!M703-1),INDEX(新属性投放!R$25:R$28,卡牌属性!M703-1)))/SQRT(INDEX($I$5:$I$42,L703)),2)</f>
        <v>2453.8000000000002</v>
      </c>
      <c r="U703" s="29" t="s">
        <v>178</v>
      </c>
      <c r="V703" s="14">
        <f>ROUND((IF(Q703=1,INDEX(新属性投放!$K$14:$K$34,卡牌属性!R703),INDEX(新属性投放!$K$42:$K$62,卡牌属性!R703))+IF(Q703=1,INDEX(新属性投放!S$20:S$23,卡牌属性!M703-1),INDEX(新属性投放!S$25:S$28,卡牌属性!M703-1)))*INDEX($G$5:$G$42,L703),2)</f>
        <v>1149.4000000000001</v>
      </c>
      <c r="W703" s="29" t="s">
        <v>179</v>
      </c>
      <c r="X703" s="14">
        <f>ROUND((IF(Q703=1,INDEX(新属性投放!$L$14:$L$34,卡牌属性!R703),INDEX(新属性投放!$L$42:$L$62,卡牌属性!R703))*INDEX($G$5:$G$42,L703)+IF(Q703=1,INDEX(新属性投放!T$20:T$23,卡牌属性!M703-1),INDEX(新属性投放!T$25:T$28,卡牌属性!M703-1)))*SQRT(INDEX($I$5:$I$42,L703)),2)</f>
        <v>12040</v>
      </c>
      <c r="Y703" s="29" t="s">
        <v>177</v>
      </c>
      <c r="Z703" s="14">
        <f>ROUND(IF(Q703=1,INDEX(新属性投放!$D$14:$D$34,卡牌属性!R703),INDEX(新属性投放!$D$42:$D$62,卡牌属性!R703))*INDEX($G$5:$G$42,L703)/SQRT(INDEX($I$5:$I$42,L703)),2)</f>
        <v>60.19</v>
      </c>
      <c r="AA703" s="29" t="s">
        <v>178</v>
      </c>
      <c r="AB703" s="14">
        <f>ROUND(IF(Q703=1,INDEX(新属性投放!$E$14:$E$34,卡牌属性!R703),INDEX(新属性投放!$E$42:$E$62,卡牌属性!R703))*INDEX($G$5:$G$42,L703),2)</f>
        <v>30.1</v>
      </c>
      <c r="AC703" s="29" t="s">
        <v>179</v>
      </c>
      <c r="AD703" s="14">
        <f>ROUND(IF(Q703=1,INDEX(新属性投放!$F$14:$F$34,卡牌属性!R703),INDEX(新属性投放!$F$42:$F$62,卡牌属性!R703))*INDEX($G$5:$G$42,L703)*SQRT(INDEX($I$5:$I$42,L703)),2)</f>
        <v>270</v>
      </c>
      <c r="AF703" s="14">
        <f t="shared" si="283"/>
        <v>601</v>
      </c>
      <c r="AG703" s="14">
        <f t="shared" si="284"/>
        <v>301</v>
      </c>
      <c r="AH703" s="14">
        <f t="shared" si="285"/>
        <v>2700</v>
      </c>
      <c r="AJ703" s="14">
        <f t="shared" si="301"/>
        <v>2304</v>
      </c>
      <c r="AK703" s="14">
        <f t="shared" si="302"/>
        <v>1151</v>
      </c>
      <c r="AL703" s="14">
        <f t="shared" si="303"/>
        <v>10340</v>
      </c>
    </row>
    <row r="704" spans="11:38" ht="16.5" x14ac:dyDescent="0.2">
      <c r="K704" s="13">
        <v>701</v>
      </c>
      <c r="L704" s="13">
        <f t="shared" si="277"/>
        <v>34</v>
      </c>
      <c r="M704" s="13">
        <f t="shared" si="278"/>
        <v>2</v>
      </c>
      <c r="N704" s="14">
        <f t="shared" si="279"/>
        <v>1102018</v>
      </c>
      <c r="O704" s="14" t="str">
        <f t="shared" si="280"/>
        <v>噬日8突</v>
      </c>
      <c r="P704" s="29" t="s">
        <v>470</v>
      </c>
      <c r="Q704" s="14">
        <f t="shared" si="281"/>
        <v>2</v>
      </c>
      <c r="R704" s="14">
        <f t="shared" si="282"/>
        <v>8</v>
      </c>
      <c r="S704" s="14" t="s">
        <v>39</v>
      </c>
      <c r="T704" s="14">
        <f>ROUND(((IF(Q704=1,INDEX(新属性投放!$J$14:$J$34,卡牌属性!R704),INDEX(新属性投放!$J$42:$J$62,卡牌属性!R704)))*INDEX($G$5:$G$42,L704)+IF(Q704=1,INDEX(新属性投放!R$20:R$23,卡牌属性!M704-1),INDEX(新属性投放!R$25:R$28,卡牌属性!M704-1)))/SQRT(INDEX($I$5:$I$42,L704)),2)</f>
        <v>3205.7</v>
      </c>
      <c r="U704" s="29" t="s">
        <v>178</v>
      </c>
      <c r="V704" s="14">
        <f>ROUND((IF(Q704=1,INDEX(新属性投放!$K$14:$K$34,卡牌属性!R704),INDEX(新属性投放!$K$42:$K$62,卡牌属性!R704))+IF(Q704=1,INDEX(新属性投放!S$20:S$23,卡牌属性!M704-1),INDEX(新属性投放!S$25:S$28,卡牌属性!M704-1)))*INDEX($G$5:$G$42,L704),2)</f>
        <v>1525.35</v>
      </c>
      <c r="W704" s="29" t="s">
        <v>179</v>
      </c>
      <c r="X704" s="14">
        <f>ROUND((IF(Q704=1,INDEX(新属性投放!$L$14:$L$34,卡牌属性!R704),INDEX(新属性投放!$L$42:$L$62,卡牌属性!R704))*INDEX($G$5:$G$42,L704)+IF(Q704=1,INDEX(新属性投放!T$20:T$23,卡牌属性!M704-1),INDEX(新属性投放!T$25:T$28,卡牌属性!M704-1)))*SQRT(INDEX($I$5:$I$42,L704)),2)</f>
        <v>16090</v>
      </c>
      <c r="Y704" s="29" t="s">
        <v>177</v>
      </c>
      <c r="Z704" s="14">
        <f>ROUND(IF(Q704=1,INDEX(新属性投放!$D$14:$D$34,卡牌属性!R704),INDEX(新属性投放!$D$42:$D$62,卡牌属性!R704))*INDEX($G$5:$G$42,L704)/SQRT(INDEX($I$5:$I$42,L704)),2)</f>
        <v>75.19</v>
      </c>
      <c r="AA704" s="29" t="s">
        <v>178</v>
      </c>
      <c r="AB704" s="14">
        <f>ROUND(IF(Q704=1,INDEX(新属性投放!$E$14:$E$34,卡牌属性!R704),INDEX(新属性投放!$E$42:$E$62,卡牌属性!R704))*INDEX($G$5:$G$42,L704),2)</f>
        <v>37.6</v>
      </c>
      <c r="AC704" s="29" t="s">
        <v>179</v>
      </c>
      <c r="AD704" s="14">
        <f>ROUND(IF(Q704=1,INDEX(新属性投放!$F$14:$F$34,卡牌属性!R704),INDEX(新属性投放!$F$42:$F$62,卡牌属性!R704))*INDEX($G$5:$G$42,L704)*SQRT(INDEX($I$5:$I$42,L704)),2)</f>
        <v>338</v>
      </c>
      <c r="AF704" s="14">
        <f t="shared" si="283"/>
        <v>751</v>
      </c>
      <c r="AG704" s="14">
        <f t="shared" si="284"/>
        <v>376</v>
      </c>
      <c r="AH704" s="14">
        <f t="shared" si="285"/>
        <v>3380</v>
      </c>
      <c r="AJ704" s="14">
        <f t="shared" si="301"/>
        <v>3055</v>
      </c>
      <c r="AK704" s="14">
        <f t="shared" si="302"/>
        <v>1527</v>
      </c>
      <c r="AL704" s="14">
        <f t="shared" si="303"/>
        <v>13720</v>
      </c>
    </row>
    <row r="705" spans="11:38" ht="16.5" x14ac:dyDescent="0.2">
      <c r="K705" s="13">
        <v>702</v>
      </c>
      <c r="L705" s="13">
        <f t="shared" si="277"/>
        <v>34</v>
      </c>
      <c r="M705" s="13">
        <f t="shared" si="278"/>
        <v>2</v>
      </c>
      <c r="N705" s="14">
        <f t="shared" si="279"/>
        <v>1102018</v>
      </c>
      <c r="O705" s="14" t="str">
        <f t="shared" si="280"/>
        <v>噬日9突</v>
      </c>
      <c r="P705" s="29" t="s">
        <v>470</v>
      </c>
      <c r="Q705" s="14">
        <f t="shared" si="281"/>
        <v>2</v>
      </c>
      <c r="R705" s="14">
        <f t="shared" si="282"/>
        <v>9</v>
      </c>
      <c r="S705" s="14" t="s">
        <v>39</v>
      </c>
      <c r="T705" s="14">
        <f>ROUND(((IF(Q705=1,INDEX(新属性投放!$J$14:$J$34,卡牌属性!R705),INDEX(新属性投放!$J$42:$J$62,卡牌属性!R705)))*INDEX($G$5:$G$42,L705)+IF(Q705=1,INDEX(新属性投放!R$20:R$23,卡牌属性!M705-1),INDEX(新属性投放!R$25:R$28,卡牌属性!M705-1)))/SQRT(INDEX($I$5:$I$42,L705)),2)</f>
        <v>4145.6000000000004</v>
      </c>
      <c r="U705" s="29" t="s">
        <v>178</v>
      </c>
      <c r="V705" s="14">
        <f>ROUND((IF(Q705=1,INDEX(新属性投放!$K$14:$K$34,卡牌属性!R705),INDEX(新属性投放!$K$42:$K$62,卡牌属性!R705))+IF(Q705=1,INDEX(新属性投放!S$20:S$23,卡牌属性!M705-1),INDEX(新属性投放!S$25:S$28,卡牌属性!M705-1)))*INDEX($G$5:$G$42,L705),2)</f>
        <v>1995.3</v>
      </c>
      <c r="W705" s="29" t="s">
        <v>179</v>
      </c>
      <c r="X705" s="14">
        <f>ROUND((IF(Q705=1,INDEX(新属性投放!$L$14:$L$34,卡牌属性!R705),INDEX(新属性投放!$L$42:$L$62,卡牌属性!R705))*INDEX($G$5:$G$42,L705)+IF(Q705=1,INDEX(新属性投放!T$20:T$23,卡牌属性!M705-1),INDEX(新属性投放!T$25:T$28,卡牌属性!M705-1)))*SQRT(INDEX($I$5:$I$42,L705)),2)</f>
        <v>21162</v>
      </c>
      <c r="Y705" s="29" t="s">
        <v>177</v>
      </c>
      <c r="Z705" s="14">
        <f>ROUND(IF(Q705=1,INDEX(新属性投放!$D$14:$D$34,卡牌属性!R705),INDEX(新属性投放!$D$42:$D$62,卡牌属性!R705))*INDEX($G$5:$G$42,L705)/SQRT(INDEX($I$5:$I$42,L705)),2)</f>
        <v>97.79</v>
      </c>
      <c r="AA705" s="29" t="s">
        <v>178</v>
      </c>
      <c r="AB705" s="14">
        <f>ROUND(IF(Q705=1,INDEX(新属性投放!$E$14:$E$34,卡牌属性!R705),INDEX(新属性投放!$E$42:$E$62,卡牌属性!R705))*INDEX($G$5:$G$42,L705),2)</f>
        <v>48.9</v>
      </c>
      <c r="AC705" s="29" t="s">
        <v>179</v>
      </c>
      <c r="AD705" s="14">
        <f>ROUND(IF(Q705=1,INDEX(新属性投放!$F$14:$F$34,卡牌属性!R705),INDEX(新属性投放!$F$42:$F$62,卡牌属性!R705))*INDEX($G$5:$G$42,L705)*SQRT(INDEX($I$5:$I$42,L705)),2)</f>
        <v>440</v>
      </c>
      <c r="AF705" s="14">
        <f t="shared" si="283"/>
        <v>977</v>
      </c>
      <c r="AG705" s="14">
        <f t="shared" si="284"/>
        <v>489</v>
      </c>
      <c r="AH705" s="14">
        <f t="shared" si="285"/>
        <v>4400</v>
      </c>
      <c r="AJ705" s="14">
        <f t="shared" si="301"/>
        <v>4032</v>
      </c>
      <c r="AK705" s="14">
        <f t="shared" si="302"/>
        <v>2016</v>
      </c>
      <c r="AL705" s="14">
        <f t="shared" si="303"/>
        <v>18120</v>
      </c>
    </row>
    <row r="706" spans="11:38" ht="16.5" x14ac:dyDescent="0.2">
      <c r="K706" s="13">
        <v>703</v>
      </c>
      <c r="L706" s="13">
        <f t="shared" si="277"/>
        <v>34</v>
      </c>
      <c r="M706" s="13">
        <f t="shared" si="278"/>
        <v>2</v>
      </c>
      <c r="N706" s="14">
        <f t="shared" si="279"/>
        <v>1102018</v>
      </c>
      <c r="O706" s="14" t="str">
        <f t="shared" si="280"/>
        <v>噬日10突</v>
      </c>
      <c r="P706" s="29" t="s">
        <v>470</v>
      </c>
      <c r="Q706" s="14">
        <f t="shared" si="281"/>
        <v>2</v>
      </c>
      <c r="R706" s="14">
        <f t="shared" si="282"/>
        <v>10</v>
      </c>
      <c r="S706" s="14" t="s">
        <v>39</v>
      </c>
      <c r="T706" s="14">
        <f>ROUND(((IF(Q706=1,INDEX(新属性投放!$J$14:$J$34,卡牌属性!R706),INDEX(新属性投放!$J$42:$J$62,卡牌属性!R706)))*INDEX($G$5:$G$42,L706)+IF(Q706=1,INDEX(新属性投放!R$20:R$23,卡牌属性!M706-1),INDEX(新属性投放!R$25:R$28,卡牌属性!M706-1)))/SQRT(INDEX($I$5:$I$42,L706)),2)</f>
        <v>4756.55</v>
      </c>
      <c r="U706" s="29" t="s">
        <v>178</v>
      </c>
      <c r="V706" s="14">
        <f>ROUND((IF(Q706=1,INDEX(新属性投放!$K$14:$K$34,卡牌属性!R706),INDEX(新属性投放!$K$42:$K$62,卡牌属性!R706))+IF(Q706=1,INDEX(新属性投放!S$20:S$23,卡牌属性!M706-1),INDEX(新属性投放!S$25:S$28,卡牌属性!M706-1)))*INDEX($G$5:$G$42,L706),2)</f>
        <v>2300.7800000000002</v>
      </c>
      <c r="W706" s="29" t="s">
        <v>179</v>
      </c>
      <c r="X706" s="14">
        <f>ROUND((IF(Q706=1,INDEX(新属性投放!$L$14:$L$34,卡牌属性!R706),INDEX(新属性投放!$L$42:$L$62,卡牌属性!R706))*INDEX($G$5:$G$42,L706)+IF(Q706=1,INDEX(新属性投放!T$20:T$23,卡牌属性!M706-1),INDEX(新属性投放!T$25:T$28,卡牌属性!M706-1)))*SQRT(INDEX($I$5:$I$42,L706)),2)</f>
        <v>24460</v>
      </c>
      <c r="Y706" s="29" t="s">
        <v>177</v>
      </c>
      <c r="Z706" s="14">
        <f>ROUND(IF(Q706=1,INDEX(新属性投放!$D$14:$D$34,卡牌属性!R706),INDEX(新属性投放!$D$42:$D$62,卡牌属性!R706))*INDEX($G$5:$G$42,L706)/SQRT(INDEX($I$5:$I$42,L706)),2)</f>
        <v>112.83</v>
      </c>
      <c r="AA706" s="29" t="s">
        <v>178</v>
      </c>
      <c r="AB706" s="14">
        <f>ROUND(IF(Q706=1,INDEX(新属性投放!$E$14:$E$34,卡牌属性!R706),INDEX(新属性投放!$E$42:$E$62,卡牌属性!R706))*INDEX($G$5:$G$42,L706),2)</f>
        <v>56.42</v>
      </c>
      <c r="AC706" s="29" t="s">
        <v>179</v>
      </c>
      <c r="AD706" s="14">
        <f>ROUND(IF(Q706=1,INDEX(新属性投放!$F$14:$F$34,卡牌属性!R706),INDEX(新属性投放!$F$42:$F$62,卡牌属性!R706))*INDEX($G$5:$G$42,L706)*SQRT(INDEX($I$5:$I$42,L706)),2)</f>
        <v>507</v>
      </c>
      <c r="AF706" s="14">
        <f t="shared" si="283"/>
        <v>1128</v>
      </c>
      <c r="AG706" s="14">
        <f t="shared" si="284"/>
        <v>564</v>
      </c>
      <c r="AH706" s="14">
        <f t="shared" si="285"/>
        <v>5070</v>
      </c>
      <c r="AJ706" s="14">
        <f t="shared" si="301"/>
        <v>5160</v>
      </c>
      <c r="AK706" s="14">
        <f t="shared" si="302"/>
        <v>2580</v>
      </c>
      <c r="AL706" s="14">
        <f t="shared" si="303"/>
        <v>23190</v>
      </c>
    </row>
    <row r="707" spans="11:38" ht="16.5" x14ac:dyDescent="0.2">
      <c r="K707" s="13">
        <v>704</v>
      </c>
      <c r="L707" s="13">
        <f t="shared" si="277"/>
        <v>34</v>
      </c>
      <c r="M707" s="13">
        <f t="shared" si="278"/>
        <v>2</v>
      </c>
      <c r="N707" s="14">
        <f t="shared" si="279"/>
        <v>1102018</v>
      </c>
      <c r="O707" s="14" t="str">
        <f t="shared" si="280"/>
        <v>噬日11突</v>
      </c>
      <c r="P707" s="29" t="s">
        <v>470</v>
      </c>
      <c r="Q707" s="14">
        <f t="shared" si="281"/>
        <v>2</v>
      </c>
      <c r="R707" s="14">
        <f t="shared" si="282"/>
        <v>11</v>
      </c>
      <c r="S707" s="14" t="s">
        <v>39</v>
      </c>
      <c r="T707" s="14">
        <f>ROUND(((IF(Q707=1,INDEX(新属性投放!$J$14:$J$34,卡牌属性!R707),INDEX(新属性投放!$J$42:$J$62,卡牌属性!R707)))*INDEX($G$5:$G$42,L707)+IF(Q707=1,INDEX(新属性投放!R$20:R$23,卡牌属性!M707-1),INDEX(新属性投放!R$25:R$28,卡牌属性!M707-1)))/SQRT(INDEX($I$5:$I$42,L707)),2)</f>
        <v>5461.7</v>
      </c>
      <c r="U707" s="29" t="s">
        <v>178</v>
      </c>
      <c r="V707" s="14">
        <f>ROUND((IF(Q707=1,INDEX(新属性投放!$K$14:$K$34,卡牌属性!R707),INDEX(新属性投放!$K$42:$K$62,卡牌属性!R707))+IF(Q707=1,INDEX(新属性投放!S$20:S$23,卡牌属性!M707-1),INDEX(新属性投放!S$25:S$28,卡牌属性!M707-1)))*INDEX($G$5:$G$42,L707),2)</f>
        <v>2653.85</v>
      </c>
      <c r="W707" s="29" t="s">
        <v>179</v>
      </c>
      <c r="X707" s="14">
        <f>ROUND((IF(Q707=1,INDEX(新属性投放!$L$14:$L$34,卡牌属性!R707),INDEX(新属性投放!$L$42:$L$62,卡牌属性!R707))*INDEX($G$5:$G$42,L707)+IF(Q707=1,INDEX(新属性投放!T$20:T$23,卡牌属性!M707-1),INDEX(新属性投放!T$25:T$28,卡牌属性!M707-1)))*SQRT(INDEX($I$5:$I$42,L707)),2)</f>
        <v>28264</v>
      </c>
      <c r="Y707" s="29" t="s">
        <v>177</v>
      </c>
      <c r="Z707" s="14">
        <f>ROUND(IF(Q707=1,INDEX(新属性投放!$D$14:$D$34,卡牌属性!R707),INDEX(新属性投放!$D$42:$D$62,卡牌属性!R707))*INDEX($G$5:$G$42,L707)/SQRT(INDEX($I$5:$I$42,L707)),2)</f>
        <v>131.58000000000001</v>
      </c>
      <c r="AA707" s="29" t="s">
        <v>178</v>
      </c>
      <c r="AB707" s="14">
        <f>ROUND(IF(Q707=1,INDEX(新属性投放!$E$14:$E$34,卡牌属性!R707),INDEX(新属性投放!$E$42:$E$62,卡牌属性!R707))*INDEX($G$5:$G$42,L707),2)</f>
        <v>65.790000000000006</v>
      </c>
      <c r="AC707" s="29" t="s">
        <v>179</v>
      </c>
      <c r="AD707" s="14">
        <f>ROUND(IF(Q707=1,INDEX(新属性投放!$F$14:$F$34,卡牌属性!R707),INDEX(新属性投放!$F$42:$F$62,卡牌属性!R707))*INDEX($G$5:$G$42,L707)*SQRT(INDEX($I$5:$I$42,L707)),2)</f>
        <v>592</v>
      </c>
      <c r="AF707" s="14">
        <f t="shared" si="283"/>
        <v>1315</v>
      </c>
      <c r="AG707" s="14">
        <f t="shared" si="284"/>
        <v>657</v>
      </c>
      <c r="AH707" s="14">
        <f t="shared" si="285"/>
        <v>5920</v>
      </c>
      <c r="AJ707" s="14">
        <f t="shared" si="301"/>
        <v>6475</v>
      </c>
      <c r="AK707" s="14">
        <f t="shared" si="302"/>
        <v>3237</v>
      </c>
      <c r="AL707" s="14">
        <f t="shared" si="303"/>
        <v>29110</v>
      </c>
    </row>
    <row r="708" spans="11:38" ht="16.5" x14ac:dyDescent="0.2">
      <c r="K708" s="13">
        <v>705</v>
      </c>
      <c r="L708" s="13">
        <f t="shared" si="277"/>
        <v>34</v>
      </c>
      <c r="M708" s="13">
        <f t="shared" si="278"/>
        <v>2</v>
      </c>
      <c r="N708" s="14">
        <f t="shared" si="279"/>
        <v>1102018</v>
      </c>
      <c r="O708" s="14" t="str">
        <f t="shared" si="280"/>
        <v>噬日12突</v>
      </c>
      <c r="P708" s="29" t="s">
        <v>470</v>
      </c>
      <c r="Q708" s="14">
        <f t="shared" si="281"/>
        <v>2</v>
      </c>
      <c r="R708" s="14">
        <f t="shared" si="282"/>
        <v>12</v>
      </c>
      <c r="S708" s="14" t="s">
        <v>39</v>
      </c>
      <c r="T708" s="14">
        <f>ROUND(((IF(Q708=1,INDEX(新属性投放!$J$14:$J$34,卡牌属性!R708),INDEX(新属性投放!$J$42:$J$62,卡牌属性!R708)))*INDEX($G$5:$G$42,L708)+IF(Q708=1,INDEX(新属性投放!R$20:R$23,卡牌属性!M708-1),INDEX(新属性投放!R$25:R$28,卡牌属性!M708-1)))/SQRT(INDEX($I$5:$I$42,L708)),2)</f>
        <v>6283.6</v>
      </c>
      <c r="U708" s="29" t="s">
        <v>178</v>
      </c>
      <c r="V708" s="14">
        <f>ROUND((IF(Q708=1,INDEX(新属性投放!$K$14:$K$34,卡牌属性!R708),INDEX(新属性投放!$K$42:$K$62,卡牌属性!R708))+IF(Q708=1,INDEX(新属性投放!S$20:S$23,卡牌属性!M708-1),INDEX(新属性投放!S$25:S$28,卡牌属性!M708-1)))*INDEX($G$5:$G$42,L708),2)</f>
        <v>3064.8</v>
      </c>
      <c r="W708" s="29" t="s">
        <v>179</v>
      </c>
      <c r="X708" s="14">
        <f>ROUND((IF(Q708=1,INDEX(新属性投放!$L$14:$L$34,卡牌属性!R708),INDEX(新属性投放!$L$42:$L$62,卡牌属性!R708))*INDEX($G$5:$G$42,L708)+IF(Q708=1,INDEX(新属性投放!T$20:T$23,卡牌属性!M708-1),INDEX(新属性投放!T$25:T$28,卡牌属性!M708-1)))*SQRT(INDEX($I$5:$I$42,L708)),2)</f>
        <v>32700</v>
      </c>
      <c r="Y708" s="29" t="s">
        <v>177</v>
      </c>
      <c r="Z708" s="14">
        <f>ROUND(IF(Q708=1,INDEX(新属性投放!$D$14:$D$34,卡牌属性!R708),INDEX(新属性投放!$D$42:$D$62,卡牌属性!R708))*INDEX($G$5:$G$42,L708)/SQRT(INDEX($I$5:$I$42,L708)),2)</f>
        <v>150.47</v>
      </c>
      <c r="AA708" s="29" t="s">
        <v>178</v>
      </c>
      <c r="AB708" s="14">
        <f>ROUND(IF(Q708=1,INDEX(新属性投放!$E$14:$E$34,卡牌属性!R708),INDEX(新属性投放!$E$42:$E$62,卡牌属性!R708))*INDEX($G$5:$G$42,L708),2)</f>
        <v>75.239999999999995</v>
      </c>
      <c r="AC708" s="29" t="s">
        <v>179</v>
      </c>
      <c r="AD708" s="14">
        <f>ROUND(IF(Q708=1,INDEX(新属性投放!$F$14:$F$34,卡牌属性!R708),INDEX(新属性投放!$F$42:$F$62,卡牌属性!R708))*INDEX($G$5:$G$42,L708)*SQRT(INDEX($I$5:$I$42,L708)),2)</f>
        <v>677</v>
      </c>
      <c r="AF708" s="14">
        <f t="shared" si="283"/>
        <v>1504</v>
      </c>
      <c r="AG708" s="14">
        <f t="shared" si="284"/>
        <v>752</v>
      </c>
      <c r="AH708" s="14">
        <f t="shared" si="285"/>
        <v>6770</v>
      </c>
      <c r="AJ708" s="14">
        <f t="shared" si="301"/>
        <v>7979</v>
      </c>
      <c r="AK708" s="14">
        <f t="shared" si="302"/>
        <v>3989</v>
      </c>
      <c r="AL708" s="14">
        <f t="shared" si="303"/>
        <v>35880</v>
      </c>
    </row>
    <row r="709" spans="11:38" ht="16.5" x14ac:dyDescent="0.2">
      <c r="K709" s="13">
        <v>706</v>
      </c>
      <c r="L709" s="13">
        <f t="shared" ref="L709:L759" si="304">MATCH(K709-1,$F$4:$F$41,1)</f>
        <v>34</v>
      </c>
      <c r="M709" s="13">
        <f t="shared" ref="M709:M772" si="305">INDEX($D$5:$D$42,L709)</f>
        <v>2</v>
      </c>
      <c r="N709" s="14">
        <f t="shared" ref="N709:N763" si="306">INDEX($A$4:$A$42,L709+1)</f>
        <v>1102018</v>
      </c>
      <c r="O709" s="14" t="str">
        <f t="shared" ref="O709:O763" si="307">INDEX($B$4:$B$42,MATCH(N709,$A$4:$A$42,0))&amp;R709&amp;"突"</f>
        <v>噬日13突</v>
      </c>
      <c r="P709" s="29" t="s">
        <v>470</v>
      </c>
      <c r="Q709" s="14">
        <f t="shared" ref="Q709:Q763" si="308">INDEX($C$4:$C$42,L709+1)</f>
        <v>2</v>
      </c>
      <c r="R709" s="14">
        <f t="shared" ref="R709:R763" si="309">K709-INDEX($F$4:$F$42,L709)</f>
        <v>13</v>
      </c>
      <c r="S709" s="14" t="s">
        <v>39</v>
      </c>
      <c r="T709" s="14">
        <f>ROUND(((IF(Q709=1,INDEX(新属性投放!$J$14:$J$34,卡牌属性!R709),INDEX(新属性投放!$J$42:$J$62,卡牌属性!R709)))*INDEX($G$5:$G$42,L709)+IF(Q709=1,INDEX(新属性投放!R$20:R$23,卡牌属性!M709-1),INDEX(新属性投放!R$25:R$28,卡牌属性!M709-1)))/SQRT(INDEX($I$5:$I$42,L709)),2)</f>
        <v>7223.95</v>
      </c>
      <c r="U709" s="29" t="s">
        <v>178</v>
      </c>
      <c r="V709" s="14">
        <f>ROUND((IF(Q709=1,INDEX(新属性投放!$K$14:$K$34,卡牌属性!R709),INDEX(新属性投放!$K$42:$K$62,卡牌属性!R709))+IF(Q709=1,INDEX(新属性投放!S$20:S$23,卡牌属性!M709-1),INDEX(新属性投放!S$25:S$28,卡牌属性!M709-1)))*INDEX($G$5:$G$42,L709),2)</f>
        <v>3534.98</v>
      </c>
      <c r="W709" s="29" t="s">
        <v>179</v>
      </c>
      <c r="X709" s="14">
        <f>ROUND((IF(Q709=1,INDEX(新属性投放!$L$14:$L$34,卡牌属性!R709),INDEX(新属性投放!$L$42:$L$62,卡牌属性!R709))*INDEX($G$5:$G$42,L709)+IF(Q709=1,INDEX(新属性投放!T$20:T$23,卡牌属性!M709-1),INDEX(新属性投放!T$25:T$28,卡牌属性!M709-1)))*SQRT(INDEX($I$5:$I$42,L709)),2)</f>
        <v>37777</v>
      </c>
      <c r="Y709" s="29" t="s">
        <v>177</v>
      </c>
      <c r="Z709" s="14">
        <f>ROUND(IF(Q709=1,INDEX(新属性投放!$D$14:$D$34,卡牌属性!R709),INDEX(新属性投放!$D$42:$D$62,卡牌属性!R709))*INDEX($G$5:$G$42,L709)/SQRT(INDEX($I$5:$I$42,L709)),2)</f>
        <v>173.97</v>
      </c>
      <c r="AA709" s="29" t="s">
        <v>178</v>
      </c>
      <c r="AB709" s="14">
        <f>ROUND(IF(Q709=1,INDEX(新属性投放!$E$14:$E$34,卡牌属性!R709),INDEX(新属性投放!$E$42:$E$62,卡牌属性!R709))*INDEX($G$5:$G$42,L709),2)</f>
        <v>86.99</v>
      </c>
      <c r="AC709" s="29" t="s">
        <v>179</v>
      </c>
      <c r="AD709" s="14">
        <f>ROUND(IF(Q709=1,INDEX(新属性投放!$F$14:$F$34,卡牌属性!R709),INDEX(新属性投放!$F$42:$F$62,卡牌属性!R709))*INDEX($G$5:$G$42,L709)*SQRT(INDEX($I$5:$I$42,L709)),2)</f>
        <v>782</v>
      </c>
      <c r="AF709" s="14">
        <f t="shared" ref="AF709:AF759" si="310">INT(Z709*AF$2*10)</f>
        <v>1739</v>
      </c>
      <c r="AG709" s="14">
        <f t="shared" ref="AG709:AG759" si="311">INT(AB709*AF$2*10)</f>
        <v>869</v>
      </c>
      <c r="AH709" s="14">
        <f t="shared" ref="AH709:AH759" si="312">INT(AD709*AF$2*10)</f>
        <v>7820</v>
      </c>
      <c r="AJ709" s="14">
        <f t="shared" si="301"/>
        <v>9718</v>
      </c>
      <c r="AK709" s="14">
        <f t="shared" si="302"/>
        <v>4858</v>
      </c>
      <c r="AL709" s="14">
        <f t="shared" si="303"/>
        <v>43700</v>
      </c>
    </row>
    <row r="710" spans="11:38" ht="16.5" x14ac:dyDescent="0.2">
      <c r="K710" s="13">
        <v>707</v>
      </c>
      <c r="L710" s="13">
        <f t="shared" si="304"/>
        <v>34</v>
      </c>
      <c r="M710" s="13">
        <f t="shared" si="305"/>
        <v>2</v>
      </c>
      <c r="N710" s="14">
        <f t="shared" si="306"/>
        <v>1102018</v>
      </c>
      <c r="O710" s="14" t="str">
        <f t="shared" si="307"/>
        <v>噬日14突</v>
      </c>
      <c r="P710" s="29" t="s">
        <v>470</v>
      </c>
      <c r="Q710" s="14">
        <f t="shared" si="308"/>
        <v>2</v>
      </c>
      <c r="R710" s="14">
        <f t="shared" si="309"/>
        <v>14</v>
      </c>
      <c r="S710" s="14" t="s">
        <v>39</v>
      </c>
      <c r="T710" s="14">
        <f>ROUND(((IF(Q710=1,INDEX(新属性投放!$J$14:$J$34,卡牌属性!R710),INDEX(新属性投放!$J$42:$J$62,卡牌属性!R710)))*INDEX($G$5:$G$42,L710)+IF(Q710=1,INDEX(新属性投放!R$20:R$23,卡牌属性!M710-1),INDEX(新属性投放!R$25:R$28,卡牌属性!M710-1)))/SQRT(INDEX($I$5:$I$42,L710)),2)</f>
        <v>8310.7999999999993</v>
      </c>
      <c r="U710" s="29" t="s">
        <v>178</v>
      </c>
      <c r="V710" s="14">
        <f>ROUND((IF(Q710=1,INDEX(新属性投放!$K$14:$K$34,卡牌属性!R710),INDEX(新属性投放!$K$42:$K$62,卡牌属性!R710))+IF(Q710=1,INDEX(新属性投放!S$20:S$23,卡牌属性!M710-1),INDEX(新属性投放!S$25:S$28,卡牌属性!M710-1)))*INDEX($G$5:$G$42,L710),2)</f>
        <v>4078.9</v>
      </c>
      <c r="W710" s="29" t="s">
        <v>179</v>
      </c>
      <c r="X710" s="14">
        <f>ROUND((IF(Q710=1,INDEX(新属性投放!$L$14:$L$34,卡牌属性!R710),INDEX(新属性投放!$L$42:$L$62,卡牌属性!R710))*INDEX($G$5:$G$42,L710)+IF(Q710=1,INDEX(新属性投放!T$20:T$23,卡牌属性!M710-1),INDEX(新属性投放!T$25:T$28,卡牌属性!M710-1)))*SQRT(INDEX($I$5:$I$42,L710)),2)</f>
        <v>43640</v>
      </c>
      <c r="Y710" s="29" t="s">
        <v>177</v>
      </c>
      <c r="Z710" s="14">
        <f>ROUND(IF(Q710=1,INDEX(新属性投放!$D$14:$D$34,卡牌属性!R710),INDEX(新属性投放!$D$42:$D$62,卡牌属性!R710))*INDEX($G$5:$G$42,L710)/SQRT(INDEX($I$5:$I$42,L710)),2)</f>
        <v>201.15</v>
      </c>
      <c r="AA710" s="29" t="s">
        <v>178</v>
      </c>
      <c r="AB710" s="14">
        <f>ROUND(IF(Q710=1,INDEX(新属性投放!$E$14:$E$34,卡牌属性!R710),INDEX(新属性投放!$E$42:$E$62,卡牌属性!R710))*INDEX($G$5:$G$42,L710),2)</f>
        <v>100.58</v>
      </c>
      <c r="AC710" s="29" t="s">
        <v>179</v>
      </c>
      <c r="AD710" s="14">
        <f>ROUND(IF(Q710=1,INDEX(新属性投放!$F$14:$F$34,卡牌属性!R710),INDEX(新属性投放!$F$42:$F$62,卡牌属性!R710))*INDEX($G$5:$G$42,L710)*SQRT(INDEX($I$5:$I$42,L710)),2)</f>
        <v>905</v>
      </c>
      <c r="AF710" s="14">
        <f t="shared" si="310"/>
        <v>2011</v>
      </c>
      <c r="AG710" s="14">
        <f t="shared" si="311"/>
        <v>1005</v>
      </c>
      <c r="AH710" s="14">
        <f t="shared" si="312"/>
        <v>9050</v>
      </c>
      <c r="AJ710" s="14">
        <f t="shared" si="301"/>
        <v>11729</v>
      </c>
      <c r="AK710" s="14">
        <f t="shared" si="302"/>
        <v>5863</v>
      </c>
      <c r="AL710" s="14">
        <f t="shared" si="303"/>
        <v>52750</v>
      </c>
    </row>
    <row r="711" spans="11:38" ht="16.5" x14ac:dyDescent="0.2">
      <c r="K711" s="13">
        <v>708</v>
      </c>
      <c r="L711" s="13">
        <f t="shared" si="304"/>
        <v>34</v>
      </c>
      <c r="M711" s="13">
        <f t="shared" si="305"/>
        <v>2</v>
      </c>
      <c r="N711" s="14">
        <f t="shared" si="306"/>
        <v>1102018</v>
      </c>
      <c r="O711" s="14" t="str">
        <f t="shared" si="307"/>
        <v>噬日15突</v>
      </c>
      <c r="P711" s="29" t="s">
        <v>470</v>
      </c>
      <c r="Q711" s="14">
        <f t="shared" si="308"/>
        <v>2</v>
      </c>
      <c r="R711" s="14">
        <f t="shared" si="309"/>
        <v>15</v>
      </c>
      <c r="S711" s="14" t="s">
        <v>39</v>
      </c>
      <c r="T711" s="14">
        <f>ROUND(((IF(Q711=1,INDEX(新属性投放!$J$14:$J$34,卡牌属性!R711),INDEX(新属性投放!$J$42:$J$62,卡牌属性!R711)))*INDEX($G$5:$G$42,L711)+IF(Q711=1,INDEX(新属性投放!R$20:R$23,卡牌属性!M711-1),INDEX(新属性投放!R$25:R$28,卡牌属性!M711-1)))/SQRT(INDEX($I$5:$I$42,L711)),2)</f>
        <v>9567.5499999999993</v>
      </c>
      <c r="U711" s="29" t="s">
        <v>178</v>
      </c>
      <c r="V711" s="14">
        <f>ROUND((IF(Q711=1,INDEX(新属性投放!$K$14:$K$34,卡牌属性!R711),INDEX(新属性投放!$K$42:$K$62,卡牌属性!R711))+IF(Q711=1,INDEX(新属性投放!S$20:S$23,卡牌属性!M711-1),INDEX(新属性投放!S$25:S$28,卡牌属性!M711-1)))*INDEX($G$5:$G$42,L711),2)</f>
        <v>4707.78</v>
      </c>
      <c r="W711" s="29" t="s">
        <v>179</v>
      </c>
      <c r="X711" s="14">
        <f>ROUND((IF(Q711=1,INDEX(新属性投放!$L$14:$L$34,卡牌属性!R711),INDEX(新属性投放!$L$42:$L$62,卡牌属性!R711))*INDEX($G$5:$G$42,L711)+IF(Q711=1,INDEX(新属性投放!T$20:T$23,卡牌属性!M711-1),INDEX(新属性投放!T$25:T$28,卡牌属性!M711-1)))*SQRT(INDEX($I$5:$I$42,L711)),2)</f>
        <v>50424</v>
      </c>
      <c r="Y711" s="29" t="s">
        <v>177</v>
      </c>
      <c r="Z711" s="14">
        <f>ROUND(IF(Q711=1,INDEX(新属性投放!$D$14:$D$34,卡牌属性!R711),INDEX(新属性投放!$D$42:$D$62,卡牌属性!R711))*INDEX($G$5:$G$42,L711)/SQRT(INDEX($I$5:$I$42,L711)),2)</f>
        <v>232.56</v>
      </c>
      <c r="AA711" s="29" t="s">
        <v>178</v>
      </c>
      <c r="AB711" s="14">
        <f>ROUND(IF(Q711=1,INDEX(新属性投放!$E$14:$E$34,卡牌属性!R711),INDEX(新属性投放!$E$42:$E$62,卡牌属性!R711))*INDEX($G$5:$G$42,L711),2)</f>
        <v>116.28</v>
      </c>
      <c r="AC711" s="29" t="s">
        <v>179</v>
      </c>
      <c r="AD711" s="14">
        <f>ROUND(IF(Q711=1,INDEX(新属性投放!$F$14:$F$34,卡牌属性!R711),INDEX(新属性投放!$F$42:$F$62,卡牌属性!R711))*INDEX($G$5:$G$42,L711)*SQRT(INDEX($I$5:$I$42,L711)),2)</f>
        <v>1046</v>
      </c>
      <c r="AF711" s="14">
        <f t="shared" si="310"/>
        <v>2325</v>
      </c>
      <c r="AG711" s="14">
        <f t="shared" si="311"/>
        <v>1162</v>
      </c>
      <c r="AH711" s="14">
        <f t="shared" si="312"/>
        <v>10460</v>
      </c>
      <c r="AJ711" s="14">
        <f t="shared" si="301"/>
        <v>14054</v>
      </c>
      <c r="AK711" s="14">
        <f t="shared" si="302"/>
        <v>7025</v>
      </c>
      <c r="AL711" s="14">
        <f t="shared" si="303"/>
        <v>63210</v>
      </c>
    </row>
    <row r="712" spans="11:38" ht="16.5" x14ac:dyDescent="0.2">
      <c r="K712" s="13">
        <v>709</v>
      </c>
      <c r="L712" s="13">
        <f t="shared" si="304"/>
        <v>34</v>
      </c>
      <c r="M712" s="13">
        <f t="shared" si="305"/>
        <v>2</v>
      </c>
      <c r="N712" s="14">
        <f t="shared" si="306"/>
        <v>1102018</v>
      </c>
      <c r="O712" s="14" t="str">
        <f t="shared" si="307"/>
        <v>噬日16突</v>
      </c>
      <c r="P712" s="29" t="s">
        <v>470</v>
      </c>
      <c r="Q712" s="14">
        <f t="shared" si="308"/>
        <v>2</v>
      </c>
      <c r="R712" s="14">
        <f t="shared" si="309"/>
        <v>16</v>
      </c>
      <c r="S712" s="14" t="s">
        <v>39</v>
      </c>
      <c r="T712" s="14">
        <f>ROUND(((IF(Q712=1,INDEX(新属性投放!$J$14:$J$34,卡牌属性!R712),INDEX(新属性投放!$J$42:$J$62,卡牌属性!R712)))*INDEX($G$5:$G$42,L712)+IF(Q712=1,INDEX(新属性投放!R$20:R$23,卡牌属性!M712-1),INDEX(新属性投放!R$25:R$28,卡牌属性!M712-1)))/SQRT(INDEX($I$5:$I$42,L712)),2)</f>
        <v>11021.35</v>
      </c>
      <c r="U712" s="29" t="s">
        <v>178</v>
      </c>
      <c r="V712" s="14">
        <f>ROUND((IF(Q712=1,INDEX(新属性投放!$K$14:$K$34,卡牌属性!R712),INDEX(新属性投放!$K$42:$K$62,卡牌属性!R712))+IF(Q712=1,INDEX(新属性投放!S$20:S$23,卡牌属性!M712-1),INDEX(新属性投放!S$25:S$28,卡牌属性!M712-1)))*INDEX($G$5:$G$42,L712),2)</f>
        <v>5434.18</v>
      </c>
      <c r="W712" s="29" t="s">
        <v>179</v>
      </c>
      <c r="X712" s="14">
        <f>ROUND((IF(Q712=1,INDEX(新属性投放!$L$14:$L$34,卡牌属性!R712),INDEX(新属性投放!$L$42:$L$62,卡牌属性!R712))*INDEX($G$5:$G$42,L712)+IF(Q712=1,INDEX(新属性投放!T$20:T$23,卡牌属性!M712-1),INDEX(新属性投放!T$25:T$28,卡牌属性!M712-1)))*SQRT(INDEX($I$5:$I$42,L712)),2)</f>
        <v>58273</v>
      </c>
      <c r="Y712" s="29" t="s">
        <v>177</v>
      </c>
      <c r="Z712" s="14">
        <f>ROUND(IF(Q712=1,INDEX(新属性投放!$D$14:$D$34,卡牌属性!R712),INDEX(新属性投放!$D$42:$D$62,卡牌属性!R712))*INDEX($G$5:$G$42,L712)/SQRT(INDEX($I$5:$I$42,L712)),2)</f>
        <v>268.91000000000003</v>
      </c>
      <c r="AA712" s="29" t="s">
        <v>178</v>
      </c>
      <c r="AB712" s="14">
        <f>ROUND(IF(Q712=1,INDEX(新属性投放!$E$14:$E$34,卡牌属性!R712),INDEX(新属性投放!$E$42:$E$62,卡牌属性!R712))*INDEX($G$5:$G$42,L712),2)</f>
        <v>134.46</v>
      </c>
      <c r="AC712" s="29" t="s">
        <v>179</v>
      </c>
      <c r="AD712" s="14">
        <f>ROUND(IF(Q712=1,INDEX(新属性投放!$F$14:$F$34,卡牌属性!R712),INDEX(新属性投放!$F$42:$F$62,卡牌属性!R712))*INDEX($G$5:$G$42,L712)*SQRT(INDEX($I$5:$I$42,L712)),2)</f>
        <v>1210</v>
      </c>
      <c r="AF712" s="14">
        <f t="shared" si="310"/>
        <v>2689</v>
      </c>
      <c r="AG712" s="14">
        <f t="shared" si="311"/>
        <v>1344</v>
      </c>
      <c r="AH712" s="14">
        <f t="shared" si="312"/>
        <v>12100</v>
      </c>
      <c r="AJ712" s="14">
        <f t="shared" si="301"/>
        <v>16743</v>
      </c>
      <c r="AK712" s="14">
        <f t="shared" si="302"/>
        <v>8369</v>
      </c>
      <c r="AL712" s="14">
        <f t="shared" si="303"/>
        <v>75310</v>
      </c>
    </row>
    <row r="713" spans="11:38" ht="16.5" x14ac:dyDescent="0.2">
      <c r="K713" s="13">
        <v>710</v>
      </c>
      <c r="L713" s="13">
        <f t="shared" si="304"/>
        <v>34</v>
      </c>
      <c r="M713" s="13">
        <f t="shared" si="305"/>
        <v>2</v>
      </c>
      <c r="N713" s="14">
        <f t="shared" si="306"/>
        <v>1102018</v>
      </c>
      <c r="O713" s="14" t="str">
        <f t="shared" si="307"/>
        <v>噬日17突</v>
      </c>
      <c r="P713" s="29" t="s">
        <v>470</v>
      </c>
      <c r="Q713" s="14">
        <f t="shared" si="308"/>
        <v>2</v>
      </c>
      <c r="R713" s="14">
        <f t="shared" si="309"/>
        <v>17</v>
      </c>
      <c r="S713" s="14" t="s">
        <v>39</v>
      </c>
      <c r="T713" s="14">
        <f>ROUND(((IF(Q713=1,INDEX(新属性投放!$J$14:$J$34,卡牌属性!R713),INDEX(新属性投放!$J$42:$J$62,卡牌属性!R713)))*INDEX($G$5:$G$42,L713)+IF(Q713=1,INDEX(新属性投放!R$20:R$23,卡牌属性!M713-1),INDEX(新属性投放!R$25:R$28,卡牌属性!M713-1)))/SQRT(INDEX($I$5:$I$42,L713)),2)</f>
        <v>12701.9</v>
      </c>
      <c r="U713" s="29" t="s">
        <v>178</v>
      </c>
      <c r="V713" s="14">
        <f>ROUND((IF(Q713=1,INDEX(新属性投放!$K$14:$K$34,卡牌属性!R713),INDEX(新属性投放!$K$42:$K$62,卡牌属性!R713))+IF(Q713=1,INDEX(新属性投放!S$20:S$23,卡牌属性!M713-1),INDEX(新属性投放!S$25:S$28,卡牌属性!M713-1)))*INDEX($G$5:$G$42,L713),2)</f>
        <v>6274.45</v>
      </c>
      <c r="W713" s="29" t="s">
        <v>179</v>
      </c>
      <c r="X713" s="14">
        <f>ROUND((IF(Q713=1,INDEX(新属性投放!$L$14:$L$34,卡牌属性!R713),INDEX(新属性投放!$L$42:$L$62,卡牌属性!R713))*INDEX($G$5:$G$42,L713)+IF(Q713=1,INDEX(新属性投放!T$20:T$23,卡牌属性!M713-1),INDEX(新属性投放!T$25:T$28,卡牌属性!M713-1)))*SQRT(INDEX($I$5:$I$42,L713)),2)</f>
        <v>67347</v>
      </c>
      <c r="Y713" s="29" t="s">
        <v>177</v>
      </c>
      <c r="Z713" s="14">
        <f>ROUND(IF(Q713=1,INDEX(新属性投放!$D$14:$D$34,卡牌属性!R713),INDEX(新属性投放!$D$42:$D$62,卡牌属性!R713))*INDEX($G$5:$G$42,L713)/SQRT(INDEX($I$5:$I$42,L713)),2)</f>
        <v>310.92</v>
      </c>
      <c r="AA713" s="29" t="s">
        <v>178</v>
      </c>
      <c r="AB713" s="14">
        <f>ROUND(IF(Q713=1,INDEX(新属性投放!$E$14:$E$34,卡牌属性!R713),INDEX(新属性投放!$E$42:$E$62,卡牌属性!R713))*INDEX($G$5:$G$42,L713),2)</f>
        <v>155.46</v>
      </c>
      <c r="AC713" s="29" t="s">
        <v>179</v>
      </c>
      <c r="AD713" s="14">
        <f>ROUND(IF(Q713=1,INDEX(新属性投放!$F$14:$F$34,卡牌属性!R713),INDEX(新属性投放!$F$42:$F$62,卡牌属性!R713))*INDEX($G$5:$G$42,L713)*SQRT(INDEX($I$5:$I$42,L713)),2)</f>
        <v>1399</v>
      </c>
      <c r="AF713" s="14">
        <f t="shared" si="310"/>
        <v>3109</v>
      </c>
      <c r="AG713" s="14">
        <f t="shared" si="311"/>
        <v>1554</v>
      </c>
      <c r="AH713" s="14">
        <f t="shared" si="312"/>
        <v>13990</v>
      </c>
      <c r="AJ713" s="14">
        <f t="shared" si="301"/>
        <v>19852</v>
      </c>
      <c r="AK713" s="14">
        <f t="shared" si="302"/>
        <v>9923</v>
      </c>
      <c r="AL713" s="14">
        <f t="shared" si="303"/>
        <v>89300</v>
      </c>
    </row>
    <row r="714" spans="11:38" ht="16.5" x14ac:dyDescent="0.2">
      <c r="K714" s="13">
        <v>711</v>
      </c>
      <c r="L714" s="13">
        <f t="shared" si="304"/>
        <v>34</v>
      </c>
      <c r="M714" s="13">
        <f t="shared" si="305"/>
        <v>2</v>
      </c>
      <c r="N714" s="14">
        <f t="shared" si="306"/>
        <v>1102018</v>
      </c>
      <c r="O714" s="14" t="str">
        <f t="shared" si="307"/>
        <v>噬日18突</v>
      </c>
      <c r="P714" s="29" t="s">
        <v>470</v>
      </c>
      <c r="Q714" s="14">
        <f t="shared" si="308"/>
        <v>2</v>
      </c>
      <c r="R714" s="14">
        <f t="shared" si="309"/>
        <v>18</v>
      </c>
      <c r="S714" s="14" t="s">
        <v>39</v>
      </c>
      <c r="T714" s="14">
        <f>ROUND(((IF(Q714=1,INDEX(新属性投放!$J$14:$J$34,卡牌属性!R714),INDEX(新属性投放!$J$42:$J$62,卡牌属性!R714)))*INDEX($G$5:$G$42,L714)+IF(Q714=1,INDEX(新属性投放!R$20:R$23,卡牌属性!M714-1),INDEX(新属性投放!R$25:R$28,卡牌属性!M714-1)))/SQRT(INDEX($I$5:$I$42,L714)),2)</f>
        <v>14645.5</v>
      </c>
      <c r="U714" s="29" t="s">
        <v>178</v>
      </c>
      <c r="V714" s="14">
        <f>ROUND((IF(Q714=1,INDEX(新属性投放!$K$14:$K$34,卡牌属性!R714),INDEX(新属性投放!$K$42:$K$62,卡牌属性!R714))+IF(Q714=1,INDEX(新属性投放!S$20:S$23,卡牌属性!M714-1),INDEX(新属性投放!S$25:S$28,卡牌属性!M714-1)))*INDEX($G$5:$G$42,L714),2)</f>
        <v>7245.75</v>
      </c>
      <c r="W714" s="29" t="s">
        <v>179</v>
      </c>
      <c r="X714" s="14">
        <f>ROUND((IF(Q714=1,INDEX(新属性投放!$L$14:$L$34,卡牌属性!R714),INDEX(新属性投放!$L$42:$L$62,卡牌属性!R714))*INDEX($G$5:$G$42,L714)+IF(Q714=1,INDEX(新属性投放!T$20:T$23,卡牌属性!M714-1),INDEX(新属性投放!T$25:T$28,卡牌属性!M714-1)))*SQRT(INDEX($I$5:$I$42,L714)),2)</f>
        <v>77843</v>
      </c>
      <c r="Y714" s="29" t="s">
        <v>177</v>
      </c>
      <c r="Z714" s="14">
        <f>ROUND(IF(Q714=1,INDEX(新属性投放!$D$14:$D$34,卡牌属性!R714),INDEX(新属性投放!$D$42:$D$62,卡牌属性!R714))*INDEX($G$5:$G$42,L714)/SQRT(INDEX($I$5:$I$42,L714)),2)</f>
        <v>359.51</v>
      </c>
      <c r="AA714" s="29" t="s">
        <v>178</v>
      </c>
      <c r="AB714" s="14">
        <f>ROUND(IF(Q714=1,INDEX(新属性投放!$E$14:$E$34,卡牌属性!R714),INDEX(新属性投放!$E$42:$E$62,卡牌属性!R714))*INDEX($G$5:$G$42,L714),2)</f>
        <v>179.76</v>
      </c>
      <c r="AC714" s="29" t="s">
        <v>179</v>
      </c>
      <c r="AD714" s="14">
        <f>ROUND(IF(Q714=1,INDEX(新属性投放!$F$14:$F$34,卡牌属性!R714),INDEX(新属性投放!$F$42:$F$62,卡牌属性!R714))*INDEX($G$5:$G$42,L714)*SQRT(INDEX($I$5:$I$42,L714)),2)</f>
        <v>1617</v>
      </c>
      <c r="AF714" s="14">
        <f t="shared" si="310"/>
        <v>3595</v>
      </c>
      <c r="AG714" s="14">
        <f t="shared" si="311"/>
        <v>1797</v>
      </c>
      <c r="AH714" s="14">
        <f t="shared" si="312"/>
        <v>16170</v>
      </c>
      <c r="AJ714" s="14">
        <f t="shared" si="301"/>
        <v>23447</v>
      </c>
      <c r="AK714" s="14">
        <f t="shared" si="302"/>
        <v>11720</v>
      </c>
      <c r="AL714" s="14">
        <f t="shared" si="303"/>
        <v>105470</v>
      </c>
    </row>
    <row r="715" spans="11:38" ht="16.5" x14ac:dyDescent="0.2">
      <c r="K715" s="13">
        <v>712</v>
      </c>
      <c r="L715" s="13">
        <f t="shared" si="304"/>
        <v>34</v>
      </c>
      <c r="M715" s="13">
        <f t="shared" si="305"/>
        <v>2</v>
      </c>
      <c r="N715" s="14">
        <f t="shared" si="306"/>
        <v>1102018</v>
      </c>
      <c r="O715" s="14" t="str">
        <f t="shared" si="307"/>
        <v>噬日19突</v>
      </c>
      <c r="P715" s="29" t="s">
        <v>470</v>
      </c>
      <c r="Q715" s="14">
        <f t="shared" si="308"/>
        <v>2</v>
      </c>
      <c r="R715" s="14">
        <f t="shared" si="309"/>
        <v>19</v>
      </c>
      <c r="S715" s="14" t="s">
        <v>39</v>
      </c>
      <c r="T715" s="14">
        <f>ROUND(((IF(Q715=1,INDEX(新属性投放!$J$14:$J$34,卡牌属性!R715),INDEX(新属性投放!$J$42:$J$62,卡牌属性!R715)))*INDEX($G$5:$G$42,L715)+IF(Q715=1,INDEX(新属性投放!R$20:R$23,卡牌属性!M715-1),INDEX(新属性投放!R$25:R$28,卡牌属性!M715-1)))/SQRT(INDEX($I$5:$I$42,L715)),2)</f>
        <v>16892.05</v>
      </c>
      <c r="U715" s="29" t="s">
        <v>178</v>
      </c>
      <c r="V715" s="14">
        <f>ROUND((IF(Q715=1,INDEX(新属性投放!$K$14:$K$34,卡牌属性!R715),INDEX(新属性投放!$K$42:$K$62,卡牌属性!R715))+IF(Q715=1,INDEX(新属性投放!S$20:S$23,卡牌属性!M715-1),INDEX(新属性投放!S$25:S$28,卡牌属性!M715-1)))*INDEX($G$5:$G$42,L715),2)</f>
        <v>8369.5300000000007</v>
      </c>
      <c r="W715" s="29" t="s">
        <v>179</v>
      </c>
      <c r="X715" s="14">
        <f>ROUND((IF(Q715=1,INDEX(新属性投放!$L$14:$L$34,卡牌属性!R715),INDEX(新属性投放!$L$42:$L$62,卡牌属性!R715))*INDEX($G$5:$G$42,L715)+IF(Q715=1,INDEX(新属性投放!T$20:T$23,卡牌属性!M715-1),INDEX(新属性投放!T$25:T$28,卡牌属性!M715-1)))*SQRT(INDEX($I$5:$I$42,L715)),2)</f>
        <v>89969</v>
      </c>
      <c r="Y715" s="29" t="s">
        <v>177</v>
      </c>
      <c r="Z715" s="14">
        <f>ROUND(IF(Q715=1,INDEX(新属性投放!$D$14:$D$34,卡牌属性!R715),INDEX(新属性投放!$D$42:$D$62,卡牌属性!R715))*INDEX($G$5:$G$42,L715)/SQRT(INDEX($I$5:$I$42,L715)),2)</f>
        <v>415.68</v>
      </c>
      <c r="AA715" s="29" t="s">
        <v>178</v>
      </c>
      <c r="AB715" s="14">
        <f>ROUND(IF(Q715=1,INDEX(新属性投放!$E$14:$E$34,卡牌属性!R715),INDEX(新属性投放!$E$42:$E$62,卡牌属性!R715))*INDEX($G$5:$G$42,L715),2)</f>
        <v>207.84</v>
      </c>
      <c r="AC715" s="29" t="s">
        <v>179</v>
      </c>
      <c r="AD715" s="14">
        <f>ROUND(IF(Q715=1,INDEX(新属性投放!$F$14:$F$34,卡牌属性!R715),INDEX(新属性投放!$F$42:$F$62,卡牌属性!R715))*INDEX($G$5:$G$42,L715)*SQRT(INDEX($I$5:$I$42,L715)),2)</f>
        <v>1870</v>
      </c>
      <c r="AF715" s="14">
        <f t="shared" si="310"/>
        <v>4156</v>
      </c>
      <c r="AG715" s="14">
        <f t="shared" si="311"/>
        <v>2078</v>
      </c>
      <c r="AH715" s="14">
        <f t="shared" si="312"/>
        <v>18700</v>
      </c>
      <c r="AJ715" s="14">
        <f t="shared" si="301"/>
        <v>27603</v>
      </c>
      <c r="AK715" s="14">
        <f t="shared" si="302"/>
        <v>13798</v>
      </c>
      <c r="AL715" s="14">
        <f t="shared" si="303"/>
        <v>124170</v>
      </c>
    </row>
    <row r="716" spans="11:38" ht="16.5" x14ac:dyDescent="0.2">
      <c r="K716" s="13">
        <v>713</v>
      </c>
      <c r="L716" s="13">
        <f t="shared" si="304"/>
        <v>34</v>
      </c>
      <c r="M716" s="13">
        <f t="shared" si="305"/>
        <v>2</v>
      </c>
      <c r="N716" s="14">
        <f t="shared" si="306"/>
        <v>1102018</v>
      </c>
      <c r="O716" s="14" t="str">
        <f t="shared" si="307"/>
        <v>噬日20突</v>
      </c>
      <c r="P716" s="29" t="s">
        <v>470</v>
      </c>
      <c r="Q716" s="14">
        <f t="shared" si="308"/>
        <v>2</v>
      </c>
      <c r="R716" s="14">
        <f t="shared" si="309"/>
        <v>20</v>
      </c>
      <c r="S716" s="14" t="s">
        <v>39</v>
      </c>
      <c r="T716" s="14">
        <f>ROUND(((IF(Q716=1,INDEX(新属性投放!$J$14:$J$34,卡牌属性!R716),INDEX(新属性投放!$J$42:$J$62,卡牌属性!R716)))*INDEX($G$5:$G$42,L716)+IF(Q716=1,INDEX(新属性投放!R$20:R$23,卡牌属性!M716-1),INDEX(新属性投放!R$25:R$28,卡牌属性!M716-1)))/SQRT(INDEX($I$5:$I$42,L716)),2)</f>
        <v>19490.45</v>
      </c>
      <c r="U716" s="29" t="s">
        <v>178</v>
      </c>
      <c r="V716" s="14">
        <f>ROUND((IF(Q716=1,INDEX(新属性投放!$K$14:$K$34,卡牌属性!R716),INDEX(新属性投放!$K$42:$K$62,卡牌属性!R716))+IF(Q716=1,INDEX(新属性投放!S$20:S$23,卡牌属性!M716-1),INDEX(新属性投放!S$25:S$28,卡牌属性!M716-1)))*INDEX($G$5:$G$42,L716),2)</f>
        <v>9668.73</v>
      </c>
      <c r="W716" s="29" t="s">
        <v>179</v>
      </c>
      <c r="X716" s="14">
        <f>ROUND((IF(Q716=1,INDEX(新属性投放!$L$14:$L$34,卡牌属性!R716),INDEX(新属性投放!$L$42:$L$62,卡牌属性!R716))*INDEX($G$5:$G$42,L716)+IF(Q716=1,INDEX(新属性投放!T$20:T$23,卡牌属性!M716-1),INDEX(新属性投放!T$25:T$28,卡牌属性!M716-1)))*SQRT(INDEX($I$5:$I$42,L716)),2)</f>
        <v>103999</v>
      </c>
      <c r="Y716" s="29" t="s">
        <v>177</v>
      </c>
      <c r="Z716" s="14">
        <f>ROUND(IF(Q716=1,INDEX(新属性投放!$D$14:$D$34,卡牌属性!R716),INDEX(新属性投放!$D$42:$D$62,卡牌属性!R716))*INDEX($G$5:$G$42,L716)/SQRT(INDEX($I$5:$I$42,L716)),2)</f>
        <v>480.64</v>
      </c>
      <c r="AA716" s="29" t="s">
        <v>178</v>
      </c>
      <c r="AB716" s="14">
        <f>ROUND(IF(Q716=1,INDEX(新属性投放!$E$14:$E$34,卡牌属性!R716),INDEX(新属性投放!$E$42:$E$62,卡牌属性!R716))*INDEX($G$5:$G$42,L716),2)</f>
        <v>240.32</v>
      </c>
      <c r="AC716" s="29" t="s">
        <v>179</v>
      </c>
      <c r="AD716" s="14">
        <f>ROUND(IF(Q716=1,INDEX(新属性投放!$F$14:$F$34,卡牌属性!R716),INDEX(新属性投放!$F$42:$F$62,卡牌属性!R716))*INDEX($G$5:$G$42,L716)*SQRT(INDEX($I$5:$I$42,L716)),2)</f>
        <v>2162</v>
      </c>
      <c r="AF716" s="14">
        <f t="shared" si="310"/>
        <v>4806</v>
      </c>
      <c r="AG716" s="14">
        <f t="shared" si="311"/>
        <v>2403</v>
      </c>
      <c r="AH716" s="14">
        <f t="shared" si="312"/>
        <v>21620</v>
      </c>
      <c r="AJ716" s="14">
        <f t="shared" si="301"/>
        <v>32409</v>
      </c>
      <c r="AK716" s="14">
        <f t="shared" si="302"/>
        <v>16201</v>
      </c>
      <c r="AL716" s="14">
        <f t="shared" si="303"/>
        <v>145790</v>
      </c>
    </row>
    <row r="717" spans="11:38" ht="16.5" x14ac:dyDescent="0.2">
      <c r="K717" s="13">
        <v>714</v>
      </c>
      <c r="L717" s="13">
        <f t="shared" si="304"/>
        <v>34</v>
      </c>
      <c r="M717" s="13">
        <f t="shared" si="305"/>
        <v>2</v>
      </c>
      <c r="N717" s="14">
        <f t="shared" si="306"/>
        <v>1102018</v>
      </c>
      <c r="O717" s="14" t="str">
        <f t="shared" si="307"/>
        <v>噬日21突</v>
      </c>
      <c r="P717" s="29" t="s">
        <v>470</v>
      </c>
      <c r="Q717" s="14">
        <f t="shared" si="308"/>
        <v>2</v>
      </c>
      <c r="R717" s="14">
        <f t="shared" si="309"/>
        <v>21</v>
      </c>
      <c r="S717" s="14" t="s">
        <v>39</v>
      </c>
      <c r="T717" s="14">
        <f>ROUND(((IF(Q717=1,INDEX(新属性投放!$J$14:$J$34,卡牌属性!R717),INDEX(新属性投放!$J$42:$J$62,卡牌属性!R717)))*INDEX($G$5:$G$42,L717)+IF(Q717=1,INDEX(新属性投放!R$20:R$23,卡牌属性!M717-1),INDEX(新属性投放!R$25:R$28,卡牌属性!M717-1)))/SQRT(INDEX($I$5:$I$42,L717)),2)</f>
        <v>22494.65</v>
      </c>
      <c r="U717" s="29" t="s">
        <v>178</v>
      </c>
      <c r="V717" s="14">
        <f>ROUND((IF(Q717=1,INDEX(新属性投放!$K$14:$K$34,卡牌属性!R717),INDEX(新属性投放!$K$42:$K$62,卡牌属性!R717))+IF(Q717=1,INDEX(新属性投放!S$20:S$23,卡牌属性!M717-1),INDEX(新属性投放!S$25:S$28,卡牌属性!M717-1)))*INDEX($G$5:$G$42,L717),2)</f>
        <v>11170.33</v>
      </c>
      <c r="W717" s="29" t="s">
        <v>179</v>
      </c>
      <c r="X717" s="14">
        <f>ROUND((IF(Q717=1,INDEX(新属性投放!$L$14:$L$34,卡牌属性!R717),INDEX(新属性投放!$L$42:$L$62,卡牌属性!R717))*INDEX($G$5:$G$42,L717)+IF(Q717=1,INDEX(新属性投放!T$20:T$23,卡牌属性!M717-1),INDEX(新属性投放!T$25:T$28,卡牌属性!M717-1)))*SQRT(INDEX($I$5:$I$42,L717)),2)</f>
        <v>120218</v>
      </c>
      <c r="Y717" s="29" t="s">
        <v>177</v>
      </c>
      <c r="Z717" s="14">
        <f>ROUND(IF(Q717=1,INDEX(新属性投放!$D$14:$D$34,卡牌属性!R717),INDEX(新属性投放!$D$42:$D$62,卡牌属性!R717))*INDEX($G$5:$G$42,L717)/SQRT(INDEX($I$5:$I$42,L717)),2)</f>
        <v>555.74</v>
      </c>
      <c r="AA717" s="29" t="s">
        <v>178</v>
      </c>
      <c r="AB717" s="14">
        <f>ROUND(IF(Q717=1,INDEX(新属性投放!$E$14:$E$34,卡牌属性!R717),INDEX(新属性投放!$E$42:$E$62,卡牌属性!R717))*INDEX($G$5:$G$42,L717),2)</f>
        <v>277.87</v>
      </c>
      <c r="AC717" s="29" t="s">
        <v>179</v>
      </c>
      <c r="AD717" s="14">
        <f>ROUND(IF(Q717=1,INDEX(新属性投放!$F$14:$F$34,卡牌属性!R717),INDEX(新属性投放!$F$42:$F$62,卡牌属性!R717))*INDEX($G$5:$G$42,L717)*SQRT(INDEX($I$5:$I$42,L717)),2)</f>
        <v>2500</v>
      </c>
      <c r="AF717" s="14">
        <f t="shared" si="310"/>
        <v>5557</v>
      </c>
      <c r="AG717" s="14">
        <f t="shared" si="311"/>
        <v>2778</v>
      </c>
      <c r="AH717" s="14">
        <f t="shared" si="312"/>
        <v>25000</v>
      </c>
      <c r="AJ717" s="14">
        <f t="shared" si="301"/>
        <v>37966</v>
      </c>
      <c r="AK717" s="14">
        <f t="shared" si="302"/>
        <v>18979</v>
      </c>
      <c r="AL717" s="14">
        <f t="shared" si="303"/>
        <v>170790</v>
      </c>
    </row>
    <row r="718" spans="11:38" ht="16.5" x14ac:dyDescent="0.2">
      <c r="K718" s="13">
        <v>715</v>
      </c>
      <c r="L718" s="13">
        <f t="shared" si="304"/>
        <v>35</v>
      </c>
      <c r="M718" s="13">
        <f t="shared" si="305"/>
        <v>2</v>
      </c>
      <c r="N718" s="14">
        <f t="shared" si="306"/>
        <v>1102019</v>
      </c>
      <c r="O718" s="14" t="str">
        <f t="shared" si="307"/>
        <v>食火蜥1突</v>
      </c>
      <c r="P718" s="29" t="s">
        <v>470</v>
      </c>
      <c r="Q718" s="14">
        <f t="shared" si="308"/>
        <v>2</v>
      </c>
      <c r="R718" s="14">
        <f t="shared" si="309"/>
        <v>1</v>
      </c>
      <c r="S718" s="14" t="s">
        <v>39</v>
      </c>
      <c r="T718" s="14">
        <f>ROUND(((IF(Q718=1,INDEX(新属性投放!$J$14:$J$34,卡牌属性!R718),INDEX(新属性投放!$J$42:$J$62,卡牌属性!R718)))*INDEX($G$5:$G$42,L718)+IF(Q718=1,INDEX(新属性投放!R$20:R$23,卡牌属性!M718-1),INDEX(新属性投放!R$25:R$28,卡牌属性!M718-1)))/SQRT(INDEX($I$5:$I$42,L718)),2)</f>
        <v>350</v>
      </c>
      <c r="U718" s="29" t="s">
        <v>178</v>
      </c>
      <c r="V718" s="14">
        <f>ROUND((IF(Q718=1,INDEX(新属性投放!$K$14:$K$34,卡牌属性!R718),INDEX(新属性投放!$K$42:$K$62,卡牌属性!R718))+IF(Q718=1,INDEX(新属性投放!S$20:S$23,卡牌属性!M718-1),INDEX(新属性投放!S$25:S$28,卡牌属性!M718-1)))*INDEX($G$5:$G$42,L718),2)</f>
        <v>100</v>
      </c>
      <c r="W718" s="29" t="s">
        <v>179</v>
      </c>
      <c r="X718" s="14">
        <f>ROUND((IF(Q718=1,INDEX(新属性投放!$L$14:$L$34,卡牌属性!R718),INDEX(新属性投放!$L$42:$L$62,卡牌属性!R718))*INDEX($G$5:$G$42,L718)+IF(Q718=1,INDEX(新属性投放!T$20:T$23,卡牌属性!M718-1),INDEX(新属性投放!T$25:T$28,卡牌属性!M718-1)))*SQRT(INDEX($I$5:$I$42,L718)),2)</f>
        <v>750</v>
      </c>
      <c r="Y718" s="29" t="s">
        <v>177</v>
      </c>
      <c r="Z718" s="14">
        <f>ROUND(IF(Q718=1,INDEX(新属性投放!$D$14:$D$34,卡牌属性!R718),INDEX(新属性投放!$D$42:$D$62,卡牌属性!R718))*INDEX($G$5:$G$42,L718)/SQRT(INDEX($I$5:$I$42,L718)),2)</f>
        <v>15</v>
      </c>
      <c r="AA718" s="29" t="s">
        <v>178</v>
      </c>
      <c r="AB718" s="14">
        <f>ROUND(IF(Q718=1,INDEX(新属性投放!$E$14:$E$34,卡牌属性!R718),INDEX(新属性投放!$E$42:$E$62,卡牌属性!R718))*INDEX($G$5:$G$42,L718),2)</f>
        <v>7.5</v>
      </c>
      <c r="AC718" s="29" t="s">
        <v>179</v>
      </c>
      <c r="AD718" s="14">
        <f>ROUND(IF(Q718=1,INDEX(新属性投放!$F$14:$F$34,卡牌属性!R718),INDEX(新属性投放!$F$42:$F$62,卡牌属性!R718))*INDEX($G$5:$G$42,L718)*SQRT(INDEX($I$5:$I$42,L718)),2)</f>
        <v>67</v>
      </c>
      <c r="AF718" s="14">
        <f t="shared" si="310"/>
        <v>150</v>
      </c>
      <c r="AG718" s="14">
        <f t="shared" si="311"/>
        <v>75</v>
      </c>
      <c r="AH718" s="14">
        <f t="shared" si="312"/>
        <v>670</v>
      </c>
      <c r="AJ718" s="14">
        <f t="shared" ref="AJ718" si="313">AF718</f>
        <v>150</v>
      </c>
      <c r="AK718" s="14">
        <f t="shared" ref="AK718" si="314">AG718</f>
        <v>75</v>
      </c>
      <c r="AL718" s="14">
        <f t="shared" ref="AL718" si="315">AH718</f>
        <v>670</v>
      </c>
    </row>
    <row r="719" spans="11:38" ht="16.5" x14ac:dyDescent="0.2">
      <c r="K719" s="13">
        <v>716</v>
      </c>
      <c r="L719" s="13">
        <f t="shared" si="304"/>
        <v>35</v>
      </c>
      <c r="M719" s="13">
        <f t="shared" si="305"/>
        <v>2</v>
      </c>
      <c r="N719" s="14">
        <f t="shared" si="306"/>
        <v>1102019</v>
      </c>
      <c r="O719" s="14" t="str">
        <f t="shared" si="307"/>
        <v>食火蜥2突</v>
      </c>
      <c r="P719" s="29" t="s">
        <v>470</v>
      </c>
      <c r="Q719" s="14">
        <f t="shared" si="308"/>
        <v>2</v>
      </c>
      <c r="R719" s="14">
        <f t="shared" si="309"/>
        <v>2</v>
      </c>
      <c r="S719" s="14" t="s">
        <v>39</v>
      </c>
      <c r="T719" s="14">
        <f>ROUND(((IF(Q719=1,INDEX(新属性投放!$J$14:$J$34,卡牌属性!R719),INDEX(新属性投放!$J$42:$J$62,卡牌属性!R719)))*INDEX($G$5:$G$42,L719)+IF(Q719=1,INDEX(新属性投放!R$20:R$23,卡牌属性!M719-1),INDEX(新属性投放!R$25:R$28,卡牌属性!M719-1)))/SQRT(INDEX($I$5:$I$42,L719)),2)</f>
        <v>510</v>
      </c>
      <c r="U719" s="29" t="s">
        <v>178</v>
      </c>
      <c r="V719" s="14">
        <f>ROUND((IF(Q719=1,INDEX(新属性投放!$K$14:$K$34,卡牌属性!R719),INDEX(新属性投放!$K$42:$K$62,卡牌属性!R719))+IF(Q719=1,INDEX(新属性投放!S$20:S$23,卡牌属性!M719-1),INDEX(新属性投放!S$25:S$28,卡牌属性!M719-1)))*INDEX($G$5:$G$42,L719),2)</f>
        <v>177.5</v>
      </c>
      <c r="W719" s="29" t="s">
        <v>179</v>
      </c>
      <c r="X719" s="14">
        <f>ROUND((IF(Q719=1,INDEX(新属性投放!$L$14:$L$34,卡牌属性!R719),INDEX(新属性投放!$L$42:$L$62,卡牌属性!R719))*INDEX($G$5:$G$42,L719)+IF(Q719=1,INDEX(新属性投放!T$20:T$23,卡牌属性!M719-1),INDEX(新属性投放!T$25:T$28,卡牌属性!M719-1)))*SQRT(INDEX($I$5:$I$42,L719)),2)</f>
        <v>1578</v>
      </c>
      <c r="Y719" s="29" t="s">
        <v>177</v>
      </c>
      <c r="Z719" s="14">
        <f>ROUND(IF(Q719=1,INDEX(新属性投放!$D$14:$D$34,卡牌属性!R719),INDEX(新属性投放!$D$42:$D$62,卡牌属性!R719))*INDEX($G$5:$G$42,L719)/SQRT(INDEX($I$5:$I$42,L719)),2)</f>
        <v>13.77</v>
      </c>
      <c r="AA719" s="29" t="s">
        <v>178</v>
      </c>
      <c r="AB719" s="14">
        <f>ROUND(IF(Q719=1,INDEX(新属性投放!$E$14:$E$34,卡牌属性!R719),INDEX(新属性投放!$E$42:$E$62,卡牌属性!R719))*INDEX($G$5:$G$42,L719),2)</f>
        <v>6.89</v>
      </c>
      <c r="AC719" s="29" t="s">
        <v>179</v>
      </c>
      <c r="AD719" s="14">
        <f>ROUND(IF(Q719=1,INDEX(新属性投放!$F$14:$F$34,卡牌属性!R719),INDEX(新属性投放!$F$42:$F$62,卡牌属性!R719))*INDEX($G$5:$G$42,L719)*SQRT(INDEX($I$5:$I$42,L719)),2)</f>
        <v>61</v>
      </c>
      <c r="AF719" s="14">
        <f t="shared" si="310"/>
        <v>137</v>
      </c>
      <c r="AG719" s="14">
        <f t="shared" si="311"/>
        <v>68</v>
      </c>
      <c r="AH719" s="14">
        <f t="shared" si="312"/>
        <v>610</v>
      </c>
      <c r="AJ719" s="14">
        <f t="shared" ref="AJ719:AJ738" si="316">AJ718+AF719</f>
        <v>287</v>
      </c>
      <c r="AK719" s="14">
        <f t="shared" ref="AK719:AK738" si="317">AK718+AG719</f>
        <v>143</v>
      </c>
      <c r="AL719" s="14">
        <f t="shared" ref="AL719:AL738" si="318">AL718+AH719</f>
        <v>1280</v>
      </c>
    </row>
    <row r="720" spans="11:38" ht="16.5" x14ac:dyDescent="0.2">
      <c r="K720" s="13">
        <v>717</v>
      </c>
      <c r="L720" s="13">
        <f t="shared" si="304"/>
        <v>35</v>
      </c>
      <c r="M720" s="13">
        <f t="shared" si="305"/>
        <v>2</v>
      </c>
      <c r="N720" s="14">
        <f t="shared" si="306"/>
        <v>1102019</v>
      </c>
      <c r="O720" s="14" t="str">
        <f t="shared" si="307"/>
        <v>食火蜥3突</v>
      </c>
      <c r="P720" s="29" t="s">
        <v>470</v>
      </c>
      <c r="Q720" s="14">
        <f t="shared" si="308"/>
        <v>2</v>
      </c>
      <c r="R720" s="14">
        <f t="shared" si="309"/>
        <v>3</v>
      </c>
      <c r="S720" s="14" t="s">
        <v>39</v>
      </c>
      <c r="T720" s="14">
        <f>ROUND(((IF(Q720=1,INDEX(新属性投放!$J$14:$J$34,卡牌属性!R720),INDEX(新属性投放!$J$42:$J$62,卡牌属性!R720)))*INDEX($G$5:$G$42,L720)+IF(Q720=1,INDEX(新属性投放!R$20:R$23,卡牌属性!M720-1),INDEX(新属性投放!R$25:R$28,卡牌属性!M720-1)))/SQRT(INDEX($I$5:$I$42,L720)),2)</f>
        <v>681.7</v>
      </c>
      <c r="U720" s="29" t="s">
        <v>178</v>
      </c>
      <c r="V720" s="14">
        <f>ROUND((IF(Q720=1,INDEX(新属性投放!$K$14:$K$34,卡牌属性!R720),INDEX(新属性投放!$K$42:$K$62,卡牌属性!R720))+IF(Q720=1,INDEX(新属性投放!S$20:S$23,卡牌属性!M720-1),INDEX(新属性投放!S$25:S$28,卡牌属性!M720-1)))*INDEX($G$5:$G$42,L720),2)</f>
        <v>263.35000000000002</v>
      </c>
      <c r="W720" s="29" t="s">
        <v>179</v>
      </c>
      <c r="X720" s="14">
        <f>ROUND((IF(Q720=1,INDEX(新属性投放!$L$14:$L$34,卡牌属性!R720),INDEX(新属性投放!$L$42:$L$62,卡牌属性!R720))*INDEX($G$5:$G$42,L720)+IF(Q720=1,INDEX(新属性投放!T$20:T$23,卡牌属性!M720-1),INDEX(新属性投放!T$25:T$28,卡牌属性!M720-1)))*SQRT(INDEX($I$5:$I$42,L720)),2)</f>
        <v>2494</v>
      </c>
      <c r="Y720" s="29" t="s">
        <v>177</v>
      </c>
      <c r="Z720" s="14">
        <f>ROUND(IF(Q720=1,INDEX(新属性投放!$D$14:$D$34,卡牌属性!R720),INDEX(新属性投放!$D$42:$D$62,卡牌属性!R720))*INDEX($G$5:$G$42,L720)/SQRT(INDEX($I$5:$I$42,L720)),2)</f>
        <v>25.17</v>
      </c>
      <c r="AA720" s="29" t="s">
        <v>178</v>
      </c>
      <c r="AB720" s="14">
        <f>ROUND(IF(Q720=1,INDEX(新属性投放!$E$14:$E$34,卡牌属性!R720),INDEX(新属性投放!$E$42:$E$62,卡牌属性!R720))*INDEX($G$5:$G$42,L720),2)</f>
        <v>12.59</v>
      </c>
      <c r="AC720" s="29" t="s">
        <v>179</v>
      </c>
      <c r="AD720" s="14">
        <f>ROUND(IF(Q720=1,INDEX(新属性投放!$F$14:$F$34,卡牌属性!R720),INDEX(新属性投放!$F$42:$F$62,卡牌属性!R720))*INDEX($G$5:$G$42,L720)*SQRT(INDEX($I$5:$I$42,L720)),2)</f>
        <v>113</v>
      </c>
      <c r="AF720" s="14">
        <f t="shared" si="310"/>
        <v>251</v>
      </c>
      <c r="AG720" s="14">
        <f t="shared" si="311"/>
        <v>125</v>
      </c>
      <c r="AH720" s="14">
        <f t="shared" si="312"/>
        <v>1130</v>
      </c>
      <c r="AJ720" s="14">
        <f t="shared" si="316"/>
        <v>538</v>
      </c>
      <c r="AK720" s="14">
        <f t="shared" si="317"/>
        <v>268</v>
      </c>
      <c r="AL720" s="14">
        <f t="shared" si="318"/>
        <v>2410</v>
      </c>
    </row>
    <row r="721" spans="11:38" ht="16.5" x14ac:dyDescent="0.2">
      <c r="K721" s="13">
        <v>718</v>
      </c>
      <c r="L721" s="13">
        <f t="shared" si="304"/>
        <v>35</v>
      </c>
      <c r="M721" s="13">
        <f t="shared" si="305"/>
        <v>2</v>
      </c>
      <c r="N721" s="14">
        <f t="shared" si="306"/>
        <v>1102019</v>
      </c>
      <c r="O721" s="14" t="str">
        <f t="shared" si="307"/>
        <v>食火蜥4突</v>
      </c>
      <c r="P721" s="29" t="s">
        <v>470</v>
      </c>
      <c r="Q721" s="14">
        <f t="shared" si="308"/>
        <v>2</v>
      </c>
      <c r="R721" s="14">
        <f t="shared" si="309"/>
        <v>4</v>
      </c>
      <c r="S721" s="14" t="s">
        <v>39</v>
      </c>
      <c r="T721" s="14">
        <f>ROUND(((IF(Q721=1,INDEX(新属性投放!$J$14:$J$34,卡牌属性!R721),INDEX(新属性投放!$J$42:$J$62,卡牌属性!R721)))*INDEX($G$5:$G$42,L721)+IF(Q721=1,INDEX(新属性投放!R$20:R$23,卡牌属性!M721-1),INDEX(新属性投放!R$25:R$28,卡牌属性!M721-1)))/SQRT(INDEX($I$5:$I$42,L721)),2)</f>
        <v>996.4</v>
      </c>
      <c r="U721" s="29" t="s">
        <v>178</v>
      </c>
      <c r="V721" s="14">
        <f>ROUND((IF(Q721=1,INDEX(新属性投放!$K$14:$K$34,卡牌属性!R721),INDEX(新属性投放!$K$42:$K$62,卡牌属性!R721))+IF(Q721=1,INDEX(新属性投放!S$20:S$23,卡牌属性!M721-1),INDEX(新属性投放!S$25:S$28,卡牌属性!M721-1)))*INDEX($G$5:$G$42,L721),2)</f>
        <v>420.2</v>
      </c>
      <c r="W721" s="29" t="s">
        <v>179</v>
      </c>
      <c r="X721" s="14">
        <f>ROUND((IF(Q721=1,INDEX(新属性投放!$L$14:$L$34,卡牌属性!R721),INDEX(新属性投放!$L$42:$L$62,卡牌属性!R721))*INDEX($G$5:$G$42,L721)+IF(Q721=1,INDEX(新属性投放!T$20:T$23,卡牌属性!M721-1),INDEX(新属性投放!T$25:T$28,卡牌属性!M721-1)))*SQRT(INDEX($I$5:$I$42,L721)),2)</f>
        <v>4191</v>
      </c>
      <c r="Y721" s="29" t="s">
        <v>177</v>
      </c>
      <c r="Z721" s="14">
        <f>ROUND(IF(Q721=1,INDEX(新属性投放!$D$14:$D$34,卡牌属性!R721),INDEX(新属性投放!$D$42:$D$62,卡牌属性!R721))*INDEX($G$5:$G$42,L721)/SQRT(INDEX($I$5:$I$42,L721)),2)</f>
        <v>30.13</v>
      </c>
      <c r="AA721" s="29" t="s">
        <v>178</v>
      </c>
      <c r="AB721" s="14">
        <f>ROUND(IF(Q721=1,INDEX(新属性投放!$E$14:$E$34,卡牌属性!R721),INDEX(新属性投放!$E$42:$E$62,卡牌属性!R721))*INDEX($G$5:$G$42,L721),2)</f>
        <v>15.07</v>
      </c>
      <c r="AC721" s="29" t="s">
        <v>179</v>
      </c>
      <c r="AD721" s="14">
        <f>ROUND(IF(Q721=1,INDEX(新属性投放!$F$14:$F$34,卡牌属性!R721),INDEX(新属性投放!$F$42:$F$62,卡牌属性!R721))*INDEX($G$5:$G$42,L721)*SQRT(INDEX($I$5:$I$42,L721)),2)</f>
        <v>135</v>
      </c>
      <c r="AF721" s="14">
        <f t="shared" si="310"/>
        <v>301</v>
      </c>
      <c r="AG721" s="14">
        <f t="shared" si="311"/>
        <v>150</v>
      </c>
      <c r="AH721" s="14">
        <f t="shared" si="312"/>
        <v>1350</v>
      </c>
      <c r="AJ721" s="14">
        <f t="shared" si="316"/>
        <v>839</v>
      </c>
      <c r="AK721" s="14">
        <f t="shared" si="317"/>
        <v>418</v>
      </c>
      <c r="AL721" s="14">
        <f t="shared" si="318"/>
        <v>3760</v>
      </c>
    </row>
    <row r="722" spans="11:38" ht="16.5" x14ac:dyDescent="0.2">
      <c r="K722" s="13">
        <v>719</v>
      </c>
      <c r="L722" s="13">
        <f t="shared" si="304"/>
        <v>35</v>
      </c>
      <c r="M722" s="13">
        <f t="shared" si="305"/>
        <v>2</v>
      </c>
      <c r="N722" s="14">
        <f t="shared" si="306"/>
        <v>1102019</v>
      </c>
      <c r="O722" s="14" t="str">
        <f t="shared" si="307"/>
        <v>食火蜥5突</v>
      </c>
      <c r="P722" s="29" t="s">
        <v>470</v>
      </c>
      <c r="Q722" s="14">
        <f t="shared" si="308"/>
        <v>2</v>
      </c>
      <c r="R722" s="14">
        <f t="shared" si="309"/>
        <v>5</v>
      </c>
      <c r="S722" s="14" t="s">
        <v>39</v>
      </c>
      <c r="T722" s="14">
        <f>ROUND(((IF(Q722=1,INDEX(新属性投放!$J$14:$J$34,卡牌属性!R722),INDEX(新属性投放!$J$42:$J$62,卡牌属性!R722)))*INDEX($G$5:$G$42,L722)+IF(Q722=1,INDEX(新属性投放!R$20:R$23,卡牌属性!M722-1),INDEX(新属性投放!R$25:R$28,卡牌属性!M722-1)))/SQRT(INDEX($I$5:$I$42,L722)),2)</f>
        <v>1372.7</v>
      </c>
      <c r="U722" s="29" t="s">
        <v>178</v>
      </c>
      <c r="V722" s="14">
        <f>ROUND((IF(Q722=1,INDEX(新属性投放!$K$14:$K$34,卡牌属性!R722),INDEX(新属性投放!$K$42:$K$62,卡牌属性!R722))+IF(Q722=1,INDEX(新属性投放!S$20:S$23,卡牌属性!M722-1),INDEX(新属性投放!S$25:S$28,卡牌属性!M722-1)))*INDEX($G$5:$G$42,L722),2)</f>
        <v>608.85</v>
      </c>
      <c r="W722" s="29" t="s">
        <v>179</v>
      </c>
      <c r="X722" s="14">
        <f>ROUND((IF(Q722=1,INDEX(新属性投放!$L$14:$L$34,卡牌属性!R722),INDEX(新属性投放!$L$42:$L$62,卡牌属性!R722))*INDEX($G$5:$G$42,L722)+IF(Q722=1,INDEX(新属性投放!T$20:T$23,卡牌属性!M722-1),INDEX(新属性投放!T$25:T$28,卡牌属性!M722-1)))*SQRT(INDEX($I$5:$I$42,L722)),2)</f>
        <v>6216</v>
      </c>
      <c r="Y722" s="29" t="s">
        <v>177</v>
      </c>
      <c r="Z722" s="14">
        <f>ROUND(IF(Q722=1,INDEX(新属性投放!$D$14:$D$34,卡牌属性!R722),INDEX(新属性投放!$D$42:$D$62,卡牌属性!R722))*INDEX($G$5:$G$42,L722)/SQRT(INDEX($I$5:$I$42,L722)),2)</f>
        <v>37.659999999999997</v>
      </c>
      <c r="AA722" s="29" t="s">
        <v>178</v>
      </c>
      <c r="AB722" s="14">
        <f>ROUND(IF(Q722=1,INDEX(新属性投放!$E$14:$E$34,卡牌属性!R722),INDEX(新属性投放!$E$42:$E$62,卡牌属性!R722))*INDEX($G$5:$G$42,L722),2)</f>
        <v>18.829999999999998</v>
      </c>
      <c r="AC722" s="29" t="s">
        <v>179</v>
      </c>
      <c r="AD722" s="14">
        <f>ROUND(IF(Q722=1,INDEX(新属性投放!$F$14:$F$34,卡牌属性!R722),INDEX(新属性投放!$F$42:$F$62,卡牌属性!R722))*INDEX($G$5:$G$42,L722)*SQRT(INDEX($I$5:$I$42,L722)),2)</f>
        <v>169</v>
      </c>
      <c r="AF722" s="14">
        <f t="shared" si="310"/>
        <v>376</v>
      </c>
      <c r="AG722" s="14">
        <f t="shared" si="311"/>
        <v>188</v>
      </c>
      <c r="AH722" s="14">
        <f t="shared" si="312"/>
        <v>1690</v>
      </c>
      <c r="AJ722" s="14">
        <f t="shared" si="316"/>
        <v>1215</v>
      </c>
      <c r="AK722" s="14">
        <f t="shared" si="317"/>
        <v>606</v>
      </c>
      <c r="AL722" s="14">
        <f t="shared" si="318"/>
        <v>5450</v>
      </c>
    </row>
    <row r="723" spans="11:38" ht="16.5" x14ac:dyDescent="0.2">
      <c r="K723" s="13">
        <v>720</v>
      </c>
      <c r="L723" s="13">
        <f t="shared" si="304"/>
        <v>35</v>
      </c>
      <c r="M723" s="13">
        <f t="shared" si="305"/>
        <v>2</v>
      </c>
      <c r="N723" s="14">
        <f t="shared" si="306"/>
        <v>1102019</v>
      </c>
      <c r="O723" s="14" t="str">
        <f t="shared" si="307"/>
        <v>食火蜥6突</v>
      </c>
      <c r="P723" s="29" t="s">
        <v>470</v>
      </c>
      <c r="Q723" s="14">
        <f t="shared" si="308"/>
        <v>2</v>
      </c>
      <c r="R723" s="14">
        <f t="shared" si="309"/>
        <v>6</v>
      </c>
      <c r="S723" s="14" t="s">
        <v>39</v>
      </c>
      <c r="T723" s="14">
        <f>ROUND(((IF(Q723=1,INDEX(新属性投放!$J$14:$J$34,卡牌属性!R723),INDEX(新属性投放!$J$42:$J$62,卡牌属性!R723)))*INDEX($G$5:$G$42,L723)+IF(Q723=1,INDEX(新属性投放!R$20:R$23,卡牌属性!M723-1),INDEX(新属性投放!R$25:R$28,卡牌属性!M723-1)))/SQRT(INDEX($I$5:$I$42,L723)),2)</f>
        <v>1843.3</v>
      </c>
      <c r="U723" s="29" t="s">
        <v>178</v>
      </c>
      <c r="V723" s="14">
        <f>ROUND((IF(Q723=1,INDEX(新属性投放!$K$14:$K$34,卡牌属性!R723),INDEX(新属性投放!$K$42:$K$62,卡牌属性!R723))+IF(Q723=1,INDEX(新属性投放!S$20:S$23,卡牌属性!M723-1),INDEX(新属性投放!S$25:S$28,卡牌属性!M723-1)))*INDEX($G$5:$G$42,L723),2)</f>
        <v>844.15</v>
      </c>
      <c r="W723" s="29" t="s">
        <v>179</v>
      </c>
      <c r="X723" s="14">
        <f>ROUND((IF(Q723=1,INDEX(新属性投放!$L$14:$L$34,卡牌属性!R723),INDEX(新属性投放!$L$42:$L$62,卡牌属性!R723))*INDEX($G$5:$G$42,L723)+IF(Q723=1,INDEX(新属性投放!T$20:T$23,卡牌属性!M723-1),INDEX(新属性投放!T$25:T$28,卡牌属性!M723-1)))*SQRT(INDEX($I$5:$I$42,L723)),2)</f>
        <v>8752</v>
      </c>
      <c r="Y723" s="29" t="s">
        <v>177</v>
      </c>
      <c r="Z723" s="14">
        <f>ROUND(IF(Q723=1,INDEX(新属性投放!$D$14:$D$34,卡牌属性!R723),INDEX(新属性投放!$D$42:$D$62,卡牌属性!R723))*INDEX($G$5:$G$42,L723)/SQRT(INDEX($I$5:$I$42,L723)),2)</f>
        <v>48.85</v>
      </c>
      <c r="AA723" s="29" t="s">
        <v>178</v>
      </c>
      <c r="AB723" s="14">
        <f>ROUND(IF(Q723=1,INDEX(新属性投放!$E$14:$E$34,卡牌属性!R723),INDEX(新属性投放!$E$42:$E$62,卡牌属性!R723))*INDEX($G$5:$G$42,L723),2)</f>
        <v>24.43</v>
      </c>
      <c r="AC723" s="29" t="s">
        <v>179</v>
      </c>
      <c r="AD723" s="14">
        <f>ROUND(IF(Q723=1,INDEX(新属性投放!$F$14:$F$34,卡牌属性!R723),INDEX(新属性投放!$F$42:$F$62,卡牌属性!R723))*INDEX($G$5:$G$42,L723)*SQRT(INDEX($I$5:$I$42,L723)),2)</f>
        <v>219</v>
      </c>
      <c r="AF723" s="14">
        <f t="shared" si="310"/>
        <v>488</v>
      </c>
      <c r="AG723" s="14">
        <f t="shared" si="311"/>
        <v>244</v>
      </c>
      <c r="AH723" s="14">
        <f t="shared" si="312"/>
        <v>2190</v>
      </c>
      <c r="AJ723" s="14">
        <f t="shared" si="316"/>
        <v>1703</v>
      </c>
      <c r="AK723" s="14">
        <f t="shared" si="317"/>
        <v>850</v>
      </c>
      <c r="AL723" s="14">
        <f t="shared" si="318"/>
        <v>7640</v>
      </c>
    </row>
    <row r="724" spans="11:38" ht="16.5" x14ac:dyDescent="0.2">
      <c r="K724" s="13">
        <v>721</v>
      </c>
      <c r="L724" s="13">
        <f t="shared" si="304"/>
        <v>35</v>
      </c>
      <c r="M724" s="13">
        <f t="shared" si="305"/>
        <v>2</v>
      </c>
      <c r="N724" s="14">
        <f t="shared" si="306"/>
        <v>1102019</v>
      </c>
      <c r="O724" s="14" t="str">
        <f t="shared" si="307"/>
        <v>食火蜥7突</v>
      </c>
      <c r="P724" s="29" t="s">
        <v>470</v>
      </c>
      <c r="Q724" s="14">
        <f t="shared" si="308"/>
        <v>2</v>
      </c>
      <c r="R724" s="14">
        <f t="shared" si="309"/>
        <v>7</v>
      </c>
      <c r="S724" s="14" t="s">
        <v>39</v>
      </c>
      <c r="T724" s="14">
        <f>ROUND(((IF(Q724=1,INDEX(新属性投放!$J$14:$J$34,卡牌属性!R724),INDEX(新属性投放!$J$42:$J$62,卡牌属性!R724)))*INDEX($G$5:$G$42,L724)+IF(Q724=1,INDEX(新属性投放!R$20:R$23,卡牌属性!M724-1),INDEX(新属性投放!R$25:R$28,卡牌属性!M724-1)))/SQRT(INDEX($I$5:$I$42,L724)),2)</f>
        <v>2453.8000000000002</v>
      </c>
      <c r="U724" s="29" t="s">
        <v>178</v>
      </c>
      <c r="V724" s="14">
        <f>ROUND((IF(Q724=1,INDEX(新属性投放!$K$14:$K$34,卡牌属性!R724),INDEX(新属性投放!$K$42:$K$62,卡牌属性!R724))+IF(Q724=1,INDEX(新属性投放!S$20:S$23,卡牌属性!M724-1),INDEX(新属性投放!S$25:S$28,卡牌属性!M724-1)))*INDEX($G$5:$G$42,L724),2)</f>
        <v>1149.4000000000001</v>
      </c>
      <c r="W724" s="29" t="s">
        <v>179</v>
      </c>
      <c r="X724" s="14">
        <f>ROUND((IF(Q724=1,INDEX(新属性投放!$L$14:$L$34,卡牌属性!R724),INDEX(新属性投放!$L$42:$L$62,卡牌属性!R724))*INDEX($G$5:$G$42,L724)+IF(Q724=1,INDEX(新属性投放!T$20:T$23,卡牌属性!M724-1),INDEX(新属性投放!T$25:T$28,卡牌属性!M724-1)))*SQRT(INDEX($I$5:$I$42,L724)),2)</f>
        <v>12040</v>
      </c>
      <c r="Y724" s="29" t="s">
        <v>177</v>
      </c>
      <c r="Z724" s="14">
        <f>ROUND(IF(Q724=1,INDEX(新属性投放!$D$14:$D$34,卡牌属性!R724),INDEX(新属性投放!$D$42:$D$62,卡牌属性!R724))*INDEX($G$5:$G$42,L724)/SQRT(INDEX($I$5:$I$42,L724)),2)</f>
        <v>60.19</v>
      </c>
      <c r="AA724" s="29" t="s">
        <v>178</v>
      </c>
      <c r="AB724" s="14">
        <f>ROUND(IF(Q724=1,INDEX(新属性投放!$E$14:$E$34,卡牌属性!R724),INDEX(新属性投放!$E$42:$E$62,卡牌属性!R724))*INDEX($G$5:$G$42,L724),2)</f>
        <v>30.1</v>
      </c>
      <c r="AC724" s="29" t="s">
        <v>179</v>
      </c>
      <c r="AD724" s="14">
        <f>ROUND(IF(Q724=1,INDEX(新属性投放!$F$14:$F$34,卡牌属性!R724),INDEX(新属性投放!$F$42:$F$62,卡牌属性!R724))*INDEX($G$5:$G$42,L724)*SQRT(INDEX($I$5:$I$42,L724)),2)</f>
        <v>270</v>
      </c>
      <c r="AF724" s="14">
        <f t="shared" si="310"/>
        <v>601</v>
      </c>
      <c r="AG724" s="14">
        <f t="shared" si="311"/>
        <v>301</v>
      </c>
      <c r="AH724" s="14">
        <f t="shared" si="312"/>
        <v>2700</v>
      </c>
      <c r="AJ724" s="14">
        <f t="shared" si="316"/>
        <v>2304</v>
      </c>
      <c r="AK724" s="14">
        <f t="shared" si="317"/>
        <v>1151</v>
      </c>
      <c r="AL724" s="14">
        <f t="shared" si="318"/>
        <v>10340</v>
      </c>
    </row>
    <row r="725" spans="11:38" ht="16.5" x14ac:dyDescent="0.2">
      <c r="K725" s="13">
        <v>722</v>
      </c>
      <c r="L725" s="13">
        <f t="shared" si="304"/>
        <v>35</v>
      </c>
      <c r="M725" s="13">
        <f t="shared" si="305"/>
        <v>2</v>
      </c>
      <c r="N725" s="14">
        <f t="shared" si="306"/>
        <v>1102019</v>
      </c>
      <c r="O725" s="14" t="str">
        <f t="shared" si="307"/>
        <v>食火蜥8突</v>
      </c>
      <c r="P725" s="29" t="s">
        <v>470</v>
      </c>
      <c r="Q725" s="14">
        <f t="shared" si="308"/>
        <v>2</v>
      </c>
      <c r="R725" s="14">
        <f t="shared" si="309"/>
        <v>8</v>
      </c>
      <c r="S725" s="14" t="s">
        <v>39</v>
      </c>
      <c r="T725" s="14">
        <f>ROUND(((IF(Q725=1,INDEX(新属性投放!$J$14:$J$34,卡牌属性!R725),INDEX(新属性投放!$J$42:$J$62,卡牌属性!R725)))*INDEX($G$5:$G$42,L725)+IF(Q725=1,INDEX(新属性投放!R$20:R$23,卡牌属性!M725-1),INDEX(新属性投放!R$25:R$28,卡牌属性!M725-1)))/SQRT(INDEX($I$5:$I$42,L725)),2)</f>
        <v>3205.7</v>
      </c>
      <c r="U725" s="29" t="s">
        <v>178</v>
      </c>
      <c r="V725" s="14">
        <f>ROUND((IF(Q725=1,INDEX(新属性投放!$K$14:$K$34,卡牌属性!R725),INDEX(新属性投放!$K$42:$K$62,卡牌属性!R725))+IF(Q725=1,INDEX(新属性投放!S$20:S$23,卡牌属性!M725-1),INDEX(新属性投放!S$25:S$28,卡牌属性!M725-1)))*INDEX($G$5:$G$42,L725),2)</f>
        <v>1525.35</v>
      </c>
      <c r="W725" s="29" t="s">
        <v>179</v>
      </c>
      <c r="X725" s="14">
        <f>ROUND((IF(Q725=1,INDEX(新属性投放!$L$14:$L$34,卡牌属性!R725),INDEX(新属性投放!$L$42:$L$62,卡牌属性!R725))*INDEX($G$5:$G$42,L725)+IF(Q725=1,INDEX(新属性投放!T$20:T$23,卡牌属性!M725-1),INDEX(新属性投放!T$25:T$28,卡牌属性!M725-1)))*SQRT(INDEX($I$5:$I$42,L725)),2)</f>
        <v>16090</v>
      </c>
      <c r="Y725" s="29" t="s">
        <v>177</v>
      </c>
      <c r="Z725" s="14">
        <f>ROUND(IF(Q725=1,INDEX(新属性投放!$D$14:$D$34,卡牌属性!R725),INDEX(新属性投放!$D$42:$D$62,卡牌属性!R725))*INDEX($G$5:$G$42,L725)/SQRT(INDEX($I$5:$I$42,L725)),2)</f>
        <v>75.19</v>
      </c>
      <c r="AA725" s="29" t="s">
        <v>178</v>
      </c>
      <c r="AB725" s="14">
        <f>ROUND(IF(Q725=1,INDEX(新属性投放!$E$14:$E$34,卡牌属性!R725),INDEX(新属性投放!$E$42:$E$62,卡牌属性!R725))*INDEX($G$5:$G$42,L725),2)</f>
        <v>37.6</v>
      </c>
      <c r="AC725" s="29" t="s">
        <v>179</v>
      </c>
      <c r="AD725" s="14">
        <f>ROUND(IF(Q725=1,INDEX(新属性投放!$F$14:$F$34,卡牌属性!R725),INDEX(新属性投放!$F$42:$F$62,卡牌属性!R725))*INDEX($G$5:$G$42,L725)*SQRT(INDEX($I$5:$I$42,L725)),2)</f>
        <v>338</v>
      </c>
      <c r="AF725" s="14">
        <f t="shared" si="310"/>
        <v>751</v>
      </c>
      <c r="AG725" s="14">
        <f t="shared" si="311"/>
        <v>376</v>
      </c>
      <c r="AH725" s="14">
        <f t="shared" si="312"/>
        <v>3380</v>
      </c>
      <c r="AJ725" s="14">
        <f t="shared" si="316"/>
        <v>3055</v>
      </c>
      <c r="AK725" s="14">
        <f t="shared" si="317"/>
        <v>1527</v>
      </c>
      <c r="AL725" s="14">
        <f t="shared" si="318"/>
        <v>13720</v>
      </c>
    </row>
    <row r="726" spans="11:38" ht="16.5" x14ac:dyDescent="0.2">
      <c r="K726" s="13">
        <v>723</v>
      </c>
      <c r="L726" s="13">
        <f t="shared" si="304"/>
        <v>35</v>
      </c>
      <c r="M726" s="13">
        <f t="shared" si="305"/>
        <v>2</v>
      </c>
      <c r="N726" s="14">
        <f t="shared" si="306"/>
        <v>1102019</v>
      </c>
      <c r="O726" s="14" t="str">
        <f t="shared" si="307"/>
        <v>食火蜥9突</v>
      </c>
      <c r="P726" s="29" t="s">
        <v>470</v>
      </c>
      <c r="Q726" s="14">
        <f t="shared" si="308"/>
        <v>2</v>
      </c>
      <c r="R726" s="14">
        <f t="shared" si="309"/>
        <v>9</v>
      </c>
      <c r="S726" s="14" t="s">
        <v>39</v>
      </c>
      <c r="T726" s="14">
        <f>ROUND(((IF(Q726=1,INDEX(新属性投放!$J$14:$J$34,卡牌属性!R726),INDEX(新属性投放!$J$42:$J$62,卡牌属性!R726)))*INDEX($G$5:$G$42,L726)+IF(Q726=1,INDEX(新属性投放!R$20:R$23,卡牌属性!M726-1),INDEX(新属性投放!R$25:R$28,卡牌属性!M726-1)))/SQRT(INDEX($I$5:$I$42,L726)),2)</f>
        <v>4145.6000000000004</v>
      </c>
      <c r="U726" s="29" t="s">
        <v>178</v>
      </c>
      <c r="V726" s="14">
        <f>ROUND((IF(Q726=1,INDEX(新属性投放!$K$14:$K$34,卡牌属性!R726),INDEX(新属性投放!$K$42:$K$62,卡牌属性!R726))+IF(Q726=1,INDEX(新属性投放!S$20:S$23,卡牌属性!M726-1),INDEX(新属性投放!S$25:S$28,卡牌属性!M726-1)))*INDEX($G$5:$G$42,L726),2)</f>
        <v>1995.3</v>
      </c>
      <c r="W726" s="29" t="s">
        <v>179</v>
      </c>
      <c r="X726" s="14">
        <f>ROUND((IF(Q726=1,INDEX(新属性投放!$L$14:$L$34,卡牌属性!R726),INDEX(新属性投放!$L$42:$L$62,卡牌属性!R726))*INDEX($G$5:$G$42,L726)+IF(Q726=1,INDEX(新属性投放!T$20:T$23,卡牌属性!M726-1),INDEX(新属性投放!T$25:T$28,卡牌属性!M726-1)))*SQRT(INDEX($I$5:$I$42,L726)),2)</f>
        <v>21162</v>
      </c>
      <c r="Y726" s="29" t="s">
        <v>177</v>
      </c>
      <c r="Z726" s="14">
        <f>ROUND(IF(Q726=1,INDEX(新属性投放!$D$14:$D$34,卡牌属性!R726),INDEX(新属性投放!$D$42:$D$62,卡牌属性!R726))*INDEX($G$5:$G$42,L726)/SQRT(INDEX($I$5:$I$42,L726)),2)</f>
        <v>97.79</v>
      </c>
      <c r="AA726" s="29" t="s">
        <v>178</v>
      </c>
      <c r="AB726" s="14">
        <f>ROUND(IF(Q726=1,INDEX(新属性投放!$E$14:$E$34,卡牌属性!R726),INDEX(新属性投放!$E$42:$E$62,卡牌属性!R726))*INDEX($G$5:$G$42,L726),2)</f>
        <v>48.9</v>
      </c>
      <c r="AC726" s="29" t="s">
        <v>179</v>
      </c>
      <c r="AD726" s="14">
        <f>ROUND(IF(Q726=1,INDEX(新属性投放!$F$14:$F$34,卡牌属性!R726),INDEX(新属性投放!$F$42:$F$62,卡牌属性!R726))*INDEX($G$5:$G$42,L726)*SQRT(INDEX($I$5:$I$42,L726)),2)</f>
        <v>440</v>
      </c>
      <c r="AF726" s="14">
        <f t="shared" si="310"/>
        <v>977</v>
      </c>
      <c r="AG726" s="14">
        <f t="shared" si="311"/>
        <v>489</v>
      </c>
      <c r="AH726" s="14">
        <f t="shared" si="312"/>
        <v>4400</v>
      </c>
      <c r="AJ726" s="14">
        <f t="shared" si="316"/>
        <v>4032</v>
      </c>
      <c r="AK726" s="14">
        <f t="shared" si="317"/>
        <v>2016</v>
      </c>
      <c r="AL726" s="14">
        <f t="shared" si="318"/>
        <v>18120</v>
      </c>
    </row>
    <row r="727" spans="11:38" ht="16.5" x14ac:dyDescent="0.2">
      <c r="K727" s="13">
        <v>724</v>
      </c>
      <c r="L727" s="13">
        <f t="shared" si="304"/>
        <v>35</v>
      </c>
      <c r="M727" s="13">
        <f t="shared" si="305"/>
        <v>2</v>
      </c>
      <c r="N727" s="14">
        <f t="shared" si="306"/>
        <v>1102019</v>
      </c>
      <c r="O727" s="14" t="str">
        <f t="shared" si="307"/>
        <v>食火蜥10突</v>
      </c>
      <c r="P727" s="29" t="s">
        <v>470</v>
      </c>
      <c r="Q727" s="14">
        <f t="shared" si="308"/>
        <v>2</v>
      </c>
      <c r="R727" s="14">
        <f t="shared" si="309"/>
        <v>10</v>
      </c>
      <c r="S727" s="14" t="s">
        <v>39</v>
      </c>
      <c r="T727" s="14">
        <f>ROUND(((IF(Q727=1,INDEX(新属性投放!$J$14:$J$34,卡牌属性!R727),INDEX(新属性投放!$J$42:$J$62,卡牌属性!R727)))*INDEX($G$5:$G$42,L727)+IF(Q727=1,INDEX(新属性投放!R$20:R$23,卡牌属性!M727-1),INDEX(新属性投放!R$25:R$28,卡牌属性!M727-1)))/SQRT(INDEX($I$5:$I$42,L727)),2)</f>
        <v>4756.55</v>
      </c>
      <c r="U727" s="29" t="s">
        <v>178</v>
      </c>
      <c r="V727" s="14">
        <f>ROUND((IF(Q727=1,INDEX(新属性投放!$K$14:$K$34,卡牌属性!R727),INDEX(新属性投放!$K$42:$K$62,卡牌属性!R727))+IF(Q727=1,INDEX(新属性投放!S$20:S$23,卡牌属性!M727-1),INDEX(新属性投放!S$25:S$28,卡牌属性!M727-1)))*INDEX($G$5:$G$42,L727),2)</f>
        <v>2300.7800000000002</v>
      </c>
      <c r="W727" s="29" t="s">
        <v>179</v>
      </c>
      <c r="X727" s="14">
        <f>ROUND((IF(Q727=1,INDEX(新属性投放!$L$14:$L$34,卡牌属性!R727),INDEX(新属性投放!$L$42:$L$62,卡牌属性!R727))*INDEX($G$5:$G$42,L727)+IF(Q727=1,INDEX(新属性投放!T$20:T$23,卡牌属性!M727-1),INDEX(新属性投放!T$25:T$28,卡牌属性!M727-1)))*SQRT(INDEX($I$5:$I$42,L727)),2)</f>
        <v>24460</v>
      </c>
      <c r="Y727" s="29" t="s">
        <v>177</v>
      </c>
      <c r="Z727" s="14">
        <f>ROUND(IF(Q727=1,INDEX(新属性投放!$D$14:$D$34,卡牌属性!R727),INDEX(新属性投放!$D$42:$D$62,卡牌属性!R727))*INDEX($G$5:$G$42,L727)/SQRT(INDEX($I$5:$I$42,L727)),2)</f>
        <v>112.83</v>
      </c>
      <c r="AA727" s="29" t="s">
        <v>178</v>
      </c>
      <c r="AB727" s="14">
        <f>ROUND(IF(Q727=1,INDEX(新属性投放!$E$14:$E$34,卡牌属性!R727),INDEX(新属性投放!$E$42:$E$62,卡牌属性!R727))*INDEX($G$5:$G$42,L727),2)</f>
        <v>56.42</v>
      </c>
      <c r="AC727" s="29" t="s">
        <v>179</v>
      </c>
      <c r="AD727" s="14">
        <f>ROUND(IF(Q727=1,INDEX(新属性投放!$F$14:$F$34,卡牌属性!R727),INDEX(新属性投放!$F$42:$F$62,卡牌属性!R727))*INDEX($G$5:$G$42,L727)*SQRT(INDEX($I$5:$I$42,L727)),2)</f>
        <v>507</v>
      </c>
      <c r="AF727" s="14">
        <f t="shared" si="310"/>
        <v>1128</v>
      </c>
      <c r="AG727" s="14">
        <f t="shared" si="311"/>
        <v>564</v>
      </c>
      <c r="AH727" s="14">
        <f t="shared" si="312"/>
        <v>5070</v>
      </c>
      <c r="AJ727" s="14">
        <f t="shared" si="316"/>
        <v>5160</v>
      </c>
      <c r="AK727" s="14">
        <f t="shared" si="317"/>
        <v>2580</v>
      </c>
      <c r="AL727" s="14">
        <f t="shared" si="318"/>
        <v>23190</v>
      </c>
    </row>
    <row r="728" spans="11:38" ht="16.5" x14ac:dyDescent="0.2">
      <c r="K728" s="13">
        <v>725</v>
      </c>
      <c r="L728" s="13">
        <f t="shared" si="304"/>
        <v>35</v>
      </c>
      <c r="M728" s="13">
        <f t="shared" si="305"/>
        <v>2</v>
      </c>
      <c r="N728" s="14">
        <f t="shared" si="306"/>
        <v>1102019</v>
      </c>
      <c r="O728" s="14" t="str">
        <f t="shared" si="307"/>
        <v>食火蜥11突</v>
      </c>
      <c r="P728" s="29" t="s">
        <v>470</v>
      </c>
      <c r="Q728" s="14">
        <f t="shared" si="308"/>
        <v>2</v>
      </c>
      <c r="R728" s="14">
        <f t="shared" si="309"/>
        <v>11</v>
      </c>
      <c r="S728" s="14" t="s">
        <v>39</v>
      </c>
      <c r="T728" s="14">
        <f>ROUND(((IF(Q728=1,INDEX(新属性投放!$J$14:$J$34,卡牌属性!R728),INDEX(新属性投放!$J$42:$J$62,卡牌属性!R728)))*INDEX($G$5:$G$42,L728)+IF(Q728=1,INDEX(新属性投放!R$20:R$23,卡牌属性!M728-1),INDEX(新属性投放!R$25:R$28,卡牌属性!M728-1)))/SQRT(INDEX($I$5:$I$42,L728)),2)</f>
        <v>5461.7</v>
      </c>
      <c r="U728" s="29" t="s">
        <v>178</v>
      </c>
      <c r="V728" s="14">
        <f>ROUND((IF(Q728=1,INDEX(新属性投放!$K$14:$K$34,卡牌属性!R728),INDEX(新属性投放!$K$42:$K$62,卡牌属性!R728))+IF(Q728=1,INDEX(新属性投放!S$20:S$23,卡牌属性!M728-1),INDEX(新属性投放!S$25:S$28,卡牌属性!M728-1)))*INDEX($G$5:$G$42,L728),2)</f>
        <v>2653.85</v>
      </c>
      <c r="W728" s="29" t="s">
        <v>179</v>
      </c>
      <c r="X728" s="14">
        <f>ROUND((IF(Q728=1,INDEX(新属性投放!$L$14:$L$34,卡牌属性!R728),INDEX(新属性投放!$L$42:$L$62,卡牌属性!R728))*INDEX($G$5:$G$42,L728)+IF(Q728=1,INDEX(新属性投放!T$20:T$23,卡牌属性!M728-1),INDEX(新属性投放!T$25:T$28,卡牌属性!M728-1)))*SQRT(INDEX($I$5:$I$42,L728)),2)</f>
        <v>28264</v>
      </c>
      <c r="Y728" s="29" t="s">
        <v>177</v>
      </c>
      <c r="Z728" s="14">
        <f>ROUND(IF(Q728=1,INDEX(新属性投放!$D$14:$D$34,卡牌属性!R728),INDEX(新属性投放!$D$42:$D$62,卡牌属性!R728))*INDEX($G$5:$G$42,L728)/SQRT(INDEX($I$5:$I$42,L728)),2)</f>
        <v>131.58000000000001</v>
      </c>
      <c r="AA728" s="29" t="s">
        <v>178</v>
      </c>
      <c r="AB728" s="14">
        <f>ROUND(IF(Q728=1,INDEX(新属性投放!$E$14:$E$34,卡牌属性!R728),INDEX(新属性投放!$E$42:$E$62,卡牌属性!R728))*INDEX($G$5:$G$42,L728),2)</f>
        <v>65.790000000000006</v>
      </c>
      <c r="AC728" s="29" t="s">
        <v>179</v>
      </c>
      <c r="AD728" s="14">
        <f>ROUND(IF(Q728=1,INDEX(新属性投放!$F$14:$F$34,卡牌属性!R728),INDEX(新属性投放!$F$42:$F$62,卡牌属性!R728))*INDEX($G$5:$G$42,L728)*SQRT(INDEX($I$5:$I$42,L728)),2)</f>
        <v>592</v>
      </c>
      <c r="AF728" s="14">
        <f t="shared" si="310"/>
        <v>1315</v>
      </c>
      <c r="AG728" s="14">
        <f t="shared" si="311"/>
        <v>657</v>
      </c>
      <c r="AH728" s="14">
        <f t="shared" si="312"/>
        <v>5920</v>
      </c>
      <c r="AJ728" s="14">
        <f t="shared" si="316"/>
        <v>6475</v>
      </c>
      <c r="AK728" s="14">
        <f t="shared" si="317"/>
        <v>3237</v>
      </c>
      <c r="AL728" s="14">
        <f t="shared" si="318"/>
        <v>29110</v>
      </c>
    </row>
    <row r="729" spans="11:38" ht="16.5" x14ac:dyDescent="0.2">
      <c r="K729" s="13">
        <v>726</v>
      </c>
      <c r="L729" s="13">
        <f t="shared" si="304"/>
        <v>35</v>
      </c>
      <c r="M729" s="13">
        <f t="shared" si="305"/>
        <v>2</v>
      </c>
      <c r="N729" s="14">
        <f t="shared" si="306"/>
        <v>1102019</v>
      </c>
      <c r="O729" s="14" t="str">
        <f t="shared" si="307"/>
        <v>食火蜥12突</v>
      </c>
      <c r="P729" s="29" t="s">
        <v>470</v>
      </c>
      <c r="Q729" s="14">
        <f t="shared" si="308"/>
        <v>2</v>
      </c>
      <c r="R729" s="14">
        <f t="shared" si="309"/>
        <v>12</v>
      </c>
      <c r="S729" s="14" t="s">
        <v>39</v>
      </c>
      <c r="T729" s="14">
        <f>ROUND(((IF(Q729=1,INDEX(新属性投放!$J$14:$J$34,卡牌属性!R729),INDEX(新属性投放!$J$42:$J$62,卡牌属性!R729)))*INDEX($G$5:$G$42,L729)+IF(Q729=1,INDEX(新属性投放!R$20:R$23,卡牌属性!M729-1),INDEX(新属性投放!R$25:R$28,卡牌属性!M729-1)))/SQRT(INDEX($I$5:$I$42,L729)),2)</f>
        <v>6283.6</v>
      </c>
      <c r="U729" s="29" t="s">
        <v>178</v>
      </c>
      <c r="V729" s="14">
        <f>ROUND((IF(Q729=1,INDEX(新属性投放!$K$14:$K$34,卡牌属性!R729),INDEX(新属性投放!$K$42:$K$62,卡牌属性!R729))+IF(Q729=1,INDEX(新属性投放!S$20:S$23,卡牌属性!M729-1),INDEX(新属性投放!S$25:S$28,卡牌属性!M729-1)))*INDEX($G$5:$G$42,L729),2)</f>
        <v>3064.8</v>
      </c>
      <c r="W729" s="29" t="s">
        <v>179</v>
      </c>
      <c r="X729" s="14">
        <f>ROUND((IF(Q729=1,INDEX(新属性投放!$L$14:$L$34,卡牌属性!R729),INDEX(新属性投放!$L$42:$L$62,卡牌属性!R729))*INDEX($G$5:$G$42,L729)+IF(Q729=1,INDEX(新属性投放!T$20:T$23,卡牌属性!M729-1),INDEX(新属性投放!T$25:T$28,卡牌属性!M729-1)))*SQRT(INDEX($I$5:$I$42,L729)),2)</f>
        <v>32700</v>
      </c>
      <c r="Y729" s="29" t="s">
        <v>177</v>
      </c>
      <c r="Z729" s="14">
        <f>ROUND(IF(Q729=1,INDEX(新属性投放!$D$14:$D$34,卡牌属性!R729),INDEX(新属性投放!$D$42:$D$62,卡牌属性!R729))*INDEX($G$5:$G$42,L729)/SQRT(INDEX($I$5:$I$42,L729)),2)</f>
        <v>150.47</v>
      </c>
      <c r="AA729" s="29" t="s">
        <v>178</v>
      </c>
      <c r="AB729" s="14">
        <f>ROUND(IF(Q729=1,INDEX(新属性投放!$E$14:$E$34,卡牌属性!R729),INDEX(新属性投放!$E$42:$E$62,卡牌属性!R729))*INDEX($G$5:$G$42,L729),2)</f>
        <v>75.239999999999995</v>
      </c>
      <c r="AC729" s="29" t="s">
        <v>179</v>
      </c>
      <c r="AD729" s="14">
        <f>ROUND(IF(Q729=1,INDEX(新属性投放!$F$14:$F$34,卡牌属性!R729),INDEX(新属性投放!$F$42:$F$62,卡牌属性!R729))*INDEX($G$5:$G$42,L729)*SQRT(INDEX($I$5:$I$42,L729)),2)</f>
        <v>677</v>
      </c>
      <c r="AF729" s="14">
        <f t="shared" si="310"/>
        <v>1504</v>
      </c>
      <c r="AG729" s="14">
        <f t="shared" si="311"/>
        <v>752</v>
      </c>
      <c r="AH729" s="14">
        <f t="shared" si="312"/>
        <v>6770</v>
      </c>
      <c r="AJ729" s="14">
        <f t="shared" si="316"/>
        <v>7979</v>
      </c>
      <c r="AK729" s="14">
        <f t="shared" si="317"/>
        <v>3989</v>
      </c>
      <c r="AL729" s="14">
        <f t="shared" si="318"/>
        <v>35880</v>
      </c>
    </row>
    <row r="730" spans="11:38" ht="16.5" x14ac:dyDescent="0.2">
      <c r="K730" s="13">
        <v>727</v>
      </c>
      <c r="L730" s="13">
        <f t="shared" si="304"/>
        <v>35</v>
      </c>
      <c r="M730" s="13">
        <f t="shared" si="305"/>
        <v>2</v>
      </c>
      <c r="N730" s="14">
        <f t="shared" si="306"/>
        <v>1102019</v>
      </c>
      <c r="O730" s="14" t="str">
        <f t="shared" si="307"/>
        <v>食火蜥13突</v>
      </c>
      <c r="P730" s="29" t="s">
        <v>470</v>
      </c>
      <c r="Q730" s="14">
        <f t="shared" si="308"/>
        <v>2</v>
      </c>
      <c r="R730" s="14">
        <f t="shared" si="309"/>
        <v>13</v>
      </c>
      <c r="S730" s="14" t="s">
        <v>39</v>
      </c>
      <c r="T730" s="14">
        <f>ROUND(((IF(Q730=1,INDEX(新属性投放!$J$14:$J$34,卡牌属性!R730),INDEX(新属性投放!$J$42:$J$62,卡牌属性!R730)))*INDEX($G$5:$G$42,L730)+IF(Q730=1,INDEX(新属性投放!R$20:R$23,卡牌属性!M730-1),INDEX(新属性投放!R$25:R$28,卡牌属性!M730-1)))/SQRT(INDEX($I$5:$I$42,L730)),2)</f>
        <v>7223.95</v>
      </c>
      <c r="U730" s="29" t="s">
        <v>178</v>
      </c>
      <c r="V730" s="14">
        <f>ROUND((IF(Q730=1,INDEX(新属性投放!$K$14:$K$34,卡牌属性!R730),INDEX(新属性投放!$K$42:$K$62,卡牌属性!R730))+IF(Q730=1,INDEX(新属性投放!S$20:S$23,卡牌属性!M730-1),INDEX(新属性投放!S$25:S$28,卡牌属性!M730-1)))*INDEX($G$5:$G$42,L730),2)</f>
        <v>3534.98</v>
      </c>
      <c r="W730" s="29" t="s">
        <v>179</v>
      </c>
      <c r="X730" s="14">
        <f>ROUND((IF(Q730=1,INDEX(新属性投放!$L$14:$L$34,卡牌属性!R730),INDEX(新属性投放!$L$42:$L$62,卡牌属性!R730))*INDEX($G$5:$G$42,L730)+IF(Q730=1,INDEX(新属性投放!T$20:T$23,卡牌属性!M730-1),INDEX(新属性投放!T$25:T$28,卡牌属性!M730-1)))*SQRT(INDEX($I$5:$I$42,L730)),2)</f>
        <v>37777</v>
      </c>
      <c r="Y730" s="29" t="s">
        <v>177</v>
      </c>
      <c r="Z730" s="14">
        <f>ROUND(IF(Q730=1,INDEX(新属性投放!$D$14:$D$34,卡牌属性!R730),INDEX(新属性投放!$D$42:$D$62,卡牌属性!R730))*INDEX($G$5:$G$42,L730)/SQRT(INDEX($I$5:$I$42,L730)),2)</f>
        <v>173.97</v>
      </c>
      <c r="AA730" s="29" t="s">
        <v>178</v>
      </c>
      <c r="AB730" s="14">
        <f>ROUND(IF(Q730=1,INDEX(新属性投放!$E$14:$E$34,卡牌属性!R730),INDEX(新属性投放!$E$42:$E$62,卡牌属性!R730))*INDEX($G$5:$G$42,L730),2)</f>
        <v>86.99</v>
      </c>
      <c r="AC730" s="29" t="s">
        <v>179</v>
      </c>
      <c r="AD730" s="14">
        <f>ROUND(IF(Q730=1,INDEX(新属性投放!$F$14:$F$34,卡牌属性!R730),INDEX(新属性投放!$F$42:$F$62,卡牌属性!R730))*INDEX($G$5:$G$42,L730)*SQRT(INDEX($I$5:$I$42,L730)),2)</f>
        <v>782</v>
      </c>
      <c r="AF730" s="14">
        <f t="shared" si="310"/>
        <v>1739</v>
      </c>
      <c r="AG730" s="14">
        <f t="shared" si="311"/>
        <v>869</v>
      </c>
      <c r="AH730" s="14">
        <f t="shared" si="312"/>
        <v>7820</v>
      </c>
      <c r="AJ730" s="14">
        <f t="shared" si="316"/>
        <v>9718</v>
      </c>
      <c r="AK730" s="14">
        <f t="shared" si="317"/>
        <v>4858</v>
      </c>
      <c r="AL730" s="14">
        <f t="shared" si="318"/>
        <v>43700</v>
      </c>
    </row>
    <row r="731" spans="11:38" ht="16.5" x14ac:dyDescent="0.2">
      <c r="K731" s="13">
        <v>728</v>
      </c>
      <c r="L731" s="13">
        <f t="shared" si="304"/>
        <v>35</v>
      </c>
      <c r="M731" s="13">
        <f t="shared" si="305"/>
        <v>2</v>
      </c>
      <c r="N731" s="14">
        <f t="shared" si="306"/>
        <v>1102019</v>
      </c>
      <c r="O731" s="14" t="str">
        <f t="shared" si="307"/>
        <v>食火蜥14突</v>
      </c>
      <c r="P731" s="29" t="s">
        <v>470</v>
      </c>
      <c r="Q731" s="14">
        <f t="shared" si="308"/>
        <v>2</v>
      </c>
      <c r="R731" s="14">
        <f t="shared" si="309"/>
        <v>14</v>
      </c>
      <c r="S731" s="14" t="s">
        <v>39</v>
      </c>
      <c r="T731" s="14">
        <f>ROUND(((IF(Q731=1,INDEX(新属性投放!$J$14:$J$34,卡牌属性!R731),INDEX(新属性投放!$J$42:$J$62,卡牌属性!R731)))*INDEX($G$5:$G$42,L731)+IF(Q731=1,INDEX(新属性投放!R$20:R$23,卡牌属性!M731-1),INDEX(新属性投放!R$25:R$28,卡牌属性!M731-1)))/SQRT(INDEX($I$5:$I$42,L731)),2)</f>
        <v>8310.7999999999993</v>
      </c>
      <c r="U731" s="29" t="s">
        <v>178</v>
      </c>
      <c r="V731" s="14">
        <f>ROUND((IF(Q731=1,INDEX(新属性投放!$K$14:$K$34,卡牌属性!R731),INDEX(新属性投放!$K$42:$K$62,卡牌属性!R731))+IF(Q731=1,INDEX(新属性投放!S$20:S$23,卡牌属性!M731-1),INDEX(新属性投放!S$25:S$28,卡牌属性!M731-1)))*INDEX($G$5:$G$42,L731),2)</f>
        <v>4078.9</v>
      </c>
      <c r="W731" s="29" t="s">
        <v>179</v>
      </c>
      <c r="X731" s="14">
        <f>ROUND((IF(Q731=1,INDEX(新属性投放!$L$14:$L$34,卡牌属性!R731),INDEX(新属性投放!$L$42:$L$62,卡牌属性!R731))*INDEX($G$5:$G$42,L731)+IF(Q731=1,INDEX(新属性投放!T$20:T$23,卡牌属性!M731-1),INDEX(新属性投放!T$25:T$28,卡牌属性!M731-1)))*SQRT(INDEX($I$5:$I$42,L731)),2)</f>
        <v>43640</v>
      </c>
      <c r="Y731" s="29" t="s">
        <v>177</v>
      </c>
      <c r="Z731" s="14">
        <f>ROUND(IF(Q731=1,INDEX(新属性投放!$D$14:$D$34,卡牌属性!R731),INDEX(新属性投放!$D$42:$D$62,卡牌属性!R731))*INDEX($G$5:$G$42,L731)/SQRT(INDEX($I$5:$I$42,L731)),2)</f>
        <v>201.15</v>
      </c>
      <c r="AA731" s="29" t="s">
        <v>178</v>
      </c>
      <c r="AB731" s="14">
        <f>ROUND(IF(Q731=1,INDEX(新属性投放!$E$14:$E$34,卡牌属性!R731),INDEX(新属性投放!$E$42:$E$62,卡牌属性!R731))*INDEX($G$5:$G$42,L731),2)</f>
        <v>100.58</v>
      </c>
      <c r="AC731" s="29" t="s">
        <v>179</v>
      </c>
      <c r="AD731" s="14">
        <f>ROUND(IF(Q731=1,INDEX(新属性投放!$F$14:$F$34,卡牌属性!R731),INDEX(新属性投放!$F$42:$F$62,卡牌属性!R731))*INDEX($G$5:$G$42,L731)*SQRT(INDEX($I$5:$I$42,L731)),2)</f>
        <v>905</v>
      </c>
      <c r="AF731" s="14">
        <f t="shared" si="310"/>
        <v>2011</v>
      </c>
      <c r="AG731" s="14">
        <f t="shared" si="311"/>
        <v>1005</v>
      </c>
      <c r="AH731" s="14">
        <f t="shared" si="312"/>
        <v>9050</v>
      </c>
      <c r="AJ731" s="14">
        <f t="shared" si="316"/>
        <v>11729</v>
      </c>
      <c r="AK731" s="14">
        <f t="shared" si="317"/>
        <v>5863</v>
      </c>
      <c r="AL731" s="14">
        <f t="shared" si="318"/>
        <v>52750</v>
      </c>
    </row>
    <row r="732" spans="11:38" ht="16.5" x14ac:dyDescent="0.2">
      <c r="K732" s="13">
        <v>729</v>
      </c>
      <c r="L732" s="13">
        <f t="shared" si="304"/>
        <v>35</v>
      </c>
      <c r="M732" s="13">
        <f t="shared" si="305"/>
        <v>2</v>
      </c>
      <c r="N732" s="14">
        <f t="shared" si="306"/>
        <v>1102019</v>
      </c>
      <c r="O732" s="14" t="str">
        <f t="shared" si="307"/>
        <v>食火蜥15突</v>
      </c>
      <c r="P732" s="29" t="s">
        <v>470</v>
      </c>
      <c r="Q732" s="14">
        <f t="shared" si="308"/>
        <v>2</v>
      </c>
      <c r="R732" s="14">
        <f t="shared" si="309"/>
        <v>15</v>
      </c>
      <c r="S732" s="14" t="s">
        <v>39</v>
      </c>
      <c r="T732" s="14">
        <f>ROUND(((IF(Q732=1,INDEX(新属性投放!$J$14:$J$34,卡牌属性!R732),INDEX(新属性投放!$J$42:$J$62,卡牌属性!R732)))*INDEX($G$5:$G$42,L732)+IF(Q732=1,INDEX(新属性投放!R$20:R$23,卡牌属性!M732-1),INDEX(新属性投放!R$25:R$28,卡牌属性!M732-1)))/SQRT(INDEX($I$5:$I$42,L732)),2)</f>
        <v>9567.5499999999993</v>
      </c>
      <c r="U732" s="29" t="s">
        <v>178</v>
      </c>
      <c r="V732" s="14">
        <f>ROUND((IF(Q732=1,INDEX(新属性投放!$K$14:$K$34,卡牌属性!R732),INDEX(新属性投放!$K$42:$K$62,卡牌属性!R732))+IF(Q732=1,INDEX(新属性投放!S$20:S$23,卡牌属性!M732-1),INDEX(新属性投放!S$25:S$28,卡牌属性!M732-1)))*INDEX($G$5:$G$42,L732),2)</f>
        <v>4707.78</v>
      </c>
      <c r="W732" s="29" t="s">
        <v>179</v>
      </c>
      <c r="X732" s="14">
        <f>ROUND((IF(Q732=1,INDEX(新属性投放!$L$14:$L$34,卡牌属性!R732),INDEX(新属性投放!$L$42:$L$62,卡牌属性!R732))*INDEX($G$5:$G$42,L732)+IF(Q732=1,INDEX(新属性投放!T$20:T$23,卡牌属性!M732-1),INDEX(新属性投放!T$25:T$28,卡牌属性!M732-1)))*SQRT(INDEX($I$5:$I$42,L732)),2)</f>
        <v>50424</v>
      </c>
      <c r="Y732" s="29" t="s">
        <v>177</v>
      </c>
      <c r="Z732" s="14">
        <f>ROUND(IF(Q732=1,INDEX(新属性投放!$D$14:$D$34,卡牌属性!R732),INDEX(新属性投放!$D$42:$D$62,卡牌属性!R732))*INDEX($G$5:$G$42,L732)/SQRT(INDEX($I$5:$I$42,L732)),2)</f>
        <v>232.56</v>
      </c>
      <c r="AA732" s="29" t="s">
        <v>178</v>
      </c>
      <c r="AB732" s="14">
        <f>ROUND(IF(Q732=1,INDEX(新属性投放!$E$14:$E$34,卡牌属性!R732),INDEX(新属性投放!$E$42:$E$62,卡牌属性!R732))*INDEX($G$5:$G$42,L732),2)</f>
        <v>116.28</v>
      </c>
      <c r="AC732" s="29" t="s">
        <v>179</v>
      </c>
      <c r="AD732" s="14">
        <f>ROUND(IF(Q732=1,INDEX(新属性投放!$F$14:$F$34,卡牌属性!R732),INDEX(新属性投放!$F$42:$F$62,卡牌属性!R732))*INDEX($G$5:$G$42,L732)*SQRT(INDEX($I$5:$I$42,L732)),2)</f>
        <v>1046</v>
      </c>
      <c r="AF732" s="14">
        <f t="shared" si="310"/>
        <v>2325</v>
      </c>
      <c r="AG732" s="14">
        <f t="shared" si="311"/>
        <v>1162</v>
      </c>
      <c r="AH732" s="14">
        <f t="shared" si="312"/>
        <v>10460</v>
      </c>
      <c r="AJ732" s="14">
        <f t="shared" si="316"/>
        <v>14054</v>
      </c>
      <c r="AK732" s="14">
        <f t="shared" si="317"/>
        <v>7025</v>
      </c>
      <c r="AL732" s="14">
        <f t="shared" si="318"/>
        <v>63210</v>
      </c>
    </row>
    <row r="733" spans="11:38" ht="16.5" x14ac:dyDescent="0.2">
      <c r="K733" s="13">
        <v>730</v>
      </c>
      <c r="L733" s="13">
        <f t="shared" si="304"/>
        <v>35</v>
      </c>
      <c r="M733" s="13">
        <f t="shared" si="305"/>
        <v>2</v>
      </c>
      <c r="N733" s="14">
        <f t="shared" si="306"/>
        <v>1102019</v>
      </c>
      <c r="O733" s="14" t="str">
        <f t="shared" si="307"/>
        <v>食火蜥16突</v>
      </c>
      <c r="P733" s="29" t="s">
        <v>470</v>
      </c>
      <c r="Q733" s="14">
        <f t="shared" si="308"/>
        <v>2</v>
      </c>
      <c r="R733" s="14">
        <f t="shared" si="309"/>
        <v>16</v>
      </c>
      <c r="S733" s="14" t="s">
        <v>39</v>
      </c>
      <c r="T733" s="14">
        <f>ROUND(((IF(Q733=1,INDEX(新属性投放!$J$14:$J$34,卡牌属性!R733),INDEX(新属性投放!$J$42:$J$62,卡牌属性!R733)))*INDEX($G$5:$G$42,L733)+IF(Q733=1,INDEX(新属性投放!R$20:R$23,卡牌属性!M733-1),INDEX(新属性投放!R$25:R$28,卡牌属性!M733-1)))/SQRT(INDEX($I$5:$I$42,L733)),2)</f>
        <v>11021.35</v>
      </c>
      <c r="U733" s="29" t="s">
        <v>178</v>
      </c>
      <c r="V733" s="14">
        <f>ROUND((IF(Q733=1,INDEX(新属性投放!$K$14:$K$34,卡牌属性!R733),INDEX(新属性投放!$K$42:$K$62,卡牌属性!R733))+IF(Q733=1,INDEX(新属性投放!S$20:S$23,卡牌属性!M733-1),INDEX(新属性投放!S$25:S$28,卡牌属性!M733-1)))*INDEX($G$5:$G$42,L733),2)</f>
        <v>5434.18</v>
      </c>
      <c r="W733" s="29" t="s">
        <v>179</v>
      </c>
      <c r="X733" s="14">
        <f>ROUND((IF(Q733=1,INDEX(新属性投放!$L$14:$L$34,卡牌属性!R733),INDEX(新属性投放!$L$42:$L$62,卡牌属性!R733))*INDEX($G$5:$G$42,L733)+IF(Q733=1,INDEX(新属性投放!T$20:T$23,卡牌属性!M733-1),INDEX(新属性投放!T$25:T$28,卡牌属性!M733-1)))*SQRT(INDEX($I$5:$I$42,L733)),2)</f>
        <v>58273</v>
      </c>
      <c r="Y733" s="29" t="s">
        <v>177</v>
      </c>
      <c r="Z733" s="14">
        <f>ROUND(IF(Q733=1,INDEX(新属性投放!$D$14:$D$34,卡牌属性!R733),INDEX(新属性投放!$D$42:$D$62,卡牌属性!R733))*INDEX($G$5:$G$42,L733)/SQRT(INDEX($I$5:$I$42,L733)),2)</f>
        <v>268.91000000000003</v>
      </c>
      <c r="AA733" s="29" t="s">
        <v>178</v>
      </c>
      <c r="AB733" s="14">
        <f>ROUND(IF(Q733=1,INDEX(新属性投放!$E$14:$E$34,卡牌属性!R733),INDEX(新属性投放!$E$42:$E$62,卡牌属性!R733))*INDEX($G$5:$G$42,L733),2)</f>
        <v>134.46</v>
      </c>
      <c r="AC733" s="29" t="s">
        <v>179</v>
      </c>
      <c r="AD733" s="14">
        <f>ROUND(IF(Q733=1,INDEX(新属性投放!$F$14:$F$34,卡牌属性!R733),INDEX(新属性投放!$F$42:$F$62,卡牌属性!R733))*INDEX($G$5:$G$42,L733)*SQRT(INDEX($I$5:$I$42,L733)),2)</f>
        <v>1210</v>
      </c>
      <c r="AF733" s="14">
        <f t="shared" si="310"/>
        <v>2689</v>
      </c>
      <c r="AG733" s="14">
        <f t="shared" si="311"/>
        <v>1344</v>
      </c>
      <c r="AH733" s="14">
        <f t="shared" si="312"/>
        <v>12100</v>
      </c>
      <c r="AJ733" s="14">
        <f t="shared" si="316"/>
        <v>16743</v>
      </c>
      <c r="AK733" s="14">
        <f t="shared" si="317"/>
        <v>8369</v>
      </c>
      <c r="AL733" s="14">
        <f t="shared" si="318"/>
        <v>75310</v>
      </c>
    </row>
    <row r="734" spans="11:38" ht="16.5" x14ac:dyDescent="0.2">
      <c r="K734" s="13">
        <v>731</v>
      </c>
      <c r="L734" s="13">
        <f t="shared" si="304"/>
        <v>35</v>
      </c>
      <c r="M734" s="13">
        <f t="shared" si="305"/>
        <v>2</v>
      </c>
      <c r="N734" s="14">
        <f t="shared" si="306"/>
        <v>1102019</v>
      </c>
      <c r="O734" s="14" t="str">
        <f t="shared" si="307"/>
        <v>食火蜥17突</v>
      </c>
      <c r="P734" s="29" t="s">
        <v>470</v>
      </c>
      <c r="Q734" s="14">
        <f t="shared" si="308"/>
        <v>2</v>
      </c>
      <c r="R734" s="14">
        <f t="shared" si="309"/>
        <v>17</v>
      </c>
      <c r="S734" s="14" t="s">
        <v>39</v>
      </c>
      <c r="T734" s="14">
        <f>ROUND(((IF(Q734=1,INDEX(新属性投放!$J$14:$J$34,卡牌属性!R734),INDEX(新属性投放!$J$42:$J$62,卡牌属性!R734)))*INDEX($G$5:$G$42,L734)+IF(Q734=1,INDEX(新属性投放!R$20:R$23,卡牌属性!M734-1),INDEX(新属性投放!R$25:R$28,卡牌属性!M734-1)))/SQRT(INDEX($I$5:$I$42,L734)),2)</f>
        <v>12701.9</v>
      </c>
      <c r="U734" s="29" t="s">
        <v>178</v>
      </c>
      <c r="V734" s="14">
        <f>ROUND((IF(Q734=1,INDEX(新属性投放!$K$14:$K$34,卡牌属性!R734),INDEX(新属性投放!$K$42:$K$62,卡牌属性!R734))+IF(Q734=1,INDEX(新属性投放!S$20:S$23,卡牌属性!M734-1),INDEX(新属性投放!S$25:S$28,卡牌属性!M734-1)))*INDEX($G$5:$G$42,L734),2)</f>
        <v>6274.45</v>
      </c>
      <c r="W734" s="29" t="s">
        <v>179</v>
      </c>
      <c r="X734" s="14">
        <f>ROUND((IF(Q734=1,INDEX(新属性投放!$L$14:$L$34,卡牌属性!R734),INDEX(新属性投放!$L$42:$L$62,卡牌属性!R734))*INDEX($G$5:$G$42,L734)+IF(Q734=1,INDEX(新属性投放!T$20:T$23,卡牌属性!M734-1),INDEX(新属性投放!T$25:T$28,卡牌属性!M734-1)))*SQRT(INDEX($I$5:$I$42,L734)),2)</f>
        <v>67347</v>
      </c>
      <c r="Y734" s="29" t="s">
        <v>177</v>
      </c>
      <c r="Z734" s="14">
        <f>ROUND(IF(Q734=1,INDEX(新属性投放!$D$14:$D$34,卡牌属性!R734),INDEX(新属性投放!$D$42:$D$62,卡牌属性!R734))*INDEX($G$5:$G$42,L734)/SQRT(INDEX($I$5:$I$42,L734)),2)</f>
        <v>310.92</v>
      </c>
      <c r="AA734" s="29" t="s">
        <v>178</v>
      </c>
      <c r="AB734" s="14">
        <f>ROUND(IF(Q734=1,INDEX(新属性投放!$E$14:$E$34,卡牌属性!R734),INDEX(新属性投放!$E$42:$E$62,卡牌属性!R734))*INDEX($G$5:$G$42,L734),2)</f>
        <v>155.46</v>
      </c>
      <c r="AC734" s="29" t="s">
        <v>179</v>
      </c>
      <c r="AD734" s="14">
        <f>ROUND(IF(Q734=1,INDEX(新属性投放!$F$14:$F$34,卡牌属性!R734),INDEX(新属性投放!$F$42:$F$62,卡牌属性!R734))*INDEX($G$5:$G$42,L734)*SQRT(INDEX($I$5:$I$42,L734)),2)</f>
        <v>1399</v>
      </c>
      <c r="AF734" s="14">
        <f t="shared" si="310"/>
        <v>3109</v>
      </c>
      <c r="AG734" s="14">
        <f t="shared" si="311"/>
        <v>1554</v>
      </c>
      <c r="AH734" s="14">
        <f t="shared" si="312"/>
        <v>13990</v>
      </c>
      <c r="AJ734" s="14">
        <f t="shared" si="316"/>
        <v>19852</v>
      </c>
      <c r="AK734" s="14">
        <f t="shared" si="317"/>
        <v>9923</v>
      </c>
      <c r="AL734" s="14">
        <f t="shared" si="318"/>
        <v>89300</v>
      </c>
    </row>
    <row r="735" spans="11:38" ht="16.5" x14ac:dyDescent="0.2">
      <c r="K735" s="13">
        <v>732</v>
      </c>
      <c r="L735" s="13">
        <f t="shared" si="304"/>
        <v>35</v>
      </c>
      <c r="M735" s="13">
        <f t="shared" si="305"/>
        <v>2</v>
      </c>
      <c r="N735" s="14">
        <f t="shared" si="306"/>
        <v>1102019</v>
      </c>
      <c r="O735" s="14" t="str">
        <f t="shared" si="307"/>
        <v>食火蜥18突</v>
      </c>
      <c r="P735" s="29" t="s">
        <v>470</v>
      </c>
      <c r="Q735" s="14">
        <f t="shared" si="308"/>
        <v>2</v>
      </c>
      <c r="R735" s="14">
        <f t="shared" si="309"/>
        <v>18</v>
      </c>
      <c r="S735" s="14" t="s">
        <v>39</v>
      </c>
      <c r="T735" s="14">
        <f>ROUND(((IF(Q735=1,INDEX(新属性投放!$J$14:$J$34,卡牌属性!R735),INDEX(新属性投放!$J$42:$J$62,卡牌属性!R735)))*INDEX($G$5:$G$42,L735)+IF(Q735=1,INDEX(新属性投放!R$20:R$23,卡牌属性!M735-1),INDEX(新属性投放!R$25:R$28,卡牌属性!M735-1)))/SQRT(INDEX($I$5:$I$42,L735)),2)</f>
        <v>14645.5</v>
      </c>
      <c r="U735" s="29" t="s">
        <v>178</v>
      </c>
      <c r="V735" s="14">
        <f>ROUND((IF(Q735=1,INDEX(新属性投放!$K$14:$K$34,卡牌属性!R735),INDEX(新属性投放!$K$42:$K$62,卡牌属性!R735))+IF(Q735=1,INDEX(新属性投放!S$20:S$23,卡牌属性!M735-1),INDEX(新属性投放!S$25:S$28,卡牌属性!M735-1)))*INDEX($G$5:$G$42,L735),2)</f>
        <v>7245.75</v>
      </c>
      <c r="W735" s="29" t="s">
        <v>179</v>
      </c>
      <c r="X735" s="14">
        <f>ROUND((IF(Q735=1,INDEX(新属性投放!$L$14:$L$34,卡牌属性!R735),INDEX(新属性投放!$L$42:$L$62,卡牌属性!R735))*INDEX($G$5:$G$42,L735)+IF(Q735=1,INDEX(新属性投放!T$20:T$23,卡牌属性!M735-1),INDEX(新属性投放!T$25:T$28,卡牌属性!M735-1)))*SQRT(INDEX($I$5:$I$42,L735)),2)</f>
        <v>77843</v>
      </c>
      <c r="Y735" s="29" t="s">
        <v>177</v>
      </c>
      <c r="Z735" s="14">
        <f>ROUND(IF(Q735=1,INDEX(新属性投放!$D$14:$D$34,卡牌属性!R735),INDEX(新属性投放!$D$42:$D$62,卡牌属性!R735))*INDEX($G$5:$G$42,L735)/SQRT(INDEX($I$5:$I$42,L735)),2)</f>
        <v>359.51</v>
      </c>
      <c r="AA735" s="29" t="s">
        <v>178</v>
      </c>
      <c r="AB735" s="14">
        <f>ROUND(IF(Q735=1,INDEX(新属性投放!$E$14:$E$34,卡牌属性!R735),INDEX(新属性投放!$E$42:$E$62,卡牌属性!R735))*INDEX($G$5:$G$42,L735),2)</f>
        <v>179.76</v>
      </c>
      <c r="AC735" s="29" t="s">
        <v>179</v>
      </c>
      <c r="AD735" s="14">
        <f>ROUND(IF(Q735=1,INDEX(新属性投放!$F$14:$F$34,卡牌属性!R735),INDEX(新属性投放!$F$42:$F$62,卡牌属性!R735))*INDEX($G$5:$G$42,L735)*SQRT(INDEX($I$5:$I$42,L735)),2)</f>
        <v>1617</v>
      </c>
      <c r="AF735" s="14">
        <f t="shared" si="310"/>
        <v>3595</v>
      </c>
      <c r="AG735" s="14">
        <f t="shared" si="311"/>
        <v>1797</v>
      </c>
      <c r="AH735" s="14">
        <f t="shared" si="312"/>
        <v>16170</v>
      </c>
      <c r="AJ735" s="14">
        <f t="shared" si="316"/>
        <v>23447</v>
      </c>
      <c r="AK735" s="14">
        <f t="shared" si="317"/>
        <v>11720</v>
      </c>
      <c r="AL735" s="14">
        <f t="shared" si="318"/>
        <v>105470</v>
      </c>
    </row>
    <row r="736" spans="11:38" ht="16.5" x14ac:dyDescent="0.2">
      <c r="K736" s="13">
        <v>733</v>
      </c>
      <c r="L736" s="13">
        <f t="shared" si="304"/>
        <v>35</v>
      </c>
      <c r="M736" s="13">
        <f t="shared" si="305"/>
        <v>2</v>
      </c>
      <c r="N736" s="14">
        <f t="shared" si="306"/>
        <v>1102019</v>
      </c>
      <c r="O736" s="14" t="str">
        <f t="shared" si="307"/>
        <v>食火蜥19突</v>
      </c>
      <c r="P736" s="29" t="s">
        <v>470</v>
      </c>
      <c r="Q736" s="14">
        <f t="shared" si="308"/>
        <v>2</v>
      </c>
      <c r="R736" s="14">
        <f t="shared" si="309"/>
        <v>19</v>
      </c>
      <c r="S736" s="14" t="s">
        <v>39</v>
      </c>
      <c r="T736" s="14">
        <f>ROUND(((IF(Q736=1,INDEX(新属性投放!$J$14:$J$34,卡牌属性!R736),INDEX(新属性投放!$J$42:$J$62,卡牌属性!R736)))*INDEX($G$5:$G$42,L736)+IF(Q736=1,INDEX(新属性投放!R$20:R$23,卡牌属性!M736-1),INDEX(新属性投放!R$25:R$28,卡牌属性!M736-1)))/SQRT(INDEX($I$5:$I$42,L736)),2)</f>
        <v>16892.05</v>
      </c>
      <c r="U736" s="29" t="s">
        <v>178</v>
      </c>
      <c r="V736" s="14">
        <f>ROUND((IF(Q736=1,INDEX(新属性投放!$K$14:$K$34,卡牌属性!R736),INDEX(新属性投放!$K$42:$K$62,卡牌属性!R736))+IF(Q736=1,INDEX(新属性投放!S$20:S$23,卡牌属性!M736-1),INDEX(新属性投放!S$25:S$28,卡牌属性!M736-1)))*INDEX($G$5:$G$42,L736),2)</f>
        <v>8369.5300000000007</v>
      </c>
      <c r="W736" s="29" t="s">
        <v>179</v>
      </c>
      <c r="X736" s="14">
        <f>ROUND((IF(Q736=1,INDEX(新属性投放!$L$14:$L$34,卡牌属性!R736),INDEX(新属性投放!$L$42:$L$62,卡牌属性!R736))*INDEX($G$5:$G$42,L736)+IF(Q736=1,INDEX(新属性投放!T$20:T$23,卡牌属性!M736-1),INDEX(新属性投放!T$25:T$28,卡牌属性!M736-1)))*SQRT(INDEX($I$5:$I$42,L736)),2)</f>
        <v>89969</v>
      </c>
      <c r="Y736" s="29" t="s">
        <v>177</v>
      </c>
      <c r="Z736" s="14">
        <f>ROUND(IF(Q736=1,INDEX(新属性投放!$D$14:$D$34,卡牌属性!R736),INDEX(新属性投放!$D$42:$D$62,卡牌属性!R736))*INDEX($G$5:$G$42,L736)/SQRT(INDEX($I$5:$I$42,L736)),2)</f>
        <v>415.68</v>
      </c>
      <c r="AA736" s="29" t="s">
        <v>178</v>
      </c>
      <c r="AB736" s="14">
        <f>ROUND(IF(Q736=1,INDEX(新属性投放!$E$14:$E$34,卡牌属性!R736),INDEX(新属性投放!$E$42:$E$62,卡牌属性!R736))*INDEX($G$5:$G$42,L736),2)</f>
        <v>207.84</v>
      </c>
      <c r="AC736" s="29" t="s">
        <v>179</v>
      </c>
      <c r="AD736" s="14">
        <f>ROUND(IF(Q736=1,INDEX(新属性投放!$F$14:$F$34,卡牌属性!R736),INDEX(新属性投放!$F$42:$F$62,卡牌属性!R736))*INDEX($G$5:$G$42,L736)*SQRT(INDEX($I$5:$I$42,L736)),2)</f>
        <v>1870</v>
      </c>
      <c r="AF736" s="14">
        <f t="shared" si="310"/>
        <v>4156</v>
      </c>
      <c r="AG736" s="14">
        <f t="shared" si="311"/>
        <v>2078</v>
      </c>
      <c r="AH736" s="14">
        <f t="shared" si="312"/>
        <v>18700</v>
      </c>
      <c r="AJ736" s="14">
        <f t="shared" si="316"/>
        <v>27603</v>
      </c>
      <c r="AK736" s="14">
        <f t="shared" si="317"/>
        <v>13798</v>
      </c>
      <c r="AL736" s="14">
        <f t="shared" si="318"/>
        <v>124170</v>
      </c>
    </row>
    <row r="737" spans="11:38" ht="16.5" x14ac:dyDescent="0.2">
      <c r="K737" s="13">
        <v>734</v>
      </c>
      <c r="L737" s="13">
        <f t="shared" si="304"/>
        <v>35</v>
      </c>
      <c r="M737" s="13">
        <f t="shared" si="305"/>
        <v>2</v>
      </c>
      <c r="N737" s="14">
        <f t="shared" si="306"/>
        <v>1102019</v>
      </c>
      <c r="O737" s="14" t="str">
        <f t="shared" si="307"/>
        <v>食火蜥20突</v>
      </c>
      <c r="P737" s="29" t="s">
        <v>470</v>
      </c>
      <c r="Q737" s="14">
        <f t="shared" si="308"/>
        <v>2</v>
      </c>
      <c r="R737" s="14">
        <f t="shared" si="309"/>
        <v>20</v>
      </c>
      <c r="S737" s="14" t="s">
        <v>39</v>
      </c>
      <c r="T737" s="14">
        <f>ROUND(((IF(Q737=1,INDEX(新属性投放!$J$14:$J$34,卡牌属性!R737),INDEX(新属性投放!$J$42:$J$62,卡牌属性!R737)))*INDEX($G$5:$G$42,L737)+IF(Q737=1,INDEX(新属性投放!R$20:R$23,卡牌属性!M737-1),INDEX(新属性投放!R$25:R$28,卡牌属性!M737-1)))/SQRT(INDEX($I$5:$I$42,L737)),2)</f>
        <v>19490.45</v>
      </c>
      <c r="U737" s="29" t="s">
        <v>178</v>
      </c>
      <c r="V737" s="14">
        <f>ROUND((IF(Q737=1,INDEX(新属性投放!$K$14:$K$34,卡牌属性!R737),INDEX(新属性投放!$K$42:$K$62,卡牌属性!R737))+IF(Q737=1,INDEX(新属性投放!S$20:S$23,卡牌属性!M737-1),INDEX(新属性投放!S$25:S$28,卡牌属性!M737-1)))*INDEX($G$5:$G$42,L737),2)</f>
        <v>9668.73</v>
      </c>
      <c r="W737" s="29" t="s">
        <v>179</v>
      </c>
      <c r="X737" s="14">
        <f>ROUND((IF(Q737=1,INDEX(新属性投放!$L$14:$L$34,卡牌属性!R737),INDEX(新属性投放!$L$42:$L$62,卡牌属性!R737))*INDEX($G$5:$G$42,L737)+IF(Q737=1,INDEX(新属性投放!T$20:T$23,卡牌属性!M737-1),INDEX(新属性投放!T$25:T$28,卡牌属性!M737-1)))*SQRT(INDEX($I$5:$I$42,L737)),2)</f>
        <v>103999</v>
      </c>
      <c r="Y737" s="29" t="s">
        <v>177</v>
      </c>
      <c r="Z737" s="14">
        <f>ROUND(IF(Q737=1,INDEX(新属性投放!$D$14:$D$34,卡牌属性!R737),INDEX(新属性投放!$D$42:$D$62,卡牌属性!R737))*INDEX($G$5:$G$42,L737)/SQRT(INDEX($I$5:$I$42,L737)),2)</f>
        <v>480.64</v>
      </c>
      <c r="AA737" s="29" t="s">
        <v>178</v>
      </c>
      <c r="AB737" s="14">
        <f>ROUND(IF(Q737=1,INDEX(新属性投放!$E$14:$E$34,卡牌属性!R737),INDEX(新属性投放!$E$42:$E$62,卡牌属性!R737))*INDEX($G$5:$G$42,L737),2)</f>
        <v>240.32</v>
      </c>
      <c r="AC737" s="29" t="s">
        <v>179</v>
      </c>
      <c r="AD737" s="14">
        <f>ROUND(IF(Q737=1,INDEX(新属性投放!$F$14:$F$34,卡牌属性!R737),INDEX(新属性投放!$F$42:$F$62,卡牌属性!R737))*INDEX($G$5:$G$42,L737)*SQRT(INDEX($I$5:$I$42,L737)),2)</f>
        <v>2162</v>
      </c>
      <c r="AF737" s="14">
        <f t="shared" si="310"/>
        <v>4806</v>
      </c>
      <c r="AG737" s="14">
        <f t="shared" si="311"/>
        <v>2403</v>
      </c>
      <c r="AH737" s="14">
        <f t="shared" si="312"/>
        <v>21620</v>
      </c>
      <c r="AJ737" s="14">
        <f t="shared" si="316"/>
        <v>32409</v>
      </c>
      <c r="AK737" s="14">
        <f t="shared" si="317"/>
        <v>16201</v>
      </c>
      <c r="AL737" s="14">
        <f t="shared" si="318"/>
        <v>145790</v>
      </c>
    </row>
    <row r="738" spans="11:38" ht="16.5" x14ac:dyDescent="0.2">
      <c r="K738" s="13">
        <v>735</v>
      </c>
      <c r="L738" s="13">
        <f t="shared" si="304"/>
        <v>35</v>
      </c>
      <c r="M738" s="13">
        <f t="shared" si="305"/>
        <v>2</v>
      </c>
      <c r="N738" s="14">
        <f t="shared" si="306"/>
        <v>1102019</v>
      </c>
      <c r="O738" s="14" t="str">
        <f t="shared" si="307"/>
        <v>食火蜥21突</v>
      </c>
      <c r="P738" s="29" t="s">
        <v>470</v>
      </c>
      <c r="Q738" s="14">
        <f t="shared" si="308"/>
        <v>2</v>
      </c>
      <c r="R738" s="14">
        <f t="shared" si="309"/>
        <v>21</v>
      </c>
      <c r="S738" s="14" t="s">
        <v>39</v>
      </c>
      <c r="T738" s="14">
        <f>ROUND(((IF(Q738=1,INDEX(新属性投放!$J$14:$J$34,卡牌属性!R738),INDEX(新属性投放!$J$42:$J$62,卡牌属性!R738)))*INDEX($G$5:$G$42,L738)+IF(Q738=1,INDEX(新属性投放!R$20:R$23,卡牌属性!M738-1),INDEX(新属性投放!R$25:R$28,卡牌属性!M738-1)))/SQRT(INDEX($I$5:$I$42,L738)),2)</f>
        <v>22494.65</v>
      </c>
      <c r="U738" s="29" t="s">
        <v>178</v>
      </c>
      <c r="V738" s="14">
        <f>ROUND((IF(Q738=1,INDEX(新属性投放!$K$14:$K$34,卡牌属性!R738),INDEX(新属性投放!$K$42:$K$62,卡牌属性!R738))+IF(Q738=1,INDEX(新属性投放!S$20:S$23,卡牌属性!M738-1),INDEX(新属性投放!S$25:S$28,卡牌属性!M738-1)))*INDEX($G$5:$G$42,L738),2)</f>
        <v>11170.33</v>
      </c>
      <c r="W738" s="29" t="s">
        <v>179</v>
      </c>
      <c r="X738" s="14">
        <f>ROUND((IF(Q738=1,INDEX(新属性投放!$L$14:$L$34,卡牌属性!R738),INDEX(新属性投放!$L$42:$L$62,卡牌属性!R738))*INDEX($G$5:$G$42,L738)+IF(Q738=1,INDEX(新属性投放!T$20:T$23,卡牌属性!M738-1),INDEX(新属性投放!T$25:T$28,卡牌属性!M738-1)))*SQRT(INDEX($I$5:$I$42,L738)),2)</f>
        <v>120218</v>
      </c>
      <c r="Y738" s="29" t="s">
        <v>177</v>
      </c>
      <c r="Z738" s="14">
        <f>ROUND(IF(Q738=1,INDEX(新属性投放!$D$14:$D$34,卡牌属性!R738),INDEX(新属性投放!$D$42:$D$62,卡牌属性!R738))*INDEX($G$5:$G$42,L738)/SQRT(INDEX($I$5:$I$42,L738)),2)</f>
        <v>555.74</v>
      </c>
      <c r="AA738" s="29" t="s">
        <v>178</v>
      </c>
      <c r="AB738" s="14">
        <f>ROUND(IF(Q738=1,INDEX(新属性投放!$E$14:$E$34,卡牌属性!R738),INDEX(新属性投放!$E$42:$E$62,卡牌属性!R738))*INDEX($G$5:$G$42,L738),2)</f>
        <v>277.87</v>
      </c>
      <c r="AC738" s="29" t="s">
        <v>179</v>
      </c>
      <c r="AD738" s="14">
        <f>ROUND(IF(Q738=1,INDEX(新属性投放!$F$14:$F$34,卡牌属性!R738),INDEX(新属性投放!$F$42:$F$62,卡牌属性!R738))*INDEX($G$5:$G$42,L738)*SQRT(INDEX($I$5:$I$42,L738)),2)</f>
        <v>2500</v>
      </c>
      <c r="AF738" s="14">
        <f t="shared" si="310"/>
        <v>5557</v>
      </c>
      <c r="AG738" s="14">
        <f t="shared" si="311"/>
        <v>2778</v>
      </c>
      <c r="AH738" s="14">
        <f t="shared" si="312"/>
        <v>25000</v>
      </c>
      <c r="AJ738" s="14">
        <f t="shared" si="316"/>
        <v>37966</v>
      </c>
      <c r="AK738" s="14">
        <f t="shared" si="317"/>
        <v>18979</v>
      </c>
      <c r="AL738" s="14">
        <f t="shared" si="318"/>
        <v>170790</v>
      </c>
    </row>
    <row r="739" spans="11:38" ht="16.5" x14ac:dyDescent="0.2">
      <c r="K739" s="13">
        <v>736</v>
      </c>
      <c r="L739" s="13">
        <f t="shared" si="304"/>
        <v>36</v>
      </c>
      <c r="M739" s="13">
        <f t="shared" si="305"/>
        <v>3</v>
      </c>
      <c r="N739" s="14">
        <f t="shared" si="306"/>
        <v>1102020</v>
      </c>
      <c r="O739" s="14" t="str">
        <f t="shared" si="307"/>
        <v>高顺1突</v>
      </c>
      <c r="P739" s="29" t="s">
        <v>470</v>
      </c>
      <c r="Q739" s="14">
        <f t="shared" si="308"/>
        <v>2</v>
      </c>
      <c r="R739" s="14">
        <f t="shared" si="309"/>
        <v>1</v>
      </c>
      <c r="S739" s="14" t="s">
        <v>39</v>
      </c>
      <c r="T739" s="14">
        <f>ROUND(((IF(Q739=1,INDEX(新属性投放!$J$14:$J$34,卡牌属性!R739),INDEX(新属性投放!$J$42:$J$62,卡牌属性!R739)))*INDEX($G$5:$G$42,L739)+IF(Q739=1,INDEX(新属性投放!R$20:R$23,卡牌属性!M739-1),INDEX(新属性投放!R$25:R$28,卡牌属性!M739-1)))/SQRT(INDEX($I$5:$I$42,L739)),2)</f>
        <v>502.5</v>
      </c>
      <c r="U739" s="29" t="s">
        <v>178</v>
      </c>
      <c r="V739" s="14">
        <f>ROUND((IF(Q739=1,INDEX(新属性投放!$K$14:$K$34,卡牌属性!R739),INDEX(新属性投放!$K$42:$K$62,卡牌属性!R739))+IF(Q739=1,INDEX(新属性投放!S$20:S$23,卡牌属性!M739-1),INDEX(新属性投放!S$25:S$28,卡牌属性!M739-1)))*INDEX($G$5:$G$42,L739),2)</f>
        <v>115</v>
      </c>
      <c r="W739" s="29" t="s">
        <v>179</v>
      </c>
      <c r="X739" s="14">
        <f>ROUND((IF(Q739=1,INDEX(新属性投放!$L$14:$L$34,卡牌属性!R739),INDEX(新属性投放!$L$42:$L$62,卡牌属性!R739))*INDEX($G$5:$G$42,L739)+IF(Q739=1,INDEX(新属性投放!T$20:T$23,卡牌属性!M739-1),INDEX(新属性投放!T$25:T$28,卡牌属性!M739-1)))*SQRT(INDEX($I$5:$I$42,L739)),2)</f>
        <v>1362.5</v>
      </c>
      <c r="Y739" s="29" t="s">
        <v>177</v>
      </c>
      <c r="Z739" s="14">
        <f>ROUND(IF(Q739=1,INDEX(新属性投放!$D$14:$D$34,卡牌属性!R739),INDEX(新属性投放!$D$42:$D$62,卡牌属性!R739))*INDEX($G$5:$G$42,L739)/SQRT(INDEX($I$5:$I$42,L739)),2)</f>
        <v>17.25</v>
      </c>
      <c r="AA739" s="29" t="s">
        <v>178</v>
      </c>
      <c r="AB739" s="14">
        <f>ROUND(IF(Q739=1,INDEX(新属性投放!$E$14:$E$34,卡牌属性!R739),INDEX(新属性投放!$E$42:$E$62,卡牌属性!R739))*INDEX($G$5:$G$42,L739),2)</f>
        <v>8.6300000000000008</v>
      </c>
      <c r="AC739" s="29" t="s">
        <v>179</v>
      </c>
      <c r="AD739" s="14">
        <f>ROUND(IF(Q739=1,INDEX(新属性投放!$F$14:$F$34,卡牌属性!R739),INDEX(新属性投放!$F$42:$F$62,卡牌属性!R739))*INDEX($G$5:$G$42,L739)*SQRT(INDEX($I$5:$I$42,L739)),2)</f>
        <v>77.05</v>
      </c>
      <c r="AF739" s="14">
        <f t="shared" si="310"/>
        <v>172</v>
      </c>
      <c r="AG739" s="14">
        <f t="shared" si="311"/>
        <v>86</v>
      </c>
      <c r="AH739" s="14">
        <f t="shared" si="312"/>
        <v>770</v>
      </c>
      <c r="AJ739" s="14">
        <f t="shared" ref="AJ739" si="319">AF739</f>
        <v>172</v>
      </c>
      <c r="AK739" s="14">
        <f t="shared" ref="AK739" si="320">AG739</f>
        <v>86</v>
      </c>
      <c r="AL739" s="14">
        <f t="shared" ref="AL739" si="321">AH739</f>
        <v>770</v>
      </c>
    </row>
    <row r="740" spans="11:38" ht="16.5" x14ac:dyDescent="0.2">
      <c r="K740" s="13">
        <v>737</v>
      </c>
      <c r="L740" s="13">
        <f t="shared" si="304"/>
        <v>36</v>
      </c>
      <c r="M740" s="13">
        <f t="shared" si="305"/>
        <v>3</v>
      </c>
      <c r="N740" s="14">
        <f t="shared" si="306"/>
        <v>1102020</v>
      </c>
      <c r="O740" s="14" t="str">
        <f t="shared" si="307"/>
        <v>高顺2突</v>
      </c>
      <c r="P740" s="29" t="s">
        <v>470</v>
      </c>
      <c r="Q740" s="14">
        <f t="shared" si="308"/>
        <v>2</v>
      </c>
      <c r="R740" s="14">
        <f t="shared" si="309"/>
        <v>2</v>
      </c>
      <c r="S740" s="14" t="s">
        <v>39</v>
      </c>
      <c r="T740" s="14">
        <f>ROUND(((IF(Q740=1,INDEX(新属性投放!$J$14:$J$34,卡牌属性!R740),INDEX(新属性投放!$J$42:$J$62,卡牌属性!R740)))*INDEX($G$5:$G$42,L740)+IF(Q740=1,INDEX(新属性投放!R$20:R$23,卡牌属性!M740-1),INDEX(新属性投放!R$25:R$28,卡牌属性!M740-1)))/SQRT(INDEX($I$5:$I$42,L740)),2)</f>
        <v>686.5</v>
      </c>
      <c r="U740" s="29" t="s">
        <v>178</v>
      </c>
      <c r="V740" s="14">
        <f>ROUND((IF(Q740=1,INDEX(新属性投放!$K$14:$K$34,卡牌属性!R740),INDEX(新属性投放!$K$42:$K$62,卡牌属性!R740))+IF(Q740=1,INDEX(新属性投放!S$20:S$23,卡牌属性!M740-1),INDEX(新属性投放!S$25:S$28,卡牌属性!M740-1)))*INDEX($G$5:$G$42,L740),2)</f>
        <v>204.13</v>
      </c>
      <c r="W740" s="29" t="s">
        <v>179</v>
      </c>
      <c r="X740" s="14">
        <f>ROUND((IF(Q740=1,INDEX(新属性投放!$L$14:$L$34,卡牌属性!R740),INDEX(新属性投放!$L$42:$L$62,卡牌属性!R740))*INDEX($G$5:$G$42,L740)+IF(Q740=1,INDEX(新属性投放!T$20:T$23,卡牌属性!M740-1),INDEX(新属性投放!T$25:T$28,卡牌属性!M740-1)))*SQRT(INDEX($I$5:$I$42,L740)),2)</f>
        <v>2314.6999999999998</v>
      </c>
      <c r="Y740" s="29" t="s">
        <v>177</v>
      </c>
      <c r="Z740" s="14">
        <f>ROUND(IF(Q740=1,INDEX(新属性投放!$D$14:$D$34,卡牌属性!R740),INDEX(新属性投放!$D$42:$D$62,卡牌属性!R740))*INDEX($G$5:$G$42,L740)/SQRT(INDEX($I$5:$I$42,L740)),2)</f>
        <v>15.84</v>
      </c>
      <c r="AA740" s="29" t="s">
        <v>178</v>
      </c>
      <c r="AB740" s="14">
        <f>ROUND(IF(Q740=1,INDEX(新属性投放!$E$14:$E$34,卡牌属性!R740),INDEX(新属性投放!$E$42:$E$62,卡牌属性!R740))*INDEX($G$5:$G$42,L740),2)</f>
        <v>7.92</v>
      </c>
      <c r="AC740" s="29" t="s">
        <v>179</v>
      </c>
      <c r="AD740" s="14">
        <f>ROUND(IF(Q740=1,INDEX(新属性投放!$F$14:$F$34,卡牌属性!R740),INDEX(新属性投放!$F$42:$F$62,卡牌属性!R740))*INDEX($G$5:$G$42,L740)*SQRT(INDEX($I$5:$I$42,L740)),2)</f>
        <v>70.150000000000006</v>
      </c>
      <c r="AF740" s="14">
        <f t="shared" si="310"/>
        <v>158</v>
      </c>
      <c r="AG740" s="14">
        <f t="shared" si="311"/>
        <v>79</v>
      </c>
      <c r="AH740" s="14">
        <f t="shared" si="312"/>
        <v>701</v>
      </c>
      <c r="AJ740" s="14">
        <f t="shared" ref="AJ740:AJ759" si="322">AJ739+AF740</f>
        <v>330</v>
      </c>
      <c r="AK740" s="14">
        <f t="shared" ref="AK740:AK759" si="323">AK739+AG740</f>
        <v>165</v>
      </c>
      <c r="AL740" s="14">
        <f t="shared" ref="AL740:AL759" si="324">AL739+AH740</f>
        <v>1471</v>
      </c>
    </row>
    <row r="741" spans="11:38" ht="16.5" x14ac:dyDescent="0.2">
      <c r="K741" s="13">
        <v>738</v>
      </c>
      <c r="L741" s="13">
        <f t="shared" si="304"/>
        <v>36</v>
      </c>
      <c r="M741" s="13">
        <f t="shared" si="305"/>
        <v>3</v>
      </c>
      <c r="N741" s="14">
        <f t="shared" si="306"/>
        <v>1102020</v>
      </c>
      <c r="O741" s="14" t="str">
        <f t="shared" si="307"/>
        <v>高顺3突</v>
      </c>
      <c r="P741" s="29" t="s">
        <v>470</v>
      </c>
      <c r="Q741" s="14">
        <f t="shared" si="308"/>
        <v>2</v>
      </c>
      <c r="R741" s="14">
        <f t="shared" si="309"/>
        <v>3</v>
      </c>
      <c r="S741" s="14" t="s">
        <v>39</v>
      </c>
      <c r="T741" s="14">
        <f>ROUND(((IF(Q741=1,INDEX(新属性投放!$J$14:$J$34,卡牌属性!R741),INDEX(新属性投放!$J$42:$J$62,卡牌属性!R741)))*INDEX($G$5:$G$42,L741)+IF(Q741=1,INDEX(新属性投放!R$20:R$23,卡牌属性!M741-1),INDEX(新属性投放!R$25:R$28,卡牌属性!M741-1)))/SQRT(INDEX($I$5:$I$42,L741)),2)</f>
        <v>883.96</v>
      </c>
      <c r="U741" s="29" t="s">
        <v>178</v>
      </c>
      <c r="V741" s="14">
        <f>ROUND((IF(Q741=1,INDEX(新属性投放!$K$14:$K$34,卡牌属性!R741),INDEX(新属性投放!$K$42:$K$62,卡牌属性!R741))+IF(Q741=1,INDEX(新属性投放!S$20:S$23,卡牌属性!M741-1),INDEX(新属性投放!S$25:S$28,卡牌属性!M741-1)))*INDEX($G$5:$G$42,L741),2)</f>
        <v>302.85000000000002</v>
      </c>
      <c r="W741" s="29" t="s">
        <v>179</v>
      </c>
      <c r="X741" s="14">
        <f>ROUND((IF(Q741=1,INDEX(新属性投放!$L$14:$L$34,卡牌属性!R741),INDEX(新属性投放!$L$42:$L$62,卡牌属性!R741))*INDEX($G$5:$G$42,L741)+IF(Q741=1,INDEX(新属性投放!T$20:T$23,卡牌属性!M741-1),INDEX(新属性投放!T$25:T$28,卡牌属性!M741-1)))*SQRT(INDEX($I$5:$I$42,L741)),2)</f>
        <v>3368.1</v>
      </c>
      <c r="Y741" s="29" t="s">
        <v>177</v>
      </c>
      <c r="Z741" s="14">
        <f>ROUND(IF(Q741=1,INDEX(新属性投放!$D$14:$D$34,卡牌属性!R741),INDEX(新属性投放!$D$42:$D$62,卡牌属性!R741))*INDEX($G$5:$G$42,L741)/SQRT(INDEX($I$5:$I$42,L741)),2)</f>
        <v>28.95</v>
      </c>
      <c r="AA741" s="29" t="s">
        <v>178</v>
      </c>
      <c r="AB741" s="14">
        <f>ROUND(IF(Q741=1,INDEX(新属性投放!$E$14:$E$34,卡牌属性!R741),INDEX(新属性投放!$E$42:$E$62,卡牌属性!R741))*INDEX($G$5:$G$42,L741),2)</f>
        <v>14.47</v>
      </c>
      <c r="AC741" s="29" t="s">
        <v>179</v>
      </c>
      <c r="AD741" s="14">
        <f>ROUND(IF(Q741=1,INDEX(新属性投放!$F$14:$F$34,卡牌属性!R741),INDEX(新属性投放!$F$42:$F$62,卡牌属性!R741))*INDEX($G$5:$G$42,L741)*SQRT(INDEX($I$5:$I$42,L741)),2)</f>
        <v>129.94999999999999</v>
      </c>
      <c r="AF741" s="14">
        <f t="shared" si="310"/>
        <v>289</v>
      </c>
      <c r="AG741" s="14">
        <f t="shared" si="311"/>
        <v>144</v>
      </c>
      <c r="AH741" s="14">
        <f t="shared" si="312"/>
        <v>1299</v>
      </c>
      <c r="AJ741" s="14">
        <f t="shared" si="322"/>
        <v>619</v>
      </c>
      <c r="AK741" s="14">
        <f t="shared" si="323"/>
        <v>309</v>
      </c>
      <c r="AL741" s="14">
        <f t="shared" si="324"/>
        <v>2770</v>
      </c>
    </row>
    <row r="742" spans="11:38" ht="16.5" x14ac:dyDescent="0.2">
      <c r="K742" s="13">
        <v>739</v>
      </c>
      <c r="L742" s="13">
        <f t="shared" si="304"/>
        <v>36</v>
      </c>
      <c r="M742" s="13">
        <f t="shared" si="305"/>
        <v>3</v>
      </c>
      <c r="N742" s="14">
        <f t="shared" si="306"/>
        <v>1102020</v>
      </c>
      <c r="O742" s="14" t="str">
        <f t="shared" si="307"/>
        <v>高顺4突</v>
      </c>
      <c r="P742" s="29" t="s">
        <v>470</v>
      </c>
      <c r="Q742" s="14">
        <f t="shared" si="308"/>
        <v>2</v>
      </c>
      <c r="R742" s="14">
        <f t="shared" si="309"/>
        <v>4</v>
      </c>
      <c r="S742" s="14" t="s">
        <v>39</v>
      </c>
      <c r="T742" s="14">
        <f>ROUND(((IF(Q742=1,INDEX(新属性投放!$J$14:$J$34,卡牌属性!R742),INDEX(新属性投放!$J$42:$J$62,卡牌属性!R742)))*INDEX($G$5:$G$42,L742)+IF(Q742=1,INDEX(新属性投放!R$20:R$23,卡牌属性!M742-1),INDEX(新属性投放!R$25:R$28,卡牌属性!M742-1)))/SQRT(INDEX($I$5:$I$42,L742)),2)</f>
        <v>1245.8599999999999</v>
      </c>
      <c r="U742" s="29" t="s">
        <v>178</v>
      </c>
      <c r="V742" s="14">
        <f>ROUND((IF(Q742=1,INDEX(新属性投放!$K$14:$K$34,卡牌属性!R742),INDEX(新属性投放!$K$42:$K$62,卡牌属性!R742))+IF(Q742=1,INDEX(新属性投放!S$20:S$23,卡牌属性!M742-1),INDEX(新属性投放!S$25:S$28,卡牌属性!M742-1)))*INDEX($G$5:$G$42,L742),2)</f>
        <v>483.23</v>
      </c>
      <c r="W742" s="29" t="s">
        <v>179</v>
      </c>
      <c r="X742" s="14">
        <f>ROUND((IF(Q742=1,INDEX(新属性投放!$L$14:$L$34,卡牌属性!R742),INDEX(新属性投放!$L$42:$L$62,卡牌属性!R742))*INDEX($G$5:$G$42,L742)+IF(Q742=1,INDEX(新属性投放!T$20:T$23,卡牌属性!M742-1),INDEX(新属性投放!T$25:T$28,卡牌属性!M742-1)))*SQRT(INDEX($I$5:$I$42,L742)),2)</f>
        <v>5319.65</v>
      </c>
      <c r="Y742" s="29" t="s">
        <v>177</v>
      </c>
      <c r="Z742" s="14">
        <f>ROUND(IF(Q742=1,INDEX(新属性投放!$D$14:$D$34,卡牌属性!R742),INDEX(新属性投放!$D$42:$D$62,卡牌属性!R742))*INDEX($G$5:$G$42,L742)/SQRT(INDEX($I$5:$I$42,L742)),2)</f>
        <v>34.65</v>
      </c>
      <c r="AA742" s="29" t="s">
        <v>178</v>
      </c>
      <c r="AB742" s="14">
        <f>ROUND(IF(Q742=1,INDEX(新属性投放!$E$14:$E$34,卡牌属性!R742),INDEX(新属性投放!$E$42:$E$62,卡牌属性!R742))*INDEX($G$5:$G$42,L742),2)</f>
        <v>17.32</v>
      </c>
      <c r="AC742" s="29" t="s">
        <v>179</v>
      </c>
      <c r="AD742" s="14">
        <f>ROUND(IF(Q742=1,INDEX(新属性投放!$F$14:$F$34,卡牌属性!R742),INDEX(新属性投放!$F$42:$F$62,卡牌属性!R742))*INDEX($G$5:$G$42,L742)*SQRT(INDEX($I$5:$I$42,L742)),2)</f>
        <v>155.25</v>
      </c>
      <c r="AF742" s="14">
        <f t="shared" si="310"/>
        <v>346</v>
      </c>
      <c r="AG742" s="14">
        <f t="shared" si="311"/>
        <v>173</v>
      </c>
      <c r="AH742" s="14">
        <f t="shared" si="312"/>
        <v>1552</v>
      </c>
      <c r="AJ742" s="14">
        <f t="shared" si="322"/>
        <v>965</v>
      </c>
      <c r="AK742" s="14">
        <f t="shared" si="323"/>
        <v>482</v>
      </c>
      <c r="AL742" s="14">
        <f t="shared" si="324"/>
        <v>4322</v>
      </c>
    </row>
    <row r="743" spans="11:38" ht="16.5" x14ac:dyDescent="0.2">
      <c r="K743" s="13">
        <v>740</v>
      </c>
      <c r="L743" s="13">
        <f t="shared" si="304"/>
        <v>36</v>
      </c>
      <c r="M743" s="13">
        <f t="shared" si="305"/>
        <v>3</v>
      </c>
      <c r="N743" s="14">
        <f t="shared" si="306"/>
        <v>1102020</v>
      </c>
      <c r="O743" s="14" t="str">
        <f t="shared" si="307"/>
        <v>高顺5突</v>
      </c>
      <c r="P743" s="29" t="s">
        <v>470</v>
      </c>
      <c r="Q743" s="14">
        <f t="shared" si="308"/>
        <v>2</v>
      </c>
      <c r="R743" s="14">
        <f t="shared" si="309"/>
        <v>5</v>
      </c>
      <c r="S743" s="14" t="s">
        <v>39</v>
      </c>
      <c r="T743" s="14">
        <f>ROUND(((IF(Q743=1,INDEX(新属性投放!$J$14:$J$34,卡牌属性!R743),INDEX(新属性投放!$J$42:$J$62,卡牌属性!R743)))*INDEX($G$5:$G$42,L743)+IF(Q743=1,INDEX(新属性投放!R$20:R$23,卡牌属性!M743-1),INDEX(新属性投放!R$25:R$28,卡牌属性!M743-1)))/SQRT(INDEX($I$5:$I$42,L743)),2)</f>
        <v>1678.61</v>
      </c>
      <c r="U743" s="29" t="s">
        <v>178</v>
      </c>
      <c r="V743" s="14">
        <f>ROUND((IF(Q743=1,INDEX(新属性投放!$K$14:$K$34,卡牌属性!R743),INDEX(新属性投放!$K$42:$K$62,卡牌属性!R743))+IF(Q743=1,INDEX(新属性投放!S$20:S$23,卡牌属性!M743-1),INDEX(新属性投放!S$25:S$28,卡牌属性!M743-1)))*INDEX($G$5:$G$42,L743),2)</f>
        <v>700.18</v>
      </c>
      <c r="W743" s="29" t="s">
        <v>179</v>
      </c>
      <c r="X743" s="14">
        <f>ROUND((IF(Q743=1,INDEX(新属性投放!$L$14:$L$34,卡牌属性!R743),INDEX(新属性投放!$L$42:$L$62,卡牌属性!R743))*INDEX($G$5:$G$42,L743)+IF(Q743=1,INDEX(新属性投放!T$20:T$23,卡牌属性!M743-1),INDEX(新属性投放!T$25:T$28,卡牌属性!M743-1)))*SQRT(INDEX($I$5:$I$42,L743)),2)</f>
        <v>7648.4</v>
      </c>
      <c r="Y743" s="29" t="s">
        <v>177</v>
      </c>
      <c r="Z743" s="14">
        <f>ROUND(IF(Q743=1,INDEX(新属性投放!$D$14:$D$34,卡牌属性!R743),INDEX(新属性投放!$D$42:$D$62,卡牌属性!R743))*INDEX($G$5:$G$42,L743)/SQRT(INDEX($I$5:$I$42,L743)),2)</f>
        <v>43.31</v>
      </c>
      <c r="AA743" s="29" t="s">
        <v>178</v>
      </c>
      <c r="AB743" s="14">
        <f>ROUND(IF(Q743=1,INDEX(新属性投放!$E$14:$E$34,卡牌属性!R743),INDEX(新属性投放!$E$42:$E$62,卡牌属性!R743))*INDEX($G$5:$G$42,L743),2)</f>
        <v>21.65</v>
      </c>
      <c r="AC743" s="29" t="s">
        <v>179</v>
      </c>
      <c r="AD743" s="14">
        <f>ROUND(IF(Q743=1,INDEX(新属性投放!$F$14:$F$34,卡牌属性!R743),INDEX(新属性投放!$F$42:$F$62,卡牌属性!R743))*INDEX($G$5:$G$42,L743)*SQRT(INDEX($I$5:$I$42,L743)),2)</f>
        <v>194.35</v>
      </c>
      <c r="AF743" s="14">
        <f t="shared" si="310"/>
        <v>433</v>
      </c>
      <c r="AG743" s="14">
        <f t="shared" si="311"/>
        <v>216</v>
      </c>
      <c r="AH743" s="14">
        <f t="shared" si="312"/>
        <v>1943</v>
      </c>
      <c r="AJ743" s="14">
        <f t="shared" si="322"/>
        <v>1398</v>
      </c>
      <c r="AK743" s="14">
        <f t="shared" si="323"/>
        <v>698</v>
      </c>
      <c r="AL743" s="14">
        <f t="shared" si="324"/>
        <v>6265</v>
      </c>
    </row>
    <row r="744" spans="11:38" ht="16.5" x14ac:dyDescent="0.2">
      <c r="K744" s="13">
        <v>741</v>
      </c>
      <c r="L744" s="13">
        <f t="shared" si="304"/>
        <v>36</v>
      </c>
      <c r="M744" s="13">
        <f t="shared" si="305"/>
        <v>3</v>
      </c>
      <c r="N744" s="14">
        <f t="shared" si="306"/>
        <v>1102020</v>
      </c>
      <c r="O744" s="14" t="str">
        <f t="shared" si="307"/>
        <v>高顺6突</v>
      </c>
      <c r="P744" s="29" t="s">
        <v>470</v>
      </c>
      <c r="Q744" s="14">
        <f t="shared" si="308"/>
        <v>2</v>
      </c>
      <c r="R744" s="14">
        <f t="shared" si="309"/>
        <v>6</v>
      </c>
      <c r="S744" s="14" t="s">
        <v>39</v>
      </c>
      <c r="T744" s="14">
        <f>ROUND(((IF(Q744=1,INDEX(新属性投放!$J$14:$J$34,卡牌属性!R744),INDEX(新属性投放!$J$42:$J$62,卡牌属性!R744)))*INDEX($G$5:$G$42,L744)+IF(Q744=1,INDEX(新属性投放!R$20:R$23,卡牌属性!M744-1),INDEX(新属性投放!R$25:R$28,卡牌属性!M744-1)))/SQRT(INDEX($I$5:$I$42,L744)),2)</f>
        <v>2219.8000000000002</v>
      </c>
      <c r="U744" s="29" t="s">
        <v>178</v>
      </c>
      <c r="V744" s="14">
        <f>ROUND((IF(Q744=1,INDEX(新属性投放!$K$14:$K$34,卡牌属性!R744),INDEX(新属性投放!$K$42:$K$62,卡牌属性!R744))+IF(Q744=1,INDEX(新属性投放!S$20:S$23,卡牌属性!M744-1),INDEX(新属性投放!S$25:S$28,卡牌属性!M744-1)))*INDEX($G$5:$G$42,L744),2)</f>
        <v>970.77</v>
      </c>
      <c r="W744" s="29" t="s">
        <v>179</v>
      </c>
      <c r="X744" s="14">
        <f>ROUND((IF(Q744=1,INDEX(新属性投放!$L$14:$L$34,卡牌属性!R744),INDEX(新属性投放!$L$42:$L$62,卡牌属性!R744))*INDEX($G$5:$G$42,L744)+IF(Q744=1,INDEX(新属性投放!T$20:T$23,卡牌属性!M744-1),INDEX(新属性投放!T$25:T$28,卡牌属性!M744-1)))*SQRT(INDEX($I$5:$I$42,L744)),2)</f>
        <v>10564.8</v>
      </c>
      <c r="Y744" s="29" t="s">
        <v>177</v>
      </c>
      <c r="Z744" s="14">
        <f>ROUND(IF(Q744=1,INDEX(新属性投放!$D$14:$D$34,卡牌属性!R744),INDEX(新属性投放!$D$42:$D$62,卡牌属性!R744))*INDEX($G$5:$G$42,L744)/SQRT(INDEX($I$5:$I$42,L744)),2)</f>
        <v>56.18</v>
      </c>
      <c r="AA744" s="29" t="s">
        <v>178</v>
      </c>
      <c r="AB744" s="14">
        <f>ROUND(IF(Q744=1,INDEX(新属性投放!$E$14:$E$34,卡牌属性!R744),INDEX(新属性投放!$E$42:$E$62,卡牌属性!R744))*INDEX($G$5:$G$42,L744),2)</f>
        <v>28.09</v>
      </c>
      <c r="AC744" s="29" t="s">
        <v>179</v>
      </c>
      <c r="AD744" s="14">
        <f>ROUND(IF(Q744=1,INDEX(新属性投放!$F$14:$F$34,卡牌属性!R744),INDEX(新属性投放!$F$42:$F$62,卡牌属性!R744))*INDEX($G$5:$G$42,L744)*SQRT(INDEX($I$5:$I$42,L744)),2)</f>
        <v>251.85</v>
      </c>
      <c r="AF744" s="14">
        <f t="shared" si="310"/>
        <v>561</v>
      </c>
      <c r="AG744" s="14">
        <f t="shared" si="311"/>
        <v>280</v>
      </c>
      <c r="AH744" s="14">
        <f t="shared" si="312"/>
        <v>2518</v>
      </c>
      <c r="AJ744" s="14">
        <f t="shared" si="322"/>
        <v>1959</v>
      </c>
      <c r="AK744" s="14">
        <f t="shared" si="323"/>
        <v>978</v>
      </c>
      <c r="AL744" s="14">
        <f t="shared" si="324"/>
        <v>8783</v>
      </c>
    </row>
    <row r="745" spans="11:38" ht="16.5" x14ac:dyDescent="0.2">
      <c r="K745" s="13">
        <v>742</v>
      </c>
      <c r="L745" s="13">
        <f t="shared" si="304"/>
        <v>36</v>
      </c>
      <c r="M745" s="13">
        <f t="shared" si="305"/>
        <v>3</v>
      </c>
      <c r="N745" s="14">
        <f t="shared" si="306"/>
        <v>1102020</v>
      </c>
      <c r="O745" s="14" t="str">
        <f t="shared" si="307"/>
        <v>高顺7突</v>
      </c>
      <c r="P745" s="29" t="s">
        <v>470</v>
      </c>
      <c r="Q745" s="14">
        <f t="shared" si="308"/>
        <v>2</v>
      </c>
      <c r="R745" s="14">
        <f t="shared" si="309"/>
        <v>7</v>
      </c>
      <c r="S745" s="14" t="s">
        <v>39</v>
      </c>
      <c r="T745" s="14">
        <f>ROUND(((IF(Q745=1,INDEX(新属性投放!$J$14:$J$34,卡牌属性!R745),INDEX(新属性投放!$J$42:$J$62,卡牌属性!R745)))*INDEX($G$5:$G$42,L745)+IF(Q745=1,INDEX(新属性投放!R$20:R$23,卡牌属性!M745-1),INDEX(新属性投放!R$25:R$28,卡牌属性!M745-1)))/SQRT(INDEX($I$5:$I$42,L745)),2)</f>
        <v>2921.87</v>
      </c>
      <c r="U745" s="29" t="s">
        <v>178</v>
      </c>
      <c r="V745" s="14">
        <f>ROUND((IF(Q745=1,INDEX(新属性投放!$K$14:$K$34,卡牌属性!R745),INDEX(新属性投放!$K$42:$K$62,卡牌属性!R745))+IF(Q745=1,INDEX(新属性投放!S$20:S$23,卡牌属性!M745-1),INDEX(新属性投放!S$25:S$28,卡牌属性!M745-1)))*INDEX($G$5:$G$42,L745),2)</f>
        <v>1321.81</v>
      </c>
      <c r="W745" s="29" t="s">
        <v>179</v>
      </c>
      <c r="X745" s="14">
        <f>ROUND((IF(Q745=1,INDEX(新属性投放!$L$14:$L$34,卡牌属性!R745),INDEX(新属性投放!$L$42:$L$62,卡牌属性!R745))*INDEX($G$5:$G$42,L745)+IF(Q745=1,INDEX(新属性投放!T$20:T$23,卡牌属性!M745-1),INDEX(新属性投放!T$25:T$28,卡牌属性!M745-1)))*SQRT(INDEX($I$5:$I$42,L745)),2)</f>
        <v>14346</v>
      </c>
      <c r="Y745" s="29" t="s">
        <v>177</v>
      </c>
      <c r="Z745" s="14">
        <f>ROUND(IF(Q745=1,INDEX(新属性投放!$D$14:$D$34,卡牌属性!R745),INDEX(新属性投放!$D$42:$D$62,卡牌属性!R745))*INDEX($G$5:$G$42,L745)/SQRT(INDEX($I$5:$I$42,L745)),2)</f>
        <v>69.22</v>
      </c>
      <c r="AA745" s="29" t="s">
        <v>178</v>
      </c>
      <c r="AB745" s="14">
        <f>ROUND(IF(Q745=1,INDEX(新属性投放!$E$14:$E$34,卡牌属性!R745),INDEX(新属性投放!$E$42:$E$62,卡牌属性!R745))*INDEX($G$5:$G$42,L745),2)</f>
        <v>34.61</v>
      </c>
      <c r="AC745" s="29" t="s">
        <v>179</v>
      </c>
      <c r="AD745" s="14">
        <f>ROUND(IF(Q745=1,INDEX(新属性投放!$F$14:$F$34,卡牌属性!R745),INDEX(新属性投放!$F$42:$F$62,卡牌属性!R745))*INDEX($G$5:$G$42,L745)*SQRT(INDEX($I$5:$I$42,L745)),2)</f>
        <v>310.5</v>
      </c>
      <c r="AF745" s="14">
        <f t="shared" si="310"/>
        <v>692</v>
      </c>
      <c r="AG745" s="14">
        <f t="shared" si="311"/>
        <v>346</v>
      </c>
      <c r="AH745" s="14">
        <f t="shared" si="312"/>
        <v>3105</v>
      </c>
      <c r="AJ745" s="14">
        <f t="shared" si="322"/>
        <v>2651</v>
      </c>
      <c r="AK745" s="14">
        <f t="shared" si="323"/>
        <v>1324</v>
      </c>
      <c r="AL745" s="14">
        <f t="shared" si="324"/>
        <v>11888</v>
      </c>
    </row>
    <row r="746" spans="11:38" ht="16.5" x14ac:dyDescent="0.2">
      <c r="K746" s="13">
        <v>743</v>
      </c>
      <c r="L746" s="13">
        <f t="shared" si="304"/>
        <v>36</v>
      </c>
      <c r="M746" s="13">
        <f t="shared" si="305"/>
        <v>3</v>
      </c>
      <c r="N746" s="14">
        <f t="shared" si="306"/>
        <v>1102020</v>
      </c>
      <c r="O746" s="14" t="str">
        <f t="shared" si="307"/>
        <v>高顺8突</v>
      </c>
      <c r="P746" s="29" t="s">
        <v>470</v>
      </c>
      <c r="Q746" s="14">
        <f t="shared" si="308"/>
        <v>2</v>
      </c>
      <c r="R746" s="14">
        <f t="shared" si="309"/>
        <v>8</v>
      </c>
      <c r="S746" s="14" t="s">
        <v>39</v>
      </c>
      <c r="T746" s="14">
        <f>ROUND(((IF(Q746=1,INDEX(新属性投放!$J$14:$J$34,卡牌属性!R746),INDEX(新属性投放!$J$42:$J$62,卡牌属性!R746)))*INDEX($G$5:$G$42,L746)+IF(Q746=1,INDEX(新属性投放!R$20:R$23,卡牌属性!M746-1),INDEX(新属性投放!R$25:R$28,卡牌属性!M746-1)))/SQRT(INDEX($I$5:$I$42,L746)),2)</f>
        <v>3786.56</v>
      </c>
      <c r="U746" s="29" t="s">
        <v>178</v>
      </c>
      <c r="V746" s="14">
        <f>ROUND((IF(Q746=1,INDEX(新属性投放!$K$14:$K$34,卡牌属性!R746),INDEX(新属性投放!$K$42:$K$62,卡牌属性!R746))+IF(Q746=1,INDEX(新属性投放!S$20:S$23,卡牌属性!M746-1),INDEX(新属性投放!S$25:S$28,卡牌属性!M746-1)))*INDEX($G$5:$G$42,L746),2)</f>
        <v>1754.15</v>
      </c>
      <c r="W746" s="29" t="s">
        <v>179</v>
      </c>
      <c r="X746" s="14">
        <f>ROUND((IF(Q746=1,INDEX(新属性投放!$L$14:$L$34,卡牌属性!R746),INDEX(新属性投放!$L$42:$L$62,卡牌属性!R746))*INDEX($G$5:$G$42,L746)+IF(Q746=1,INDEX(新属性投放!T$20:T$23,卡牌属性!M746-1),INDEX(新属性投放!T$25:T$28,卡牌属性!M746-1)))*SQRT(INDEX($I$5:$I$42,L746)),2)</f>
        <v>19003.5</v>
      </c>
      <c r="Y746" s="29" t="s">
        <v>177</v>
      </c>
      <c r="Z746" s="14">
        <f>ROUND(IF(Q746=1,INDEX(新属性投放!$D$14:$D$34,卡牌属性!R746),INDEX(新属性投放!$D$42:$D$62,卡牌属性!R746))*INDEX($G$5:$G$42,L746)/SQRT(INDEX($I$5:$I$42,L746)),2)</f>
        <v>86.47</v>
      </c>
      <c r="AA746" s="29" t="s">
        <v>178</v>
      </c>
      <c r="AB746" s="14">
        <f>ROUND(IF(Q746=1,INDEX(新属性投放!$E$14:$E$34,卡牌属性!R746),INDEX(新属性投放!$E$42:$E$62,卡牌属性!R746))*INDEX($G$5:$G$42,L746),2)</f>
        <v>43.23</v>
      </c>
      <c r="AC746" s="29" t="s">
        <v>179</v>
      </c>
      <c r="AD746" s="14">
        <f>ROUND(IF(Q746=1,INDEX(新属性投放!$F$14:$F$34,卡牌属性!R746),INDEX(新属性投放!$F$42:$F$62,卡牌属性!R746))*INDEX($G$5:$G$42,L746)*SQRT(INDEX($I$5:$I$42,L746)),2)</f>
        <v>388.7</v>
      </c>
      <c r="AF746" s="14">
        <f t="shared" si="310"/>
        <v>864</v>
      </c>
      <c r="AG746" s="14">
        <f t="shared" si="311"/>
        <v>432</v>
      </c>
      <c r="AH746" s="14">
        <f t="shared" si="312"/>
        <v>3887</v>
      </c>
      <c r="AJ746" s="14">
        <f t="shared" si="322"/>
        <v>3515</v>
      </c>
      <c r="AK746" s="14">
        <f t="shared" si="323"/>
        <v>1756</v>
      </c>
      <c r="AL746" s="14">
        <f t="shared" si="324"/>
        <v>15775</v>
      </c>
    </row>
    <row r="747" spans="11:38" ht="16.5" x14ac:dyDescent="0.2">
      <c r="K747" s="13">
        <v>744</v>
      </c>
      <c r="L747" s="13">
        <f t="shared" si="304"/>
        <v>36</v>
      </c>
      <c r="M747" s="13">
        <f t="shared" si="305"/>
        <v>3</v>
      </c>
      <c r="N747" s="14">
        <f t="shared" si="306"/>
        <v>1102020</v>
      </c>
      <c r="O747" s="14" t="str">
        <f t="shared" si="307"/>
        <v>高顺9突</v>
      </c>
      <c r="P747" s="29" t="s">
        <v>470</v>
      </c>
      <c r="Q747" s="14">
        <f t="shared" si="308"/>
        <v>2</v>
      </c>
      <c r="R747" s="14">
        <f t="shared" si="309"/>
        <v>9</v>
      </c>
      <c r="S747" s="14" t="s">
        <v>39</v>
      </c>
      <c r="T747" s="14">
        <f>ROUND(((IF(Q747=1,INDEX(新属性投放!$J$14:$J$34,卡牌属性!R747),INDEX(新属性投放!$J$42:$J$62,卡牌属性!R747)))*INDEX($G$5:$G$42,L747)+IF(Q747=1,INDEX(新属性投放!R$20:R$23,卡牌属性!M747-1),INDEX(新属性投放!R$25:R$28,卡牌属性!M747-1)))/SQRT(INDEX($I$5:$I$42,L747)),2)</f>
        <v>4867.4399999999996</v>
      </c>
      <c r="U747" s="29" t="s">
        <v>178</v>
      </c>
      <c r="V747" s="14">
        <f>ROUND((IF(Q747=1,INDEX(新属性投放!$K$14:$K$34,卡牌属性!R747),INDEX(新属性投放!$K$42:$K$62,卡牌属性!R747))+IF(Q747=1,INDEX(新属性投放!S$20:S$23,卡牌属性!M747-1),INDEX(新属性投放!S$25:S$28,卡牌属性!M747-1)))*INDEX($G$5:$G$42,L747),2)</f>
        <v>2294.6</v>
      </c>
      <c r="W747" s="29" t="s">
        <v>179</v>
      </c>
      <c r="X747" s="14">
        <f>ROUND((IF(Q747=1,INDEX(新属性投放!$L$14:$L$34,卡牌属性!R747),INDEX(新属性投放!$L$42:$L$62,卡牌属性!R747))*INDEX($G$5:$G$42,L747)+IF(Q747=1,INDEX(新属性投放!T$20:T$23,卡牌属性!M747-1),INDEX(新属性投放!T$25:T$28,卡牌属性!M747-1)))*SQRT(INDEX($I$5:$I$42,L747)),2)</f>
        <v>24836.3</v>
      </c>
      <c r="Y747" s="29" t="s">
        <v>177</v>
      </c>
      <c r="Z747" s="14">
        <f>ROUND(IF(Q747=1,INDEX(新属性投放!$D$14:$D$34,卡牌属性!R747),INDEX(新属性投放!$D$42:$D$62,卡牌属性!R747))*INDEX($G$5:$G$42,L747)/SQRT(INDEX($I$5:$I$42,L747)),2)</f>
        <v>112.46</v>
      </c>
      <c r="AA747" s="29" t="s">
        <v>178</v>
      </c>
      <c r="AB747" s="14">
        <f>ROUND(IF(Q747=1,INDEX(新属性投放!$E$14:$E$34,卡牌属性!R747),INDEX(新属性投放!$E$42:$E$62,卡牌属性!R747))*INDEX($G$5:$G$42,L747),2)</f>
        <v>56.23</v>
      </c>
      <c r="AC747" s="29" t="s">
        <v>179</v>
      </c>
      <c r="AD747" s="14">
        <f>ROUND(IF(Q747=1,INDEX(新属性投放!$F$14:$F$34,卡牌属性!R747),INDEX(新属性投放!$F$42:$F$62,卡牌属性!R747))*INDEX($G$5:$G$42,L747)*SQRT(INDEX($I$5:$I$42,L747)),2)</f>
        <v>506</v>
      </c>
      <c r="AF747" s="14">
        <f t="shared" si="310"/>
        <v>1124</v>
      </c>
      <c r="AG747" s="14">
        <f t="shared" si="311"/>
        <v>562</v>
      </c>
      <c r="AH747" s="14">
        <f t="shared" si="312"/>
        <v>5060</v>
      </c>
      <c r="AJ747" s="14">
        <f t="shared" si="322"/>
        <v>4639</v>
      </c>
      <c r="AK747" s="14">
        <f t="shared" si="323"/>
        <v>2318</v>
      </c>
      <c r="AL747" s="14">
        <f t="shared" si="324"/>
        <v>20835</v>
      </c>
    </row>
    <row r="748" spans="11:38" ht="16.5" x14ac:dyDescent="0.2">
      <c r="K748" s="13">
        <v>745</v>
      </c>
      <c r="L748" s="13">
        <f t="shared" si="304"/>
        <v>36</v>
      </c>
      <c r="M748" s="13">
        <f t="shared" si="305"/>
        <v>3</v>
      </c>
      <c r="N748" s="14">
        <f t="shared" si="306"/>
        <v>1102020</v>
      </c>
      <c r="O748" s="14" t="str">
        <f t="shared" si="307"/>
        <v>高顺10突</v>
      </c>
      <c r="P748" s="29" t="s">
        <v>470</v>
      </c>
      <c r="Q748" s="14">
        <f t="shared" si="308"/>
        <v>2</v>
      </c>
      <c r="R748" s="14">
        <f t="shared" si="309"/>
        <v>10</v>
      </c>
      <c r="S748" s="14" t="s">
        <v>39</v>
      </c>
      <c r="T748" s="14">
        <f>ROUND(((IF(Q748=1,INDEX(新属性投放!$J$14:$J$34,卡牌属性!R748),INDEX(新属性投放!$J$42:$J$62,卡牌属性!R748)))*INDEX($G$5:$G$42,L748)+IF(Q748=1,INDEX(新属性投放!R$20:R$23,卡牌属性!M748-1),INDEX(新属性投放!R$25:R$28,卡牌属性!M748-1)))/SQRT(INDEX($I$5:$I$42,L748)),2)</f>
        <v>5570.03</v>
      </c>
      <c r="U748" s="29" t="s">
        <v>178</v>
      </c>
      <c r="V748" s="14">
        <f>ROUND((IF(Q748=1,INDEX(新属性投放!$K$14:$K$34,卡牌属性!R748),INDEX(新属性投放!$K$42:$K$62,卡牌属性!R748))+IF(Q748=1,INDEX(新属性投放!S$20:S$23,卡牌属性!M748-1),INDEX(新属性投放!S$25:S$28,卡牌属性!M748-1)))*INDEX($G$5:$G$42,L748),2)</f>
        <v>2645.89</v>
      </c>
      <c r="W748" s="29" t="s">
        <v>179</v>
      </c>
      <c r="X748" s="14">
        <f>ROUND((IF(Q748=1,INDEX(新属性投放!$L$14:$L$34,卡牌属性!R748),INDEX(新属性投放!$L$42:$L$62,卡牌属性!R748))*INDEX($G$5:$G$42,L748)+IF(Q748=1,INDEX(新属性投放!T$20:T$23,卡牌属性!M748-1),INDEX(新属性投放!T$25:T$28,卡牌属性!M748-1)))*SQRT(INDEX($I$5:$I$42,L748)),2)</f>
        <v>28629</v>
      </c>
      <c r="Y748" s="29" t="s">
        <v>177</v>
      </c>
      <c r="Z748" s="14">
        <f>ROUND(IF(Q748=1,INDEX(新属性投放!$D$14:$D$34,卡牌属性!R748),INDEX(新属性投放!$D$42:$D$62,卡牌属性!R748))*INDEX($G$5:$G$42,L748)/SQRT(INDEX($I$5:$I$42,L748)),2)</f>
        <v>129.75</v>
      </c>
      <c r="AA748" s="29" t="s">
        <v>178</v>
      </c>
      <c r="AB748" s="14">
        <f>ROUND(IF(Q748=1,INDEX(新属性投放!$E$14:$E$34,卡牌属性!R748),INDEX(新属性投放!$E$42:$E$62,卡牌属性!R748))*INDEX($G$5:$G$42,L748),2)</f>
        <v>64.88</v>
      </c>
      <c r="AC748" s="29" t="s">
        <v>179</v>
      </c>
      <c r="AD748" s="14">
        <f>ROUND(IF(Q748=1,INDEX(新属性投放!$F$14:$F$34,卡牌属性!R748),INDEX(新属性投放!$F$42:$F$62,卡牌属性!R748))*INDEX($G$5:$G$42,L748)*SQRT(INDEX($I$5:$I$42,L748)),2)</f>
        <v>583.04999999999995</v>
      </c>
      <c r="AF748" s="14">
        <f t="shared" si="310"/>
        <v>1297</v>
      </c>
      <c r="AG748" s="14">
        <f t="shared" si="311"/>
        <v>648</v>
      </c>
      <c r="AH748" s="14">
        <f t="shared" si="312"/>
        <v>5830</v>
      </c>
      <c r="AJ748" s="14">
        <f t="shared" si="322"/>
        <v>5936</v>
      </c>
      <c r="AK748" s="14">
        <f t="shared" si="323"/>
        <v>2966</v>
      </c>
      <c r="AL748" s="14">
        <f t="shared" si="324"/>
        <v>26665</v>
      </c>
    </row>
    <row r="749" spans="11:38" ht="16.5" x14ac:dyDescent="0.2">
      <c r="K749" s="13">
        <v>746</v>
      </c>
      <c r="L749" s="13">
        <f t="shared" si="304"/>
        <v>36</v>
      </c>
      <c r="M749" s="13">
        <f t="shared" si="305"/>
        <v>3</v>
      </c>
      <c r="N749" s="14">
        <f t="shared" si="306"/>
        <v>1102020</v>
      </c>
      <c r="O749" s="14" t="str">
        <f t="shared" si="307"/>
        <v>高顺11突</v>
      </c>
      <c r="P749" s="29" t="s">
        <v>470</v>
      </c>
      <c r="Q749" s="14">
        <f t="shared" si="308"/>
        <v>2</v>
      </c>
      <c r="R749" s="14">
        <f t="shared" si="309"/>
        <v>11</v>
      </c>
      <c r="S749" s="14" t="s">
        <v>39</v>
      </c>
      <c r="T749" s="14">
        <f>ROUND(((IF(Q749=1,INDEX(新属性投放!$J$14:$J$34,卡牌属性!R749),INDEX(新属性投放!$J$42:$J$62,卡牌属性!R749)))*INDEX($G$5:$G$42,L749)+IF(Q749=1,INDEX(新属性投放!R$20:R$23,卡牌属性!M749-1),INDEX(新属性投放!R$25:R$28,卡牌属性!M749-1)))/SQRT(INDEX($I$5:$I$42,L749)),2)</f>
        <v>6380.96</v>
      </c>
      <c r="U749" s="29" t="s">
        <v>178</v>
      </c>
      <c r="V749" s="14">
        <f>ROUND((IF(Q749=1,INDEX(新属性投放!$K$14:$K$34,卡牌属性!R749),INDEX(新属性投放!$K$42:$K$62,卡牌属性!R749))+IF(Q749=1,INDEX(新属性投放!S$20:S$23,卡牌属性!M749-1),INDEX(新属性投放!S$25:S$28,卡牌属性!M749-1)))*INDEX($G$5:$G$42,L749),2)</f>
        <v>3051.93</v>
      </c>
      <c r="W749" s="29" t="s">
        <v>179</v>
      </c>
      <c r="X749" s="14">
        <f>ROUND((IF(Q749=1,INDEX(新属性投放!$L$14:$L$34,卡牌属性!R749),INDEX(新属性投放!$L$42:$L$62,卡牌属性!R749))*INDEX($G$5:$G$42,L749)+IF(Q749=1,INDEX(新属性投放!T$20:T$23,卡牌属性!M749-1),INDEX(新属性投放!T$25:T$28,卡牌属性!M749-1)))*SQRT(INDEX($I$5:$I$42,L749)),2)</f>
        <v>33003.599999999999</v>
      </c>
      <c r="Y749" s="29" t="s">
        <v>177</v>
      </c>
      <c r="Z749" s="14">
        <f>ROUND(IF(Q749=1,INDEX(新属性投放!$D$14:$D$34,卡牌属性!R749),INDEX(新属性投放!$D$42:$D$62,卡牌属性!R749))*INDEX($G$5:$G$42,L749)/SQRT(INDEX($I$5:$I$42,L749)),2)</f>
        <v>151.32</v>
      </c>
      <c r="AA749" s="29" t="s">
        <v>178</v>
      </c>
      <c r="AB749" s="14">
        <f>ROUND(IF(Q749=1,INDEX(新属性投放!$E$14:$E$34,卡牌属性!R749),INDEX(新属性投放!$E$42:$E$62,卡牌属性!R749))*INDEX($G$5:$G$42,L749),2)</f>
        <v>75.66</v>
      </c>
      <c r="AC749" s="29" t="s">
        <v>179</v>
      </c>
      <c r="AD749" s="14">
        <f>ROUND(IF(Q749=1,INDEX(新属性投放!$F$14:$F$34,卡牌属性!R749),INDEX(新属性投放!$F$42:$F$62,卡牌属性!R749))*INDEX($G$5:$G$42,L749)*SQRT(INDEX($I$5:$I$42,L749)),2)</f>
        <v>680.8</v>
      </c>
      <c r="AF749" s="14">
        <f t="shared" si="310"/>
        <v>1513</v>
      </c>
      <c r="AG749" s="14">
        <f t="shared" si="311"/>
        <v>756</v>
      </c>
      <c r="AH749" s="14">
        <f t="shared" si="312"/>
        <v>6808</v>
      </c>
      <c r="AJ749" s="14">
        <f t="shared" si="322"/>
        <v>7449</v>
      </c>
      <c r="AK749" s="14">
        <f t="shared" si="323"/>
        <v>3722</v>
      </c>
      <c r="AL749" s="14">
        <f t="shared" si="324"/>
        <v>33473</v>
      </c>
    </row>
    <row r="750" spans="11:38" ht="16.5" x14ac:dyDescent="0.2">
      <c r="K750" s="13">
        <v>747</v>
      </c>
      <c r="L750" s="13">
        <f t="shared" si="304"/>
        <v>36</v>
      </c>
      <c r="M750" s="13">
        <f t="shared" si="305"/>
        <v>3</v>
      </c>
      <c r="N750" s="14">
        <f t="shared" si="306"/>
        <v>1102020</v>
      </c>
      <c r="O750" s="14" t="str">
        <f t="shared" si="307"/>
        <v>高顺12突</v>
      </c>
      <c r="P750" s="29" t="s">
        <v>470</v>
      </c>
      <c r="Q750" s="14">
        <f t="shared" si="308"/>
        <v>2</v>
      </c>
      <c r="R750" s="14">
        <f t="shared" si="309"/>
        <v>12</v>
      </c>
      <c r="S750" s="14" t="s">
        <v>39</v>
      </c>
      <c r="T750" s="14">
        <f>ROUND(((IF(Q750=1,INDEX(新属性投放!$J$14:$J$34,卡牌属性!R750),INDEX(新属性投放!$J$42:$J$62,卡牌属性!R750)))*INDEX($G$5:$G$42,L750)+IF(Q750=1,INDEX(新属性投放!R$20:R$23,卡牌属性!M750-1),INDEX(新属性投放!R$25:R$28,卡牌属性!M750-1)))/SQRT(INDEX($I$5:$I$42,L750)),2)</f>
        <v>7326.14</v>
      </c>
      <c r="U750" s="29" t="s">
        <v>178</v>
      </c>
      <c r="V750" s="14">
        <f>ROUND((IF(Q750=1,INDEX(新属性投放!$K$14:$K$34,卡牌属性!R750),INDEX(新属性投放!$K$42:$K$62,卡牌属性!R750))+IF(Q750=1,INDEX(新属性投放!S$20:S$23,卡牌属性!M750-1),INDEX(新属性投放!S$25:S$28,卡牌属性!M750-1)))*INDEX($G$5:$G$42,L750),2)</f>
        <v>3524.52</v>
      </c>
      <c r="W750" s="29" t="s">
        <v>179</v>
      </c>
      <c r="X750" s="14">
        <f>ROUND((IF(Q750=1,INDEX(新属性投放!$L$14:$L$34,卡牌属性!R750),INDEX(新属性投放!$L$42:$L$62,卡牌属性!R750))*INDEX($G$5:$G$42,L750)+IF(Q750=1,INDEX(新属性投放!T$20:T$23,卡牌属性!M750-1),INDEX(新属性投放!T$25:T$28,卡牌属性!M750-1)))*SQRT(INDEX($I$5:$I$42,L750)),2)</f>
        <v>38105</v>
      </c>
      <c r="Y750" s="29" t="s">
        <v>177</v>
      </c>
      <c r="Z750" s="14">
        <f>ROUND(IF(Q750=1,INDEX(新属性投放!$D$14:$D$34,卡牌属性!R750),INDEX(新属性投放!$D$42:$D$62,卡牌属性!R750))*INDEX($G$5:$G$42,L750)/SQRT(INDEX($I$5:$I$42,L750)),2)</f>
        <v>173.04</v>
      </c>
      <c r="AA750" s="29" t="s">
        <v>178</v>
      </c>
      <c r="AB750" s="14">
        <f>ROUND(IF(Q750=1,INDEX(新属性投放!$E$14:$E$34,卡牌属性!R750),INDEX(新属性投放!$E$42:$E$62,卡牌属性!R750))*INDEX($G$5:$G$42,L750),2)</f>
        <v>86.52</v>
      </c>
      <c r="AC750" s="29" t="s">
        <v>179</v>
      </c>
      <c r="AD750" s="14">
        <f>ROUND(IF(Q750=1,INDEX(新属性投放!$F$14:$F$34,卡牌属性!R750),INDEX(新属性投放!$F$42:$F$62,卡牌属性!R750))*INDEX($G$5:$G$42,L750)*SQRT(INDEX($I$5:$I$42,L750)),2)</f>
        <v>778.55</v>
      </c>
      <c r="AF750" s="14">
        <f t="shared" si="310"/>
        <v>1730</v>
      </c>
      <c r="AG750" s="14">
        <f t="shared" si="311"/>
        <v>865</v>
      </c>
      <c r="AH750" s="14">
        <f t="shared" si="312"/>
        <v>7785</v>
      </c>
      <c r="AJ750" s="14">
        <f t="shared" si="322"/>
        <v>9179</v>
      </c>
      <c r="AK750" s="14">
        <f t="shared" si="323"/>
        <v>4587</v>
      </c>
      <c r="AL750" s="14">
        <f t="shared" si="324"/>
        <v>41258</v>
      </c>
    </row>
    <row r="751" spans="11:38" ht="16.5" x14ac:dyDescent="0.2">
      <c r="K751" s="13">
        <v>748</v>
      </c>
      <c r="L751" s="13">
        <f t="shared" si="304"/>
        <v>36</v>
      </c>
      <c r="M751" s="13">
        <f t="shared" si="305"/>
        <v>3</v>
      </c>
      <c r="N751" s="14">
        <f t="shared" si="306"/>
        <v>1102020</v>
      </c>
      <c r="O751" s="14" t="str">
        <f t="shared" si="307"/>
        <v>高顺13突</v>
      </c>
      <c r="P751" s="29" t="s">
        <v>470</v>
      </c>
      <c r="Q751" s="14">
        <f t="shared" si="308"/>
        <v>2</v>
      </c>
      <c r="R751" s="14">
        <f t="shared" si="309"/>
        <v>13</v>
      </c>
      <c r="S751" s="14" t="s">
        <v>39</v>
      </c>
      <c r="T751" s="14">
        <f>ROUND(((IF(Q751=1,INDEX(新属性投放!$J$14:$J$34,卡牌属性!R751),INDEX(新属性投放!$J$42:$J$62,卡牌属性!R751)))*INDEX($G$5:$G$42,L751)+IF(Q751=1,INDEX(新属性投放!R$20:R$23,卡牌属性!M751-1),INDEX(新属性投放!R$25:R$28,卡牌属性!M751-1)))/SQRT(INDEX($I$5:$I$42,L751)),2)</f>
        <v>8407.5400000000009</v>
      </c>
      <c r="U751" s="29" t="s">
        <v>178</v>
      </c>
      <c r="V751" s="14">
        <f>ROUND((IF(Q751=1,INDEX(新属性投放!$K$14:$K$34,卡牌属性!R751),INDEX(新属性投放!$K$42:$K$62,卡牌属性!R751))+IF(Q751=1,INDEX(新属性投放!S$20:S$23,卡牌属性!M751-1),INDEX(新属性投放!S$25:S$28,卡牌属性!M751-1)))*INDEX($G$5:$G$42,L751),2)</f>
        <v>4065.22</v>
      </c>
      <c r="W751" s="29" t="s">
        <v>179</v>
      </c>
      <c r="X751" s="14">
        <f>ROUND((IF(Q751=1,INDEX(新属性投放!$L$14:$L$34,卡牌属性!R751),INDEX(新属性投放!$L$42:$L$62,卡牌属性!R751))*INDEX($G$5:$G$42,L751)+IF(Q751=1,INDEX(新属性投放!T$20:T$23,卡牌属性!M751-1),INDEX(新属性投放!T$25:T$28,卡牌属性!M751-1)))*SQRT(INDEX($I$5:$I$42,L751)),2)</f>
        <v>43943.55</v>
      </c>
      <c r="Y751" s="29" t="s">
        <v>177</v>
      </c>
      <c r="Z751" s="14">
        <f>ROUND(IF(Q751=1,INDEX(新属性投放!$D$14:$D$34,卡牌属性!R751),INDEX(新属性投放!$D$42:$D$62,卡牌属性!R751))*INDEX($G$5:$G$42,L751)/SQRT(INDEX($I$5:$I$42,L751)),2)</f>
        <v>200.07</v>
      </c>
      <c r="AA751" s="29" t="s">
        <v>178</v>
      </c>
      <c r="AB751" s="14">
        <f>ROUND(IF(Q751=1,INDEX(新属性投放!$E$14:$E$34,卡牌属性!R751),INDEX(新属性投放!$E$42:$E$62,卡牌属性!R751))*INDEX($G$5:$G$42,L751),2)</f>
        <v>100.03</v>
      </c>
      <c r="AC751" s="29" t="s">
        <v>179</v>
      </c>
      <c r="AD751" s="14">
        <f>ROUND(IF(Q751=1,INDEX(新属性投放!$F$14:$F$34,卡牌属性!R751),INDEX(新属性投放!$F$42:$F$62,卡牌属性!R751))*INDEX($G$5:$G$42,L751)*SQRT(INDEX($I$5:$I$42,L751)),2)</f>
        <v>899.3</v>
      </c>
      <c r="AF751" s="14">
        <f t="shared" si="310"/>
        <v>2000</v>
      </c>
      <c r="AG751" s="14">
        <f t="shared" si="311"/>
        <v>1000</v>
      </c>
      <c r="AH751" s="14">
        <f t="shared" si="312"/>
        <v>8993</v>
      </c>
      <c r="AJ751" s="14">
        <f t="shared" si="322"/>
        <v>11179</v>
      </c>
      <c r="AK751" s="14">
        <f t="shared" si="323"/>
        <v>5587</v>
      </c>
      <c r="AL751" s="14">
        <f t="shared" si="324"/>
        <v>50251</v>
      </c>
    </row>
    <row r="752" spans="11:38" ht="16.5" x14ac:dyDescent="0.2">
      <c r="K752" s="13">
        <v>749</v>
      </c>
      <c r="L752" s="13">
        <f t="shared" si="304"/>
        <v>36</v>
      </c>
      <c r="M752" s="13">
        <f t="shared" si="305"/>
        <v>3</v>
      </c>
      <c r="N752" s="14">
        <f t="shared" si="306"/>
        <v>1102020</v>
      </c>
      <c r="O752" s="14" t="str">
        <f t="shared" si="307"/>
        <v>高顺14突</v>
      </c>
      <c r="P752" s="29" t="s">
        <v>470</v>
      </c>
      <c r="Q752" s="14">
        <f t="shared" si="308"/>
        <v>2</v>
      </c>
      <c r="R752" s="14">
        <f t="shared" si="309"/>
        <v>14</v>
      </c>
      <c r="S752" s="14" t="s">
        <v>39</v>
      </c>
      <c r="T752" s="14">
        <f>ROUND(((IF(Q752=1,INDEX(新属性投放!$J$14:$J$34,卡牌属性!R752),INDEX(新属性投放!$J$42:$J$62,卡牌属性!R752)))*INDEX($G$5:$G$42,L752)+IF(Q752=1,INDEX(新属性投放!R$20:R$23,卡牌属性!M752-1),INDEX(新属性投放!R$25:R$28,卡牌属性!M752-1)))/SQRT(INDEX($I$5:$I$42,L752)),2)</f>
        <v>9657.42</v>
      </c>
      <c r="U752" s="29" t="s">
        <v>178</v>
      </c>
      <c r="V752" s="14">
        <f>ROUND((IF(Q752=1,INDEX(新属性投放!$K$14:$K$34,卡牌属性!R752),INDEX(新属性投放!$K$42:$K$62,卡牌属性!R752))+IF(Q752=1,INDEX(新属性投放!S$20:S$23,卡牌属性!M752-1),INDEX(新属性投放!S$25:S$28,卡牌属性!M752-1)))*INDEX($G$5:$G$42,L752),2)</f>
        <v>4690.74</v>
      </c>
      <c r="W752" s="29" t="s">
        <v>179</v>
      </c>
      <c r="X752" s="14">
        <f>ROUND((IF(Q752=1,INDEX(新属性投放!$L$14:$L$34,卡牌属性!R752),INDEX(新属性投放!$L$42:$L$62,卡牌属性!R752))*INDEX($G$5:$G$42,L752)+IF(Q752=1,INDEX(新属性投放!T$20:T$23,卡牌属性!M752-1),INDEX(新属性投放!T$25:T$28,卡牌属性!M752-1)))*SQRT(INDEX($I$5:$I$42,L752)),2)</f>
        <v>50686</v>
      </c>
      <c r="Y752" s="29" t="s">
        <v>177</v>
      </c>
      <c r="Z752" s="14">
        <f>ROUND(IF(Q752=1,INDEX(新属性投放!$D$14:$D$34,卡牌属性!R752),INDEX(新属性投放!$D$42:$D$62,卡牌属性!R752))*INDEX($G$5:$G$42,L752)/SQRT(INDEX($I$5:$I$42,L752)),2)</f>
        <v>231.32</v>
      </c>
      <c r="AA752" s="29" t="s">
        <v>178</v>
      </c>
      <c r="AB752" s="14">
        <f>ROUND(IF(Q752=1,INDEX(新属性投放!$E$14:$E$34,卡牌属性!R752),INDEX(新属性投放!$E$42:$E$62,卡牌属性!R752))*INDEX($G$5:$G$42,L752),2)</f>
        <v>115.66</v>
      </c>
      <c r="AC752" s="29" t="s">
        <v>179</v>
      </c>
      <c r="AD752" s="14">
        <f>ROUND(IF(Q752=1,INDEX(新属性投放!$F$14:$F$34,卡牌属性!R752),INDEX(新属性投放!$F$42:$F$62,卡牌属性!R752))*INDEX($G$5:$G$42,L752)*SQRT(INDEX($I$5:$I$42,L752)),2)</f>
        <v>1040.75</v>
      </c>
      <c r="AF752" s="14">
        <f t="shared" si="310"/>
        <v>2313</v>
      </c>
      <c r="AG752" s="14">
        <f t="shared" si="311"/>
        <v>1156</v>
      </c>
      <c r="AH752" s="14">
        <f t="shared" si="312"/>
        <v>10407</v>
      </c>
      <c r="AJ752" s="14">
        <f t="shared" si="322"/>
        <v>13492</v>
      </c>
      <c r="AK752" s="14">
        <f t="shared" si="323"/>
        <v>6743</v>
      </c>
      <c r="AL752" s="14">
        <f t="shared" si="324"/>
        <v>60658</v>
      </c>
    </row>
    <row r="753" spans="11:38" ht="16.5" x14ac:dyDescent="0.2">
      <c r="K753" s="13">
        <v>750</v>
      </c>
      <c r="L753" s="13">
        <f t="shared" si="304"/>
        <v>36</v>
      </c>
      <c r="M753" s="13">
        <f t="shared" si="305"/>
        <v>3</v>
      </c>
      <c r="N753" s="14">
        <f t="shared" si="306"/>
        <v>1102020</v>
      </c>
      <c r="O753" s="14" t="str">
        <f t="shared" si="307"/>
        <v>高顺15突</v>
      </c>
      <c r="P753" s="29" t="s">
        <v>470</v>
      </c>
      <c r="Q753" s="14">
        <f t="shared" si="308"/>
        <v>2</v>
      </c>
      <c r="R753" s="14">
        <f t="shared" si="309"/>
        <v>15</v>
      </c>
      <c r="S753" s="14" t="s">
        <v>39</v>
      </c>
      <c r="T753" s="14">
        <f>ROUND(((IF(Q753=1,INDEX(新属性投放!$J$14:$J$34,卡牌属性!R753),INDEX(新属性投放!$J$42:$J$62,卡牌属性!R753)))*INDEX($G$5:$G$42,L753)+IF(Q753=1,INDEX(新属性投放!R$20:R$23,卡牌属性!M753-1),INDEX(新属性投放!R$25:R$28,卡牌属性!M753-1)))/SQRT(INDEX($I$5:$I$42,L753)),2)</f>
        <v>11102.68</v>
      </c>
      <c r="U753" s="29" t="s">
        <v>178</v>
      </c>
      <c r="V753" s="14">
        <f>ROUND((IF(Q753=1,INDEX(新属性投放!$K$14:$K$34,卡牌属性!R753),INDEX(新属性投放!$K$42:$K$62,卡牌属性!R753))+IF(Q753=1,INDEX(新属性投放!S$20:S$23,卡牌属性!M753-1),INDEX(新属性投放!S$25:S$28,卡牌属性!M753-1)))*INDEX($G$5:$G$42,L753),2)</f>
        <v>5413.94</v>
      </c>
      <c r="W753" s="29" t="s">
        <v>179</v>
      </c>
      <c r="X753" s="14">
        <f>ROUND((IF(Q753=1,INDEX(新属性投放!$L$14:$L$34,卡牌属性!R753),INDEX(新属性投放!$L$42:$L$62,卡牌属性!R753))*INDEX($G$5:$G$42,L753)+IF(Q753=1,INDEX(新属性投放!T$20:T$23,卡牌属性!M753-1),INDEX(新属性投放!T$25:T$28,卡牌属性!M753-1)))*SQRT(INDEX($I$5:$I$42,L753)),2)</f>
        <v>58487.6</v>
      </c>
      <c r="Y753" s="29" t="s">
        <v>177</v>
      </c>
      <c r="Z753" s="14">
        <f>ROUND(IF(Q753=1,INDEX(新属性投放!$D$14:$D$34,卡牌属性!R753),INDEX(新属性投放!$D$42:$D$62,卡牌属性!R753))*INDEX($G$5:$G$42,L753)/SQRT(INDEX($I$5:$I$42,L753)),2)</f>
        <v>267.44</v>
      </c>
      <c r="AA753" s="29" t="s">
        <v>178</v>
      </c>
      <c r="AB753" s="14">
        <f>ROUND(IF(Q753=1,INDEX(新属性投放!$E$14:$E$34,卡牌属性!R753),INDEX(新属性投放!$E$42:$E$62,卡牌属性!R753))*INDEX($G$5:$G$42,L753),2)</f>
        <v>133.72</v>
      </c>
      <c r="AC753" s="29" t="s">
        <v>179</v>
      </c>
      <c r="AD753" s="14">
        <f>ROUND(IF(Q753=1,INDEX(新属性投放!$F$14:$F$34,卡牌属性!R753),INDEX(新属性投放!$F$42:$F$62,卡牌属性!R753))*INDEX($G$5:$G$42,L753)*SQRT(INDEX($I$5:$I$42,L753)),2)</f>
        <v>1202.9000000000001</v>
      </c>
      <c r="AF753" s="14">
        <f t="shared" si="310"/>
        <v>2674</v>
      </c>
      <c r="AG753" s="14">
        <f t="shared" si="311"/>
        <v>1337</v>
      </c>
      <c r="AH753" s="14">
        <f t="shared" si="312"/>
        <v>12029</v>
      </c>
      <c r="AJ753" s="14">
        <f t="shared" si="322"/>
        <v>16166</v>
      </c>
      <c r="AK753" s="14">
        <f t="shared" si="323"/>
        <v>8080</v>
      </c>
      <c r="AL753" s="14">
        <f t="shared" si="324"/>
        <v>72687</v>
      </c>
    </row>
    <row r="754" spans="11:38" ht="16.5" x14ac:dyDescent="0.2">
      <c r="K754" s="13">
        <v>751</v>
      </c>
      <c r="L754" s="13">
        <f t="shared" si="304"/>
        <v>36</v>
      </c>
      <c r="M754" s="13">
        <f t="shared" si="305"/>
        <v>3</v>
      </c>
      <c r="N754" s="14">
        <f t="shared" si="306"/>
        <v>1102020</v>
      </c>
      <c r="O754" s="14" t="str">
        <f t="shared" si="307"/>
        <v>高顺16突</v>
      </c>
      <c r="P754" s="29" t="s">
        <v>470</v>
      </c>
      <c r="Q754" s="14">
        <f t="shared" si="308"/>
        <v>2</v>
      </c>
      <c r="R754" s="14">
        <f t="shared" si="309"/>
        <v>16</v>
      </c>
      <c r="S754" s="14" t="s">
        <v>39</v>
      </c>
      <c r="T754" s="14">
        <f>ROUND(((IF(Q754=1,INDEX(新属性投放!$J$14:$J$34,卡牌属性!R754),INDEX(新属性投放!$J$42:$J$62,卡牌属性!R754)))*INDEX($G$5:$G$42,L754)+IF(Q754=1,INDEX(新属性投放!R$20:R$23,卡牌属性!M754-1),INDEX(新属性投放!R$25:R$28,卡牌属性!M754-1)))/SQRT(INDEX($I$5:$I$42,L754)),2)</f>
        <v>12774.55</v>
      </c>
      <c r="U754" s="29" t="s">
        <v>178</v>
      </c>
      <c r="V754" s="14">
        <f>ROUND((IF(Q754=1,INDEX(新属性投放!$K$14:$K$34,卡牌属性!R754),INDEX(新属性投放!$K$42:$K$62,卡牌属性!R754))+IF(Q754=1,INDEX(新属性投放!S$20:S$23,卡牌属性!M754-1),INDEX(新属性投放!S$25:S$28,卡牌属性!M754-1)))*INDEX($G$5:$G$42,L754),2)</f>
        <v>6249.3</v>
      </c>
      <c r="W754" s="29" t="s">
        <v>179</v>
      </c>
      <c r="X754" s="14">
        <f>ROUND((IF(Q754=1,INDEX(新属性投放!$L$14:$L$34,卡牌属性!R754),INDEX(新属性投放!$L$42:$L$62,卡牌属性!R754))*INDEX($G$5:$G$42,L754)+IF(Q754=1,INDEX(新属性投放!T$20:T$23,卡牌属性!M754-1),INDEX(新属性投放!T$25:T$28,卡牌属性!M754-1)))*SQRT(INDEX($I$5:$I$42,L754)),2)</f>
        <v>67513.95</v>
      </c>
      <c r="Y754" s="29" t="s">
        <v>177</v>
      </c>
      <c r="Z754" s="14">
        <f>ROUND(IF(Q754=1,INDEX(新属性投放!$D$14:$D$34,卡牌属性!R754),INDEX(新属性投放!$D$42:$D$62,卡牌属性!R754))*INDEX($G$5:$G$42,L754)/SQRT(INDEX($I$5:$I$42,L754)),2)</f>
        <v>309.25</v>
      </c>
      <c r="AA754" s="29" t="s">
        <v>178</v>
      </c>
      <c r="AB754" s="14">
        <f>ROUND(IF(Q754=1,INDEX(新属性投放!$E$14:$E$34,卡牌属性!R754),INDEX(新属性投放!$E$42:$E$62,卡牌属性!R754))*INDEX($G$5:$G$42,L754),2)</f>
        <v>154.62</v>
      </c>
      <c r="AC754" s="29" t="s">
        <v>179</v>
      </c>
      <c r="AD754" s="14">
        <f>ROUND(IF(Q754=1,INDEX(新属性投放!$F$14:$F$34,卡牌属性!R754),INDEX(新属性投放!$F$42:$F$62,卡牌属性!R754))*INDEX($G$5:$G$42,L754)*SQRT(INDEX($I$5:$I$42,L754)),2)</f>
        <v>1391.5</v>
      </c>
      <c r="AF754" s="14">
        <f t="shared" si="310"/>
        <v>3092</v>
      </c>
      <c r="AG754" s="14">
        <f t="shared" si="311"/>
        <v>1546</v>
      </c>
      <c r="AH754" s="14">
        <f t="shared" si="312"/>
        <v>13915</v>
      </c>
      <c r="AJ754" s="14">
        <f t="shared" si="322"/>
        <v>19258</v>
      </c>
      <c r="AK754" s="14">
        <f t="shared" si="323"/>
        <v>9626</v>
      </c>
      <c r="AL754" s="14">
        <f t="shared" si="324"/>
        <v>86602</v>
      </c>
    </row>
    <row r="755" spans="11:38" ht="16.5" x14ac:dyDescent="0.2">
      <c r="K755" s="13">
        <v>752</v>
      </c>
      <c r="L755" s="13">
        <f t="shared" si="304"/>
        <v>36</v>
      </c>
      <c r="M755" s="13">
        <f t="shared" si="305"/>
        <v>3</v>
      </c>
      <c r="N755" s="14">
        <f t="shared" si="306"/>
        <v>1102020</v>
      </c>
      <c r="O755" s="14" t="str">
        <f t="shared" si="307"/>
        <v>高顺17突</v>
      </c>
      <c r="P755" s="29" t="s">
        <v>470</v>
      </c>
      <c r="Q755" s="14">
        <f t="shared" si="308"/>
        <v>2</v>
      </c>
      <c r="R755" s="14">
        <f t="shared" si="309"/>
        <v>17</v>
      </c>
      <c r="S755" s="14" t="s">
        <v>39</v>
      </c>
      <c r="T755" s="14">
        <f>ROUND(((IF(Q755=1,INDEX(新属性投放!$J$14:$J$34,卡牌属性!R755),INDEX(新属性投放!$J$42:$J$62,卡牌属性!R755)))*INDEX($G$5:$G$42,L755)+IF(Q755=1,INDEX(新属性投放!R$20:R$23,卡牌属性!M755-1),INDEX(新属性投放!R$25:R$28,卡牌属性!M755-1)))/SQRT(INDEX($I$5:$I$42,L755)),2)</f>
        <v>14707.19</v>
      </c>
      <c r="U755" s="29" t="s">
        <v>178</v>
      </c>
      <c r="V755" s="14">
        <f>ROUND((IF(Q755=1,INDEX(新属性投放!$K$14:$K$34,卡牌属性!R755),INDEX(新属性投放!$K$42:$K$62,卡牌属性!R755))+IF(Q755=1,INDEX(新属性投放!S$20:S$23,卡牌属性!M755-1),INDEX(新属性投放!S$25:S$28,卡牌属性!M755-1)))*INDEX($G$5:$G$42,L755),2)</f>
        <v>7215.62</v>
      </c>
      <c r="W755" s="29" t="s">
        <v>179</v>
      </c>
      <c r="X755" s="14">
        <f>ROUND((IF(Q755=1,INDEX(新属性投放!$L$14:$L$34,卡牌属性!R755),INDEX(新属性投放!$L$42:$L$62,卡牌属性!R755))*INDEX($G$5:$G$42,L755)+IF(Q755=1,INDEX(新属性投放!T$20:T$23,卡牌属性!M755-1),INDEX(新属性投放!T$25:T$28,卡牌属性!M755-1)))*SQRT(INDEX($I$5:$I$42,L755)),2)</f>
        <v>77949.05</v>
      </c>
      <c r="Y755" s="29" t="s">
        <v>177</v>
      </c>
      <c r="Z755" s="14">
        <f>ROUND(IF(Q755=1,INDEX(新属性投放!$D$14:$D$34,卡牌属性!R755),INDEX(新属性投放!$D$42:$D$62,卡牌属性!R755))*INDEX($G$5:$G$42,L755)/SQRT(INDEX($I$5:$I$42,L755)),2)</f>
        <v>357.56</v>
      </c>
      <c r="AA755" s="29" t="s">
        <v>178</v>
      </c>
      <c r="AB755" s="14">
        <f>ROUND(IF(Q755=1,INDEX(新属性投放!$E$14:$E$34,卡牌属性!R755),INDEX(新属性投放!$E$42:$E$62,卡牌属性!R755))*INDEX($G$5:$G$42,L755),2)</f>
        <v>178.78</v>
      </c>
      <c r="AC755" s="29" t="s">
        <v>179</v>
      </c>
      <c r="AD755" s="14">
        <f>ROUND(IF(Q755=1,INDEX(新属性投放!$F$14:$F$34,卡牌属性!R755),INDEX(新属性投放!$F$42:$F$62,卡牌属性!R755))*INDEX($G$5:$G$42,L755)*SQRT(INDEX($I$5:$I$42,L755)),2)</f>
        <v>1608.85</v>
      </c>
      <c r="AF755" s="14">
        <f t="shared" si="310"/>
        <v>3575</v>
      </c>
      <c r="AG755" s="14">
        <f t="shared" si="311"/>
        <v>1787</v>
      </c>
      <c r="AH755" s="14">
        <f t="shared" si="312"/>
        <v>16088</v>
      </c>
      <c r="AJ755" s="14">
        <f t="shared" si="322"/>
        <v>22833</v>
      </c>
      <c r="AK755" s="14">
        <f t="shared" si="323"/>
        <v>11413</v>
      </c>
      <c r="AL755" s="14">
        <f t="shared" si="324"/>
        <v>102690</v>
      </c>
    </row>
    <row r="756" spans="11:38" ht="16.5" x14ac:dyDescent="0.2">
      <c r="K756" s="13">
        <v>753</v>
      </c>
      <c r="L756" s="13">
        <f t="shared" si="304"/>
        <v>36</v>
      </c>
      <c r="M756" s="13">
        <f t="shared" si="305"/>
        <v>3</v>
      </c>
      <c r="N756" s="14">
        <f t="shared" si="306"/>
        <v>1102020</v>
      </c>
      <c r="O756" s="14" t="str">
        <f t="shared" si="307"/>
        <v>高顺18突</v>
      </c>
      <c r="P756" s="29" t="s">
        <v>470</v>
      </c>
      <c r="Q756" s="14">
        <f t="shared" si="308"/>
        <v>2</v>
      </c>
      <c r="R756" s="14">
        <f t="shared" si="309"/>
        <v>18</v>
      </c>
      <c r="S756" s="14" t="s">
        <v>39</v>
      </c>
      <c r="T756" s="14">
        <f>ROUND(((IF(Q756=1,INDEX(新属性投放!$J$14:$J$34,卡牌属性!R756),INDEX(新属性投放!$J$42:$J$62,卡牌属性!R756)))*INDEX($G$5:$G$42,L756)+IF(Q756=1,INDEX(新属性投放!R$20:R$23,卡牌属性!M756-1),INDEX(新属性投放!R$25:R$28,卡牌属性!M756-1)))/SQRT(INDEX($I$5:$I$42,L756)),2)</f>
        <v>16942.330000000002</v>
      </c>
      <c r="U756" s="29" t="s">
        <v>178</v>
      </c>
      <c r="V756" s="14">
        <f>ROUND((IF(Q756=1,INDEX(新属性投放!$K$14:$K$34,卡牌属性!R756),INDEX(新属性投放!$K$42:$K$62,卡牌属性!R756))+IF(Q756=1,INDEX(新属性投放!S$20:S$23,卡牌属性!M756-1),INDEX(新属性投放!S$25:S$28,卡牌属性!M756-1)))*INDEX($G$5:$G$42,L756),2)</f>
        <v>8332.61</v>
      </c>
      <c r="W756" s="29" t="s">
        <v>179</v>
      </c>
      <c r="X756" s="14">
        <f>ROUND((IF(Q756=1,INDEX(新属性投放!$L$14:$L$34,卡牌属性!R756),INDEX(新属性投放!$L$42:$L$62,卡牌属性!R756))*INDEX($G$5:$G$42,L756)+IF(Q756=1,INDEX(新属性投放!T$20:T$23,卡牌属性!M756-1),INDEX(新属性投放!T$25:T$28,卡牌属性!M756-1)))*SQRT(INDEX($I$5:$I$42,L756)),2)</f>
        <v>90019.45</v>
      </c>
      <c r="Y756" s="29" t="s">
        <v>177</v>
      </c>
      <c r="Z756" s="14">
        <f>ROUND(IF(Q756=1,INDEX(新属性投放!$D$14:$D$34,卡牌属性!R756),INDEX(新属性投放!$D$42:$D$62,卡牌属性!R756))*INDEX($G$5:$G$42,L756)/SQRT(INDEX($I$5:$I$42,L756)),2)</f>
        <v>413.44</v>
      </c>
      <c r="AA756" s="29" t="s">
        <v>178</v>
      </c>
      <c r="AB756" s="14">
        <f>ROUND(IF(Q756=1,INDEX(新属性投放!$E$14:$E$34,卡牌属性!R756),INDEX(新属性投放!$E$42:$E$62,卡牌属性!R756))*INDEX($G$5:$G$42,L756),2)</f>
        <v>206.72</v>
      </c>
      <c r="AC756" s="29" t="s">
        <v>179</v>
      </c>
      <c r="AD756" s="14">
        <f>ROUND(IF(Q756=1,INDEX(新属性投放!$F$14:$F$34,卡牌属性!R756),INDEX(新属性投放!$F$42:$F$62,卡牌属性!R756))*INDEX($G$5:$G$42,L756)*SQRT(INDEX($I$5:$I$42,L756)),2)</f>
        <v>1859.55</v>
      </c>
      <c r="AF756" s="14">
        <f t="shared" si="310"/>
        <v>4134</v>
      </c>
      <c r="AG756" s="14">
        <f t="shared" si="311"/>
        <v>2067</v>
      </c>
      <c r="AH756" s="14">
        <f t="shared" si="312"/>
        <v>18595</v>
      </c>
      <c r="AJ756" s="14">
        <f t="shared" si="322"/>
        <v>26967</v>
      </c>
      <c r="AK756" s="14">
        <f t="shared" si="323"/>
        <v>13480</v>
      </c>
      <c r="AL756" s="14">
        <f t="shared" si="324"/>
        <v>121285</v>
      </c>
    </row>
    <row r="757" spans="11:38" ht="16.5" x14ac:dyDescent="0.2">
      <c r="K757" s="13">
        <v>754</v>
      </c>
      <c r="L757" s="13">
        <f t="shared" si="304"/>
        <v>36</v>
      </c>
      <c r="M757" s="13">
        <f t="shared" si="305"/>
        <v>3</v>
      </c>
      <c r="N757" s="14">
        <f t="shared" si="306"/>
        <v>1102020</v>
      </c>
      <c r="O757" s="14" t="str">
        <f t="shared" si="307"/>
        <v>高顺19突</v>
      </c>
      <c r="P757" s="29" t="s">
        <v>470</v>
      </c>
      <c r="Q757" s="14">
        <f t="shared" si="308"/>
        <v>2</v>
      </c>
      <c r="R757" s="14">
        <f t="shared" si="309"/>
        <v>19</v>
      </c>
      <c r="S757" s="14" t="s">
        <v>39</v>
      </c>
      <c r="T757" s="14">
        <f>ROUND(((IF(Q757=1,INDEX(新属性投放!$J$14:$J$34,卡牌属性!R757),INDEX(新属性投放!$J$42:$J$62,卡牌属性!R757)))*INDEX($G$5:$G$42,L757)+IF(Q757=1,INDEX(新属性投放!R$20:R$23,卡牌属性!M757-1),INDEX(新属性投放!R$25:R$28,卡牌属性!M757-1)))/SQRT(INDEX($I$5:$I$42,L757)),2)</f>
        <v>19525.86</v>
      </c>
      <c r="U757" s="29" t="s">
        <v>178</v>
      </c>
      <c r="V757" s="14">
        <f>ROUND((IF(Q757=1,INDEX(新属性投放!$K$14:$K$34,卡牌属性!R757),INDEX(新属性投放!$K$42:$K$62,卡牌属性!R757))+IF(Q757=1,INDEX(新属性投放!S$20:S$23,卡牌属性!M757-1),INDEX(新属性投放!S$25:S$28,卡牌属性!M757-1)))*INDEX($G$5:$G$42,L757),2)</f>
        <v>9624.9500000000007</v>
      </c>
      <c r="W757" s="29" t="s">
        <v>179</v>
      </c>
      <c r="X757" s="14">
        <f>ROUND((IF(Q757=1,INDEX(新属性投放!$L$14:$L$34,卡牌属性!R757),INDEX(新属性投放!$L$42:$L$62,卡牌属性!R757))*INDEX($G$5:$G$42,L757)+IF(Q757=1,INDEX(新属性投放!T$20:T$23,卡牌属性!M757-1),INDEX(新属性投放!T$25:T$28,卡牌属性!M757-1)))*SQRT(INDEX($I$5:$I$42,L757)),2)</f>
        <v>103964.35</v>
      </c>
      <c r="Y757" s="29" t="s">
        <v>177</v>
      </c>
      <c r="Z757" s="14">
        <f>ROUND(IF(Q757=1,INDEX(新属性投放!$D$14:$D$34,卡牌属性!R757),INDEX(新属性投放!$D$42:$D$62,卡牌属性!R757))*INDEX($G$5:$G$42,L757)/SQRT(INDEX($I$5:$I$42,L757)),2)</f>
        <v>478.03</v>
      </c>
      <c r="AA757" s="29" t="s">
        <v>178</v>
      </c>
      <c r="AB757" s="14">
        <f>ROUND(IF(Q757=1,INDEX(新属性投放!$E$14:$E$34,卡牌属性!R757),INDEX(新属性投放!$E$42:$E$62,卡牌属性!R757))*INDEX($G$5:$G$42,L757),2)</f>
        <v>239.02</v>
      </c>
      <c r="AC757" s="29" t="s">
        <v>179</v>
      </c>
      <c r="AD757" s="14">
        <f>ROUND(IF(Q757=1,INDEX(新属性投放!$F$14:$F$34,卡牌属性!R757),INDEX(新属性投放!$F$42:$F$62,卡牌属性!R757))*INDEX($G$5:$G$42,L757)*SQRT(INDEX($I$5:$I$42,L757)),2)</f>
        <v>2150.5</v>
      </c>
      <c r="AF757" s="14">
        <f t="shared" si="310"/>
        <v>4780</v>
      </c>
      <c r="AG757" s="14">
        <f t="shared" si="311"/>
        <v>2390</v>
      </c>
      <c r="AH757" s="14">
        <f t="shared" si="312"/>
        <v>21505</v>
      </c>
      <c r="AJ757" s="14">
        <f t="shared" si="322"/>
        <v>31747</v>
      </c>
      <c r="AK757" s="14">
        <f t="shared" si="323"/>
        <v>15870</v>
      </c>
      <c r="AL757" s="14">
        <f t="shared" si="324"/>
        <v>142790</v>
      </c>
    </row>
    <row r="758" spans="11:38" ht="16.5" x14ac:dyDescent="0.2">
      <c r="K758" s="13">
        <v>755</v>
      </c>
      <c r="L758" s="13">
        <f t="shared" si="304"/>
        <v>36</v>
      </c>
      <c r="M758" s="13">
        <f t="shared" si="305"/>
        <v>3</v>
      </c>
      <c r="N758" s="14">
        <f t="shared" si="306"/>
        <v>1102020</v>
      </c>
      <c r="O758" s="14" t="str">
        <f t="shared" si="307"/>
        <v>高顺20突</v>
      </c>
      <c r="P758" s="29" t="s">
        <v>470</v>
      </c>
      <c r="Q758" s="14">
        <f t="shared" si="308"/>
        <v>2</v>
      </c>
      <c r="R758" s="14">
        <f t="shared" si="309"/>
        <v>20</v>
      </c>
      <c r="S758" s="14" t="s">
        <v>39</v>
      </c>
      <c r="T758" s="14">
        <f>ROUND(((IF(Q758=1,INDEX(新属性投放!$J$14:$J$34,卡牌属性!R758),INDEX(新属性投放!$J$42:$J$62,卡牌属性!R758)))*INDEX($G$5:$G$42,L758)+IF(Q758=1,INDEX(新属性投放!R$20:R$23,卡牌属性!M758-1),INDEX(新属性投放!R$25:R$28,卡牌属性!M758-1)))/SQRT(INDEX($I$5:$I$42,L758)),2)</f>
        <v>22514.02</v>
      </c>
      <c r="U758" s="29" t="s">
        <v>178</v>
      </c>
      <c r="V758" s="14">
        <f>ROUND((IF(Q758=1,INDEX(新属性投放!$K$14:$K$34,卡牌属性!R758),INDEX(新属性投放!$K$42:$K$62,卡牌属性!R758))+IF(Q758=1,INDEX(新属性投放!S$20:S$23,卡牌属性!M758-1),INDEX(新属性投放!S$25:S$28,卡牌属性!M758-1)))*INDEX($G$5:$G$42,L758),2)</f>
        <v>11119.03</v>
      </c>
      <c r="W758" s="29" t="s">
        <v>179</v>
      </c>
      <c r="X758" s="14">
        <f>ROUND((IF(Q758=1,INDEX(新属性投放!$L$14:$L$34,卡牌属性!R758),INDEX(新属性投放!$L$42:$L$62,卡牌属性!R758))*INDEX($G$5:$G$42,L758)+IF(Q758=1,INDEX(新属性投放!T$20:T$23,卡牌属性!M758-1),INDEX(新属性投放!T$25:T$28,卡牌属性!M758-1)))*SQRT(INDEX($I$5:$I$42,L758)),2)</f>
        <v>120098.85</v>
      </c>
      <c r="Y758" s="29" t="s">
        <v>177</v>
      </c>
      <c r="Z758" s="14">
        <f>ROUND(IF(Q758=1,INDEX(新属性投放!$D$14:$D$34,卡牌属性!R758),INDEX(新属性投放!$D$42:$D$62,卡牌属性!R758))*INDEX($G$5:$G$42,L758)/SQRT(INDEX($I$5:$I$42,L758)),2)</f>
        <v>552.74</v>
      </c>
      <c r="AA758" s="29" t="s">
        <v>178</v>
      </c>
      <c r="AB758" s="14">
        <f>ROUND(IF(Q758=1,INDEX(新属性投放!$E$14:$E$34,卡牌属性!R758),INDEX(新属性投放!$E$42:$E$62,卡牌属性!R758))*INDEX($G$5:$G$42,L758),2)</f>
        <v>276.37</v>
      </c>
      <c r="AC758" s="29" t="s">
        <v>179</v>
      </c>
      <c r="AD758" s="14">
        <f>ROUND(IF(Q758=1,INDEX(新属性投放!$F$14:$F$34,卡牌属性!R758),INDEX(新属性投放!$F$42:$F$62,卡牌属性!R758))*INDEX($G$5:$G$42,L758)*SQRT(INDEX($I$5:$I$42,L758)),2)</f>
        <v>2486.3000000000002</v>
      </c>
      <c r="AF758" s="14">
        <f t="shared" si="310"/>
        <v>5527</v>
      </c>
      <c r="AG758" s="14">
        <f t="shared" si="311"/>
        <v>2763</v>
      </c>
      <c r="AH758" s="14">
        <f t="shared" si="312"/>
        <v>24863</v>
      </c>
      <c r="AJ758" s="14">
        <f t="shared" si="322"/>
        <v>37274</v>
      </c>
      <c r="AK758" s="14">
        <f t="shared" si="323"/>
        <v>18633</v>
      </c>
      <c r="AL758" s="14">
        <f t="shared" si="324"/>
        <v>167653</v>
      </c>
    </row>
    <row r="759" spans="11:38" ht="16.5" x14ac:dyDescent="0.2">
      <c r="K759" s="13">
        <v>756</v>
      </c>
      <c r="L759" s="13">
        <f t="shared" si="304"/>
        <v>36</v>
      </c>
      <c r="M759" s="13">
        <f t="shared" si="305"/>
        <v>3</v>
      </c>
      <c r="N759" s="14">
        <f t="shared" si="306"/>
        <v>1102020</v>
      </c>
      <c r="O759" s="14" t="str">
        <f t="shared" si="307"/>
        <v>高顺21突</v>
      </c>
      <c r="P759" s="29" t="s">
        <v>470</v>
      </c>
      <c r="Q759" s="14">
        <f t="shared" si="308"/>
        <v>2</v>
      </c>
      <c r="R759" s="14">
        <f t="shared" si="309"/>
        <v>21</v>
      </c>
      <c r="S759" s="14" t="s">
        <v>39</v>
      </c>
      <c r="T759" s="14">
        <f>ROUND(((IF(Q759=1,INDEX(新属性投放!$J$14:$J$34,卡牌属性!R759),INDEX(新属性投放!$J$42:$J$62,卡牌属性!R759)))*INDEX($G$5:$G$42,L759)+IF(Q759=1,INDEX(新属性投放!R$20:R$23,卡牌属性!M759-1),INDEX(新属性投放!R$25:R$28,卡牌属性!M759-1)))/SQRT(INDEX($I$5:$I$42,L759)),2)</f>
        <v>25968.85</v>
      </c>
      <c r="U759" s="29" t="s">
        <v>178</v>
      </c>
      <c r="V759" s="14">
        <f>ROUND((IF(Q759=1,INDEX(新属性投放!$K$14:$K$34,卡牌属性!R759),INDEX(新属性投放!$K$42:$K$62,卡牌属性!R759))+IF(Q759=1,INDEX(新属性投放!S$20:S$23,卡牌属性!M759-1),INDEX(新属性投放!S$25:S$28,卡牌属性!M759-1)))*INDEX($G$5:$G$42,L759),2)</f>
        <v>12845.87</v>
      </c>
      <c r="W759" s="29" t="s">
        <v>179</v>
      </c>
      <c r="X759" s="14">
        <f>ROUND((IF(Q759=1,INDEX(新属性投放!$L$14:$L$34,卡牌属性!R759),INDEX(新属性投放!$L$42:$L$62,卡牌属性!R759))*INDEX($G$5:$G$42,L759)+IF(Q759=1,INDEX(新属性投放!T$20:T$23,卡牌属性!M759-1),INDEX(新属性投放!T$25:T$28,卡牌属性!M759-1)))*SQRT(INDEX($I$5:$I$42,L759)),2)</f>
        <v>138750.70000000001</v>
      </c>
      <c r="Y759" s="29" t="s">
        <v>177</v>
      </c>
      <c r="Z759" s="14">
        <f>ROUND(IF(Q759=1,INDEX(新属性投放!$D$14:$D$34,卡牌属性!R759),INDEX(新属性投放!$D$42:$D$62,卡牌属性!R759))*INDEX($G$5:$G$42,L759)/SQRT(INDEX($I$5:$I$42,L759)),2)</f>
        <v>639.1</v>
      </c>
      <c r="AA759" s="29" t="s">
        <v>178</v>
      </c>
      <c r="AB759" s="14">
        <f>ROUND(IF(Q759=1,INDEX(新属性投放!$E$14:$E$34,卡牌属性!R759),INDEX(新属性投放!$E$42:$E$62,卡牌属性!R759))*INDEX($G$5:$G$42,L759),2)</f>
        <v>319.55</v>
      </c>
      <c r="AC759" s="29" t="s">
        <v>179</v>
      </c>
      <c r="AD759" s="14">
        <f>ROUND(IF(Q759=1,INDEX(新属性投放!$F$14:$F$34,卡牌属性!R759),INDEX(新属性投放!$F$42:$F$62,卡牌属性!R759))*INDEX($G$5:$G$42,L759)*SQRT(INDEX($I$5:$I$42,L759)),2)</f>
        <v>2875</v>
      </c>
      <c r="AF759" s="14">
        <f t="shared" si="310"/>
        <v>6391</v>
      </c>
      <c r="AG759" s="14">
        <f t="shared" si="311"/>
        <v>3195</v>
      </c>
      <c r="AH759" s="14">
        <f t="shared" si="312"/>
        <v>28750</v>
      </c>
      <c r="AJ759" s="14">
        <f t="shared" si="322"/>
        <v>43665</v>
      </c>
      <c r="AK759" s="14">
        <f t="shared" si="323"/>
        <v>21828</v>
      </c>
      <c r="AL759" s="14">
        <f t="shared" si="324"/>
        <v>196403</v>
      </c>
    </row>
    <row r="760" spans="11:38" ht="16.5" x14ac:dyDescent="0.2">
      <c r="K760" s="13">
        <v>757</v>
      </c>
      <c r="L760" s="13">
        <f t="shared" ref="L760:L763" si="325">MATCH(K760-1,$F$4:$F$41,1)</f>
        <v>37</v>
      </c>
      <c r="M760" s="13">
        <f t="shared" si="305"/>
        <v>2</v>
      </c>
      <c r="N760" s="14">
        <f t="shared" si="306"/>
        <v>1102021</v>
      </c>
      <c r="O760" s="14" t="str">
        <f t="shared" si="307"/>
        <v>烈风螳螂1突</v>
      </c>
      <c r="P760" s="29" t="s">
        <v>470</v>
      </c>
      <c r="Q760" s="14">
        <f t="shared" si="308"/>
        <v>2</v>
      </c>
      <c r="R760" s="14">
        <f t="shared" si="309"/>
        <v>1</v>
      </c>
      <c r="S760" s="14" t="s">
        <v>39</v>
      </c>
      <c r="T760" s="14">
        <f>ROUND(((IF(Q760=1,INDEX(新属性投放!$J$14:$J$34,卡牌属性!R760),INDEX(新属性投放!$J$42:$J$62,卡牌属性!R760)))*INDEX($G$5:$G$42,L760)+IF(Q760=1,INDEX(新属性投放!R$20:R$23,卡牌属性!M760-1),INDEX(新属性投放!R$25:R$28,卡牌属性!M760-1)))/SQRT(INDEX($I$5:$I$42,L760)),2)</f>
        <v>350</v>
      </c>
      <c r="U760" s="29" t="s">
        <v>178</v>
      </c>
      <c r="V760" s="14">
        <f>ROUND((IF(Q760=1,INDEX(新属性投放!$K$14:$K$34,卡牌属性!R760),INDEX(新属性投放!$K$42:$K$62,卡牌属性!R760))+IF(Q760=1,INDEX(新属性投放!S$20:S$23,卡牌属性!M760-1),INDEX(新属性投放!S$25:S$28,卡牌属性!M760-1)))*INDEX($G$5:$G$42,L760),2)</f>
        <v>100</v>
      </c>
      <c r="W760" s="29" t="s">
        <v>179</v>
      </c>
      <c r="X760" s="14">
        <f>ROUND((IF(Q760=1,INDEX(新属性投放!$L$14:$L$34,卡牌属性!R760),INDEX(新属性投放!$L$42:$L$62,卡牌属性!R760))*INDEX($G$5:$G$42,L760)+IF(Q760=1,INDEX(新属性投放!T$20:T$23,卡牌属性!M760-1),INDEX(新属性投放!T$25:T$28,卡牌属性!M760-1)))*SQRT(INDEX($I$5:$I$42,L760)),2)</f>
        <v>750</v>
      </c>
      <c r="Y760" s="29" t="s">
        <v>177</v>
      </c>
      <c r="Z760" s="14">
        <f>ROUND(IF(Q760=1,INDEX(新属性投放!$D$14:$D$34,卡牌属性!R760),INDEX(新属性投放!$D$42:$D$62,卡牌属性!R760))*INDEX($G$5:$G$42,L760)/SQRT(INDEX($I$5:$I$42,L760)),2)</f>
        <v>15</v>
      </c>
      <c r="AA760" s="29" t="s">
        <v>178</v>
      </c>
      <c r="AB760" s="14">
        <f>ROUND(IF(Q760=1,INDEX(新属性投放!$E$14:$E$34,卡牌属性!R760),INDEX(新属性投放!$E$42:$E$62,卡牌属性!R760))*INDEX($G$5:$G$42,L760),2)</f>
        <v>7.5</v>
      </c>
      <c r="AC760" s="29" t="s">
        <v>179</v>
      </c>
      <c r="AD760" s="14">
        <f>ROUND(IF(Q760=1,INDEX(新属性投放!$F$14:$F$34,卡牌属性!R760),INDEX(新属性投放!$F$42:$F$62,卡牌属性!R760))*INDEX($G$5:$G$42,L760)*SQRT(INDEX($I$5:$I$42,L760)),2)</f>
        <v>67</v>
      </c>
      <c r="AF760" s="14">
        <f t="shared" ref="AF760:AF763" si="326">INT(Z760*AF$2*10)</f>
        <v>150</v>
      </c>
      <c r="AG760" s="14">
        <f t="shared" ref="AG760:AG763" si="327">INT(AB760*AF$2*10)</f>
        <v>75</v>
      </c>
      <c r="AH760" s="14">
        <f t="shared" ref="AH760:AH763" si="328">INT(AD760*AF$2*10)</f>
        <v>670</v>
      </c>
      <c r="AJ760" s="14">
        <f t="shared" ref="AJ760" si="329">AF760</f>
        <v>150</v>
      </c>
      <c r="AK760" s="14">
        <f t="shared" ref="AK760" si="330">AG760</f>
        <v>75</v>
      </c>
      <c r="AL760" s="14">
        <f t="shared" ref="AL760" si="331">AH760</f>
        <v>670</v>
      </c>
    </row>
    <row r="761" spans="11:38" ht="16.5" x14ac:dyDescent="0.2">
      <c r="K761" s="13">
        <v>758</v>
      </c>
      <c r="L761" s="13">
        <f t="shared" si="325"/>
        <v>37</v>
      </c>
      <c r="M761" s="13">
        <f t="shared" si="305"/>
        <v>2</v>
      </c>
      <c r="N761" s="14">
        <f t="shared" si="306"/>
        <v>1102021</v>
      </c>
      <c r="O761" s="14" t="str">
        <f t="shared" si="307"/>
        <v>烈风螳螂2突</v>
      </c>
      <c r="P761" s="29" t="s">
        <v>470</v>
      </c>
      <c r="Q761" s="14">
        <f t="shared" si="308"/>
        <v>2</v>
      </c>
      <c r="R761" s="14">
        <f t="shared" si="309"/>
        <v>2</v>
      </c>
      <c r="S761" s="14" t="s">
        <v>39</v>
      </c>
      <c r="T761" s="14">
        <f>ROUND(((IF(Q761=1,INDEX(新属性投放!$J$14:$J$34,卡牌属性!R761),INDEX(新属性投放!$J$42:$J$62,卡牌属性!R761)))*INDEX($G$5:$G$42,L761)+IF(Q761=1,INDEX(新属性投放!R$20:R$23,卡牌属性!M761-1),INDEX(新属性投放!R$25:R$28,卡牌属性!M761-1)))/SQRT(INDEX($I$5:$I$42,L761)),2)</f>
        <v>510</v>
      </c>
      <c r="U761" s="29" t="s">
        <v>178</v>
      </c>
      <c r="V761" s="14">
        <f>ROUND((IF(Q761=1,INDEX(新属性投放!$K$14:$K$34,卡牌属性!R761),INDEX(新属性投放!$K$42:$K$62,卡牌属性!R761))+IF(Q761=1,INDEX(新属性投放!S$20:S$23,卡牌属性!M761-1),INDEX(新属性投放!S$25:S$28,卡牌属性!M761-1)))*INDEX($G$5:$G$42,L761),2)</f>
        <v>177.5</v>
      </c>
      <c r="W761" s="29" t="s">
        <v>179</v>
      </c>
      <c r="X761" s="14">
        <f>ROUND((IF(Q761=1,INDEX(新属性投放!$L$14:$L$34,卡牌属性!R761),INDEX(新属性投放!$L$42:$L$62,卡牌属性!R761))*INDEX($G$5:$G$42,L761)+IF(Q761=1,INDEX(新属性投放!T$20:T$23,卡牌属性!M761-1),INDEX(新属性投放!T$25:T$28,卡牌属性!M761-1)))*SQRT(INDEX($I$5:$I$42,L761)),2)</f>
        <v>1578</v>
      </c>
      <c r="Y761" s="29" t="s">
        <v>177</v>
      </c>
      <c r="Z761" s="14">
        <f>ROUND(IF(Q761=1,INDEX(新属性投放!$D$14:$D$34,卡牌属性!R761),INDEX(新属性投放!$D$42:$D$62,卡牌属性!R761))*INDEX($G$5:$G$42,L761)/SQRT(INDEX($I$5:$I$42,L761)),2)</f>
        <v>13.77</v>
      </c>
      <c r="AA761" s="29" t="s">
        <v>178</v>
      </c>
      <c r="AB761" s="14">
        <f>ROUND(IF(Q761=1,INDEX(新属性投放!$E$14:$E$34,卡牌属性!R761),INDEX(新属性投放!$E$42:$E$62,卡牌属性!R761))*INDEX($G$5:$G$42,L761),2)</f>
        <v>6.89</v>
      </c>
      <c r="AC761" s="29" t="s">
        <v>179</v>
      </c>
      <c r="AD761" s="14">
        <f>ROUND(IF(Q761=1,INDEX(新属性投放!$F$14:$F$34,卡牌属性!R761),INDEX(新属性投放!$F$42:$F$62,卡牌属性!R761))*INDEX($G$5:$G$42,L761)*SQRT(INDEX($I$5:$I$42,L761)),2)</f>
        <v>61</v>
      </c>
      <c r="AF761" s="14">
        <f t="shared" si="326"/>
        <v>137</v>
      </c>
      <c r="AG761" s="14">
        <f t="shared" si="327"/>
        <v>68</v>
      </c>
      <c r="AH761" s="14">
        <f t="shared" si="328"/>
        <v>610</v>
      </c>
      <c r="AJ761" s="14">
        <f t="shared" ref="AJ761:AJ780" si="332">AJ760+AF761</f>
        <v>287</v>
      </c>
      <c r="AK761" s="14">
        <f t="shared" ref="AK761:AK780" si="333">AK760+AG761</f>
        <v>143</v>
      </c>
      <c r="AL761" s="14">
        <f t="shared" ref="AL761:AL780" si="334">AL760+AH761</f>
        <v>1280</v>
      </c>
    </row>
    <row r="762" spans="11:38" ht="16.5" x14ac:dyDescent="0.2">
      <c r="K762" s="13">
        <v>759</v>
      </c>
      <c r="L762" s="13">
        <f t="shared" si="325"/>
        <v>37</v>
      </c>
      <c r="M762" s="13">
        <f t="shared" si="305"/>
        <v>2</v>
      </c>
      <c r="N762" s="14">
        <f t="shared" si="306"/>
        <v>1102021</v>
      </c>
      <c r="O762" s="14" t="str">
        <f t="shared" si="307"/>
        <v>烈风螳螂3突</v>
      </c>
      <c r="P762" s="29" t="s">
        <v>470</v>
      </c>
      <c r="Q762" s="14">
        <f t="shared" si="308"/>
        <v>2</v>
      </c>
      <c r="R762" s="14">
        <f t="shared" si="309"/>
        <v>3</v>
      </c>
      <c r="S762" s="14" t="s">
        <v>39</v>
      </c>
      <c r="T762" s="14">
        <f>ROUND(((IF(Q762=1,INDEX(新属性投放!$J$14:$J$34,卡牌属性!R762),INDEX(新属性投放!$J$42:$J$62,卡牌属性!R762)))*INDEX($G$5:$G$42,L762)+IF(Q762=1,INDEX(新属性投放!R$20:R$23,卡牌属性!M762-1),INDEX(新属性投放!R$25:R$28,卡牌属性!M762-1)))/SQRT(INDEX($I$5:$I$42,L762)),2)</f>
        <v>681.7</v>
      </c>
      <c r="U762" s="29" t="s">
        <v>178</v>
      </c>
      <c r="V762" s="14">
        <f>ROUND((IF(Q762=1,INDEX(新属性投放!$K$14:$K$34,卡牌属性!R762),INDEX(新属性投放!$K$42:$K$62,卡牌属性!R762))+IF(Q762=1,INDEX(新属性投放!S$20:S$23,卡牌属性!M762-1),INDEX(新属性投放!S$25:S$28,卡牌属性!M762-1)))*INDEX($G$5:$G$42,L762),2)</f>
        <v>263.35000000000002</v>
      </c>
      <c r="W762" s="29" t="s">
        <v>179</v>
      </c>
      <c r="X762" s="14">
        <f>ROUND((IF(Q762=1,INDEX(新属性投放!$L$14:$L$34,卡牌属性!R762),INDEX(新属性投放!$L$42:$L$62,卡牌属性!R762))*INDEX($G$5:$G$42,L762)+IF(Q762=1,INDEX(新属性投放!T$20:T$23,卡牌属性!M762-1),INDEX(新属性投放!T$25:T$28,卡牌属性!M762-1)))*SQRT(INDEX($I$5:$I$42,L762)),2)</f>
        <v>2494</v>
      </c>
      <c r="Y762" s="29" t="s">
        <v>177</v>
      </c>
      <c r="Z762" s="14">
        <f>ROUND(IF(Q762=1,INDEX(新属性投放!$D$14:$D$34,卡牌属性!R762),INDEX(新属性投放!$D$42:$D$62,卡牌属性!R762))*INDEX($G$5:$G$42,L762)/SQRT(INDEX($I$5:$I$42,L762)),2)</f>
        <v>25.17</v>
      </c>
      <c r="AA762" s="29" t="s">
        <v>178</v>
      </c>
      <c r="AB762" s="14">
        <f>ROUND(IF(Q762=1,INDEX(新属性投放!$E$14:$E$34,卡牌属性!R762),INDEX(新属性投放!$E$42:$E$62,卡牌属性!R762))*INDEX($G$5:$G$42,L762),2)</f>
        <v>12.59</v>
      </c>
      <c r="AC762" s="29" t="s">
        <v>179</v>
      </c>
      <c r="AD762" s="14">
        <f>ROUND(IF(Q762=1,INDEX(新属性投放!$F$14:$F$34,卡牌属性!R762),INDEX(新属性投放!$F$42:$F$62,卡牌属性!R762))*INDEX($G$5:$G$42,L762)*SQRT(INDEX($I$5:$I$42,L762)),2)</f>
        <v>113</v>
      </c>
      <c r="AF762" s="14">
        <f t="shared" si="326"/>
        <v>251</v>
      </c>
      <c r="AG762" s="14">
        <f t="shared" si="327"/>
        <v>125</v>
      </c>
      <c r="AH762" s="14">
        <f t="shared" si="328"/>
        <v>1130</v>
      </c>
      <c r="AJ762" s="14">
        <f t="shared" si="332"/>
        <v>538</v>
      </c>
      <c r="AK762" s="14">
        <f t="shared" si="333"/>
        <v>268</v>
      </c>
      <c r="AL762" s="14">
        <f t="shared" si="334"/>
        <v>2410</v>
      </c>
    </row>
    <row r="763" spans="11:38" ht="16.5" x14ac:dyDescent="0.2">
      <c r="K763" s="13">
        <v>760</v>
      </c>
      <c r="L763" s="13">
        <f t="shared" si="325"/>
        <v>37</v>
      </c>
      <c r="M763" s="13">
        <f t="shared" si="305"/>
        <v>2</v>
      </c>
      <c r="N763" s="14">
        <f t="shared" si="306"/>
        <v>1102021</v>
      </c>
      <c r="O763" s="14" t="str">
        <f t="shared" si="307"/>
        <v>烈风螳螂4突</v>
      </c>
      <c r="P763" s="29" t="s">
        <v>470</v>
      </c>
      <c r="Q763" s="14">
        <f t="shared" si="308"/>
        <v>2</v>
      </c>
      <c r="R763" s="14">
        <f t="shared" si="309"/>
        <v>4</v>
      </c>
      <c r="S763" s="14" t="s">
        <v>39</v>
      </c>
      <c r="T763" s="14">
        <f>ROUND(((IF(Q763=1,INDEX(新属性投放!$J$14:$J$34,卡牌属性!R763),INDEX(新属性投放!$J$42:$J$62,卡牌属性!R763)))*INDEX($G$5:$G$42,L763)+IF(Q763=1,INDEX(新属性投放!R$20:R$23,卡牌属性!M763-1),INDEX(新属性投放!R$25:R$28,卡牌属性!M763-1)))/SQRT(INDEX($I$5:$I$42,L763)),2)</f>
        <v>996.4</v>
      </c>
      <c r="U763" s="29" t="s">
        <v>178</v>
      </c>
      <c r="V763" s="14">
        <f>ROUND((IF(Q763=1,INDEX(新属性投放!$K$14:$K$34,卡牌属性!R763),INDEX(新属性投放!$K$42:$K$62,卡牌属性!R763))+IF(Q763=1,INDEX(新属性投放!S$20:S$23,卡牌属性!M763-1),INDEX(新属性投放!S$25:S$28,卡牌属性!M763-1)))*INDEX($G$5:$G$42,L763),2)</f>
        <v>420.2</v>
      </c>
      <c r="W763" s="29" t="s">
        <v>179</v>
      </c>
      <c r="X763" s="14">
        <f>ROUND((IF(Q763=1,INDEX(新属性投放!$L$14:$L$34,卡牌属性!R763),INDEX(新属性投放!$L$42:$L$62,卡牌属性!R763))*INDEX($G$5:$G$42,L763)+IF(Q763=1,INDEX(新属性投放!T$20:T$23,卡牌属性!M763-1),INDEX(新属性投放!T$25:T$28,卡牌属性!M763-1)))*SQRT(INDEX($I$5:$I$42,L763)),2)</f>
        <v>4191</v>
      </c>
      <c r="Y763" s="29" t="s">
        <v>177</v>
      </c>
      <c r="Z763" s="14">
        <f>ROUND(IF(Q763=1,INDEX(新属性投放!$D$14:$D$34,卡牌属性!R763),INDEX(新属性投放!$D$42:$D$62,卡牌属性!R763))*INDEX($G$5:$G$42,L763)/SQRT(INDEX($I$5:$I$42,L763)),2)</f>
        <v>30.13</v>
      </c>
      <c r="AA763" s="29" t="s">
        <v>178</v>
      </c>
      <c r="AB763" s="14">
        <f>ROUND(IF(Q763=1,INDEX(新属性投放!$E$14:$E$34,卡牌属性!R763),INDEX(新属性投放!$E$42:$E$62,卡牌属性!R763))*INDEX($G$5:$G$42,L763),2)</f>
        <v>15.07</v>
      </c>
      <c r="AC763" s="29" t="s">
        <v>179</v>
      </c>
      <c r="AD763" s="14">
        <f>ROUND(IF(Q763=1,INDEX(新属性投放!$F$14:$F$34,卡牌属性!R763),INDEX(新属性投放!$F$42:$F$62,卡牌属性!R763))*INDEX($G$5:$G$42,L763)*SQRT(INDEX($I$5:$I$42,L763)),2)</f>
        <v>135</v>
      </c>
      <c r="AF763" s="14">
        <f t="shared" si="326"/>
        <v>301</v>
      </c>
      <c r="AG763" s="14">
        <f t="shared" si="327"/>
        <v>150</v>
      </c>
      <c r="AH763" s="14">
        <f t="shared" si="328"/>
        <v>1350</v>
      </c>
      <c r="AJ763" s="14">
        <f t="shared" si="332"/>
        <v>839</v>
      </c>
      <c r="AK763" s="14">
        <f t="shared" si="333"/>
        <v>418</v>
      </c>
      <c r="AL763" s="14">
        <f t="shared" si="334"/>
        <v>3760</v>
      </c>
    </row>
    <row r="764" spans="11:38" ht="16.5" x14ac:dyDescent="0.2">
      <c r="K764" s="13">
        <v>761</v>
      </c>
      <c r="L764" s="13">
        <f t="shared" ref="L764:L781" si="335">MATCH(K764-1,$F$4:$F$41,1)</f>
        <v>37</v>
      </c>
      <c r="M764" s="13">
        <f t="shared" si="305"/>
        <v>2</v>
      </c>
      <c r="N764" s="14">
        <f t="shared" ref="N764:N781" si="336">INDEX($A$4:$A$42,L764+1)</f>
        <v>1102021</v>
      </c>
      <c r="O764" s="14" t="str">
        <f t="shared" ref="O764:O781" si="337">INDEX($B$4:$B$42,MATCH(N764,$A$4:$A$42,0))&amp;R764&amp;"突"</f>
        <v>烈风螳螂5突</v>
      </c>
      <c r="P764" s="29" t="s">
        <v>470</v>
      </c>
      <c r="Q764" s="14">
        <f t="shared" ref="Q764:Q781" si="338">INDEX($C$4:$C$42,L764+1)</f>
        <v>2</v>
      </c>
      <c r="R764" s="14">
        <f t="shared" ref="R764:R781" si="339">K764-INDEX($F$4:$F$42,L764)</f>
        <v>5</v>
      </c>
      <c r="S764" s="14" t="s">
        <v>39</v>
      </c>
      <c r="T764" s="14">
        <f>ROUND(((IF(Q764=1,INDEX(新属性投放!$J$14:$J$34,卡牌属性!R764),INDEX(新属性投放!$J$42:$J$62,卡牌属性!R764)))*INDEX($G$5:$G$42,L764)+IF(Q764=1,INDEX(新属性投放!R$20:R$23,卡牌属性!M764-1),INDEX(新属性投放!R$25:R$28,卡牌属性!M764-1)))/SQRT(INDEX($I$5:$I$42,L764)),2)</f>
        <v>1372.7</v>
      </c>
      <c r="U764" s="29" t="s">
        <v>178</v>
      </c>
      <c r="V764" s="14">
        <f>ROUND((IF(Q764=1,INDEX(新属性投放!$K$14:$K$34,卡牌属性!R764),INDEX(新属性投放!$K$42:$K$62,卡牌属性!R764))+IF(Q764=1,INDEX(新属性投放!S$20:S$23,卡牌属性!M764-1),INDEX(新属性投放!S$25:S$28,卡牌属性!M764-1)))*INDEX($G$5:$G$42,L764),2)</f>
        <v>608.85</v>
      </c>
      <c r="W764" s="29" t="s">
        <v>179</v>
      </c>
      <c r="X764" s="14">
        <f>ROUND((IF(Q764=1,INDEX(新属性投放!$L$14:$L$34,卡牌属性!R764),INDEX(新属性投放!$L$42:$L$62,卡牌属性!R764))*INDEX($G$5:$G$42,L764)+IF(Q764=1,INDEX(新属性投放!T$20:T$23,卡牌属性!M764-1),INDEX(新属性投放!T$25:T$28,卡牌属性!M764-1)))*SQRT(INDEX($I$5:$I$42,L764)),2)</f>
        <v>6216</v>
      </c>
      <c r="Y764" s="29" t="s">
        <v>177</v>
      </c>
      <c r="Z764" s="14">
        <f>ROUND(IF(Q764=1,INDEX(新属性投放!$D$14:$D$34,卡牌属性!R764),INDEX(新属性投放!$D$42:$D$62,卡牌属性!R764))*INDEX($G$5:$G$42,L764)/SQRT(INDEX($I$5:$I$42,L764)),2)</f>
        <v>37.659999999999997</v>
      </c>
      <c r="AA764" s="29" t="s">
        <v>178</v>
      </c>
      <c r="AB764" s="14">
        <f>ROUND(IF(Q764=1,INDEX(新属性投放!$E$14:$E$34,卡牌属性!R764),INDEX(新属性投放!$E$42:$E$62,卡牌属性!R764))*INDEX($G$5:$G$42,L764),2)</f>
        <v>18.829999999999998</v>
      </c>
      <c r="AC764" s="29" t="s">
        <v>179</v>
      </c>
      <c r="AD764" s="14">
        <f>ROUND(IF(Q764=1,INDEX(新属性投放!$F$14:$F$34,卡牌属性!R764),INDEX(新属性投放!$F$42:$F$62,卡牌属性!R764))*INDEX($G$5:$G$42,L764)*SQRT(INDEX($I$5:$I$42,L764)),2)</f>
        <v>169</v>
      </c>
      <c r="AF764" s="14">
        <f t="shared" ref="AF764:AF801" si="340">INT(Z764*AF$2*10)</f>
        <v>376</v>
      </c>
      <c r="AG764" s="14">
        <f t="shared" ref="AG764:AG801" si="341">INT(AB764*AF$2*10)</f>
        <v>188</v>
      </c>
      <c r="AH764" s="14">
        <f t="shared" ref="AH764:AH801" si="342">INT(AD764*AF$2*10)</f>
        <v>1690</v>
      </c>
      <c r="AJ764" s="14">
        <f t="shared" si="332"/>
        <v>1215</v>
      </c>
      <c r="AK764" s="14">
        <f t="shared" si="333"/>
        <v>606</v>
      </c>
      <c r="AL764" s="14">
        <f t="shared" si="334"/>
        <v>5450</v>
      </c>
    </row>
    <row r="765" spans="11:38" ht="16.5" x14ac:dyDescent="0.2">
      <c r="K765" s="13">
        <v>762</v>
      </c>
      <c r="L765" s="13">
        <f t="shared" si="335"/>
        <v>37</v>
      </c>
      <c r="M765" s="13">
        <f t="shared" si="305"/>
        <v>2</v>
      </c>
      <c r="N765" s="14">
        <f t="shared" si="336"/>
        <v>1102021</v>
      </c>
      <c r="O765" s="14" t="str">
        <f t="shared" si="337"/>
        <v>烈风螳螂6突</v>
      </c>
      <c r="P765" s="29" t="s">
        <v>470</v>
      </c>
      <c r="Q765" s="14">
        <f t="shared" si="338"/>
        <v>2</v>
      </c>
      <c r="R765" s="14">
        <f t="shared" si="339"/>
        <v>6</v>
      </c>
      <c r="S765" s="14" t="s">
        <v>39</v>
      </c>
      <c r="T765" s="14">
        <f>ROUND(((IF(Q765=1,INDEX(新属性投放!$J$14:$J$34,卡牌属性!R765),INDEX(新属性投放!$J$42:$J$62,卡牌属性!R765)))*INDEX($G$5:$G$42,L765)+IF(Q765=1,INDEX(新属性投放!R$20:R$23,卡牌属性!M765-1),INDEX(新属性投放!R$25:R$28,卡牌属性!M765-1)))/SQRT(INDEX($I$5:$I$42,L765)),2)</f>
        <v>1843.3</v>
      </c>
      <c r="U765" s="29" t="s">
        <v>178</v>
      </c>
      <c r="V765" s="14">
        <f>ROUND((IF(Q765=1,INDEX(新属性投放!$K$14:$K$34,卡牌属性!R765),INDEX(新属性投放!$K$42:$K$62,卡牌属性!R765))+IF(Q765=1,INDEX(新属性投放!S$20:S$23,卡牌属性!M765-1),INDEX(新属性投放!S$25:S$28,卡牌属性!M765-1)))*INDEX($G$5:$G$42,L765),2)</f>
        <v>844.15</v>
      </c>
      <c r="W765" s="29" t="s">
        <v>179</v>
      </c>
      <c r="X765" s="14">
        <f>ROUND((IF(Q765=1,INDEX(新属性投放!$L$14:$L$34,卡牌属性!R765),INDEX(新属性投放!$L$42:$L$62,卡牌属性!R765))*INDEX($G$5:$G$42,L765)+IF(Q765=1,INDEX(新属性投放!T$20:T$23,卡牌属性!M765-1),INDEX(新属性投放!T$25:T$28,卡牌属性!M765-1)))*SQRT(INDEX($I$5:$I$42,L765)),2)</f>
        <v>8752</v>
      </c>
      <c r="Y765" s="29" t="s">
        <v>177</v>
      </c>
      <c r="Z765" s="14">
        <f>ROUND(IF(Q765=1,INDEX(新属性投放!$D$14:$D$34,卡牌属性!R765),INDEX(新属性投放!$D$42:$D$62,卡牌属性!R765))*INDEX($G$5:$G$42,L765)/SQRT(INDEX($I$5:$I$42,L765)),2)</f>
        <v>48.85</v>
      </c>
      <c r="AA765" s="29" t="s">
        <v>178</v>
      </c>
      <c r="AB765" s="14">
        <f>ROUND(IF(Q765=1,INDEX(新属性投放!$E$14:$E$34,卡牌属性!R765),INDEX(新属性投放!$E$42:$E$62,卡牌属性!R765))*INDEX($G$5:$G$42,L765),2)</f>
        <v>24.43</v>
      </c>
      <c r="AC765" s="29" t="s">
        <v>179</v>
      </c>
      <c r="AD765" s="14">
        <f>ROUND(IF(Q765=1,INDEX(新属性投放!$F$14:$F$34,卡牌属性!R765),INDEX(新属性投放!$F$42:$F$62,卡牌属性!R765))*INDEX($G$5:$G$42,L765)*SQRT(INDEX($I$5:$I$42,L765)),2)</f>
        <v>219</v>
      </c>
      <c r="AF765" s="14">
        <f t="shared" si="340"/>
        <v>488</v>
      </c>
      <c r="AG765" s="14">
        <f t="shared" si="341"/>
        <v>244</v>
      </c>
      <c r="AH765" s="14">
        <f t="shared" si="342"/>
        <v>2190</v>
      </c>
      <c r="AJ765" s="14">
        <f t="shared" si="332"/>
        <v>1703</v>
      </c>
      <c r="AK765" s="14">
        <f t="shared" si="333"/>
        <v>850</v>
      </c>
      <c r="AL765" s="14">
        <f t="shared" si="334"/>
        <v>7640</v>
      </c>
    </row>
    <row r="766" spans="11:38" ht="16.5" x14ac:dyDescent="0.2">
      <c r="K766" s="13">
        <v>763</v>
      </c>
      <c r="L766" s="13">
        <f t="shared" si="335"/>
        <v>37</v>
      </c>
      <c r="M766" s="13">
        <f t="shared" si="305"/>
        <v>2</v>
      </c>
      <c r="N766" s="14">
        <f t="shared" si="336"/>
        <v>1102021</v>
      </c>
      <c r="O766" s="14" t="str">
        <f t="shared" si="337"/>
        <v>烈风螳螂7突</v>
      </c>
      <c r="P766" s="29" t="s">
        <v>470</v>
      </c>
      <c r="Q766" s="14">
        <f t="shared" si="338"/>
        <v>2</v>
      </c>
      <c r="R766" s="14">
        <f t="shared" si="339"/>
        <v>7</v>
      </c>
      <c r="S766" s="14" t="s">
        <v>39</v>
      </c>
      <c r="T766" s="14">
        <f>ROUND(((IF(Q766=1,INDEX(新属性投放!$J$14:$J$34,卡牌属性!R766),INDEX(新属性投放!$J$42:$J$62,卡牌属性!R766)))*INDEX($G$5:$G$42,L766)+IF(Q766=1,INDEX(新属性投放!R$20:R$23,卡牌属性!M766-1),INDEX(新属性投放!R$25:R$28,卡牌属性!M766-1)))/SQRT(INDEX($I$5:$I$42,L766)),2)</f>
        <v>2453.8000000000002</v>
      </c>
      <c r="U766" s="29" t="s">
        <v>178</v>
      </c>
      <c r="V766" s="14">
        <f>ROUND((IF(Q766=1,INDEX(新属性投放!$K$14:$K$34,卡牌属性!R766),INDEX(新属性投放!$K$42:$K$62,卡牌属性!R766))+IF(Q766=1,INDEX(新属性投放!S$20:S$23,卡牌属性!M766-1),INDEX(新属性投放!S$25:S$28,卡牌属性!M766-1)))*INDEX($G$5:$G$42,L766),2)</f>
        <v>1149.4000000000001</v>
      </c>
      <c r="W766" s="29" t="s">
        <v>179</v>
      </c>
      <c r="X766" s="14">
        <f>ROUND((IF(Q766=1,INDEX(新属性投放!$L$14:$L$34,卡牌属性!R766),INDEX(新属性投放!$L$42:$L$62,卡牌属性!R766))*INDEX($G$5:$G$42,L766)+IF(Q766=1,INDEX(新属性投放!T$20:T$23,卡牌属性!M766-1),INDEX(新属性投放!T$25:T$28,卡牌属性!M766-1)))*SQRT(INDEX($I$5:$I$42,L766)),2)</f>
        <v>12040</v>
      </c>
      <c r="Y766" s="29" t="s">
        <v>177</v>
      </c>
      <c r="Z766" s="14">
        <f>ROUND(IF(Q766=1,INDEX(新属性投放!$D$14:$D$34,卡牌属性!R766),INDEX(新属性投放!$D$42:$D$62,卡牌属性!R766))*INDEX($G$5:$G$42,L766)/SQRT(INDEX($I$5:$I$42,L766)),2)</f>
        <v>60.19</v>
      </c>
      <c r="AA766" s="29" t="s">
        <v>178</v>
      </c>
      <c r="AB766" s="14">
        <f>ROUND(IF(Q766=1,INDEX(新属性投放!$E$14:$E$34,卡牌属性!R766),INDEX(新属性投放!$E$42:$E$62,卡牌属性!R766))*INDEX($G$5:$G$42,L766),2)</f>
        <v>30.1</v>
      </c>
      <c r="AC766" s="29" t="s">
        <v>179</v>
      </c>
      <c r="AD766" s="14">
        <f>ROUND(IF(Q766=1,INDEX(新属性投放!$F$14:$F$34,卡牌属性!R766),INDEX(新属性投放!$F$42:$F$62,卡牌属性!R766))*INDEX($G$5:$G$42,L766)*SQRT(INDEX($I$5:$I$42,L766)),2)</f>
        <v>270</v>
      </c>
      <c r="AF766" s="14">
        <f t="shared" si="340"/>
        <v>601</v>
      </c>
      <c r="AG766" s="14">
        <f t="shared" si="341"/>
        <v>301</v>
      </c>
      <c r="AH766" s="14">
        <f t="shared" si="342"/>
        <v>2700</v>
      </c>
      <c r="AJ766" s="14">
        <f t="shared" si="332"/>
        <v>2304</v>
      </c>
      <c r="AK766" s="14">
        <f t="shared" si="333"/>
        <v>1151</v>
      </c>
      <c r="AL766" s="14">
        <f t="shared" si="334"/>
        <v>10340</v>
      </c>
    </row>
    <row r="767" spans="11:38" ht="16.5" x14ac:dyDescent="0.2">
      <c r="K767" s="13">
        <v>764</v>
      </c>
      <c r="L767" s="13">
        <f t="shared" si="335"/>
        <v>37</v>
      </c>
      <c r="M767" s="13">
        <f t="shared" si="305"/>
        <v>2</v>
      </c>
      <c r="N767" s="14">
        <f t="shared" si="336"/>
        <v>1102021</v>
      </c>
      <c r="O767" s="14" t="str">
        <f t="shared" si="337"/>
        <v>烈风螳螂8突</v>
      </c>
      <c r="P767" s="29" t="s">
        <v>470</v>
      </c>
      <c r="Q767" s="14">
        <f t="shared" si="338"/>
        <v>2</v>
      </c>
      <c r="R767" s="14">
        <f t="shared" si="339"/>
        <v>8</v>
      </c>
      <c r="S767" s="14" t="s">
        <v>39</v>
      </c>
      <c r="T767" s="14">
        <f>ROUND(((IF(Q767=1,INDEX(新属性投放!$J$14:$J$34,卡牌属性!R767),INDEX(新属性投放!$J$42:$J$62,卡牌属性!R767)))*INDEX($G$5:$G$42,L767)+IF(Q767=1,INDEX(新属性投放!R$20:R$23,卡牌属性!M767-1),INDEX(新属性投放!R$25:R$28,卡牌属性!M767-1)))/SQRT(INDEX($I$5:$I$42,L767)),2)</f>
        <v>3205.7</v>
      </c>
      <c r="U767" s="29" t="s">
        <v>178</v>
      </c>
      <c r="V767" s="14">
        <f>ROUND((IF(Q767=1,INDEX(新属性投放!$K$14:$K$34,卡牌属性!R767),INDEX(新属性投放!$K$42:$K$62,卡牌属性!R767))+IF(Q767=1,INDEX(新属性投放!S$20:S$23,卡牌属性!M767-1),INDEX(新属性投放!S$25:S$28,卡牌属性!M767-1)))*INDEX($G$5:$G$42,L767),2)</f>
        <v>1525.35</v>
      </c>
      <c r="W767" s="29" t="s">
        <v>179</v>
      </c>
      <c r="X767" s="14">
        <f>ROUND((IF(Q767=1,INDEX(新属性投放!$L$14:$L$34,卡牌属性!R767),INDEX(新属性投放!$L$42:$L$62,卡牌属性!R767))*INDEX($G$5:$G$42,L767)+IF(Q767=1,INDEX(新属性投放!T$20:T$23,卡牌属性!M767-1),INDEX(新属性投放!T$25:T$28,卡牌属性!M767-1)))*SQRT(INDEX($I$5:$I$42,L767)),2)</f>
        <v>16090</v>
      </c>
      <c r="Y767" s="29" t="s">
        <v>177</v>
      </c>
      <c r="Z767" s="14">
        <f>ROUND(IF(Q767=1,INDEX(新属性投放!$D$14:$D$34,卡牌属性!R767),INDEX(新属性投放!$D$42:$D$62,卡牌属性!R767))*INDEX($G$5:$G$42,L767)/SQRT(INDEX($I$5:$I$42,L767)),2)</f>
        <v>75.19</v>
      </c>
      <c r="AA767" s="29" t="s">
        <v>178</v>
      </c>
      <c r="AB767" s="14">
        <f>ROUND(IF(Q767=1,INDEX(新属性投放!$E$14:$E$34,卡牌属性!R767),INDEX(新属性投放!$E$42:$E$62,卡牌属性!R767))*INDEX($G$5:$G$42,L767),2)</f>
        <v>37.6</v>
      </c>
      <c r="AC767" s="29" t="s">
        <v>179</v>
      </c>
      <c r="AD767" s="14">
        <f>ROUND(IF(Q767=1,INDEX(新属性投放!$F$14:$F$34,卡牌属性!R767),INDEX(新属性投放!$F$42:$F$62,卡牌属性!R767))*INDEX($G$5:$G$42,L767)*SQRT(INDEX($I$5:$I$42,L767)),2)</f>
        <v>338</v>
      </c>
      <c r="AF767" s="14">
        <f t="shared" si="340"/>
        <v>751</v>
      </c>
      <c r="AG767" s="14">
        <f t="shared" si="341"/>
        <v>376</v>
      </c>
      <c r="AH767" s="14">
        <f t="shared" si="342"/>
        <v>3380</v>
      </c>
      <c r="AJ767" s="14">
        <f t="shared" si="332"/>
        <v>3055</v>
      </c>
      <c r="AK767" s="14">
        <f t="shared" si="333"/>
        <v>1527</v>
      </c>
      <c r="AL767" s="14">
        <f t="shared" si="334"/>
        <v>13720</v>
      </c>
    </row>
    <row r="768" spans="11:38" ht="16.5" x14ac:dyDescent="0.2">
      <c r="K768" s="13">
        <v>765</v>
      </c>
      <c r="L768" s="13">
        <f t="shared" si="335"/>
        <v>37</v>
      </c>
      <c r="M768" s="13">
        <f t="shared" si="305"/>
        <v>2</v>
      </c>
      <c r="N768" s="14">
        <f t="shared" si="336"/>
        <v>1102021</v>
      </c>
      <c r="O768" s="14" t="str">
        <f t="shared" si="337"/>
        <v>烈风螳螂9突</v>
      </c>
      <c r="P768" s="29" t="s">
        <v>470</v>
      </c>
      <c r="Q768" s="14">
        <f t="shared" si="338"/>
        <v>2</v>
      </c>
      <c r="R768" s="14">
        <f t="shared" si="339"/>
        <v>9</v>
      </c>
      <c r="S768" s="14" t="s">
        <v>39</v>
      </c>
      <c r="T768" s="14">
        <f>ROUND(((IF(Q768=1,INDEX(新属性投放!$J$14:$J$34,卡牌属性!R768),INDEX(新属性投放!$J$42:$J$62,卡牌属性!R768)))*INDEX($G$5:$G$42,L768)+IF(Q768=1,INDEX(新属性投放!R$20:R$23,卡牌属性!M768-1),INDEX(新属性投放!R$25:R$28,卡牌属性!M768-1)))/SQRT(INDEX($I$5:$I$42,L768)),2)</f>
        <v>4145.6000000000004</v>
      </c>
      <c r="U768" s="29" t="s">
        <v>178</v>
      </c>
      <c r="V768" s="14">
        <f>ROUND((IF(Q768=1,INDEX(新属性投放!$K$14:$K$34,卡牌属性!R768),INDEX(新属性投放!$K$42:$K$62,卡牌属性!R768))+IF(Q768=1,INDEX(新属性投放!S$20:S$23,卡牌属性!M768-1),INDEX(新属性投放!S$25:S$28,卡牌属性!M768-1)))*INDEX($G$5:$G$42,L768),2)</f>
        <v>1995.3</v>
      </c>
      <c r="W768" s="29" t="s">
        <v>179</v>
      </c>
      <c r="X768" s="14">
        <f>ROUND((IF(Q768=1,INDEX(新属性投放!$L$14:$L$34,卡牌属性!R768),INDEX(新属性投放!$L$42:$L$62,卡牌属性!R768))*INDEX($G$5:$G$42,L768)+IF(Q768=1,INDEX(新属性投放!T$20:T$23,卡牌属性!M768-1),INDEX(新属性投放!T$25:T$28,卡牌属性!M768-1)))*SQRT(INDEX($I$5:$I$42,L768)),2)</f>
        <v>21162</v>
      </c>
      <c r="Y768" s="29" t="s">
        <v>177</v>
      </c>
      <c r="Z768" s="14">
        <f>ROUND(IF(Q768=1,INDEX(新属性投放!$D$14:$D$34,卡牌属性!R768),INDEX(新属性投放!$D$42:$D$62,卡牌属性!R768))*INDEX($G$5:$G$42,L768)/SQRT(INDEX($I$5:$I$42,L768)),2)</f>
        <v>97.79</v>
      </c>
      <c r="AA768" s="29" t="s">
        <v>178</v>
      </c>
      <c r="AB768" s="14">
        <f>ROUND(IF(Q768=1,INDEX(新属性投放!$E$14:$E$34,卡牌属性!R768),INDEX(新属性投放!$E$42:$E$62,卡牌属性!R768))*INDEX($G$5:$G$42,L768),2)</f>
        <v>48.9</v>
      </c>
      <c r="AC768" s="29" t="s">
        <v>179</v>
      </c>
      <c r="AD768" s="14">
        <f>ROUND(IF(Q768=1,INDEX(新属性投放!$F$14:$F$34,卡牌属性!R768),INDEX(新属性投放!$F$42:$F$62,卡牌属性!R768))*INDEX($G$5:$G$42,L768)*SQRT(INDEX($I$5:$I$42,L768)),2)</f>
        <v>440</v>
      </c>
      <c r="AF768" s="14">
        <f t="shared" si="340"/>
        <v>977</v>
      </c>
      <c r="AG768" s="14">
        <f t="shared" si="341"/>
        <v>489</v>
      </c>
      <c r="AH768" s="14">
        <f t="shared" si="342"/>
        <v>4400</v>
      </c>
      <c r="AJ768" s="14">
        <f t="shared" si="332"/>
        <v>4032</v>
      </c>
      <c r="AK768" s="14">
        <f t="shared" si="333"/>
        <v>2016</v>
      </c>
      <c r="AL768" s="14">
        <f t="shared" si="334"/>
        <v>18120</v>
      </c>
    </row>
    <row r="769" spans="11:38" ht="16.5" x14ac:dyDescent="0.2">
      <c r="K769" s="13">
        <v>766</v>
      </c>
      <c r="L769" s="13">
        <f t="shared" si="335"/>
        <v>37</v>
      </c>
      <c r="M769" s="13">
        <f t="shared" si="305"/>
        <v>2</v>
      </c>
      <c r="N769" s="14">
        <f t="shared" si="336"/>
        <v>1102021</v>
      </c>
      <c r="O769" s="14" t="str">
        <f t="shared" si="337"/>
        <v>烈风螳螂10突</v>
      </c>
      <c r="P769" s="29" t="s">
        <v>470</v>
      </c>
      <c r="Q769" s="14">
        <f t="shared" si="338"/>
        <v>2</v>
      </c>
      <c r="R769" s="14">
        <f t="shared" si="339"/>
        <v>10</v>
      </c>
      <c r="S769" s="14" t="s">
        <v>39</v>
      </c>
      <c r="T769" s="14">
        <f>ROUND(((IF(Q769=1,INDEX(新属性投放!$J$14:$J$34,卡牌属性!R769),INDEX(新属性投放!$J$42:$J$62,卡牌属性!R769)))*INDEX($G$5:$G$42,L769)+IF(Q769=1,INDEX(新属性投放!R$20:R$23,卡牌属性!M769-1),INDEX(新属性投放!R$25:R$28,卡牌属性!M769-1)))/SQRT(INDEX($I$5:$I$42,L769)),2)</f>
        <v>4756.55</v>
      </c>
      <c r="U769" s="29" t="s">
        <v>178</v>
      </c>
      <c r="V769" s="14">
        <f>ROUND((IF(Q769=1,INDEX(新属性投放!$K$14:$K$34,卡牌属性!R769),INDEX(新属性投放!$K$42:$K$62,卡牌属性!R769))+IF(Q769=1,INDEX(新属性投放!S$20:S$23,卡牌属性!M769-1),INDEX(新属性投放!S$25:S$28,卡牌属性!M769-1)))*INDEX($G$5:$G$42,L769),2)</f>
        <v>2300.7800000000002</v>
      </c>
      <c r="W769" s="29" t="s">
        <v>179</v>
      </c>
      <c r="X769" s="14">
        <f>ROUND((IF(Q769=1,INDEX(新属性投放!$L$14:$L$34,卡牌属性!R769),INDEX(新属性投放!$L$42:$L$62,卡牌属性!R769))*INDEX($G$5:$G$42,L769)+IF(Q769=1,INDEX(新属性投放!T$20:T$23,卡牌属性!M769-1),INDEX(新属性投放!T$25:T$28,卡牌属性!M769-1)))*SQRT(INDEX($I$5:$I$42,L769)),2)</f>
        <v>24460</v>
      </c>
      <c r="Y769" s="29" t="s">
        <v>177</v>
      </c>
      <c r="Z769" s="14">
        <f>ROUND(IF(Q769=1,INDEX(新属性投放!$D$14:$D$34,卡牌属性!R769),INDEX(新属性投放!$D$42:$D$62,卡牌属性!R769))*INDEX($G$5:$G$42,L769)/SQRT(INDEX($I$5:$I$42,L769)),2)</f>
        <v>112.83</v>
      </c>
      <c r="AA769" s="29" t="s">
        <v>178</v>
      </c>
      <c r="AB769" s="14">
        <f>ROUND(IF(Q769=1,INDEX(新属性投放!$E$14:$E$34,卡牌属性!R769),INDEX(新属性投放!$E$42:$E$62,卡牌属性!R769))*INDEX($G$5:$G$42,L769),2)</f>
        <v>56.42</v>
      </c>
      <c r="AC769" s="29" t="s">
        <v>179</v>
      </c>
      <c r="AD769" s="14">
        <f>ROUND(IF(Q769=1,INDEX(新属性投放!$F$14:$F$34,卡牌属性!R769),INDEX(新属性投放!$F$42:$F$62,卡牌属性!R769))*INDEX($G$5:$G$42,L769)*SQRT(INDEX($I$5:$I$42,L769)),2)</f>
        <v>507</v>
      </c>
      <c r="AF769" s="14">
        <f t="shared" si="340"/>
        <v>1128</v>
      </c>
      <c r="AG769" s="14">
        <f t="shared" si="341"/>
        <v>564</v>
      </c>
      <c r="AH769" s="14">
        <f t="shared" si="342"/>
        <v>5070</v>
      </c>
      <c r="AJ769" s="14">
        <f t="shared" si="332"/>
        <v>5160</v>
      </c>
      <c r="AK769" s="14">
        <f t="shared" si="333"/>
        <v>2580</v>
      </c>
      <c r="AL769" s="14">
        <f t="shared" si="334"/>
        <v>23190</v>
      </c>
    </row>
    <row r="770" spans="11:38" ht="16.5" x14ac:dyDescent="0.2">
      <c r="K770" s="13">
        <v>767</v>
      </c>
      <c r="L770" s="13">
        <f t="shared" si="335"/>
        <v>37</v>
      </c>
      <c r="M770" s="13">
        <f t="shared" si="305"/>
        <v>2</v>
      </c>
      <c r="N770" s="14">
        <f t="shared" si="336"/>
        <v>1102021</v>
      </c>
      <c r="O770" s="14" t="str">
        <f t="shared" si="337"/>
        <v>烈风螳螂11突</v>
      </c>
      <c r="P770" s="29" t="s">
        <v>470</v>
      </c>
      <c r="Q770" s="14">
        <f t="shared" si="338"/>
        <v>2</v>
      </c>
      <c r="R770" s="14">
        <f t="shared" si="339"/>
        <v>11</v>
      </c>
      <c r="S770" s="14" t="s">
        <v>39</v>
      </c>
      <c r="T770" s="14">
        <f>ROUND(((IF(Q770=1,INDEX(新属性投放!$J$14:$J$34,卡牌属性!R770),INDEX(新属性投放!$J$42:$J$62,卡牌属性!R770)))*INDEX($G$5:$G$42,L770)+IF(Q770=1,INDEX(新属性投放!R$20:R$23,卡牌属性!M770-1),INDEX(新属性投放!R$25:R$28,卡牌属性!M770-1)))/SQRT(INDEX($I$5:$I$42,L770)),2)</f>
        <v>5461.7</v>
      </c>
      <c r="U770" s="29" t="s">
        <v>178</v>
      </c>
      <c r="V770" s="14">
        <f>ROUND((IF(Q770=1,INDEX(新属性投放!$K$14:$K$34,卡牌属性!R770),INDEX(新属性投放!$K$42:$K$62,卡牌属性!R770))+IF(Q770=1,INDEX(新属性投放!S$20:S$23,卡牌属性!M770-1),INDEX(新属性投放!S$25:S$28,卡牌属性!M770-1)))*INDEX($G$5:$G$42,L770),2)</f>
        <v>2653.85</v>
      </c>
      <c r="W770" s="29" t="s">
        <v>179</v>
      </c>
      <c r="X770" s="14">
        <f>ROUND((IF(Q770=1,INDEX(新属性投放!$L$14:$L$34,卡牌属性!R770),INDEX(新属性投放!$L$42:$L$62,卡牌属性!R770))*INDEX($G$5:$G$42,L770)+IF(Q770=1,INDEX(新属性投放!T$20:T$23,卡牌属性!M770-1),INDEX(新属性投放!T$25:T$28,卡牌属性!M770-1)))*SQRT(INDEX($I$5:$I$42,L770)),2)</f>
        <v>28264</v>
      </c>
      <c r="Y770" s="29" t="s">
        <v>177</v>
      </c>
      <c r="Z770" s="14">
        <f>ROUND(IF(Q770=1,INDEX(新属性投放!$D$14:$D$34,卡牌属性!R770),INDEX(新属性投放!$D$42:$D$62,卡牌属性!R770))*INDEX($G$5:$G$42,L770)/SQRT(INDEX($I$5:$I$42,L770)),2)</f>
        <v>131.58000000000001</v>
      </c>
      <c r="AA770" s="29" t="s">
        <v>178</v>
      </c>
      <c r="AB770" s="14">
        <f>ROUND(IF(Q770=1,INDEX(新属性投放!$E$14:$E$34,卡牌属性!R770),INDEX(新属性投放!$E$42:$E$62,卡牌属性!R770))*INDEX($G$5:$G$42,L770),2)</f>
        <v>65.790000000000006</v>
      </c>
      <c r="AC770" s="29" t="s">
        <v>179</v>
      </c>
      <c r="AD770" s="14">
        <f>ROUND(IF(Q770=1,INDEX(新属性投放!$F$14:$F$34,卡牌属性!R770),INDEX(新属性投放!$F$42:$F$62,卡牌属性!R770))*INDEX($G$5:$G$42,L770)*SQRT(INDEX($I$5:$I$42,L770)),2)</f>
        <v>592</v>
      </c>
      <c r="AF770" s="14">
        <f t="shared" si="340"/>
        <v>1315</v>
      </c>
      <c r="AG770" s="14">
        <f t="shared" si="341"/>
        <v>657</v>
      </c>
      <c r="AH770" s="14">
        <f t="shared" si="342"/>
        <v>5920</v>
      </c>
      <c r="AJ770" s="14">
        <f t="shared" si="332"/>
        <v>6475</v>
      </c>
      <c r="AK770" s="14">
        <f t="shared" si="333"/>
        <v>3237</v>
      </c>
      <c r="AL770" s="14">
        <f t="shared" si="334"/>
        <v>29110</v>
      </c>
    </row>
    <row r="771" spans="11:38" ht="16.5" x14ac:dyDescent="0.2">
      <c r="K771" s="13">
        <v>768</v>
      </c>
      <c r="L771" s="13">
        <f t="shared" si="335"/>
        <v>37</v>
      </c>
      <c r="M771" s="13">
        <f t="shared" si="305"/>
        <v>2</v>
      </c>
      <c r="N771" s="14">
        <f t="shared" si="336"/>
        <v>1102021</v>
      </c>
      <c r="O771" s="14" t="str">
        <f t="shared" si="337"/>
        <v>烈风螳螂12突</v>
      </c>
      <c r="P771" s="29" t="s">
        <v>470</v>
      </c>
      <c r="Q771" s="14">
        <f t="shared" si="338"/>
        <v>2</v>
      </c>
      <c r="R771" s="14">
        <f t="shared" si="339"/>
        <v>12</v>
      </c>
      <c r="S771" s="14" t="s">
        <v>39</v>
      </c>
      <c r="T771" s="14">
        <f>ROUND(((IF(Q771=1,INDEX(新属性投放!$J$14:$J$34,卡牌属性!R771),INDEX(新属性投放!$J$42:$J$62,卡牌属性!R771)))*INDEX($G$5:$G$42,L771)+IF(Q771=1,INDEX(新属性投放!R$20:R$23,卡牌属性!M771-1),INDEX(新属性投放!R$25:R$28,卡牌属性!M771-1)))/SQRT(INDEX($I$5:$I$42,L771)),2)</f>
        <v>6283.6</v>
      </c>
      <c r="U771" s="29" t="s">
        <v>178</v>
      </c>
      <c r="V771" s="14">
        <f>ROUND((IF(Q771=1,INDEX(新属性投放!$K$14:$K$34,卡牌属性!R771),INDEX(新属性投放!$K$42:$K$62,卡牌属性!R771))+IF(Q771=1,INDEX(新属性投放!S$20:S$23,卡牌属性!M771-1),INDEX(新属性投放!S$25:S$28,卡牌属性!M771-1)))*INDEX($G$5:$G$42,L771),2)</f>
        <v>3064.8</v>
      </c>
      <c r="W771" s="29" t="s">
        <v>179</v>
      </c>
      <c r="X771" s="14">
        <f>ROUND((IF(Q771=1,INDEX(新属性投放!$L$14:$L$34,卡牌属性!R771),INDEX(新属性投放!$L$42:$L$62,卡牌属性!R771))*INDEX($G$5:$G$42,L771)+IF(Q771=1,INDEX(新属性投放!T$20:T$23,卡牌属性!M771-1),INDEX(新属性投放!T$25:T$28,卡牌属性!M771-1)))*SQRT(INDEX($I$5:$I$42,L771)),2)</f>
        <v>32700</v>
      </c>
      <c r="Y771" s="29" t="s">
        <v>177</v>
      </c>
      <c r="Z771" s="14">
        <f>ROUND(IF(Q771=1,INDEX(新属性投放!$D$14:$D$34,卡牌属性!R771),INDEX(新属性投放!$D$42:$D$62,卡牌属性!R771))*INDEX($G$5:$G$42,L771)/SQRT(INDEX($I$5:$I$42,L771)),2)</f>
        <v>150.47</v>
      </c>
      <c r="AA771" s="29" t="s">
        <v>178</v>
      </c>
      <c r="AB771" s="14">
        <f>ROUND(IF(Q771=1,INDEX(新属性投放!$E$14:$E$34,卡牌属性!R771),INDEX(新属性投放!$E$42:$E$62,卡牌属性!R771))*INDEX($G$5:$G$42,L771),2)</f>
        <v>75.239999999999995</v>
      </c>
      <c r="AC771" s="29" t="s">
        <v>179</v>
      </c>
      <c r="AD771" s="14">
        <f>ROUND(IF(Q771=1,INDEX(新属性投放!$F$14:$F$34,卡牌属性!R771),INDEX(新属性投放!$F$42:$F$62,卡牌属性!R771))*INDEX($G$5:$G$42,L771)*SQRT(INDEX($I$5:$I$42,L771)),2)</f>
        <v>677</v>
      </c>
      <c r="AF771" s="14">
        <f t="shared" si="340"/>
        <v>1504</v>
      </c>
      <c r="AG771" s="14">
        <f t="shared" si="341"/>
        <v>752</v>
      </c>
      <c r="AH771" s="14">
        <f t="shared" si="342"/>
        <v>6770</v>
      </c>
      <c r="AJ771" s="14">
        <f t="shared" si="332"/>
        <v>7979</v>
      </c>
      <c r="AK771" s="14">
        <f t="shared" si="333"/>
        <v>3989</v>
      </c>
      <c r="AL771" s="14">
        <f t="shared" si="334"/>
        <v>35880</v>
      </c>
    </row>
    <row r="772" spans="11:38" ht="16.5" x14ac:dyDescent="0.2">
      <c r="K772" s="13">
        <v>769</v>
      </c>
      <c r="L772" s="13">
        <f t="shared" si="335"/>
        <v>37</v>
      </c>
      <c r="M772" s="13">
        <f t="shared" si="305"/>
        <v>2</v>
      </c>
      <c r="N772" s="14">
        <f t="shared" si="336"/>
        <v>1102021</v>
      </c>
      <c r="O772" s="14" t="str">
        <f t="shared" si="337"/>
        <v>烈风螳螂13突</v>
      </c>
      <c r="P772" s="29" t="s">
        <v>470</v>
      </c>
      <c r="Q772" s="14">
        <f t="shared" si="338"/>
        <v>2</v>
      </c>
      <c r="R772" s="14">
        <f t="shared" si="339"/>
        <v>13</v>
      </c>
      <c r="S772" s="14" t="s">
        <v>39</v>
      </c>
      <c r="T772" s="14">
        <f>ROUND(((IF(Q772=1,INDEX(新属性投放!$J$14:$J$34,卡牌属性!R772),INDEX(新属性投放!$J$42:$J$62,卡牌属性!R772)))*INDEX($G$5:$G$42,L772)+IF(Q772=1,INDEX(新属性投放!R$20:R$23,卡牌属性!M772-1),INDEX(新属性投放!R$25:R$28,卡牌属性!M772-1)))/SQRT(INDEX($I$5:$I$42,L772)),2)</f>
        <v>7223.95</v>
      </c>
      <c r="U772" s="29" t="s">
        <v>178</v>
      </c>
      <c r="V772" s="14">
        <f>ROUND((IF(Q772=1,INDEX(新属性投放!$K$14:$K$34,卡牌属性!R772),INDEX(新属性投放!$K$42:$K$62,卡牌属性!R772))+IF(Q772=1,INDEX(新属性投放!S$20:S$23,卡牌属性!M772-1),INDEX(新属性投放!S$25:S$28,卡牌属性!M772-1)))*INDEX($G$5:$G$42,L772),2)</f>
        <v>3534.98</v>
      </c>
      <c r="W772" s="29" t="s">
        <v>179</v>
      </c>
      <c r="X772" s="14">
        <f>ROUND((IF(Q772=1,INDEX(新属性投放!$L$14:$L$34,卡牌属性!R772),INDEX(新属性投放!$L$42:$L$62,卡牌属性!R772))*INDEX($G$5:$G$42,L772)+IF(Q772=1,INDEX(新属性投放!T$20:T$23,卡牌属性!M772-1),INDEX(新属性投放!T$25:T$28,卡牌属性!M772-1)))*SQRT(INDEX($I$5:$I$42,L772)),2)</f>
        <v>37777</v>
      </c>
      <c r="Y772" s="29" t="s">
        <v>177</v>
      </c>
      <c r="Z772" s="14">
        <f>ROUND(IF(Q772=1,INDEX(新属性投放!$D$14:$D$34,卡牌属性!R772),INDEX(新属性投放!$D$42:$D$62,卡牌属性!R772))*INDEX($G$5:$G$42,L772)/SQRT(INDEX($I$5:$I$42,L772)),2)</f>
        <v>173.97</v>
      </c>
      <c r="AA772" s="29" t="s">
        <v>178</v>
      </c>
      <c r="AB772" s="14">
        <f>ROUND(IF(Q772=1,INDEX(新属性投放!$E$14:$E$34,卡牌属性!R772),INDEX(新属性投放!$E$42:$E$62,卡牌属性!R772))*INDEX($G$5:$G$42,L772),2)</f>
        <v>86.99</v>
      </c>
      <c r="AC772" s="29" t="s">
        <v>179</v>
      </c>
      <c r="AD772" s="14">
        <f>ROUND(IF(Q772=1,INDEX(新属性投放!$F$14:$F$34,卡牌属性!R772),INDEX(新属性投放!$F$42:$F$62,卡牌属性!R772))*INDEX($G$5:$G$42,L772)*SQRT(INDEX($I$5:$I$42,L772)),2)</f>
        <v>782</v>
      </c>
      <c r="AF772" s="14">
        <f t="shared" si="340"/>
        <v>1739</v>
      </c>
      <c r="AG772" s="14">
        <f t="shared" si="341"/>
        <v>869</v>
      </c>
      <c r="AH772" s="14">
        <f t="shared" si="342"/>
        <v>7820</v>
      </c>
      <c r="AJ772" s="14">
        <f t="shared" si="332"/>
        <v>9718</v>
      </c>
      <c r="AK772" s="14">
        <f t="shared" si="333"/>
        <v>4858</v>
      </c>
      <c r="AL772" s="14">
        <f t="shared" si="334"/>
        <v>43700</v>
      </c>
    </row>
    <row r="773" spans="11:38" ht="16.5" x14ac:dyDescent="0.2">
      <c r="K773" s="13">
        <v>770</v>
      </c>
      <c r="L773" s="13">
        <f t="shared" si="335"/>
        <v>37</v>
      </c>
      <c r="M773" s="13">
        <f t="shared" ref="M773:M801" si="343">INDEX($D$5:$D$42,L773)</f>
        <v>2</v>
      </c>
      <c r="N773" s="14">
        <f t="shared" si="336"/>
        <v>1102021</v>
      </c>
      <c r="O773" s="14" t="str">
        <f t="shared" si="337"/>
        <v>烈风螳螂14突</v>
      </c>
      <c r="P773" s="29" t="s">
        <v>470</v>
      </c>
      <c r="Q773" s="14">
        <f t="shared" si="338"/>
        <v>2</v>
      </c>
      <c r="R773" s="14">
        <f t="shared" si="339"/>
        <v>14</v>
      </c>
      <c r="S773" s="14" t="s">
        <v>39</v>
      </c>
      <c r="T773" s="14">
        <f>ROUND(((IF(Q773=1,INDEX(新属性投放!$J$14:$J$34,卡牌属性!R773),INDEX(新属性投放!$J$42:$J$62,卡牌属性!R773)))*INDEX($G$5:$G$42,L773)+IF(Q773=1,INDEX(新属性投放!R$20:R$23,卡牌属性!M773-1),INDEX(新属性投放!R$25:R$28,卡牌属性!M773-1)))/SQRT(INDEX($I$5:$I$42,L773)),2)</f>
        <v>8310.7999999999993</v>
      </c>
      <c r="U773" s="29" t="s">
        <v>178</v>
      </c>
      <c r="V773" s="14">
        <f>ROUND((IF(Q773=1,INDEX(新属性投放!$K$14:$K$34,卡牌属性!R773),INDEX(新属性投放!$K$42:$K$62,卡牌属性!R773))+IF(Q773=1,INDEX(新属性投放!S$20:S$23,卡牌属性!M773-1),INDEX(新属性投放!S$25:S$28,卡牌属性!M773-1)))*INDEX($G$5:$G$42,L773),2)</f>
        <v>4078.9</v>
      </c>
      <c r="W773" s="29" t="s">
        <v>179</v>
      </c>
      <c r="X773" s="14">
        <f>ROUND((IF(Q773=1,INDEX(新属性投放!$L$14:$L$34,卡牌属性!R773),INDEX(新属性投放!$L$42:$L$62,卡牌属性!R773))*INDEX($G$5:$G$42,L773)+IF(Q773=1,INDEX(新属性投放!T$20:T$23,卡牌属性!M773-1),INDEX(新属性投放!T$25:T$28,卡牌属性!M773-1)))*SQRT(INDEX($I$5:$I$42,L773)),2)</f>
        <v>43640</v>
      </c>
      <c r="Y773" s="29" t="s">
        <v>177</v>
      </c>
      <c r="Z773" s="14">
        <f>ROUND(IF(Q773=1,INDEX(新属性投放!$D$14:$D$34,卡牌属性!R773),INDEX(新属性投放!$D$42:$D$62,卡牌属性!R773))*INDEX($G$5:$G$42,L773)/SQRT(INDEX($I$5:$I$42,L773)),2)</f>
        <v>201.15</v>
      </c>
      <c r="AA773" s="29" t="s">
        <v>178</v>
      </c>
      <c r="AB773" s="14">
        <f>ROUND(IF(Q773=1,INDEX(新属性投放!$E$14:$E$34,卡牌属性!R773),INDEX(新属性投放!$E$42:$E$62,卡牌属性!R773))*INDEX($G$5:$G$42,L773),2)</f>
        <v>100.58</v>
      </c>
      <c r="AC773" s="29" t="s">
        <v>179</v>
      </c>
      <c r="AD773" s="14">
        <f>ROUND(IF(Q773=1,INDEX(新属性投放!$F$14:$F$34,卡牌属性!R773),INDEX(新属性投放!$F$42:$F$62,卡牌属性!R773))*INDEX($G$5:$G$42,L773)*SQRT(INDEX($I$5:$I$42,L773)),2)</f>
        <v>905</v>
      </c>
      <c r="AF773" s="14">
        <f t="shared" si="340"/>
        <v>2011</v>
      </c>
      <c r="AG773" s="14">
        <f t="shared" si="341"/>
        <v>1005</v>
      </c>
      <c r="AH773" s="14">
        <f t="shared" si="342"/>
        <v>9050</v>
      </c>
      <c r="AJ773" s="14">
        <f t="shared" si="332"/>
        <v>11729</v>
      </c>
      <c r="AK773" s="14">
        <f t="shared" si="333"/>
        <v>5863</v>
      </c>
      <c r="AL773" s="14">
        <f t="shared" si="334"/>
        <v>52750</v>
      </c>
    </row>
    <row r="774" spans="11:38" ht="16.5" x14ac:dyDescent="0.2">
      <c r="K774" s="13">
        <v>771</v>
      </c>
      <c r="L774" s="13">
        <f t="shared" si="335"/>
        <v>37</v>
      </c>
      <c r="M774" s="13">
        <f t="shared" si="343"/>
        <v>2</v>
      </c>
      <c r="N774" s="14">
        <f t="shared" si="336"/>
        <v>1102021</v>
      </c>
      <c r="O774" s="14" t="str">
        <f t="shared" si="337"/>
        <v>烈风螳螂15突</v>
      </c>
      <c r="P774" s="29" t="s">
        <v>470</v>
      </c>
      <c r="Q774" s="14">
        <f t="shared" si="338"/>
        <v>2</v>
      </c>
      <c r="R774" s="14">
        <f t="shared" si="339"/>
        <v>15</v>
      </c>
      <c r="S774" s="14" t="s">
        <v>39</v>
      </c>
      <c r="T774" s="14">
        <f>ROUND(((IF(Q774=1,INDEX(新属性投放!$J$14:$J$34,卡牌属性!R774),INDEX(新属性投放!$J$42:$J$62,卡牌属性!R774)))*INDEX($G$5:$G$42,L774)+IF(Q774=1,INDEX(新属性投放!R$20:R$23,卡牌属性!M774-1),INDEX(新属性投放!R$25:R$28,卡牌属性!M774-1)))/SQRT(INDEX($I$5:$I$42,L774)),2)</f>
        <v>9567.5499999999993</v>
      </c>
      <c r="U774" s="29" t="s">
        <v>178</v>
      </c>
      <c r="V774" s="14">
        <f>ROUND((IF(Q774=1,INDEX(新属性投放!$K$14:$K$34,卡牌属性!R774),INDEX(新属性投放!$K$42:$K$62,卡牌属性!R774))+IF(Q774=1,INDEX(新属性投放!S$20:S$23,卡牌属性!M774-1),INDEX(新属性投放!S$25:S$28,卡牌属性!M774-1)))*INDEX($G$5:$G$42,L774),2)</f>
        <v>4707.78</v>
      </c>
      <c r="W774" s="29" t="s">
        <v>179</v>
      </c>
      <c r="X774" s="14">
        <f>ROUND((IF(Q774=1,INDEX(新属性投放!$L$14:$L$34,卡牌属性!R774),INDEX(新属性投放!$L$42:$L$62,卡牌属性!R774))*INDEX($G$5:$G$42,L774)+IF(Q774=1,INDEX(新属性投放!T$20:T$23,卡牌属性!M774-1),INDEX(新属性投放!T$25:T$28,卡牌属性!M774-1)))*SQRT(INDEX($I$5:$I$42,L774)),2)</f>
        <v>50424</v>
      </c>
      <c r="Y774" s="29" t="s">
        <v>177</v>
      </c>
      <c r="Z774" s="14">
        <f>ROUND(IF(Q774=1,INDEX(新属性投放!$D$14:$D$34,卡牌属性!R774),INDEX(新属性投放!$D$42:$D$62,卡牌属性!R774))*INDEX($G$5:$G$42,L774)/SQRT(INDEX($I$5:$I$42,L774)),2)</f>
        <v>232.56</v>
      </c>
      <c r="AA774" s="29" t="s">
        <v>178</v>
      </c>
      <c r="AB774" s="14">
        <f>ROUND(IF(Q774=1,INDEX(新属性投放!$E$14:$E$34,卡牌属性!R774),INDEX(新属性投放!$E$42:$E$62,卡牌属性!R774))*INDEX($G$5:$G$42,L774),2)</f>
        <v>116.28</v>
      </c>
      <c r="AC774" s="29" t="s">
        <v>179</v>
      </c>
      <c r="AD774" s="14">
        <f>ROUND(IF(Q774=1,INDEX(新属性投放!$F$14:$F$34,卡牌属性!R774),INDEX(新属性投放!$F$42:$F$62,卡牌属性!R774))*INDEX($G$5:$G$42,L774)*SQRT(INDEX($I$5:$I$42,L774)),2)</f>
        <v>1046</v>
      </c>
      <c r="AF774" s="14">
        <f t="shared" si="340"/>
        <v>2325</v>
      </c>
      <c r="AG774" s="14">
        <f t="shared" si="341"/>
        <v>1162</v>
      </c>
      <c r="AH774" s="14">
        <f t="shared" si="342"/>
        <v>10460</v>
      </c>
      <c r="AJ774" s="14">
        <f t="shared" si="332"/>
        <v>14054</v>
      </c>
      <c r="AK774" s="14">
        <f t="shared" si="333"/>
        <v>7025</v>
      </c>
      <c r="AL774" s="14">
        <f t="shared" si="334"/>
        <v>63210</v>
      </c>
    </row>
    <row r="775" spans="11:38" ht="16.5" x14ac:dyDescent="0.2">
      <c r="K775" s="13">
        <v>772</v>
      </c>
      <c r="L775" s="13">
        <f t="shared" si="335"/>
        <v>37</v>
      </c>
      <c r="M775" s="13">
        <f t="shared" si="343"/>
        <v>2</v>
      </c>
      <c r="N775" s="14">
        <f t="shared" si="336"/>
        <v>1102021</v>
      </c>
      <c r="O775" s="14" t="str">
        <f t="shared" si="337"/>
        <v>烈风螳螂16突</v>
      </c>
      <c r="P775" s="29" t="s">
        <v>470</v>
      </c>
      <c r="Q775" s="14">
        <f t="shared" si="338"/>
        <v>2</v>
      </c>
      <c r="R775" s="14">
        <f t="shared" si="339"/>
        <v>16</v>
      </c>
      <c r="S775" s="14" t="s">
        <v>39</v>
      </c>
      <c r="T775" s="14">
        <f>ROUND(((IF(Q775=1,INDEX(新属性投放!$J$14:$J$34,卡牌属性!R775),INDEX(新属性投放!$J$42:$J$62,卡牌属性!R775)))*INDEX($G$5:$G$42,L775)+IF(Q775=1,INDEX(新属性投放!R$20:R$23,卡牌属性!M775-1),INDEX(新属性投放!R$25:R$28,卡牌属性!M775-1)))/SQRT(INDEX($I$5:$I$42,L775)),2)</f>
        <v>11021.35</v>
      </c>
      <c r="U775" s="29" t="s">
        <v>178</v>
      </c>
      <c r="V775" s="14">
        <f>ROUND((IF(Q775=1,INDEX(新属性投放!$K$14:$K$34,卡牌属性!R775),INDEX(新属性投放!$K$42:$K$62,卡牌属性!R775))+IF(Q775=1,INDEX(新属性投放!S$20:S$23,卡牌属性!M775-1),INDEX(新属性投放!S$25:S$28,卡牌属性!M775-1)))*INDEX($G$5:$G$42,L775),2)</f>
        <v>5434.18</v>
      </c>
      <c r="W775" s="29" t="s">
        <v>179</v>
      </c>
      <c r="X775" s="14">
        <f>ROUND((IF(Q775=1,INDEX(新属性投放!$L$14:$L$34,卡牌属性!R775),INDEX(新属性投放!$L$42:$L$62,卡牌属性!R775))*INDEX($G$5:$G$42,L775)+IF(Q775=1,INDEX(新属性投放!T$20:T$23,卡牌属性!M775-1),INDEX(新属性投放!T$25:T$28,卡牌属性!M775-1)))*SQRT(INDEX($I$5:$I$42,L775)),2)</f>
        <v>58273</v>
      </c>
      <c r="Y775" s="29" t="s">
        <v>177</v>
      </c>
      <c r="Z775" s="14">
        <f>ROUND(IF(Q775=1,INDEX(新属性投放!$D$14:$D$34,卡牌属性!R775),INDEX(新属性投放!$D$42:$D$62,卡牌属性!R775))*INDEX($G$5:$G$42,L775)/SQRT(INDEX($I$5:$I$42,L775)),2)</f>
        <v>268.91000000000003</v>
      </c>
      <c r="AA775" s="29" t="s">
        <v>178</v>
      </c>
      <c r="AB775" s="14">
        <f>ROUND(IF(Q775=1,INDEX(新属性投放!$E$14:$E$34,卡牌属性!R775),INDEX(新属性投放!$E$42:$E$62,卡牌属性!R775))*INDEX($G$5:$G$42,L775),2)</f>
        <v>134.46</v>
      </c>
      <c r="AC775" s="29" t="s">
        <v>179</v>
      </c>
      <c r="AD775" s="14">
        <f>ROUND(IF(Q775=1,INDEX(新属性投放!$F$14:$F$34,卡牌属性!R775),INDEX(新属性投放!$F$42:$F$62,卡牌属性!R775))*INDEX($G$5:$G$42,L775)*SQRT(INDEX($I$5:$I$42,L775)),2)</f>
        <v>1210</v>
      </c>
      <c r="AF775" s="14">
        <f t="shared" si="340"/>
        <v>2689</v>
      </c>
      <c r="AG775" s="14">
        <f t="shared" si="341"/>
        <v>1344</v>
      </c>
      <c r="AH775" s="14">
        <f t="shared" si="342"/>
        <v>12100</v>
      </c>
      <c r="AJ775" s="14">
        <f t="shared" si="332"/>
        <v>16743</v>
      </c>
      <c r="AK775" s="14">
        <f t="shared" si="333"/>
        <v>8369</v>
      </c>
      <c r="AL775" s="14">
        <f t="shared" si="334"/>
        <v>75310</v>
      </c>
    </row>
    <row r="776" spans="11:38" ht="16.5" x14ac:dyDescent="0.2">
      <c r="K776" s="13">
        <v>773</v>
      </c>
      <c r="L776" s="13">
        <f t="shared" si="335"/>
        <v>37</v>
      </c>
      <c r="M776" s="13">
        <f t="shared" si="343"/>
        <v>2</v>
      </c>
      <c r="N776" s="14">
        <f t="shared" si="336"/>
        <v>1102021</v>
      </c>
      <c r="O776" s="14" t="str">
        <f t="shared" si="337"/>
        <v>烈风螳螂17突</v>
      </c>
      <c r="P776" s="29" t="s">
        <v>470</v>
      </c>
      <c r="Q776" s="14">
        <f t="shared" si="338"/>
        <v>2</v>
      </c>
      <c r="R776" s="14">
        <f t="shared" si="339"/>
        <v>17</v>
      </c>
      <c r="S776" s="14" t="s">
        <v>39</v>
      </c>
      <c r="T776" s="14">
        <f>ROUND(((IF(Q776=1,INDEX(新属性投放!$J$14:$J$34,卡牌属性!R776),INDEX(新属性投放!$J$42:$J$62,卡牌属性!R776)))*INDEX($G$5:$G$42,L776)+IF(Q776=1,INDEX(新属性投放!R$20:R$23,卡牌属性!M776-1),INDEX(新属性投放!R$25:R$28,卡牌属性!M776-1)))/SQRT(INDEX($I$5:$I$42,L776)),2)</f>
        <v>12701.9</v>
      </c>
      <c r="U776" s="29" t="s">
        <v>178</v>
      </c>
      <c r="V776" s="14">
        <f>ROUND((IF(Q776=1,INDEX(新属性投放!$K$14:$K$34,卡牌属性!R776),INDEX(新属性投放!$K$42:$K$62,卡牌属性!R776))+IF(Q776=1,INDEX(新属性投放!S$20:S$23,卡牌属性!M776-1),INDEX(新属性投放!S$25:S$28,卡牌属性!M776-1)))*INDEX($G$5:$G$42,L776),2)</f>
        <v>6274.45</v>
      </c>
      <c r="W776" s="29" t="s">
        <v>179</v>
      </c>
      <c r="X776" s="14">
        <f>ROUND((IF(Q776=1,INDEX(新属性投放!$L$14:$L$34,卡牌属性!R776),INDEX(新属性投放!$L$42:$L$62,卡牌属性!R776))*INDEX($G$5:$G$42,L776)+IF(Q776=1,INDEX(新属性投放!T$20:T$23,卡牌属性!M776-1),INDEX(新属性投放!T$25:T$28,卡牌属性!M776-1)))*SQRT(INDEX($I$5:$I$42,L776)),2)</f>
        <v>67347</v>
      </c>
      <c r="Y776" s="29" t="s">
        <v>177</v>
      </c>
      <c r="Z776" s="14">
        <f>ROUND(IF(Q776=1,INDEX(新属性投放!$D$14:$D$34,卡牌属性!R776),INDEX(新属性投放!$D$42:$D$62,卡牌属性!R776))*INDEX($G$5:$G$42,L776)/SQRT(INDEX($I$5:$I$42,L776)),2)</f>
        <v>310.92</v>
      </c>
      <c r="AA776" s="29" t="s">
        <v>178</v>
      </c>
      <c r="AB776" s="14">
        <f>ROUND(IF(Q776=1,INDEX(新属性投放!$E$14:$E$34,卡牌属性!R776),INDEX(新属性投放!$E$42:$E$62,卡牌属性!R776))*INDEX($G$5:$G$42,L776),2)</f>
        <v>155.46</v>
      </c>
      <c r="AC776" s="29" t="s">
        <v>179</v>
      </c>
      <c r="AD776" s="14">
        <f>ROUND(IF(Q776=1,INDEX(新属性投放!$F$14:$F$34,卡牌属性!R776),INDEX(新属性投放!$F$42:$F$62,卡牌属性!R776))*INDEX($G$5:$G$42,L776)*SQRT(INDEX($I$5:$I$42,L776)),2)</f>
        <v>1399</v>
      </c>
      <c r="AF776" s="14">
        <f t="shared" si="340"/>
        <v>3109</v>
      </c>
      <c r="AG776" s="14">
        <f t="shared" si="341"/>
        <v>1554</v>
      </c>
      <c r="AH776" s="14">
        <f t="shared" si="342"/>
        <v>13990</v>
      </c>
      <c r="AJ776" s="14">
        <f t="shared" si="332"/>
        <v>19852</v>
      </c>
      <c r="AK776" s="14">
        <f t="shared" si="333"/>
        <v>9923</v>
      </c>
      <c r="AL776" s="14">
        <f t="shared" si="334"/>
        <v>89300</v>
      </c>
    </row>
    <row r="777" spans="11:38" ht="16.5" x14ac:dyDescent="0.2">
      <c r="K777" s="13">
        <v>774</v>
      </c>
      <c r="L777" s="13">
        <f t="shared" si="335"/>
        <v>37</v>
      </c>
      <c r="M777" s="13">
        <f t="shared" si="343"/>
        <v>2</v>
      </c>
      <c r="N777" s="14">
        <f t="shared" si="336"/>
        <v>1102021</v>
      </c>
      <c r="O777" s="14" t="str">
        <f t="shared" si="337"/>
        <v>烈风螳螂18突</v>
      </c>
      <c r="P777" s="29" t="s">
        <v>470</v>
      </c>
      <c r="Q777" s="14">
        <f t="shared" si="338"/>
        <v>2</v>
      </c>
      <c r="R777" s="14">
        <f t="shared" si="339"/>
        <v>18</v>
      </c>
      <c r="S777" s="14" t="s">
        <v>39</v>
      </c>
      <c r="T777" s="14">
        <f>ROUND(((IF(Q777=1,INDEX(新属性投放!$J$14:$J$34,卡牌属性!R777),INDEX(新属性投放!$J$42:$J$62,卡牌属性!R777)))*INDEX($G$5:$G$42,L777)+IF(Q777=1,INDEX(新属性投放!R$20:R$23,卡牌属性!M777-1),INDEX(新属性投放!R$25:R$28,卡牌属性!M777-1)))/SQRT(INDEX($I$5:$I$42,L777)),2)</f>
        <v>14645.5</v>
      </c>
      <c r="U777" s="29" t="s">
        <v>178</v>
      </c>
      <c r="V777" s="14">
        <f>ROUND((IF(Q777=1,INDEX(新属性投放!$K$14:$K$34,卡牌属性!R777),INDEX(新属性投放!$K$42:$K$62,卡牌属性!R777))+IF(Q777=1,INDEX(新属性投放!S$20:S$23,卡牌属性!M777-1),INDEX(新属性投放!S$25:S$28,卡牌属性!M777-1)))*INDEX($G$5:$G$42,L777),2)</f>
        <v>7245.75</v>
      </c>
      <c r="W777" s="29" t="s">
        <v>179</v>
      </c>
      <c r="X777" s="14">
        <f>ROUND((IF(Q777=1,INDEX(新属性投放!$L$14:$L$34,卡牌属性!R777),INDEX(新属性投放!$L$42:$L$62,卡牌属性!R777))*INDEX($G$5:$G$42,L777)+IF(Q777=1,INDEX(新属性投放!T$20:T$23,卡牌属性!M777-1),INDEX(新属性投放!T$25:T$28,卡牌属性!M777-1)))*SQRT(INDEX($I$5:$I$42,L777)),2)</f>
        <v>77843</v>
      </c>
      <c r="Y777" s="29" t="s">
        <v>177</v>
      </c>
      <c r="Z777" s="14">
        <f>ROUND(IF(Q777=1,INDEX(新属性投放!$D$14:$D$34,卡牌属性!R777),INDEX(新属性投放!$D$42:$D$62,卡牌属性!R777))*INDEX($G$5:$G$42,L777)/SQRT(INDEX($I$5:$I$42,L777)),2)</f>
        <v>359.51</v>
      </c>
      <c r="AA777" s="29" t="s">
        <v>178</v>
      </c>
      <c r="AB777" s="14">
        <f>ROUND(IF(Q777=1,INDEX(新属性投放!$E$14:$E$34,卡牌属性!R777),INDEX(新属性投放!$E$42:$E$62,卡牌属性!R777))*INDEX($G$5:$G$42,L777),2)</f>
        <v>179.76</v>
      </c>
      <c r="AC777" s="29" t="s">
        <v>179</v>
      </c>
      <c r="AD777" s="14">
        <f>ROUND(IF(Q777=1,INDEX(新属性投放!$F$14:$F$34,卡牌属性!R777),INDEX(新属性投放!$F$42:$F$62,卡牌属性!R777))*INDEX($G$5:$G$42,L777)*SQRT(INDEX($I$5:$I$42,L777)),2)</f>
        <v>1617</v>
      </c>
      <c r="AF777" s="14">
        <f t="shared" si="340"/>
        <v>3595</v>
      </c>
      <c r="AG777" s="14">
        <f t="shared" si="341"/>
        <v>1797</v>
      </c>
      <c r="AH777" s="14">
        <f t="shared" si="342"/>
        <v>16170</v>
      </c>
      <c r="AJ777" s="14">
        <f t="shared" si="332"/>
        <v>23447</v>
      </c>
      <c r="AK777" s="14">
        <f t="shared" si="333"/>
        <v>11720</v>
      </c>
      <c r="AL777" s="14">
        <f t="shared" si="334"/>
        <v>105470</v>
      </c>
    </row>
    <row r="778" spans="11:38" ht="16.5" x14ac:dyDescent="0.2">
      <c r="K778" s="13">
        <v>775</v>
      </c>
      <c r="L778" s="13">
        <f t="shared" si="335"/>
        <v>37</v>
      </c>
      <c r="M778" s="13">
        <f t="shared" si="343"/>
        <v>2</v>
      </c>
      <c r="N778" s="14">
        <f t="shared" si="336"/>
        <v>1102021</v>
      </c>
      <c r="O778" s="14" t="str">
        <f t="shared" si="337"/>
        <v>烈风螳螂19突</v>
      </c>
      <c r="P778" s="29" t="s">
        <v>470</v>
      </c>
      <c r="Q778" s="14">
        <f t="shared" si="338"/>
        <v>2</v>
      </c>
      <c r="R778" s="14">
        <f t="shared" si="339"/>
        <v>19</v>
      </c>
      <c r="S778" s="14" t="s">
        <v>39</v>
      </c>
      <c r="T778" s="14">
        <f>ROUND(((IF(Q778=1,INDEX(新属性投放!$J$14:$J$34,卡牌属性!R778),INDEX(新属性投放!$J$42:$J$62,卡牌属性!R778)))*INDEX($G$5:$G$42,L778)+IF(Q778=1,INDEX(新属性投放!R$20:R$23,卡牌属性!M778-1),INDEX(新属性投放!R$25:R$28,卡牌属性!M778-1)))/SQRT(INDEX($I$5:$I$42,L778)),2)</f>
        <v>16892.05</v>
      </c>
      <c r="U778" s="29" t="s">
        <v>178</v>
      </c>
      <c r="V778" s="14">
        <f>ROUND((IF(Q778=1,INDEX(新属性投放!$K$14:$K$34,卡牌属性!R778),INDEX(新属性投放!$K$42:$K$62,卡牌属性!R778))+IF(Q778=1,INDEX(新属性投放!S$20:S$23,卡牌属性!M778-1),INDEX(新属性投放!S$25:S$28,卡牌属性!M778-1)))*INDEX($G$5:$G$42,L778),2)</f>
        <v>8369.5300000000007</v>
      </c>
      <c r="W778" s="29" t="s">
        <v>179</v>
      </c>
      <c r="X778" s="14">
        <f>ROUND((IF(Q778=1,INDEX(新属性投放!$L$14:$L$34,卡牌属性!R778),INDEX(新属性投放!$L$42:$L$62,卡牌属性!R778))*INDEX($G$5:$G$42,L778)+IF(Q778=1,INDEX(新属性投放!T$20:T$23,卡牌属性!M778-1),INDEX(新属性投放!T$25:T$28,卡牌属性!M778-1)))*SQRT(INDEX($I$5:$I$42,L778)),2)</f>
        <v>89969</v>
      </c>
      <c r="Y778" s="29" t="s">
        <v>177</v>
      </c>
      <c r="Z778" s="14">
        <f>ROUND(IF(Q778=1,INDEX(新属性投放!$D$14:$D$34,卡牌属性!R778),INDEX(新属性投放!$D$42:$D$62,卡牌属性!R778))*INDEX($G$5:$G$42,L778)/SQRT(INDEX($I$5:$I$42,L778)),2)</f>
        <v>415.68</v>
      </c>
      <c r="AA778" s="29" t="s">
        <v>178</v>
      </c>
      <c r="AB778" s="14">
        <f>ROUND(IF(Q778=1,INDEX(新属性投放!$E$14:$E$34,卡牌属性!R778),INDEX(新属性投放!$E$42:$E$62,卡牌属性!R778))*INDEX($G$5:$G$42,L778),2)</f>
        <v>207.84</v>
      </c>
      <c r="AC778" s="29" t="s">
        <v>179</v>
      </c>
      <c r="AD778" s="14">
        <f>ROUND(IF(Q778=1,INDEX(新属性投放!$F$14:$F$34,卡牌属性!R778),INDEX(新属性投放!$F$42:$F$62,卡牌属性!R778))*INDEX($G$5:$G$42,L778)*SQRT(INDEX($I$5:$I$42,L778)),2)</f>
        <v>1870</v>
      </c>
      <c r="AF778" s="14">
        <f t="shared" si="340"/>
        <v>4156</v>
      </c>
      <c r="AG778" s="14">
        <f t="shared" si="341"/>
        <v>2078</v>
      </c>
      <c r="AH778" s="14">
        <f t="shared" si="342"/>
        <v>18700</v>
      </c>
      <c r="AJ778" s="14">
        <f t="shared" si="332"/>
        <v>27603</v>
      </c>
      <c r="AK778" s="14">
        <f t="shared" si="333"/>
        <v>13798</v>
      </c>
      <c r="AL778" s="14">
        <f t="shared" si="334"/>
        <v>124170</v>
      </c>
    </row>
    <row r="779" spans="11:38" ht="16.5" x14ac:dyDescent="0.2">
      <c r="K779" s="13">
        <v>776</v>
      </c>
      <c r="L779" s="13">
        <f t="shared" si="335"/>
        <v>37</v>
      </c>
      <c r="M779" s="13">
        <f t="shared" si="343"/>
        <v>2</v>
      </c>
      <c r="N779" s="14">
        <f t="shared" si="336"/>
        <v>1102021</v>
      </c>
      <c r="O779" s="14" t="str">
        <f t="shared" si="337"/>
        <v>烈风螳螂20突</v>
      </c>
      <c r="P779" s="29" t="s">
        <v>470</v>
      </c>
      <c r="Q779" s="14">
        <f t="shared" si="338"/>
        <v>2</v>
      </c>
      <c r="R779" s="14">
        <f t="shared" si="339"/>
        <v>20</v>
      </c>
      <c r="S779" s="14" t="s">
        <v>39</v>
      </c>
      <c r="T779" s="14">
        <f>ROUND(((IF(Q779=1,INDEX(新属性投放!$J$14:$J$34,卡牌属性!R779),INDEX(新属性投放!$J$42:$J$62,卡牌属性!R779)))*INDEX($G$5:$G$42,L779)+IF(Q779=1,INDEX(新属性投放!R$20:R$23,卡牌属性!M779-1),INDEX(新属性投放!R$25:R$28,卡牌属性!M779-1)))/SQRT(INDEX($I$5:$I$42,L779)),2)</f>
        <v>19490.45</v>
      </c>
      <c r="U779" s="29" t="s">
        <v>178</v>
      </c>
      <c r="V779" s="14">
        <f>ROUND((IF(Q779=1,INDEX(新属性投放!$K$14:$K$34,卡牌属性!R779),INDEX(新属性投放!$K$42:$K$62,卡牌属性!R779))+IF(Q779=1,INDEX(新属性投放!S$20:S$23,卡牌属性!M779-1),INDEX(新属性投放!S$25:S$28,卡牌属性!M779-1)))*INDEX($G$5:$G$42,L779),2)</f>
        <v>9668.73</v>
      </c>
      <c r="W779" s="29" t="s">
        <v>179</v>
      </c>
      <c r="X779" s="14">
        <f>ROUND((IF(Q779=1,INDEX(新属性投放!$L$14:$L$34,卡牌属性!R779),INDEX(新属性投放!$L$42:$L$62,卡牌属性!R779))*INDEX($G$5:$G$42,L779)+IF(Q779=1,INDEX(新属性投放!T$20:T$23,卡牌属性!M779-1),INDEX(新属性投放!T$25:T$28,卡牌属性!M779-1)))*SQRT(INDEX($I$5:$I$42,L779)),2)</f>
        <v>103999</v>
      </c>
      <c r="Y779" s="29" t="s">
        <v>177</v>
      </c>
      <c r="Z779" s="14">
        <f>ROUND(IF(Q779=1,INDEX(新属性投放!$D$14:$D$34,卡牌属性!R779),INDEX(新属性投放!$D$42:$D$62,卡牌属性!R779))*INDEX($G$5:$G$42,L779)/SQRT(INDEX($I$5:$I$42,L779)),2)</f>
        <v>480.64</v>
      </c>
      <c r="AA779" s="29" t="s">
        <v>178</v>
      </c>
      <c r="AB779" s="14">
        <f>ROUND(IF(Q779=1,INDEX(新属性投放!$E$14:$E$34,卡牌属性!R779),INDEX(新属性投放!$E$42:$E$62,卡牌属性!R779))*INDEX($G$5:$G$42,L779),2)</f>
        <v>240.32</v>
      </c>
      <c r="AC779" s="29" t="s">
        <v>179</v>
      </c>
      <c r="AD779" s="14">
        <f>ROUND(IF(Q779=1,INDEX(新属性投放!$F$14:$F$34,卡牌属性!R779),INDEX(新属性投放!$F$42:$F$62,卡牌属性!R779))*INDEX($G$5:$G$42,L779)*SQRT(INDEX($I$5:$I$42,L779)),2)</f>
        <v>2162</v>
      </c>
      <c r="AF779" s="14">
        <f t="shared" si="340"/>
        <v>4806</v>
      </c>
      <c r="AG779" s="14">
        <f t="shared" si="341"/>
        <v>2403</v>
      </c>
      <c r="AH779" s="14">
        <f t="shared" si="342"/>
        <v>21620</v>
      </c>
      <c r="AJ779" s="14">
        <f t="shared" si="332"/>
        <v>32409</v>
      </c>
      <c r="AK779" s="14">
        <f t="shared" si="333"/>
        <v>16201</v>
      </c>
      <c r="AL779" s="14">
        <f t="shared" si="334"/>
        <v>145790</v>
      </c>
    </row>
    <row r="780" spans="11:38" ht="16.5" x14ac:dyDescent="0.2">
      <c r="K780" s="13">
        <v>777</v>
      </c>
      <c r="L780" s="13">
        <f t="shared" si="335"/>
        <v>37</v>
      </c>
      <c r="M780" s="13">
        <f t="shared" si="343"/>
        <v>2</v>
      </c>
      <c r="N780" s="14">
        <f t="shared" si="336"/>
        <v>1102021</v>
      </c>
      <c r="O780" s="14" t="str">
        <f t="shared" si="337"/>
        <v>烈风螳螂21突</v>
      </c>
      <c r="P780" s="29" t="s">
        <v>470</v>
      </c>
      <c r="Q780" s="14">
        <f t="shared" si="338"/>
        <v>2</v>
      </c>
      <c r="R780" s="14">
        <f t="shared" si="339"/>
        <v>21</v>
      </c>
      <c r="S780" s="14" t="s">
        <v>39</v>
      </c>
      <c r="T780" s="14">
        <f>ROUND(((IF(Q780=1,INDEX(新属性投放!$J$14:$J$34,卡牌属性!R780),INDEX(新属性投放!$J$42:$J$62,卡牌属性!R780)))*INDEX($G$5:$G$42,L780)+IF(Q780=1,INDEX(新属性投放!R$20:R$23,卡牌属性!M780-1),INDEX(新属性投放!R$25:R$28,卡牌属性!M780-1)))/SQRT(INDEX($I$5:$I$42,L780)),2)</f>
        <v>22494.65</v>
      </c>
      <c r="U780" s="29" t="s">
        <v>178</v>
      </c>
      <c r="V780" s="14">
        <f>ROUND((IF(Q780=1,INDEX(新属性投放!$K$14:$K$34,卡牌属性!R780),INDEX(新属性投放!$K$42:$K$62,卡牌属性!R780))+IF(Q780=1,INDEX(新属性投放!S$20:S$23,卡牌属性!M780-1),INDEX(新属性投放!S$25:S$28,卡牌属性!M780-1)))*INDEX($G$5:$G$42,L780),2)</f>
        <v>11170.33</v>
      </c>
      <c r="W780" s="29" t="s">
        <v>179</v>
      </c>
      <c r="X780" s="14">
        <f>ROUND((IF(Q780=1,INDEX(新属性投放!$L$14:$L$34,卡牌属性!R780),INDEX(新属性投放!$L$42:$L$62,卡牌属性!R780))*INDEX($G$5:$G$42,L780)+IF(Q780=1,INDEX(新属性投放!T$20:T$23,卡牌属性!M780-1),INDEX(新属性投放!T$25:T$28,卡牌属性!M780-1)))*SQRT(INDEX($I$5:$I$42,L780)),2)</f>
        <v>120218</v>
      </c>
      <c r="Y780" s="29" t="s">
        <v>177</v>
      </c>
      <c r="Z780" s="14">
        <f>ROUND(IF(Q780=1,INDEX(新属性投放!$D$14:$D$34,卡牌属性!R780),INDEX(新属性投放!$D$42:$D$62,卡牌属性!R780))*INDEX($G$5:$G$42,L780)/SQRT(INDEX($I$5:$I$42,L780)),2)</f>
        <v>555.74</v>
      </c>
      <c r="AA780" s="29" t="s">
        <v>178</v>
      </c>
      <c r="AB780" s="14">
        <f>ROUND(IF(Q780=1,INDEX(新属性投放!$E$14:$E$34,卡牌属性!R780),INDEX(新属性投放!$E$42:$E$62,卡牌属性!R780))*INDEX($G$5:$G$42,L780),2)</f>
        <v>277.87</v>
      </c>
      <c r="AC780" s="29" t="s">
        <v>179</v>
      </c>
      <c r="AD780" s="14">
        <f>ROUND(IF(Q780=1,INDEX(新属性投放!$F$14:$F$34,卡牌属性!R780),INDEX(新属性投放!$F$42:$F$62,卡牌属性!R780))*INDEX($G$5:$G$42,L780)*SQRT(INDEX($I$5:$I$42,L780)),2)</f>
        <v>2500</v>
      </c>
      <c r="AF780" s="14">
        <f t="shared" si="340"/>
        <v>5557</v>
      </c>
      <c r="AG780" s="14">
        <f t="shared" si="341"/>
        <v>2778</v>
      </c>
      <c r="AH780" s="14">
        <f t="shared" si="342"/>
        <v>25000</v>
      </c>
      <c r="AJ780" s="14">
        <f t="shared" si="332"/>
        <v>37966</v>
      </c>
      <c r="AK780" s="14">
        <f t="shared" si="333"/>
        <v>18979</v>
      </c>
      <c r="AL780" s="14">
        <f t="shared" si="334"/>
        <v>170790</v>
      </c>
    </row>
    <row r="781" spans="11:38" ht="16.5" x14ac:dyDescent="0.2">
      <c r="K781" s="13">
        <v>778</v>
      </c>
      <c r="L781" s="13">
        <f t="shared" si="335"/>
        <v>38</v>
      </c>
      <c r="M781" s="13">
        <f t="shared" si="343"/>
        <v>2</v>
      </c>
      <c r="N781" s="14">
        <f t="shared" si="336"/>
        <v>1102050</v>
      </c>
      <c r="O781" s="14" t="str">
        <f t="shared" si="337"/>
        <v>柠檬精1突</v>
      </c>
      <c r="P781" s="29" t="s">
        <v>470</v>
      </c>
      <c r="Q781" s="14">
        <f t="shared" si="338"/>
        <v>2</v>
      </c>
      <c r="R781" s="14">
        <f t="shared" si="339"/>
        <v>1</v>
      </c>
      <c r="S781" s="14" t="s">
        <v>39</v>
      </c>
      <c r="T781" s="14">
        <f>ROUND(((IF(Q781=1,INDEX(新属性投放!$J$14:$J$34,卡牌属性!R781),INDEX(新属性投放!$J$42:$J$62,卡牌属性!R781)))*INDEX($G$5:$G$42,L781)+IF(Q781=1,INDEX(新属性投放!R$20:R$23,卡牌属性!M781-1),INDEX(新属性投放!R$25:R$28,卡牌属性!M781-1)))/SQRT(INDEX($I$5:$I$42,L781)),2)</f>
        <v>350</v>
      </c>
      <c r="U781" s="29" t="s">
        <v>178</v>
      </c>
      <c r="V781" s="14">
        <f>ROUND((IF(Q781=1,INDEX(新属性投放!$K$14:$K$34,卡牌属性!R781),INDEX(新属性投放!$K$42:$K$62,卡牌属性!R781))+IF(Q781=1,INDEX(新属性投放!S$20:S$23,卡牌属性!M781-1),INDEX(新属性投放!S$25:S$28,卡牌属性!M781-1)))*INDEX($G$5:$G$42,L781),2)</f>
        <v>100</v>
      </c>
      <c r="W781" s="29" t="s">
        <v>179</v>
      </c>
      <c r="X781" s="14">
        <f>ROUND((IF(Q781=1,INDEX(新属性投放!$L$14:$L$34,卡牌属性!R781),INDEX(新属性投放!$L$42:$L$62,卡牌属性!R781))*INDEX($G$5:$G$42,L781)+IF(Q781=1,INDEX(新属性投放!T$20:T$23,卡牌属性!M781-1),INDEX(新属性投放!T$25:T$28,卡牌属性!M781-1)))*SQRT(INDEX($I$5:$I$42,L781)),2)</f>
        <v>750</v>
      </c>
      <c r="Y781" s="29" t="s">
        <v>177</v>
      </c>
      <c r="Z781" s="14">
        <f>ROUND(IF(Q781=1,INDEX(新属性投放!$D$14:$D$34,卡牌属性!R781),INDEX(新属性投放!$D$42:$D$62,卡牌属性!R781))*INDEX($G$5:$G$42,L781)/SQRT(INDEX($I$5:$I$42,L781)),2)</f>
        <v>15</v>
      </c>
      <c r="AA781" s="29" t="s">
        <v>178</v>
      </c>
      <c r="AB781" s="14">
        <f>ROUND(IF(Q781=1,INDEX(新属性投放!$E$14:$E$34,卡牌属性!R781),INDEX(新属性投放!$E$42:$E$62,卡牌属性!R781))*INDEX($G$5:$G$42,L781),2)</f>
        <v>7.5</v>
      </c>
      <c r="AC781" s="29" t="s">
        <v>179</v>
      </c>
      <c r="AD781" s="14">
        <f>ROUND(IF(Q781=1,INDEX(新属性投放!$F$14:$F$34,卡牌属性!R781),INDEX(新属性投放!$F$42:$F$62,卡牌属性!R781))*INDEX($G$5:$G$42,L781)*SQRT(INDEX($I$5:$I$42,L781)),2)</f>
        <v>67</v>
      </c>
      <c r="AF781" s="14">
        <f t="shared" si="340"/>
        <v>150</v>
      </c>
      <c r="AG781" s="14">
        <f t="shared" si="341"/>
        <v>75</v>
      </c>
      <c r="AH781" s="14">
        <f t="shared" si="342"/>
        <v>670</v>
      </c>
      <c r="AJ781" s="14">
        <f t="shared" ref="AJ781" si="344">AF781</f>
        <v>150</v>
      </c>
      <c r="AK781" s="14">
        <f t="shared" ref="AK781" si="345">AG781</f>
        <v>75</v>
      </c>
      <c r="AL781" s="14">
        <f t="shared" ref="AL781" si="346">AH781</f>
        <v>670</v>
      </c>
    </row>
    <row r="782" spans="11:38" ht="16.5" x14ac:dyDescent="0.2">
      <c r="K782" s="13">
        <v>779</v>
      </c>
      <c r="L782" s="13">
        <f t="shared" ref="L782:L801" si="347">MATCH(K782-1,$F$4:$F$41,1)</f>
        <v>38</v>
      </c>
      <c r="M782" s="13">
        <f t="shared" si="343"/>
        <v>2</v>
      </c>
      <c r="N782" s="14">
        <f t="shared" ref="N782:N801" si="348">INDEX($A$4:$A$42,L782+1)</f>
        <v>1102050</v>
      </c>
      <c r="O782" s="14" t="str">
        <f t="shared" ref="O782:O801" si="349">INDEX($B$4:$B$42,MATCH(N782,$A$4:$A$42,0))&amp;R782&amp;"突"</f>
        <v>柠檬精2突</v>
      </c>
      <c r="P782" s="29" t="s">
        <v>470</v>
      </c>
      <c r="Q782" s="14">
        <f t="shared" ref="Q782:Q801" si="350">INDEX($C$4:$C$42,L782+1)</f>
        <v>2</v>
      </c>
      <c r="R782" s="14">
        <f t="shared" ref="R782:R801" si="351">K782-INDEX($F$4:$F$42,L782)</f>
        <v>2</v>
      </c>
      <c r="S782" s="14" t="s">
        <v>39</v>
      </c>
      <c r="T782" s="14">
        <f>ROUND(((IF(Q782=1,INDEX(新属性投放!$J$14:$J$34,卡牌属性!R782),INDEX(新属性投放!$J$42:$J$62,卡牌属性!R782)))*INDEX($G$5:$G$42,L782)+IF(Q782=1,INDEX(新属性投放!R$20:R$23,卡牌属性!M782-1),INDEX(新属性投放!R$25:R$28,卡牌属性!M782-1)))/SQRT(INDEX($I$5:$I$42,L782)),2)</f>
        <v>510</v>
      </c>
      <c r="U782" s="29" t="s">
        <v>178</v>
      </c>
      <c r="V782" s="14">
        <f>ROUND((IF(Q782=1,INDEX(新属性投放!$K$14:$K$34,卡牌属性!R782),INDEX(新属性投放!$K$42:$K$62,卡牌属性!R782))+IF(Q782=1,INDEX(新属性投放!S$20:S$23,卡牌属性!M782-1),INDEX(新属性投放!S$25:S$28,卡牌属性!M782-1)))*INDEX($G$5:$G$42,L782),2)</f>
        <v>177.5</v>
      </c>
      <c r="W782" s="29" t="s">
        <v>179</v>
      </c>
      <c r="X782" s="14">
        <f>ROUND((IF(Q782=1,INDEX(新属性投放!$L$14:$L$34,卡牌属性!R782),INDEX(新属性投放!$L$42:$L$62,卡牌属性!R782))*INDEX($G$5:$G$42,L782)+IF(Q782=1,INDEX(新属性投放!T$20:T$23,卡牌属性!M782-1),INDEX(新属性投放!T$25:T$28,卡牌属性!M782-1)))*SQRT(INDEX($I$5:$I$42,L782)),2)</f>
        <v>1578</v>
      </c>
      <c r="Y782" s="29" t="s">
        <v>177</v>
      </c>
      <c r="Z782" s="14">
        <f>ROUND(IF(Q782=1,INDEX(新属性投放!$D$14:$D$34,卡牌属性!R782),INDEX(新属性投放!$D$42:$D$62,卡牌属性!R782))*INDEX($G$5:$G$42,L782)/SQRT(INDEX($I$5:$I$42,L782)),2)</f>
        <v>13.77</v>
      </c>
      <c r="AA782" s="29" t="s">
        <v>178</v>
      </c>
      <c r="AB782" s="14">
        <f>ROUND(IF(Q782=1,INDEX(新属性投放!$E$14:$E$34,卡牌属性!R782),INDEX(新属性投放!$E$42:$E$62,卡牌属性!R782))*INDEX($G$5:$G$42,L782),2)</f>
        <v>6.89</v>
      </c>
      <c r="AC782" s="29" t="s">
        <v>179</v>
      </c>
      <c r="AD782" s="14">
        <f>ROUND(IF(Q782=1,INDEX(新属性投放!$F$14:$F$34,卡牌属性!R782),INDEX(新属性投放!$F$42:$F$62,卡牌属性!R782))*INDEX($G$5:$G$42,L782)*SQRT(INDEX($I$5:$I$42,L782)),2)</f>
        <v>61</v>
      </c>
      <c r="AF782" s="14">
        <f t="shared" si="340"/>
        <v>137</v>
      </c>
      <c r="AG782" s="14">
        <f t="shared" si="341"/>
        <v>68</v>
      </c>
      <c r="AH782" s="14">
        <f t="shared" si="342"/>
        <v>610</v>
      </c>
      <c r="AJ782" s="14">
        <f t="shared" ref="AJ782:AJ801" si="352">AJ781+AF782</f>
        <v>287</v>
      </c>
      <c r="AK782" s="14">
        <f t="shared" ref="AK782:AK801" si="353">AK781+AG782</f>
        <v>143</v>
      </c>
      <c r="AL782" s="14">
        <f t="shared" ref="AL782:AL801" si="354">AL781+AH782</f>
        <v>1280</v>
      </c>
    </row>
    <row r="783" spans="11:38" ht="16.5" x14ac:dyDescent="0.2">
      <c r="K783" s="13">
        <v>780</v>
      </c>
      <c r="L783" s="13">
        <f t="shared" si="347"/>
        <v>38</v>
      </c>
      <c r="M783" s="13">
        <f t="shared" si="343"/>
        <v>2</v>
      </c>
      <c r="N783" s="14">
        <f t="shared" si="348"/>
        <v>1102050</v>
      </c>
      <c r="O783" s="14" t="str">
        <f t="shared" si="349"/>
        <v>柠檬精3突</v>
      </c>
      <c r="P783" s="29" t="s">
        <v>470</v>
      </c>
      <c r="Q783" s="14">
        <f t="shared" si="350"/>
        <v>2</v>
      </c>
      <c r="R783" s="14">
        <f t="shared" si="351"/>
        <v>3</v>
      </c>
      <c r="S783" s="14" t="s">
        <v>39</v>
      </c>
      <c r="T783" s="14">
        <f>ROUND(((IF(Q783=1,INDEX(新属性投放!$J$14:$J$34,卡牌属性!R783),INDEX(新属性投放!$J$42:$J$62,卡牌属性!R783)))*INDEX($G$5:$G$42,L783)+IF(Q783=1,INDEX(新属性投放!R$20:R$23,卡牌属性!M783-1),INDEX(新属性投放!R$25:R$28,卡牌属性!M783-1)))/SQRT(INDEX($I$5:$I$42,L783)),2)</f>
        <v>681.7</v>
      </c>
      <c r="U783" s="29" t="s">
        <v>178</v>
      </c>
      <c r="V783" s="14">
        <f>ROUND((IF(Q783=1,INDEX(新属性投放!$K$14:$K$34,卡牌属性!R783),INDEX(新属性投放!$K$42:$K$62,卡牌属性!R783))+IF(Q783=1,INDEX(新属性投放!S$20:S$23,卡牌属性!M783-1),INDEX(新属性投放!S$25:S$28,卡牌属性!M783-1)))*INDEX($G$5:$G$42,L783),2)</f>
        <v>263.35000000000002</v>
      </c>
      <c r="W783" s="29" t="s">
        <v>179</v>
      </c>
      <c r="X783" s="14">
        <f>ROUND((IF(Q783=1,INDEX(新属性投放!$L$14:$L$34,卡牌属性!R783),INDEX(新属性投放!$L$42:$L$62,卡牌属性!R783))*INDEX($G$5:$G$42,L783)+IF(Q783=1,INDEX(新属性投放!T$20:T$23,卡牌属性!M783-1),INDEX(新属性投放!T$25:T$28,卡牌属性!M783-1)))*SQRT(INDEX($I$5:$I$42,L783)),2)</f>
        <v>2494</v>
      </c>
      <c r="Y783" s="29" t="s">
        <v>177</v>
      </c>
      <c r="Z783" s="14">
        <f>ROUND(IF(Q783=1,INDEX(新属性投放!$D$14:$D$34,卡牌属性!R783),INDEX(新属性投放!$D$42:$D$62,卡牌属性!R783))*INDEX($G$5:$G$42,L783)/SQRT(INDEX($I$5:$I$42,L783)),2)</f>
        <v>25.17</v>
      </c>
      <c r="AA783" s="29" t="s">
        <v>178</v>
      </c>
      <c r="AB783" s="14">
        <f>ROUND(IF(Q783=1,INDEX(新属性投放!$E$14:$E$34,卡牌属性!R783),INDEX(新属性投放!$E$42:$E$62,卡牌属性!R783))*INDEX($G$5:$G$42,L783),2)</f>
        <v>12.59</v>
      </c>
      <c r="AC783" s="29" t="s">
        <v>179</v>
      </c>
      <c r="AD783" s="14">
        <f>ROUND(IF(Q783=1,INDEX(新属性投放!$F$14:$F$34,卡牌属性!R783),INDEX(新属性投放!$F$42:$F$62,卡牌属性!R783))*INDEX($G$5:$G$42,L783)*SQRT(INDEX($I$5:$I$42,L783)),2)</f>
        <v>113</v>
      </c>
      <c r="AF783" s="14">
        <f t="shared" si="340"/>
        <v>251</v>
      </c>
      <c r="AG783" s="14">
        <f t="shared" si="341"/>
        <v>125</v>
      </c>
      <c r="AH783" s="14">
        <f t="shared" si="342"/>
        <v>1130</v>
      </c>
      <c r="AJ783" s="14">
        <f t="shared" si="352"/>
        <v>538</v>
      </c>
      <c r="AK783" s="14">
        <f t="shared" si="353"/>
        <v>268</v>
      </c>
      <c r="AL783" s="14">
        <f t="shared" si="354"/>
        <v>2410</v>
      </c>
    </row>
    <row r="784" spans="11:38" ht="16.5" x14ac:dyDescent="0.2">
      <c r="K784" s="13">
        <v>781</v>
      </c>
      <c r="L784" s="13">
        <f t="shared" si="347"/>
        <v>38</v>
      </c>
      <c r="M784" s="13">
        <f t="shared" si="343"/>
        <v>2</v>
      </c>
      <c r="N784" s="14">
        <f t="shared" si="348"/>
        <v>1102050</v>
      </c>
      <c r="O784" s="14" t="str">
        <f t="shared" si="349"/>
        <v>柠檬精4突</v>
      </c>
      <c r="P784" s="29" t="s">
        <v>470</v>
      </c>
      <c r="Q784" s="14">
        <f t="shared" si="350"/>
        <v>2</v>
      </c>
      <c r="R784" s="14">
        <f t="shared" si="351"/>
        <v>4</v>
      </c>
      <c r="S784" s="14" t="s">
        <v>39</v>
      </c>
      <c r="T784" s="14">
        <f>ROUND(((IF(Q784=1,INDEX(新属性投放!$J$14:$J$34,卡牌属性!R784),INDEX(新属性投放!$J$42:$J$62,卡牌属性!R784)))*INDEX($G$5:$G$42,L784)+IF(Q784=1,INDEX(新属性投放!R$20:R$23,卡牌属性!M784-1),INDEX(新属性投放!R$25:R$28,卡牌属性!M784-1)))/SQRT(INDEX($I$5:$I$42,L784)),2)</f>
        <v>996.4</v>
      </c>
      <c r="U784" s="29" t="s">
        <v>178</v>
      </c>
      <c r="V784" s="14">
        <f>ROUND((IF(Q784=1,INDEX(新属性投放!$K$14:$K$34,卡牌属性!R784),INDEX(新属性投放!$K$42:$K$62,卡牌属性!R784))+IF(Q784=1,INDEX(新属性投放!S$20:S$23,卡牌属性!M784-1),INDEX(新属性投放!S$25:S$28,卡牌属性!M784-1)))*INDEX($G$5:$G$42,L784),2)</f>
        <v>420.2</v>
      </c>
      <c r="W784" s="29" t="s">
        <v>179</v>
      </c>
      <c r="X784" s="14">
        <f>ROUND((IF(Q784=1,INDEX(新属性投放!$L$14:$L$34,卡牌属性!R784),INDEX(新属性投放!$L$42:$L$62,卡牌属性!R784))*INDEX($G$5:$G$42,L784)+IF(Q784=1,INDEX(新属性投放!T$20:T$23,卡牌属性!M784-1),INDEX(新属性投放!T$25:T$28,卡牌属性!M784-1)))*SQRT(INDEX($I$5:$I$42,L784)),2)</f>
        <v>4191</v>
      </c>
      <c r="Y784" s="29" t="s">
        <v>177</v>
      </c>
      <c r="Z784" s="14">
        <f>ROUND(IF(Q784=1,INDEX(新属性投放!$D$14:$D$34,卡牌属性!R784),INDEX(新属性投放!$D$42:$D$62,卡牌属性!R784))*INDEX($G$5:$G$42,L784)/SQRT(INDEX($I$5:$I$42,L784)),2)</f>
        <v>30.13</v>
      </c>
      <c r="AA784" s="29" t="s">
        <v>178</v>
      </c>
      <c r="AB784" s="14">
        <f>ROUND(IF(Q784=1,INDEX(新属性投放!$E$14:$E$34,卡牌属性!R784),INDEX(新属性投放!$E$42:$E$62,卡牌属性!R784))*INDEX($G$5:$G$42,L784),2)</f>
        <v>15.07</v>
      </c>
      <c r="AC784" s="29" t="s">
        <v>179</v>
      </c>
      <c r="AD784" s="14">
        <f>ROUND(IF(Q784=1,INDEX(新属性投放!$F$14:$F$34,卡牌属性!R784),INDEX(新属性投放!$F$42:$F$62,卡牌属性!R784))*INDEX($G$5:$G$42,L784)*SQRT(INDEX($I$5:$I$42,L784)),2)</f>
        <v>135</v>
      </c>
      <c r="AF784" s="14">
        <f t="shared" si="340"/>
        <v>301</v>
      </c>
      <c r="AG784" s="14">
        <f t="shared" si="341"/>
        <v>150</v>
      </c>
      <c r="AH784" s="14">
        <f t="shared" si="342"/>
        <v>1350</v>
      </c>
      <c r="AJ784" s="14">
        <f t="shared" si="352"/>
        <v>839</v>
      </c>
      <c r="AK784" s="14">
        <f t="shared" si="353"/>
        <v>418</v>
      </c>
      <c r="AL784" s="14">
        <f t="shared" si="354"/>
        <v>3760</v>
      </c>
    </row>
    <row r="785" spans="11:38" ht="16.5" x14ac:dyDescent="0.2">
      <c r="K785" s="13">
        <v>782</v>
      </c>
      <c r="L785" s="13">
        <f t="shared" si="347"/>
        <v>38</v>
      </c>
      <c r="M785" s="13">
        <f t="shared" si="343"/>
        <v>2</v>
      </c>
      <c r="N785" s="14">
        <f t="shared" si="348"/>
        <v>1102050</v>
      </c>
      <c r="O785" s="14" t="str">
        <f t="shared" si="349"/>
        <v>柠檬精5突</v>
      </c>
      <c r="P785" s="29" t="s">
        <v>470</v>
      </c>
      <c r="Q785" s="14">
        <f t="shared" si="350"/>
        <v>2</v>
      </c>
      <c r="R785" s="14">
        <f t="shared" si="351"/>
        <v>5</v>
      </c>
      <c r="S785" s="14" t="s">
        <v>39</v>
      </c>
      <c r="T785" s="14">
        <f>ROUND(((IF(Q785=1,INDEX(新属性投放!$J$14:$J$34,卡牌属性!R785),INDEX(新属性投放!$J$42:$J$62,卡牌属性!R785)))*INDEX($G$5:$G$42,L785)+IF(Q785=1,INDEX(新属性投放!R$20:R$23,卡牌属性!M785-1),INDEX(新属性投放!R$25:R$28,卡牌属性!M785-1)))/SQRT(INDEX($I$5:$I$42,L785)),2)</f>
        <v>1372.7</v>
      </c>
      <c r="U785" s="29" t="s">
        <v>178</v>
      </c>
      <c r="V785" s="14">
        <f>ROUND((IF(Q785=1,INDEX(新属性投放!$K$14:$K$34,卡牌属性!R785),INDEX(新属性投放!$K$42:$K$62,卡牌属性!R785))+IF(Q785=1,INDEX(新属性投放!S$20:S$23,卡牌属性!M785-1),INDEX(新属性投放!S$25:S$28,卡牌属性!M785-1)))*INDEX($G$5:$G$42,L785),2)</f>
        <v>608.85</v>
      </c>
      <c r="W785" s="29" t="s">
        <v>179</v>
      </c>
      <c r="X785" s="14">
        <f>ROUND((IF(Q785=1,INDEX(新属性投放!$L$14:$L$34,卡牌属性!R785),INDEX(新属性投放!$L$42:$L$62,卡牌属性!R785))*INDEX($G$5:$G$42,L785)+IF(Q785=1,INDEX(新属性投放!T$20:T$23,卡牌属性!M785-1),INDEX(新属性投放!T$25:T$28,卡牌属性!M785-1)))*SQRT(INDEX($I$5:$I$42,L785)),2)</f>
        <v>6216</v>
      </c>
      <c r="Y785" s="29" t="s">
        <v>177</v>
      </c>
      <c r="Z785" s="14">
        <f>ROUND(IF(Q785=1,INDEX(新属性投放!$D$14:$D$34,卡牌属性!R785),INDEX(新属性投放!$D$42:$D$62,卡牌属性!R785))*INDEX($G$5:$G$42,L785)/SQRT(INDEX($I$5:$I$42,L785)),2)</f>
        <v>37.659999999999997</v>
      </c>
      <c r="AA785" s="29" t="s">
        <v>178</v>
      </c>
      <c r="AB785" s="14">
        <f>ROUND(IF(Q785=1,INDEX(新属性投放!$E$14:$E$34,卡牌属性!R785),INDEX(新属性投放!$E$42:$E$62,卡牌属性!R785))*INDEX($G$5:$G$42,L785),2)</f>
        <v>18.829999999999998</v>
      </c>
      <c r="AC785" s="29" t="s">
        <v>179</v>
      </c>
      <c r="AD785" s="14">
        <f>ROUND(IF(Q785=1,INDEX(新属性投放!$F$14:$F$34,卡牌属性!R785),INDEX(新属性投放!$F$42:$F$62,卡牌属性!R785))*INDEX($G$5:$G$42,L785)*SQRT(INDEX($I$5:$I$42,L785)),2)</f>
        <v>169</v>
      </c>
      <c r="AF785" s="14">
        <f t="shared" si="340"/>
        <v>376</v>
      </c>
      <c r="AG785" s="14">
        <f t="shared" si="341"/>
        <v>188</v>
      </c>
      <c r="AH785" s="14">
        <f t="shared" si="342"/>
        <v>1690</v>
      </c>
      <c r="AJ785" s="14">
        <f t="shared" si="352"/>
        <v>1215</v>
      </c>
      <c r="AK785" s="14">
        <f t="shared" si="353"/>
        <v>606</v>
      </c>
      <c r="AL785" s="14">
        <f t="shared" si="354"/>
        <v>5450</v>
      </c>
    </row>
    <row r="786" spans="11:38" ht="16.5" x14ac:dyDescent="0.2">
      <c r="K786" s="13">
        <v>783</v>
      </c>
      <c r="L786" s="13">
        <f t="shared" si="347"/>
        <v>38</v>
      </c>
      <c r="M786" s="13">
        <f t="shared" si="343"/>
        <v>2</v>
      </c>
      <c r="N786" s="14">
        <f t="shared" si="348"/>
        <v>1102050</v>
      </c>
      <c r="O786" s="14" t="str">
        <f t="shared" si="349"/>
        <v>柠檬精6突</v>
      </c>
      <c r="P786" s="29" t="s">
        <v>470</v>
      </c>
      <c r="Q786" s="14">
        <f t="shared" si="350"/>
        <v>2</v>
      </c>
      <c r="R786" s="14">
        <f t="shared" si="351"/>
        <v>6</v>
      </c>
      <c r="S786" s="14" t="s">
        <v>39</v>
      </c>
      <c r="T786" s="14">
        <f>ROUND(((IF(Q786=1,INDEX(新属性投放!$J$14:$J$34,卡牌属性!R786),INDEX(新属性投放!$J$42:$J$62,卡牌属性!R786)))*INDEX($G$5:$G$42,L786)+IF(Q786=1,INDEX(新属性投放!R$20:R$23,卡牌属性!M786-1),INDEX(新属性投放!R$25:R$28,卡牌属性!M786-1)))/SQRT(INDEX($I$5:$I$42,L786)),2)</f>
        <v>1843.3</v>
      </c>
      <c r="U786" s="29" t="s">
        <v>178</v>
      </c>
      <c r="V786" s="14">
        <f>ROUND((IF(Q786=1,INDEX(新属性投放!$K$14:$K$34,卡牌属性!R786),INDEX(新属性投放!$K$42:$K$62,卡牌属性!R786))+IF(Q786=1,INDEX(新属性投放!S$20:S$23,卡牌属性!M786-1),INDEX(新属性投放!S$25:S$28,卡牌属性!M786-1)))*INDEX($G$5:$G$42,L786),2)</f>
        <v>844.15</v>
      </c>
      <c r="W786" s="29" t="s">
        <v>179</v>
      </c>
      <c r="X786" s="14">
        <f>ROUND((IF(Q786=1,INDEX(新属性投放!$L$14:$L$34,卡牌属性!R786),INDEX(新属性投放!$L$42:$L$62,卡牌属性!R786))*INDEX($G$5:$G$42,L786)+IF(Q786=1,INDEX(新属性投放!T$20:T$23,卡牌属性!M786-1),INDEX(新属性投放!T$25:T$28,卡牌属性!M786-1)))*SQRT(INDEX($I$5:$I$42,L786)),2)</f>
        <v>8752</v>
      </c>
      <c r="Y786" s="29" t="s">
        <v>177</v>
      </c>
      <c r="Z786" s="14">
        <f>ROUND(IF(Q786=1,INDEX(新属性投放!$D$14:$D$34,卡牌属性!R786),INDEX(新属性投放!$D$42:$D$62,卡牌属性!R786))*INDEX($G$5:$G$42,L786)/SQRT(INDEX($I$5:$I$42,L786)),2)</f>
        <v>48.85</v>
      </c>
      <c r="AA786" s="29" t="s">
        <v>178</v>
      </c>
      <c r="AB786" s="14">
        <f>ROUND(IF(Q786=1,INDEX(新属性投放!$E$14:$E$34,卡牌属性!R786),INDEX(新属性投放!$E$42:$E$62,卡牌属性!R786))*INDEX($G$5:$G$42,L786),2)</f>
        <v>24.43</v>
      </c>
      <c r="AC786" s="29" t="s">
        <v>179</v>
      </c>
      <c r="AD786" s="14">
        <f>ROUND(IF(Q786=1,INDEX(新属性投放!$F$14:$F$34,卡牌属性!R786),INDEX(新属性投放!$F$42:$F$62,卡牌属性!R786))*INDEX($G$5:$G$42,L786)*SQRT(INDEX($I$5:$I$42,L786)),2)</f>
        <v>219</v>
      </c>
      <c r="AF786" s="14">
        <f t="shared" si="340"/>
        <v>488</v>
      </c>
      <c r="AG786" s="14">
        <f t="shared" si="341"/>
        <v>244</v>
      </c>
      <c r="AH786" s="14">
        <f t="shared" si="342"/>
        <v>2190</v>
      </c>
      <c r="AJ786" s="14">
        <f t="shared" si="352"/>
        <v>1703</v>
      </c>
      <c r="AK786" s="14">
        <f t="shared" si="353"/>
        <v>850</v>
      </c>
      <c r="AL786" s="14">
        <f t="shared" si="354"/>
        <v>7640</v>
      </c>
    </row>
    <row r="787" spans="11:38" ht="16.5" x14ac:dyDescent="0.2">
      <c r="K787" s="13">
        <v>784</v>
      </c>
      <c r="L787" s="13">
        <f t="shared" si="347"/>
        <v>38</v>
      </c>
      <c r="M787" s="13">
        <f t="shared" si="343"/>
        <v>2</v>
      </c>
      <c r="N787" s="14">
        <f t="shared" si="348"/>
        <v>1102050</v>
      </c>
      <c r="O787" s="14" t="str">
        <f t="shared" si="349"/>
        <v>柠檬精7突</v>
      </c>
      <c r="P787" s="29" t="s">
        <v>470</v>
      </c>
      <c r="Q787" s="14">
        <f t="shared" si="350"/>
        <v>2</v>
      </c>
      <c r="R787" s="14">
        <f t="shared" si="351"/>
        <v>7</v>
      </c>
      <c r="S787" s="14" t="s">
        <v>39</v>
      </c>
      <c r="T787" s="14">
        <f>ROUND(((IF(Q787=1,INDEX(新属性投放!$J$14:$J$34,卡牌属性!R787),INDEX(新属性投放!$J$42:$J$62,卡牌属性!R787)))*INDEX($G$5:$G$42,L787)+IF(Q787=1,INDEX(新属性投放!R$20:R$23,卡牌属性!M787-1),INDEX(新属性投放!R$25:R$28,卡牌属性!M787-1)))/SQRT(INDEX($I$5:$I$42,L787)),2)</f>
        <v>2453.8000000000002</v>
      </c>
      <c r="U787" s="29" t="s">
        <v>178</v>
      </c>
      <c r="V787" s="14">
        <f>ROUND((IF(Q787=1,INDEX(新属性投放!$K$14:$K$34,卡牌属性!R787),INDEX(新属性投放!$K$42:$K$62,卡牌属性!R787))+IF(Q787=1,INDEX(新属性投放!S$20:S$23,卡牌属性!M787-1),INDEX(新属性投放!S$25:S$28,卡牌属性!M787-1)))*INDEX($G$5:$G$42,L787),2)</f>
        <v>1149.4000000000001</v>
      </c>
      <c r="W787" s="29" t="s">
        <v>179</v>
      </c>
      <c r="X787" s="14">
        <f>ROUND((IF(Q787=1,INDEX(新属性投放!$L$14:$L$34,卡牌属性!R787),INDEX(新属性投放!$L$42:$L$62,卡牌属性!R787))*INDEX($G$5:$G$42,L787)+IF(Q787=1,INDEX(新属性投放!T$20:T$23,卡牌属性!M787-1),INDEX(新属性投放!T$25:T$28,卡牌属性!M787-1)))*SQRT(INDEX($I$5:$I$42,L787)),2)</f>
        <v>12040</v>
      </c>
      <c r="Y787" s="29" t="s">
        <v>177</v>
      </c>
      <c r="Z787" s="14">
        <f>ROUND(IF(Q787=1,INDEX(新属性投放!$D$14:$D$34,卡牌属性!R787),INDEX(新属性投放!$D$42:$D$62,卡牌属性!R787))*INDEX($G$5:$G$42,L787)/SQRT(INDEX($I$5:$I$42,L787)),2)</f>
        <v>60.19</v>
      </c>
      <c r="AA787" s="29" t="s">
        <v>178</v>
      </c>
      <c r="AB787" s="14">
        <f>ROUND(IF(Q787=1,INDEX(新属性投放!$E$14:$E$34,卡牌属性!R787),INDEX(新属性投放!$E$42:$E$62,卡牌属性!R787))*INDEX($G$5:$G$42,L787),2)</f>
        <v>30.1</v>
      </c>
      <c r="AC787" s="29" t="s">
        <v>179</v>
      </c>
      <c r="AD787" s="14">
        <f>ROUND(IF(Q787=1,INDEX(新属性投放!$F$14:$F$34,卡牌属性!R787),INDEX(新属性投放!$F$42:$F$62,卡牌属性!R787))*INDEX($G$5:$G$42,L787)*SQRT(INDEX($I$5:$I$42,L787)),2)</f>
        <v>270</v>
      </c>
      <c r="AF787" s="14">
        <f t="shared" si="340"/>
        <v>601</v>
      </c>
      <c r="AG787" s="14">
        <f t="shared" si="341"/>
        <v>301</v>
      </c>
      <c r="AH787" s="14">
        <f t="shared" si="342"/>
        <v>2700</v>
      </c>
      <c r="AJ787" s="14">
        <f t="shared" si="352"/>
        <v>2304</v>
      </c>
      <c r="AK787" s="14">
        <f t="shared" si="353"/>
        <v>1151</v>
      </c>
      <c r="AL787" s="14">
        <f t="shared" si="354"/>
        <v>10340</v>
      </c>
    </row>
    <row r="788" spans="11:38" ht="16.5" x14ac:dyDescent="0.2">
      <c r="K788" s="13">
        <v>785</v>
      </c>
      <c r="L788" s="13">
        <f t="shared" si="347"/>
        <v>38</v>
      </c>
      <c r="M788" s="13">
        <f t="shared" si="343"/>
        <v>2</v>
      </c>
      <c r="N788" s="14">
        <f t="shared" si="348"/>
        <v>1102050</v>
      </c>
      <c r="O788" s="14" t="str">
        <f t="shared" si="349"/>
        <v>柠檬精8突</v>
      </c>
      <c r="P788" s="29" t="s">
        <v>470</v>
      </c>
      <c r="Q788" s="14">
        <f t="shared" si="350"/>
        <v>2</v>
      </c>
      <c r="R788" s="14">
        <f t="shared" si="351"/>
        <v>8</v>
      </c>
      <c r="S788" s="14" t="s">
        <v>39</v>
      </c>
      <c r="T788" s="14">
        <f>ROUND(((IF(Q788=1,INDEX(新属性投放!$J$14:$J$34,卡牌属性!R788),INDEX(新属性投放!$J$42:$J$62,卡牌属性!R788)))*INDEX($G$5:$G$42,L788)+IF(Q788=1,INDEX(新属性投放!R$20:R$23,卡牌属性!M788-1),INDEX(新属性投放!R$25:R$28,卡牌属性!M788-1)))/SQRT(INDEX($I$5:$I$42,L788)),2)</f>
        <v>3205.7</v>
      </c>
      <c r="U788" s="29" t="s">
        <v>178</v>
      </c>
      <c r="V788" s="14">
        <f>ROUND((IF(Q788=1,INDEX(新属性投放!$K$14:$K$34,卡牌属性!R788),INDEX(新属性投放!$K$42:$K$62,卡牌属性!R788))+IF(Q788=1,INDEX(新属性投放!S$20:S$23,卡牌属性!M788-1),INDEX(新属性投放!S$25:S$28,卡牌属性!M788-1)))*INDEX($G$5:$G$42,L788),2)</f>
        <v>1525.35</v>
      </c>
      <c r="W788" s="29" t="s">
        <v>179</v>
      </c>
      <c r="X788" s="14">
        <f>ROUND((IF(Q788=1,INDEX(新属性投放!$L$14:$L$34,卡牌属性!R788),INDEX(新属性投放!$L$42:$L$62,卡牌属性!R788))*INDEX($G$5:$G$42,L788)+IF(Q788=1,INDEX(新属性投放!T$20:T$23,卡牌属性!M788-1),INDEX(新属性投放!T$25:T$28,卡牌属性!M788-1)))*SQRT(INDEX($I$5:$I$42,L788)),2)</f>
        <v>16090</v>
      </c>
      <c r="Y788" s="29" t="s">
        <v>177</v>
      </c>
      <c r="Z788" s="14">
        <f>ROUND(IF(Q788=1,INDEX(新属性投放!$D$14:$D$34,卡牌属性!R788),INDEX(新属性投放!$D$42:$D$62,卡牌属性!R788))*INDEX($G$5:$G$42,L788)/SQRT(INDEX($I$5:$I$42,L788)),2)</f>
        <v>75.19</v>
      </c>
      <c r="AA788" s="29" t="s">
        <v>178</v>
      </c>
      <c r="AB788" s="14">
        <f>ROUND(IF(Q788=1,INDEX(新属性投放!$E$14:$E$34,卡牌属性!R788),INDEX(新属性投放!$E$42:$E$62,卡牌属性!R788))*INDEX($G$5:$G$42,L788),2)</f>
        <v>37.6</v>
      </c>
      <c r="AC788" s="29" t="s">
        <v>179</v>
      </c>
      <c r="AD788" s="14">
        <f>ROUND(IF(Q788=1,INDEX(新属性投放!$F$14:$F$34,卡牌属性!R788),INDEX(新属性投放!$F$42:$F$62,卡牌属性!R788))*INDEX($G$5:$G$42,L788)*SQRT(INDEX($I$5:$I$42,L788)),2)</f>
        <v>338</v>
      </c>
      <c r="AF788" s="14">
        <f t="shared" si="340"/>
        <v>751</v>
      </c>
      <c r="AG788" s="14">
        <f t="shared" si="341"/>
        <v>376</v>
      </c>
      <c r="AH788" s="14">
        <f t="shared" si="342"/>
        <v>3380</v>
      </c>
      <c r="AJ788" s="14">
        <f t="shared" si="352"/>
        <v>3055</v>
      </c>
      <c r="AK788" s="14">
        <f t="shared" si="353"/>
        <v>1527</v>
      </c>
      <c r="AL788" s="14">
        <f t="shared" si="354"/>
        <v>13720</v>
      </c>
    </row>
    <row r="789" spans="11:38" ht="16.5" x14ac:dyDescent="0.2">
      <c r="K789" s="13">
        <v>786</v>
      </c>
      <c r="L789" s="13">
        <f t="shared" si="347"/>
        <v>38</v>
      </c>
      <c r="M789" s="13">
        <f t="shared" si="343"/>
        <v>2</v>
      </c>
      <c r="N789" s="14">
        <f t="shared" si="348"/>
        <v>1102050</v>
      </c>
      <c r="O789" s="14" t="str">
        <f t="shared" si="349"/>
        <v>柠檬精9突</v>
      </c>
      <c r="P789" s="29" t="s">
        <v>470</v>
      </c>
      <c r="Q789" s="14">
        <f t="shared" si="350"/>
        <v>2</v>
      </c>
      <c r="R789" s="14">
        <f t="shared" si="351"/>
        <v>9</v>
      </c>
      <c r="S789" s="14" t="s">
        <v>39</v>
      </c>
      <c r="T789" s="14">
        <f>ROUND(((IF(Q789=1,INDEX(新属性投放!$J$14:$J$34,卡牌属性!R789),INDEX(新属性投放!$J$42:$J$62,卡牌属性!R789)))*INDEX($G$5:$G$42,L789)+IF(Q789=1,INDEX(新属性投放!R$20:R$23,卡牌属性!M789-1),INDEX(新属性投放!R$25:R$28,卡牌属性!M789-1)))/SQRT(INDEX($I$5:$I$42,L789)),2)</f>
        <v>4145.6000000000004</v>
      </c>
      <c r="U789" s="29" t="s">
        <v>178</v>
      </c>
      <c r="V789" s="14">
        <f>ROUND((IF(Q789=1,INDEX(新属性投放!$K$14:$K$34,卡牌属性!R789),INDEX(新属性投放!$K$42:$K$62,卡牌属性!R789))+IF(Q789=1,INDEX(新属性投放!S$20:S$23,卡牌属性!M789-1),INDEX(新属性投放!S$25:S$28,卡牌属性!M789-1)))*INDEX($G$5:$G$42,L789),2)</f>
        <v>1995.3</v>
      </c>
      <c r="W789" s="29" t="s">
        <v>179</v>
      </c>
      <c r="X789" s="14">
        <f>ROUND((IF(Q789=1,INDEX(新属性投放!$L$14:$L$34,卡牌属性!R789),INDEX(新属性投放!$L$42:$L$62,卡牌属性!R789))*INDEX($G$5:$G$42,L789)+IF(Q789=1,INDEX(新属性投放!T$20:T$23,卡牌属性!M789-1),INDEX(新属性投放!T$25:T$28,卡牌属性!M789-1)))*SQRT(INDEX($I$5:$I$42,L789)),2)</f>
        <v>21162</v>
      </c>
      <c r="Y789" s="29" t="s">
        <v>177</v>
      </c>
      <c r="Z789" s="14">
        <f>ROUND(IF(Q789=1,INDEX(新属性投放!$D$14:$D$34,卡牌属性!R789),INDEX(新属性投放!$D$42:$D$62,卡牌属性!R789))*INDEX($G$5:$G$42,L789)/SQRT(INDEX($I$5:$I$42,L789)),2)</f>
        <v>97.79</v>
      </c>
      <c r="AA789" s="29" t="s">
        <v>178</v>
      </c>
      <c r="AB789" s="14">
        <f>ROUND(IF(Q789=1,INDEX(新属性投放!$E$14:$E$34,卡牌属性!R789),INDEX(新属性投放!$E$42:$E$62,卡牌属性!R789))*INDEX($G$5:$G$42,L789),2)</f>
        <v>48.9</v>
      </c>
      <c r="AC789" s="29" t="s">
        <v>179</v>
      </c>
      <c r="AD789" s="14">
        <f>ROUND(IF(Q789=1,INDEX(新属性投放!$F$14:$F$34,卡牌属性!R789),INDEX(新属性投放!$F$42:$F$62,卡牌属性!R789))*INDEX($G$5:$G$42,L789)*SQRT(INDEX($I$5:$I$42,L789)),2)</f>
        <v>440</v>
      </c>
      <c r="AF789" s="14">
        <f t="shared" si="340"/>
        <v>977</v>
      </c>
      <c r="AG789" s="14">
        <f t="shared" si="341"/>
        <v>489</v>
      </c>
      <c r="AH789" s="14">
        <f t="shared" si="342"/>
        <v>4400</v>
      </c>
      <c r="AJ789" s="14">
        <f t="shared" si="352"/>
        <v>4032</v>
      </c>
      <c r="AK789" s="14">
        <f t="shared" si="353"/>
        <v>2016</v>
      </c>
      <c r="AL789" s="14">
        <f t="shared" si="354"/>
        <v>18120</v>
      </c>
    </row>
    <row r="790" spans="11:38" ht="16.5" x14ac:dyDescent="0.2">
      <c r="K790" s="13">
        <v>787</v>
      </c>
      <c r="L790" s="13">
        <f t="shared" si="347"/>
        <v>38</v>
      </c>
      <c r="M790" s="13">
        <f t="shared" si="343"/>
        <v>2</v>
      </c>
      <c r="N790" s="14">
        <f t="shared" si="348"/>
        <v>1102050</v>
      </c>
      <c r="O790" s="14" t="str">
        <f t="shared" si="349"/>
        <v>柠檬精10突</v>
      </c>
      <c r="P790" s="29" t="s">
        <v>470</v>
      </c>
      <c r="Q790" s="14">
        <f t="shared" si="350"/>
        <v>2</v>
      </c>
      <c r="R790" s="14">
        <f t="shared" si="351"/>
        <v>10</v>
      </c>
      <c r="S790" s="14" t="s">
        <v>39</v>
      </c>
      <c r="T790" s="14">
        <f>ROUND(((IF(Q790=1,INDEX(新属性投放!$J$14:$J$34,卡牌属性!R790),INDEX(新属性投放!$J$42:$J$62,卡牌属性!R790)))*INDEX($G$5:$G$42,L790)+IF(Q790=1,INDEX(新属性投放!R$20:R$23,卡牌属性!M790-1),INDEX(新属性投放!R$25:R$28,卡牌属性!M790-1)))/SQRT(INDEX($I$5:$I$42,L790)),2)</f>
        <v>4756.55</v>
      </c>
      <c r="U790" s="29" t="s">
        <v>178</v>
      </c>
      <c r="V790" s="14">
        <f>ROUND((IF(Q790=1,INDEX(新属性投放!$K$14:$K$34,卡牌属性!R790),INDEX(新属性投放!$K$42:$K$62,卡牌属性!R790))+IF(Q790=1,INDEX(新属性投放!S$20:S$23,卡牌属性!M790-1),INDEX(新属性投放!S$25:S$28,卡牌属性!M790-1)))*INDEX($G$5:$G$42,L790),2)</f>
        <v>2300.7800000000002</v>
      </c>
      <c r="W790" s="29" t="s">
        <v>179</v>
      </c>
      <c r="X790" s="14">
        <f>ROUND((IF(Q790=1,INDEX(新属性投放!$L$14:$L$34,卡牌属性!R790),INDEX(新属性投放!$L$42:$L$62,卡牌属性!R790))*INDEX($G$5:$G$42,L790)+IF(Q790=1,INDEX(新属性投放!T$20:T$23,卡牌属性!M790-1),INDEX(新属性投放!T$25:T$28,卡牌属性!M790-1)))*SQRT(INDEX($I$5:$I$42,L790)),2)</f>
        <v>24460</v>
      </c>
      <c r="Y790" s="29" t="s">
        <v>177</v>
      </c>
      <c r="Z790" s="14">
        <f>ROUND(IF(Q790=1,INDEX(新属性投放!$D$14:$D$34,卡牌属性!R790),INDEX(新属性投放!$D$42:$D$62,卡牌属性!R790))*INDEX($G$5:$G$42,L790)/SQRT(INDEX($I$5:$I$42,L790)),2)</f>
        <v>112.83</v>
      </c>
      <c r="AA790" s="29" t="s">
        <v>178</v>
      </c>
      <c r="AB790" s="14">
        <f>ROUND(IF(Q790=1,INDEX(新属性投放!$E$14:$E$34,卡牌属性!R790),INDEX(新属性投放!$E$42:$E$62,卡牌属性!R790))*INDEX($G$5:$G$42,L790),2)</f>
        <v>56.42</v>
      </c>
      <c r="AC790" s="29" t="s">
        <v>179</v>
      </c>
      <c r="AD790" s="14">
        <f>ROUND(IF(Q790=1,INDEX(新属性投放!$F$14:$F$34,卡牌属性!R790),INDEX(新属性投放!$F$42:$F$62,卡牌属性!R790))*INDEX($G$5:$G$42,L790)*SQRT(INDEX($I$5:$I$42,L790)),2)</f>
        <v>507</v>
      </c>
      <c r="AF790" s="14">
        <f t="shared" si="340"/>
        <v>1128</v>
      </c>
      <c r="AG790" s="14">
        <f t="shared" si="341"/>
        <v>564</v>
      </c>
      <c r="AH790" s="14">
        <f t="shared" si="342"/>
        <v>5070</v>
      </c>
      <c r="AJ790" s="14">
        <f t="shared" si="352"/>
        <v>5160</v>
      </c>
      <c r="AK790" s="14">
        <f t="shared" si="353"/>
        <v>2580</v>
      </c>
      <c r="AL790" s="14">
        <f t="shared" si="354"/>
        <v>23190</v>
      </c>
    </row>
    <row r="791" spans="11:38" ht="16.5" x14ac:dyDescent="0.2">
      <c r="K791" s="13">
        <v>788</v>
      </c>
      <c r="L791" s="13">
        <f t="shared" si="347"/>
        <v>38</v>
      </c>
      <c r="M791" s="13">
        <f t="shared" si="343"/>
        <v>2</v>
      </c>
      <c r="N791" s="14">
        <f t="shared" si="348"/>
        <v>1102050</v>
      </c>
      <c r="O791" s="14" t="str">
        <f t="shared" si="349"/>
        <v>柠檬精11突</v>
      </c>
      <c r="P791" s="29" t="s">
        <v>470</v>
      </c>
      <c r="Q791" s="14">
        <f t="shared" si="350"/>
        <v>2</v>
      </c>
      <c r="R791" s="14">
        <f t="shared" si="351"/>
        <v>11</v>
      </c>
      <c r="S791" s="14" t="s">
        <v>39</v>
      </c>
      <c r="T791" s="14">
        <f>ROUND(((IF(Q791=1,INDEX(新属性投放!$J$14:$J$34,卡牌属性!R791),INDEX(新属性投放!$J$42:$J$62,卡牌属性!R791)))*INDEX($G$5:$G$42,L791)+IF(Q791=1,INDEX(新属性投放!R$20:R$23,卡牌属性!M791-1),INDEX(新属性投放!R$25:R$28,卡牌属性!M791-1)))/SQRT(INDEX($I$5:$I$42,L791)),2)</f>
        <v>5461.7</v>
      </c>
      <c r="U791" s="29" t="s">
        <v>178</v>
      </c>
      <c r="V791" s="14">
        <f>ROUND((IF(Q791=1,INDEX(新属性投放!$K$14:$K$34,卡牌属性!R791),INDEX(新属性投放!$K$42:$K$62,卡牌属性!R791))+IF(Q791=1,INDEX(新属性投放!S$20:S$23,卡牌属性!M791-1),INDEX(新属性投放!S$25:S$28,卡牌属性!M791-1)))*INDEX($G$5:$G$42,L791),2)</f>
        <v>2653.85</v>
      </c>
      <c r="W791" s="29" t="s">
        <v>179</v>
      </c>
      <c r="X791" s="14">
        <f>ROUND((IF(Q791=1,INDEX(新属性投放!$L$14:$L$34,卡牌属性!R791),INDEX(新属性投放!$L$42:$L$62,卡牌属性!R791))*INDEX($G$5:$G$42,L791)+IF(Q791=1,INDEX(新属性投放!T$20:T$23,卡牌属性!M791-1),INDEX(新属性投放!T$25:T$28,卡牌属性!M791-1)))*SQRT(INDEX($I$5:$I$42,L791)),2)</f>
        <v>28264</v>
      </c>
      <c r="Y791" s="29" t="s">
        <v>177</v>
      </c>
      <c r="Z791" s="14">
        <f>ROUND(IF(Q791=1,INDEX(新属性投放!$D$14:$D$34,卡牌属性!R791),INDEX(新属性投放!$D$42:$D$62,卡牌属性!R791))*INDEX($G$5:$G$42,L791)/SQRT(INDEX($I$5:$I$42,L791)),2)</f>
        <v>131.58000000000001</v>
      </c>
      <c r="AA791" s="29" t="s">
        <v>178</v>
      </c>
      <c r="AB791" s="14">
        <f>ROUND(IF(Q791=1,INDEX(新属性投放!$E$14:$E$34,卡牌属性!R791),INDEX(新属性投放!$E$42:$E$62,卡牌属性!R791))*INDEX($G$5:$G$42,L791),2)</f>
        <v>65.790000000000006</v>
      </c>
      <c r="AC791" s="29" t="s">
        <v>179</v>
      </c>
      <c r="AD791" s="14">
        <f>ROUND(IF(Q791=1,INDEX(新属性投放!$F$14:$F$34,卡牌属性!R791),INDEX(新属性投放!$F$42:$F$62,卡牌属性!R791))*INDEX($G$5:$G$42,L791)*SQRT(INDEX($I$5:$I$42,L791)),2)</f>
        <v>592</v>
      </c>
      <c r="AF791" s="14">
        <f t="shared" si="340"/>
        <v>1315</v>
      </c>
      <c r="AG791" s="14">
        <f t="shared" si="341"/>
        <v>657</v>
      </c>
      <c r="AH791" s="14">
        <f t="shared" si="342"/>
        <v>5920</v>
      </c>
      <c r="AJ791" s="14">
        <f t="shared" si="352"/>
        <v>6475</v>
      </c>
      <c r="AK791" s="14">
        <f t="shared" si="353"/>
        <v>3237</v>
      </c>
      <c r="AL791" s="14">
        <f t="shared" si="354"/>
        <v>29110</v>
      </c>
    </row>
    <row r="792" spans="11:38" ht="16.5" x14ac:dyDescent="0.2">
      <c r="K792" s="13">
        <v>789</v>
      </c>
      <c r="L792" s="13">
        <f t="shared" si="347"/>
        <v>38</v>
      </c>
      <c r="M792" s="13">
        <f t="shared" si="343"/>
        <v>2</v>
      </c>
      <c r="N792" s="14">
        <f t="shared" si="348"/>
        <v>1102050</v>
      </c>
      <c r="O792" s="14" t="str">
        <f t="shared" si="349"/>
        <v>柠檬精12突</v>
      </c>
      <c r="P792" s="29" t="s">
        <v>470</v>
      </c>
      <c r="Q792" s="14">
        <f t="shared" si="350"/>
        <v>2</v>
      </c>
      <c r="R792" s="14">
        <f t="shared" si="351"/>
        <v>12</v>
      </c>
      <c r="S792" s="14" t="s">
        <v>39</v>
      </c>
      <c r="T792" s="14">
        <f>ROUND(((IF(Q792=1,INDEX(新属性投放!$J$14:$J$34,卡牌属性!R792),INDEX(新属性投放!$J$42:$J$62,卡牌属性!R792)))*INDEX($G$5:$G$42,L792)+IF(Q792=1,INDEX(新属性投放!R$20:R$23,卡牌属性!M792-1),INDEX(新属性投放!R$25:R$28,卡牌属性!M792-1)))/SQRT(INDEX($I$5:$I$42,L792)),2)</f>
        <v>6283.6</v>
      </c>
      <c r="U792" s="29" t="s">
        <v>178</v>
      </c>
      <c r="V792" s="14">
        <f>ROUND((IF(Q792=1,INDEX(新属性投放!$K$14:$K$34,卡牌属性!R792),INDEX(新属性投放!$K$42:$K$62,卡牌属性!R792))+IF(Q792=1,INDEX(新属性投放!S$20:S$23,卡牌属性!M792-1),INDEX(新属性投放!S$25:S$28,卡牌属性!M792-1)))*INDEX($G$5:$G$42,L792),2)</f>
        <v>3064.8</v>
      </c>
      <c r="W792" s="29" t="s">
        <v>179</v>
      </c>
      <c r="X792" s="14">
        <f>ROUND((IF(Q792=1,INDEX(新属性投放!$L$14:$L$34,卡牌属性!R792),INDEX(新属性投放!$L$42:$L$62,卡牌属性!R792))*INDEX($G$5:$G$42,L792)+IF(Q792=1,INDEX(新属性投放!T$20:T$23,卡牌属性!M792-1),INDEX(新属性投放!T$25:T$28,卡牌属性!M792-1)))*SQRT(INDEX($I$5:$I$42,L792)),2)</f>
        <v>32700</v>
      </c>
      <c r="Y792" s="29" t="s">
        <v>177</v>
      </c>
      <c r="Z792" s="14">
        <f>ROUND(IF(Q792=1,INDEX(新属性投放!$D$14:$D$34,卡牌属性!R792),INDEX(新属性投放!$D$42:$D$62,卡牌属性!R792))*INDEX($G$5:$G$42,L792)/SQRT(INDEX($I$5:$I$42,L792)),2)</f>
        <v>150.47</v>
      </c>
      <c r="AA792" s="29" t="s">
        <v>178</v>
      </c>
      <c r="AB792" s="14">
        <f>ROUND(IF(Q792=1,INDEX(新属性投放!$E$14:$E$34,卡牌属性!R792),INDEX(新属性投放!$E$42:$E$62,卡牌属性!R792))*INDEX($G$5:$G$42,L792),2)</f>
        <v>75.239999999999995</v>
      </c>
      <c r="AC792" s="29" t="s">
        <v>179</v>
      </c>
      <c r="AD792" s="14">
        <f>ROUND(IF(Q792=1,INDEX(新属性投放!$F$14:$F$34,卡牌属性!R792),INDEX(新属性投放!$F$42:$F$62,卡牌属性!R792))*INDEX($G$5:$G$42,L792)*SQRT(INDEX($I$5:$I$42,L792)),2)</f>
        <v>677</v>
      </c>
      <c r="AF792" s="14">
        <f t="shared" si="340"/>
        <v>1504</v>
      </c>
      <c r="AG792" s="14">
        <f t="shared" si="341"/>
        <v>752</v>
      </c>
      <c r="AH792" s="14">
        <f t="shared" si="342"/>
        <v>6770</v>
      </c>
      <c r="AJ792" s="14">
        <f t="shared" si="352"/>
        <v>7979</v>
      </c>
      <c r="AK792" s="14">
        <f t="shared" si="353"/>
        <v>3989</v>
      </c>
      <c r="AL792" s="14">
        <f t="shared" si="354"/>
        <v>35880</v>
      </c>
    </row>
    <row r="793" spans="11:38" ht="16.5" x14ac:dyDescent="0.2">
      <c r="K793" s="13">
        <v>790</v>
      </c>
      <c r="L793" s="13">
        <f t="shared" si="347"/>
        <v>38</v>
      </c>
      <c r="M793" s="13">
        <f t="shared" si="343"/>
        <v>2</v>
      </c>
      <c r="N793" s="14">
        <f t="shared" si="348"/>
        <v>1102050</v>
      </c>
      <c r="O793" s="14" t="str">
        <f t="shared" si="349"/>
        <v>柠檬精13突</v>
      </c>
      <c r="P793" s="29" t="s">
        <v>470</v>
      </c>
      <c r="Q793" s="14">
        <f t="shared" si="350"/>
        <v>2</v>
      </c>
      <c r="R793" s="14">
        <f t="shared" si="351"/>
        <v>13</v>
      </c>
      <c r="S793" s="14" t="s">
        <v>39</v>
      </c>
      <c r="T793" s="14">
        <f>ROUND(((IF(Q793=1,INDEX(新属性投放!$J$14:$J$34,卡牌属性!R793),INDEX(新属性投放!$J$42:$J$62,卡牌属性!R793)))*INDEX($G$5:$G$42,L793)+IF(Q793=1,INDEX(新属性投放!R$20:R$23,卡牌属性!M793-1),INDEX(新属性投放!R$25:R$28,卡牌属性!M793-1)))/SQRT(INDEX($I$5:$I$42,L793)),2)</f>
        <v>7223.95</v>
      </c>
      <c r="U793" s="29" t="s">
        <v>178</v>
      </c>
      <c r="V793" s="14">
        <f>ROUND((IF(Q793=1,INDEX(新属性投放!$K$14:$K$34,卡牌属性!R793),INDEX(新属性投放!$K$42:$K$62,卡牌属性!R793))+IF(Q793=1,INDEX(新属性投放!S$20:S$23,卡牌属性!M793-1),INDEX(新属性投放!S$25:S$28,卡牌属性!M793-1)))*INDEX($G$5:$G$42,L793),2)</f>
        <v>3534.98</v>
      </c>
      <c r="W793" s="29" t="s">
        <v>179</v>
      </c>
      <c r="X793" s="14">
        <f>ROUND((IF(Q793=1,INDEX(新属性投放!$L$14:$L$34,卡牌属性!R793),INDEX(新属性投放!$L$42:$L$62,卡牌属性!R793))*INDEX($G$5:$G$42,L793)+IF(Q793=1,INDEX(新属性投放!T$20:T$23,卡牌属性!M793-1),INDEX(新属性投放!T$25:T$28,卡牌属性!M793-1)))*SQRT(INDEX($I$5:$I$42,L793)),2)</f>
        <v>37777</v>
      </c>
      <c r="Y793" s="29" t="s">
        <v>177</v>
      </c>
      <c r="Z793" s="14">
        <f>ROUND(IF(Q793=1,INDEX(新属性投放!$D$14:$D$34,卡牌属性!R793),INDEX(新属性投放!$D$42:$D$62,卡牌属性!R793))*INDEX($G$5:$G$42,L793)/SQRT(INDEX($I$5:$I$42,L793)),2)</f>
        <v>173.97</v>
      </c>
      <c r="AA793" s="29" t="s">
        <v>178</v>
      </c>
      <c r="AB793" s="14">
        <f>ROUND(IF(Q793=1,INDEX(新属性投放!$E$14:$E$34,卡牌属性!R793),INDEX(新属性投放!$E$42:$E$62,卡牌属性!R793))*INDEX($G$5:$G$42,L793),2)</f>
        <v>86.99</v>
      </c>
      <c r="AC793" s="29" t="s">
        <v>179</v>
      </c>
      <c r="AD793" s="14">
        <f>ROUND(IF(Q793=1,INDEX(新属性投放!$F$14:$F$34,卡牌属性!R793),INDEX(新属性投放!$F$42:$F$62,卡牌属性!R793))*INDEX($G$5:$G$42,L793)*SQRT(INDEX($I$5:$I$42,L793)),2)</f>
        <v>782</v>
      </c>
      <c r="AF793" s="14">
        <f t="shared" si="340"/>
        <v>1739</v>
      </c>
      <c r="AG793" s="14">
        <f t="shared" si="341"/>
        <v>869</v>
      </c>
      <c r="AH793" s="14">
        <f t="shared" si="342"/>
        <v>7820</v>
      </c>
      <c r="AJ793" s="14">
        <f t="shared" si="352"/>
        <v>9718</v>
      </c>
      <c r="AK793" s="14">
        <f t="shared" si="353"/>
        <v>4858</v>
      </c>
      <c r="AL793" s="14">
        <f t="shared" si="354"/>
        <v>43700</v>
      </c>
    </row>
    <row r="794" spans="11:38" ht="16.5" x14ac:dyDescent="0.2">
      <c r="K794" s="13">
        <v>791</v>
      </c>
      <c r="L794" s="13">
        <f t="shared" si="347"/>
        <v>38</v>
      </c>
      <c r="M794" s="13">
        <f t="shared" si="343"/>
        <v>2</v>
      </c>
      <c r="N794" s="14">
        <f t="shared" si="348"/>
        <v>1102050</v>
      </c>
      <c r="O794" s="14" t="str">
        <f t="shared" si="349"/>
        <v>柠檬精14突</v>
      </c>
      <c r="P794" s="29" t="s">
        <v>470</v>
      </c>
      <c r="Q794" s="14">
        <f t="shared" si="350"/>
        <v>2</v>
      </c>
      <c r="R794" s="14">
        <f t="shared" si="351"/>
        <v>14</v>
      </c>
      <c r="S794" s="14" t="s">
        <v>39</v>
      </c>
      <c r="T794" s="14">
        <f>ROUND(((IF(Q794=1,INDEX(新属性投放!$J$14:$J$34,卡牌属性!R794),INDEX(新属性投放!$J$42:$J$62,卡牌属性!R794)))*INDEX($G$5:$G$42,L794)+IF(Q794=1,INDEX(新属性投放!R$20:R$23,卡牌属性!M794-1),INDEX(新属性投放!R$25:R$28,卡牌属性!M794-1)))/SQRT(INDEX($I$5:$I$42,L794)),2)</f>
        <v>8310.7999999999993</v>
      </c>
      <c r="U794" s="29" t="s">
        <v>178</v>
      </c>
      <c r="V794" s="14">
        <f>ROUND((IF(Q794=1,INDEX(新属性投放!$K$14:$K$34,卡牌属性!R794),INDEX(新属性投放!$K$42:$K$62,卡牌属性!R794))+IF(Q794=1,INDEX(新属性投放!S$20:S$23,卡牌属性!M794-1),INDEX(新属性投放!S$25:S$28,卡牌属性!M794-1)))*INDEX($G$5:$G$42,L794),2)</f>
        <v>4078.9</v>
      </c>
      <c r="W794" s="29" t="s">
        <v>179</v>
      </c>
      <c r="X794" s="14">
        <f>ROUND((IF(Q794=1,INDEX(新属性投放!$L$14:$L$34,卡牌属性!R794),INDEX(新属性投放!$L$42:$L$62,卡牌属性!R794))*INDEX($G$5:$G$42,L794)+IF(Q794=1,INDEX(新属性投放!T$20:T$23,卡牌属性!M794-1),INDEX(新属性投放!T$25:T$28,卡牌属性!M794-1)))*SQRT(INDEX($I$5:$I$42,L794)),2)</f>
        <v>43640</v>
      </c>
      <c r="Y794" s="29" t="s">
        <v>177</v>
      </c>
      <c r="Z794" s="14">
        <f>ROUND(IF(Q794=1,INDEX(新属性投放!$D$14:$D$34,卡牌属性!R794),INDEX(新属性投放!$D$42:$D$62,卡牌属性!R794))*INDEX($G$5:$G$42,L794)/SQRT(INDEX($I$5:$I$42,L794)),2)</f>
        <v>201.15</v>
      </c>
      <c r="AA794" s="29" t="s">
        <v>178</v>
      </c>
      <c r="AB794" s="14">
        <f>ROUND(IF(Q794=1,INDEX(新属性投放!$E$14:$E$34,卡牌属性!R794),INDEX(新属性投放!$E$42:$E$62,卡牌属性!R794))*INDEX($G$5:$G$42,L794),2)</f>
        <v>100.58</v>
      </c>
      <c r="AC794" s="29" t="s">
        <v>179</v>
      </c>
      <c r="AD794" s="14">
        <f>ROUND(IF(Q794=1,INDEX(新属性投放!$F$14:$F$34,卡牌属性!R794),INDEX(新属性投放!$F$42:$F$62,卡牌属性!R794))*INDEX($G$5:$G$42,L794)*SQRT(INDEX($I$5:$I$42,L794)),2)</f>
        <v>905</v>
      </c>
      <c r="AF794" s="14">
        <f t="shared" si="340"/>
        <v>2011</v>
      </c>
      <c r="AG794" s="14">
        <f t="shared" si="341"/>
        <v>1005</v>
      </c>
      <c r="AH794" s="14">
        <f t="shared" si="342"/>
        <v>9050</v>
      </c>
      <c r="AJ794" s="14">
        <f t="shared" si="352"/>
        <v>11729</v>
      </c>
      <c r="AK794" s="14">
        <f t="shared" si="353"/>
        <v>5863</v>
      </c>
      <c r="AL794" s="14">
        <f t="shared" si="354"/>
        <v>52750</v>
      </c>
    </row>
    <row r="795" spans="11:38" ht="16.5" x14ac:dyDescent="0.2">
      <c r="K795" s="13">
        <v>792</v>
      </c>
      <c r="L795" s="13">
        <f t="shared" si="347"/>
        <v>38</v>
      </c>
      <c r="M795" s="13">
        <f t="shared" si="343"/>
        <v>2</v>
      </c>
      <c r="N795" s="14">
        <f t="shared" si="348"/>
        <v>1102050</v>
      </c>
      <c r="O795" s="14" t="str">
        <f t="shared" si="349"/>
        <v>柠檬精15突</v>
      </c>
      <c r="P795" s="29" t="s">
        <v>470</v>
      </c>
      <c r="Q795" s="14">
        <f t="shared" si="350"/>
        <v>2</v>
      </c>
      <c r="R795" s="14">
        <f t="shared" si="351"/>
        <v>15</v>
      </c>
      <c r="S795" s="14" t="s">
        <v>39</v>
      </c>
      <c r="T795" s="14">
        <f>ROUND(((IF(Q795=1,INDEX(新属性投放!$J$14:$J$34,卡牌属性!R795),INDEX(新属性投放!$J$42:$J$62,卡牌属性!R795)))*INDEX($G$5:$G$42,L795)+IF(Q795=1,INDEX(新属性投放!R$20:R$23,卡牌属性!M795-1),INDEX(新属性投放!R$25:R$28,卡牌属性!M795-1)))/SQRT(INDEX($I$5:$I$42,L795)),2)</f>
        <v>9567.5499999999993</v>
      </c>
      <c r="U795" s="29" t="s">
        <v>178</v>
      </c>
      <c r="V795" s="14">
        <f>ROUND((IF(Q795=1,INDEX(新属性投放!$K$14:$K$34,卡牌属性!R795),INDEX(新属性投放!$K$42:$K$62,卡牌属性!R795))+IF(Q795=1,INDEX(新属性投放!S$20:S$23,卡牌属性!M795-1),INDEX(新属性投放!S$25:S$28,卡牌属性!M795-1)))*INDEX($G$5:$G$42,L795),2)</f>
        <v>4707.78</v>
      </c>
      <c r="W795" s="29" t="s">
        <v>179</v>
      </c>
      <c r="X795" s="14">
        <f>ROUND((IF(Q795=1,INDEX(新属性投放!$L$14:$L$34,卡牌属性!R795),INDEX(新属性投放!$L$42:$L$62,卡牌属性!R795))*INDEX($G$5:$G$42,L795)+IF(Q795=1,INDEX(新属性投放!T$20:T$23,卡牌属性!M795-1),INDEX(新属性投放!T$25:T$28,卡牌属性!M795-1)))*SQRT(INDEX($I$5:$I$42,L795)),2)</f>
        <v>50424</v>
      </c>
      <c r="Y795" s="29" t="s">
        <v>177</v>
      </c>
      <c r="Z795" s="14">
        <f>ROUND(IF(Q795=1,INDEX(新属性投放!$D$14:$D$34,卡牌属性!R795),INDEX(新属性投放!$D$42:$D$62,卡牌属性!R795))*INDEX($G$5:$G$42,L795)/SQRT(INDEX($I$5:$I$42,L795)),2)</f>
        <v>232.56</v>
      </c>
      <c r="AA795" s="29" t="s">
        <v>178</v>
      </c>
      <c r="AB795" s="14">
        <f>ROUND(IF(Q795=1,INDEX(新属性投放!$E$14:$E$34,卡牌属性!R795),INDEX(新属性投放!$E$42:$E$62,卡牌属性!R795))*INDEX($G$5:$G$42,L795),2)</f>
        <v>116.28</v>
      </c>
      <c r="AC795" s="29" t="s">
        <v>179</v>
      </c>
      <c r="AD795" s="14">
        <f>ROUND(IF(Q795=1,INDEX(新属性投放!$F$14:$F$34,卡牌属性!R795),INDEX(新属性投放!$F$42:$F$62,卡牌属性!R795))*INDEX($G$5:$G$42,L795)*SQRT(INDEX($I$5:$I$42,L795)),2)</f>
        <v>1046</v>
      </c>
      <c r="AF795" s="14">
        <f t="shared" si="340"/>
        <v>2325</v>
      </c>
      <c r="AG795" s="14">
        <f t="shared" si="341"/>
        <v>1162</v>
      </c>
      <c r="AH795" s="14">
        <f t="shared" si="342"/>
        <v>10460</v>
      </c>
      <c r="AJ795" s="14">
        <f t="shared" si="352"/>
        <v>14054</v>
      </c>
      <c r="AK795" s="14">
        <f t="shared" si="353"/>
        <v>7025</v>
      </c>
      <c r="AL795" s="14">
        <f t="shared" si="354"/>
        <v>63210</v>
      </c>
    </row>
    <row r="796" spans="11:38" ht="16.5" x14ac:dyDescent="0.2">
      <c r="K796" s="13">
        <v>793</v>
      </c>
      <c r="L796" s="13">
        <f t="shared" si="347"/>
        <v>38</v>
      </c>
      <c r="M796" s="13">
        <f t="shared" si="343"/>
        <v>2</v>
      </c>
      <c r="N796" s="14">
        <f t="shared" si="348"/>
        <v>1102050</v>
      </c>
      <c r="O796" s="14" t="str">
        <f t="shared" si="349"/>
        <v>柠檬精16突</v>
      </c>
      <c r="P796" s="29" t="s">
        <v>470</v>
      </c>
      <c r="Q796" s="14">
        <f t="shared" si="350"/>
        <v>2</v>
      </c>
      <c r="R796" s="14">
        <f t="shared" si="351"/>
        <v>16</v>
      </c>
      <c r="S796" s="14" t="s">
        <v>39</v>
      </c>
      <c r="T796" s="14">
        <f>ROUND(((IF(Q796=1,INDEX(新属性投放!$J$14:$J$34,卡牌属性!R796),INDEX(新属性投放!$J$42:$J$62,卡牌属性!R796)))*INDEX($G$5:$G$42,L796)+IF(Q796=1,INDEX(新属性投放!R$20:R$23,卡牌属性!M796-1),INDEX(新属性投放!R$25:R$28,卡牌属性!M796-1)))/SQRT(INDEX($I$5:$I$42,L796)),2)</f>
        <v>11021.35</v>
      </c>
      <c r="U796" s="29" t="s">
        <v>178</v>
      </c>
      <c r="V796" s="14">
        <f>ROUND((IF(Q796=1,INDEX(新属性投放!$K$14:$K$34,卡牌属性!R796),INDEX(新属性投放!$K$42:$K$62,卡牌属性!R796))+IF(Q796=1,INDEX(新属性投放!S$20:S$23,卡牌属性!M796-1),INDEX(新属性投放!S$25:S$28,卡牌属性!M796-1)))*INDEX($G$5:$G$42,L796),2)</f>
        <v>5434.18</v>
      </c>
      <c r="W796" s="29" t="s">
        <v>179</v>
      </c>
      <c r="X796" s="14">
        <f>ROUND((IF(Q796=1,INDEX(新属性投放!$L$14:$L$34,卡牌属性!R796),INDEX(新属性投放!$L$42:$L$62,卡牌属性!R796))*INDEX($G$5:$G$42,L796)+IF(Q796=1,INDEX(新属性投放!T$20:T$23,卡牌属性!M796-1),INDEX(新属性投放!T$25:T$28,卡牌属性!M796-1)))*SQRT(INDEX($I$5:$I$42,L796)),2)</f>
        <v>58273</v>
      </c>
      <c r="Y796" s="29" t="s">
        <v>177</v>
      </c>
      <c r="Z796" s="14">
        <f>ROUND(IF(Q796=1,INDEX(新属性投放!$D$14:$D$34,卡牌属性!R796),INDEX(新属性投放!$D$42:$D$62,卡牌属性!R796))*INDEX($G$5:$G$42,L796)/SQRT(INDEX($I$5:$I$42,L796)),2)</f>
        <v>268.91000000000003</v>
      </c>
      <c r="AA796" s="29" t="s">
        <v>178</v>
      </c>
      <c r="AB796" s="14">
        <f>ROUND(IF(Q796=1,INDEX(新属性投放!$E$14:$E$34,卡牌属性!R796),INDEX(新属性投放!$E$42:$E$62,卡牌属性!R796))*INDEX($G$5:$G$42,L796),2)</f>
        <v>134.46</v>
      </c>
      <c r="AC796" s="29" t="s">
        <v>179</v>
      </c>
      <c r="AD796" s="14">
        <f>ROUND(IF(Q796=1,INDEX(新属性投放!$F$14:$F$34,卡牌属性!R796),INDEX(新属性投放!$F$42:$F$62,卡牌属性!R796))*INDEX($G$5:$G$42,L796)*SQRT(INDEX($I$5:$I$42,L796)),2)</f>
        <v>1210</v>
      </c>
      <c r="AF796" s="14">
        <f t="shared" si="340"/>
        <v>2689</v>
      </c>
      <c r="AG796" s="14">
        <f t="shared" si="341"/>
        <v>1344</v>
      </c>
      <c r="AH796" s="14">
        <f t="shared" si="342"/>
        <v>12100</v>
      </c>
      <c r="AJ796" s="14">
        <f t="shared" si="352"/>
        <v>16743</v>
      </c>
      <c r="AK796" s="14">
        <f t="shared" si="353"/>
        <v>8369</v>
      </c>
      <c r="AL796" s="14">
        <f t="shared" si="354"/>
        <v>75310</v>
      </c>
    </row>
    <row r="797" spans="11:38" ht="16.5" x14ac:dyDescent="0.2">
      <c r="K797" s="13">
        <v>794</v>
      </c>
      <c r="L797" s="13">
        <f t="shared" si="347"/>
        <v>38</v>
      </c>
      <c r="M797" s="13">
        <f t="shared" si="343"/>
        <v>2</v>
      </c>
      <c r="N797" s="14">
        <f t="shared" si="348"/>
        <v>1102050</v>
      </c>
      <c r="O797" s="14" t="str">
        <f t="shared" si="349"/>
        <v>柠檬精17突</v>
      </c>
      <c r="P797" s="29" t="s">
        <v>470</v>
      </c>
      <c r="Q797" s="14">
        <f t="shared" si="350"/>
        <v>2</v>
      </c>
      <c r="R797" s="14">
        <f t="shared" si="351"/>
        <v>17</v>
      </c>
      <c r="S797" s="14" t="s">
        <v>39</v>
      </c>
      <c r="T797" s="14">
        <f>ROUND(((IF(Q797=1,INDEX(新属性投放!$J$14:$J$34,卡牌属性!R797),INDEX(新属性投放!$J$42:$J$62,卡牌属性!R797)))*INDEX($G$5:$G$42,L797)+IF(Q797=1,INDEX(新属性投放!R$20:R$23,卡牌属性!M797-1),INDEX(新属性投放!R$25:R$28,卡牌属性!M797-1)))/SQRT(INDEX($I$5:$I$42,L797)),2)</f>
        <v>12701.9</v>
      </c>
      <c r="U797" s="29" t="s">
        <v>178</v>
      </c>
      <c r="V797" s="14">
        <f>ROUND((IF(Q797=1,INDEX(新属性投放!$K$14:$K$34,卡牌属性!R797),INDEX(新属性投放!$K$42:$K$62,卡牌属性!R797))+IF(Q797=1,INDEX(新属性投放!S$20:S$23,卡牌属性!M797-1),INDEX(新属性投放!S$25:S$28,卡牌属性!M797-1)))*INDEX($G$5:$G$42,L797),2)</f>
        <v>6274.45</v>
      </c>
      <c r="W797" s="29" t="s">
        <v>179</v>
      </c>
      <c r="X797" s="14">
        <f>ROUND((IF(Q797=1,INDEX(新属性投放!$L$14:$L$34,卡牌属性!R797),INDEX(新属性投放!$L$42:$L$62,卡牌属性!R797))*INDEX($G$5:$G$42,L797)+IF(Q797=1,INDEX(新属性投放!T$20:T$23,卡牌属性!M797-1),INDEX(新属性投放!T$25:T$28,卡牌属性!M797-1)))*SQRT(INDEX($I$5:$I$42,L797)),2)</f>
        <v>67347</v>
      </c>
      <c r="Y797" s="29" t="s">
        <v>177</v>
      </c>
      <c r="Z797" s="14">
        <f>ROUND(IF(Q797=1,INDEX(新属性投放!$D$14:$D$34,卡牌属性!R797),INDEX(新属性投放!$D$42:$D$62,卡牌属性!R797))*INDEX($G$5:$G$42,L797)/SQRT(INDEX($I$5:$I$42,L797)),2)</f>
        <v>310.92</v>
      </c>
      <c r="AA797" s="29" t="s">
        <v>178</v>
      </c>
      <c r="AB797" s="14">
        <f>ROUND(IF(Q797=1,INDEX(新属性投放!$E$14:$E$34,卡牌属性!R797),INDEX(新属性投放!$E$42:$E$62,卡牌属性!R797))*INDEX($G$5:$G$42,L797),2)</f>
        <v>155.46</v>
      </c>
      <c r="AC797" s="29" t="s">
        <v>179</v>
      </c>
      <c r="AD797" s="14">
        <f>ROUND(IF(Q797=1,INDEX(新属性投放!$F$14:$F$34,卡牌属性!R797),INDEX(新属性投放!$F$42:$F$62,卡牌属性!R797))*INDEX($G$5:$G$42,L797)*SQRT(INDEX($I$5:$I$42,L797)),2)</f>
        <v>1399</v>
      </c>
      <c r="AF797" s="14">
        <f t="shared" si="340"/>
        <v>3109</v>
      </c>
      <c r="AG797" s="14">
        <f t="shared" si="341"/>
        <v>1554</v>
      </c>
      <c r="AH797" s="14">
        <f t="shared" si="342"/>
        <v>13990</v>
      </c>
      <c r="AJ797" s="14">
        <f t="shared" si="352"/>
        <v>19852</v>
      </c>
      <c r="AK797" s="14">
        <f t="shared" si="353"/>
        <v>9923</v>
      </c>
      <c r="AL797" s="14">
        <f t="shared" si="354"/>
        <v>89300</v>
      </c>
    </row>
    <row r="798" spans="11:38" ht="16.5" x14ac:dyDescent="0.2">
      <c r="K798" s="13">
        <v>795</v>
      </c>
      <c r="L798" s="13">
        <f t="shared" si="347"/>
        <v>38</v>
      </c>
      <c r="M798" s="13">
        <f t="shared" si="343"/>
        <v>2</v>
      </c>
      <c r="N798" s="14">
        <f t="shared" si="348"/>
        <v>1102050</v>
      </c>
      <c r="O798" s="14" t="str">
        <f t="shared" si="349"/>
        <v>柠檬精18突</v>
      </c>
      <c r="P798" s="29" t="s">
        <v>470</v>
      </c>
      <c r="Q798" s="14">
        <f t="shared" si="350"/>
        <v>2</v>
      </c>
      <c r="R798" s="14">
        <f t="shared" si="351"/>
        <v>18</v>
      </c>
      <c r="S798" s="14" t="s">
        <v>39</v>
      </c>
      <c r="T798" s="14">
        <f>ROUND(((IF(Q798=1,INDEX(新属性投放!$J$14:$J$34,卡牌属性!R798),INDEX(新属性投放!$J$42:$J$62,卡牌属性!R798)))*INDEX($G$5:$G$42,L798)+IF(Q798=1,INDEX(新属性投放!R$20:R$23,卡牌属性!M798-1),INDEX(新属性投放!R$25:R$28,卡牌属性!M798-1)))/SQRT(INDEX($I$5:$I$42,L798)),2)</f>
        <v>14645.5</v>
      </c>
      <c r="U798" s="29" t="s">
        <v>178</v>
      </c>
      <c r="V798" s="14">
        <f>ROUND((IF(Q798=1,INDEX(新属性投放!$K$14:$K$34,卡牌属性!R798),INDEX(新属性投放!$K$42:$K$62,卡牌属性!R798))+IF(Q798=1,INDEX(新属性投放!S$20:S$23,卡牌属性!M798-1),INDEX(新属性投放!S$25:S$28,卡牌属性!M798-1)))*INDEX($G$5:$G$42,L798),2)</f>
        <v>7245.75</v>
      </c>
      <c r="W798" s="29" t="s">
        <v>179</v>
      </c>
      <c r="X798" s="14">
        <f>ROUND((IF(Q798=1,INDEX(新属性投放!$L$14:$L$34,卡牌属性!R798),INDEX(新属性投放!$L$42:$L$62,卡牌属性!R798))*INDEX($G$5:$G$42,L798)+IF(Q798=1,INDEX(新属性投放!T$20:T$23,卡牌属性!M798-1),INDEX(新属性投放!T$25:T$28,卡牌属性!M798-1)))*SQRT(INDEX($I$5:$I$42,L798)),2)</f>
        <v>77843</v>
      </c>
      <c r="Y798" s="29" t="s">
        <v>177</v>
      </c>
      <c r="Z798" s="14">
        <f>ROUND(IF(Q798=1,INDEX(新属性投放!$D$14:$D$34,卡牌属性!R798),INDEX(新属性投放!$D$42:$D$62,卡牌属性!R798))*INDEX($G$5:$G$42,L798)/SQRT(INDEX($I$5:$I$42,L798)),2)</f>
        <v>359.51</v>
      </c>
      <c r="AA798" s="29" t="s">
        <v>178</v>
      </c>
      <c r="AB798" s="14">
        <f>ROUND(IF(Q798=1,INDEX(新属性投放!$E$14:$E$34,卡牌属性!R798),INDEX(新属性投放!$E$42:$E$62,卡牌属性!R798))*INDEX($G$5:$G$42,L798),2)</f>
        <v>179.76</v>
      </c>
      <c r="AC798" s="29" t="s">
        <v>179</v>
      </c>
      <c r="AD798" s="14">
        <f>ROUND(IF(Q798=1,INDEX(新属性投放!$F$14:$F$34,卡牌属性!R798),INDEX(新属性投放!$F$42:$F$62,卡牌属性!R798))*INDEX($G$5:$G$42,L798)*SQRT(INDEX($I$5:$I$42,L798)),2)</f>
        <v>1617</v>
      </c>
      <c r="AF798" s="14">
        <f t="shared" si="340"/>
        <v>3595</v>
      </c>
      <c r="AG798" s="14">
        <f t="shared" si="341"/>
        <v>1797</v>
      </c>
      <c r="AH798" s="14">
        <f t="shared" si="342"/>
        <v>16170</v>
      </c>
      <c r="AJ798" s="14">
        <f t="shared" si="352"/>
        <v>23447</v>
      </c>
      <c r="AK798" s="14">
        <f t="shared" si="353"/>
        <v>11720</v>
      </c>
      <c r="AL798" s="14">
        <f t="shared" si="354"/>
        <v>105470</v>
      </c>
    </row>
    <row r="799" spans="11:38" ht="16.5" x14ac:dyDescent="0.2">
      <c r="K799" s="13">
        <v>796</v>
      </c>
      <c r="L799" s="13">
        <f t="shared" si="347"/>
        <v>38</v>
      </c>
      <c r="M799" s="13">
        <f t="shared" si="343"/>
        <v>2</v>
      </c>
      <c r="N799" s="14">
        <f t="shared" si="348"/>
        <v>1102050</v>
      </c>
      <c r="O799" s="14" t="str">
        <f t="shared" si="349"/>
        <v>柠檬精19突</v>
      </c>
      <c r="P799" s="29" t="s">
        <v>470</v>
      </c>
      <c r="Q799" s="14">
        <f t="shared" si="350"/>
        <v>2</v>
      </c>
      <c r="R799" s="14">
        <f t="shared" si="351"/>
        <v>19</v>
      </c>
      <c r="S799" s="14" t="s">
        <v>39</v>
      </c>
      <c r="T799" s="14">
        <f>ROUND(((IF(Q799=1,INDEX(新属性投放!$J$14:$J$34,卡牌属性!R799),INDEX(新属性投放!$J$42:$J$62,卡牌属性!R799)))*INDEX($G$5:$G$42,L799)+IF(Q799=1,INDEX(新属性投放!R$20:R$23,卡牌属性!M799-1),INDEX(新属性投放!R$25:R$28,卡牌属性!M799-1)))/SQRT(INDEX($I$5:$I$42,L799)),2)</f>
        <v>16892.05</v>
      </c>
      <c r="U799" s="29" t="s">
        <v>178</v>
      </c>
      <c r="V799" s="14">
        <f>ROUND((IF(Q799=1,INDEX(新属性投放!$K$14:$K$34,卡牌属性!R799),INDEX(新属性投放!$K$42:$K$62,卡牌属性!R799))+IF(Q799=1,INDEX(新属性投放!S$20:S$23,卡牌属性!M799-1),INDEX(新属性投放!S$25:S$28,卡牌属性!M799-1)))*INDEX($G$5:$G$42,L799),2)</f>
        <v>8369.5300000000007</v>
      </c>
      <c r="W799" s="29" t="s">
        <v>179</v>
      </c>
      <c r="X799" s="14">
        <f>ROUND((IF(Q799=1,INDEX(新属性投放!$L$14:$L$34,卡牌属性!R799),INDEX(新属性投放!$L$42:$L$62,卡牌属性!R799))*INDEX($G$5:$G$42,L799)+IF(Q799=1,INDEX(新属性投放!T$20:T$23,卡牌属性!M799-1),INDEX(新属性投放!T$25:T$28,卡牌属性!M799-1)))*SQRT(INDEX($I$5:$I$42,L799)),2)</f>
        <v>89969</v>
      </c>
      <c r="Y799" s="29" t="s">
        <v>177</v>
      </c>
      <c r="Z799" s="14">
        <f>ROUND(IF(Q799=1,INDEX(新属性投放!$D$14:$D$34,卡牌属性!R799),INDEX(新属性投放!$D$42:$D$62,卡牌属性!R799))*INDEX($G$5:$G$42,L799)/SQRT(INDEX($I$5:$I$42,L799)),2)</f>
        <v>415.68</v>
      </c>
      <c r="AA799" s="29" t="s">
        <v>178</v>
      </c>
      <c r="AB799" s="14">
        <f>ROUND(IF(Q799=1,INDEX(新属性投放!$E$14:$E$34,卡牌属性!R799),INDEX(新属性投放!$E$42:$E$62,卡牌属性!R799))*INDEX($G$5:$G$42,L799),2)</f>
        <v>207.84</v>
      </c>
      <c r="AC799" s="29" t="s">
        <v>179</v>
      </c>
      <c r="AD799" s="14">
        <f>ROUND(IF(Q799=1,INDEX(新属性投放!$F$14:$F$34,卡牌属性!R799),INDEX(新属性投放!$F$42:$F$62,卡牌属性!R799))*INDEX($G$5:$G$42,L799)*SQRT(INDEX($I$5:$I$42,L799)),2)</f>
        <v>1870</v>
      </c>
      <c r="AF799" s="14">
        <f t="shared" si="340"/>
        <v>4156</v>
      </c>
      <c r="AG799" s="14">
        <f t="shared" si="341"/>
        <v>2078</v>
      </c>
      <c r="AH799" s="14">
        <f t="shared" si="342"/>
        <v>18700</v>
      </c>
      <c r="AJ799" s="14">
        <f t="shared" si="352"/>
        <v>27603</v>
      </c>
      <c r="AK799" s="14">
        <f t="shared" si="353"/>
        <v>13798</v>
      </c>
      <c r="AL799" s="14">
        <f t="shared" si="354"/>
        <v>124170</v>
      </c>
    </row>
    <row r="800" spans="11:38" ht="16.5" x14ac:dyDescent="0.2">
      <c r="K800" s="13">
        <v>797</v>
      </c>
      <c r="L800" s="13">
        <f t="shared" si="347"/>
        <v>38</v>
      </c>
      <c r="M800" s="13">
        <f t="shared" si="343"/>
        <v>2</v>
      </c>
      <c r="N800" s="14">
        <f t="shared" si="348"/>
        <v>1102050</v>
      </c>
      <c r="O800" s="14" t="str">
        <f t="shared" si="349"/>
        <v>柠檬精20突</v>
      </c>
      <c r="P800" s="29" t="s">
        <v>470</v>
      </c>
      <c r="Q800" s="14">
        <f t="shared" si="350"/>
        <v>2</v>
      </c>
      <c r="R800" s="14">
        <f t="shared" si="351"/>
        <v>20</v>
      </c>
      <c r="S800" s="14" t="s">
        <v>39</v>
      </c>
      <c r="T800" s="14">
        <f>ROUND(((IF(Q800=1,INDEX(新属性投放!$J$14:$J$34,卡牌属性!R800),INDEX(新属性投放!$J$42:$J$62,卡牌属性!R800)))*INDEX($G$5:$G$42,L800)+IF(Q800=1,INDEX(新属性投放!R$20:R$23,卡牌属性!M800-1),INDEX(新属性投放!R$25:R$28,卡牌属性!M800-1)))/SQRT(INDEX($I$5:$I$42,L800)),2)</f>
        <v>19490.45</v>
      </c>
      <c r="U800" s="29" t="s">
        <v>178</v>
      </c>
      <c r="V800" s="14">
        <f>ROUND((IF(Q800=1,INDEX(新属性投放!$K$14:$K$34,卡牌属性!R800),INDEX(新属性投放!$K$42:$K$62,卡牌属性!R800))+IF(Q800=1,INDEX(新属性投放!S$20:S$23,卡牌属性!M800-1),INDEX(新属性投放!S$25:S$28,卡牌属性!M800-1)))*INDEX($G$5:$G$42,L800),2)</f>
        <v>9668.73</v>
      </c>
      <c r="W800" s="29" t="s">
        <v>179</v>
      </c>
      <c r="X800" s="14">
        <f>ROUND((IF(Q800=1,INDEX(新属性投放!$L$14:$L$34,卡牌属性!R800),INDEX(新属性投放!$L$42:$L$62,卡牌属性!R800))*INDEX($G$5:$G$42,L800)+IF(Q800=1,INDEX(新属性投放!T$20:T$23,卡牌属性!M800-1),INDEX(新属性投放!T$25:T$28,卡牌属性!M800-1)))*SQRT(INDEX($I$5:$I$42,L800)),2)</f>
        <v>103999</v>
      </c>
      <c r="Y800" s="29" t="s">
        <v>177</v>
      </c>
      <c r="Z800" s="14">
        <f>ROUND(IF(Q800=1,INDEX(新属性投放!$D$14:$D$34,卡牌属性!R800),INDEX(新属性投放!$D$42:$D$62,卡牌属性!R800))*INDEX($G$5:$G$42,L800)/SQRT(INDEX($I$5:$I$42,L800)),2)</f>
        <v>480.64</v>
      </c>
      <c r="AA800" s="29" t="s">
        <v>178</v>
      </c>
      <c r="AB800" s="14">
        <f>ROUND(IF(Q800=1,INDEX(新属性投放!$E$14:$E$34,卡牌属性!R800),INDEX(新属性投放!$E$42:$E$62,卡牌属性!R800))*INDEX($G$5:$G$42,L800),2)</f>
        <v>240.32</v>
      </c>
      <c r="AC800" s="29" t="s">
        <v>179</v>
      </c>
      <c r="AD800" s="14">
        <f>ROUND(IF(Q800=1,INDEX(新属性投放!$F$14:$F$34,卡牌属性!R800),INDEX(新属性投放!$F$42:$F$62,卡牌属性!R800))*INDEX($G$5:$G$42,L800)*SQRT(INDEX($I$5:$I$42,L800)),2)</f>
        <v>2162</v>
      </c>
      <c r="AF800" s="14">
        <f t="shared" si="340"/>
        <v>4806</v>
      </c>
      <c r="AG800" s="14">
        <f t="shared" si="341"/>
        <v>2403</v>
      </c>
      <c r="AH800" s="14">
        <f t="shared" si="342"/>
        <v>21620</v>
      </c>
      <c r="AJ800" s="14">
        <f t="shared" si="352"/>
        <v>32409</v>
      </c>
      <c r="AK800" s="14">
        <f t="shared" si="353"/>
        <v>16201</v>
      </c>
      <c r="AL800" s="14">
        <f t="shared" si="354"/>
        <v>145790</v>
      </c>
    </row>
    <row r="801" spans="11:38" ht="16.5" x14ac:dyDescent="0.2">
      <c r="K801" s="13">
        <v>798</v>
      </c>
      <c r="L801" s="13">
        <f t="shared" si="347"/>
        <v>38</v>
      </c>
      <c r="M801" s="13">
        <f t="shared" si="343"/>
        <v>2</v>
      </c>
      <c r="N801" s="14">
        <f t="shared" si="348"/>
        <v>1102050</v>
      </c>
      <c r="O801" s="14" t="str">
        <f t="shared" si="349"/>
        <v>柠檬精21突</v>
      </c>
      <c r="P801" s="29" t="s">
        <v>470</v>
      </c>
      <c r="Q801" s="14">
        <f t="shared" si="350"/>
        <v>2</v>
      </c>
      <c r="R801" s="14">
        <f t="shared" si="351"/>
        <v>21</v>
      </c>
      <c r="S801" s="14" t="s">
        <v>39</v>
      </c>
      <c r="T801" s="14">
        <f>ROUND(((IF(Q801=1,INDEX(新属性投放!$J$14:$J$34,卡牌属性!R801),INDEX(新属性投放!$J$42:$J$62,卡牌属性!R801)))*INDEX($G$5:$G$42,L801)+IF(Q801=1,INDEX(新属性投放!R$20:R$23,卡牌属性!M801-1),INDEX(新属性投放!R$25:R$28,卡牌属性!M801-1)))/SQRT(INDEX($I$5:$I$42,L801)),2)</f>
        <v>22494.65</v>
      </c>
      <c r="U801" s="29" t="s">
        <v>178</v>
      </c>
      <c r="V801" s="14">
        <f>ROUND((IF(Q801=1,INDEX(新属性投放!$K$14:$K$34,卡牌属性!R801),INDEX(新属性投放!$K$42:$K$62,卡牌属性!R801))+IF(Q801=1,INDEX(新属性投放!S$20:S$23,卡牌属性!M801-1),INDEX(新属性投放!S$25:S$28,卡牌属性!M801-1)))*INDEX($G$5:$G$42,L801),2)</f>
        <v>11170.33</v>
      </c>
      <c r="W801" s="29" t="s">
        <v>179</v>
      </c>
      <c r="X801" s="14">
        <f>ROUND((IF(Q801=1,INDEX(新属性投放!$L$14:$L$34,卡牌属性!R801),INDEX(新属性投放!$L$42:$L$62,卡牌属性!R801))*INDEX($G$5:$G$42,L801)+IF(Q801=1,INDEX(新属性投放!T$20:T$23,卡牌属性!M801-1),INDEX(新属性投放!T$25:T$28,卡牌属性!M801-1)))*SQRT(INDEX($I$5:$I$42,L801)),2)</f>
        <v>120218</v>
      </c>
      <c r="Y801" s="29" t="s">
        <v>177</v>
      </c>
      <c r="Z801" s="14">
        <f>ROUND(IF(Q801=1,INDEX(新属性投放!$D$14:$D$34,卡牌属性!R801),INDEX(新属性投放!$D$42:$D$62,卡牌属性!R801))*INDEX($G$5:$G$42,L801)/SQRT(INDEX($I$5:$I$42,L801)),2)</f>
        <v>555.74</v>
      </c>
      <c r="AA801" s="29" t="s">
        <v>178</v>
      </c>
      <c r="AB801" s="14">
        <f>ROUND(IF(Q801=1,INDEX(新属性投放!$E$14:$E$34,卡牌属性!R801),INDEX(新属性投放!$E$42:$E$62,卡牌属性!R801))*INDEX($G$5:$G$42,L801),2)</f>
        <v>277.87</v>
      </c>
      <c r="AC801" s="29" t="s">
        <v>179</v>
      </c>
      <c r="AD801" s="14">
        <f>ROUND(IF(Q801=1,INDEX(新属性投放!$F$14:$F$34,卡牌属性!R801),INDEX(新属性投放!$F$42:$F$62,卡牌属性!R801))*INDEX($G$5:$G$42,L801)*SQRT(INDEX($I$5:$I$42,L801)),2)</f>
        <v>2500</v>
      </c>
      <c r="AF801" s="14">
        <f t="shared" si="340"/>
        <v>5557</v>
      </c>
      <c r="AG801" s="14">
        <f t="shared" si="341"/>
        <v>2778</v>
      </c>
      <c r="AH801" s="14">
        <f t="shared" si="342"/>
        <v>25000</v>
      </c>
      <c r="AJ801" s="14">
        <f t="shared" si="352"/>
        <v>37966</v>
      </c>
      <c r="AK801" s="14">
        <f t="shared" si="353"/>
        <v>18979</v>
      </c>
      <c r="AL801" s="14">
        <f t="shared" si="354"/>
        <v>170790</v>
      </c>
    </row>
    <row r="802" spans="11:38" x14ac:dyDescent="0.2"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</row>
  </sheetData>
  <mergeCells count="1">
    <mergeCell ref="AV2:BA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90"/>
  <sheetViews>
    <sheetView topLeftCell="A22" workbookViewId="0">
      <selection activeCell="AI876" sqref="AI876"/>
    </sheetView>
  </sheetViews>
  <sheetFormatPr defaultRowHeight="14.25" x14ac:dyDescent="0.2"/>
  <cols>
    <col min="1" max="1" width="9" style="20"/>
    <col min="2" max="3" width="9.125" style="20" bestFit="1" customWidth="1"/>
    <col min="4" max="6" width="10.625" style="20" customWidth="1"/>
    <col min="7" max="7" width="13.125" style="20" bestFit="1" customWidth="1"/>
    <col min="8" max="8" width="9" style="20"/>
    <col min="9" max="9" width="12.125" style="20" bestFit="1" customWidth="1"/>
    <col min="10" max="11" width="9" style="20"/>
    <col min="12" max="12" width="9.625" style="20" bestFit="1" customWidth="1"/>
    <col min="13" max="18" width="9" style="20"/>
    <col min="19" max="19" width="21.125" style="20" customWidth="1"/>
    <col min="20" max="20" width="10.5" style="20" customWidth="1"/>
    <col min="21" max="21" width="9.375" style="20" customWidth="1"/>
    <col min="22" max="22" width="9.5" style="20" customWidth="1"/>
    <col min="23" max="24" width="11.5" style="20" customWidth="1"/>
    <col min="25" max="25" width="10.375" style="20" customWidth="1"/>
    <col min="26" max="26" width="10.875" style="20" customWidth="1"/>
    <col min="27" max="27" width="10.125" style="20" customWidth="1"/>
    <col min="28" max="28" width="11.25" style="20" customWidth="1"/>
    <col min="29" max="29" width="10.625" style="20" customWidth="1"/>
    <col min="30" max="30" width="11" style="20" customWidth="1"/>
    <col min="31" max="32" width="11.5" style="20" customWidth="1"/>
    <col min="33" max="33" width="9.375" style="20" customWidth="1"/>
    <col min="34" max="16384" width="9" style="20"/>
  </cols>
  <sheetData>
    <row r="1" spans="1:38" x14ac:dyDescent="0.2">
      <c r="U1" s="20">
        <f>SUM(U5:U46)</f>
        <v>100</v>
      </c>
    </row>
    <row r="2" spans="1:38" ht="20.25" x14ac:dyDescent="0.2">
      <c r="A2" s="63" t="s">
        <v>180</v>
      </c>
      <c r="B2" s="63"/>
      <c r="C2" s="63"/>
      <c r="D2" s="63"/>
      <c r="E2" s="63"/>
      <c r="F2" s="63"/>
      <c r="G2" s="63"/>
      <c r="P2" s="63" t="s">
        <v>203</v>
      </c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</row>
    <row r="3" spans="1:38" ht="17.25" x14ac:dyDescent="0.2">
      <c r="B3" s="12" t="s">
        <v>126</v>
      </c>
      <c r="C3" s="12" t="s">
        <v>127</v>
      </c>
      <c r="D3" s="12" t="s">
        <v>66</v>
      </c>
      <c r="E3" s="12" t="s">
        <v>69</v>
      </c>
      <c r="F3" s="12" t="s">
        <v>119</v>
      </c>
      <c r="G3" s="12" t="s">
        <v>75</v>
      </c>
      <c r="I3" s="12" t="s">
        <v>571</v>
      </c>
      <c r="J3" s="12" t="s">
        <v>573</v>
      </c>
      <c r="K3" s="12" t="s">
        <v>572</v>
      </c>
      <c r="L3" s="12" t="s">
        <v>629</v>
      </c>
      <c r="M3" s="12" t="s">
        <v>650</v>
      </c>
      <c r="P3" s="12" t="s">
        <v>181</v>
      </c>
      <c r="Q3" s="12" t="s">
        <v>643</v>
      </c>
      <c r="R3" s="12" t="s">
        <v>204</v>
      </c>
      <c r="S3" s="12" t="s">
        <v>614</v>
      </c>
      <c r="T3" s="12" t="s">
        <v>570</v>
      </c>
      <c r="U3" s="12" t="s">
        <v>189</v>
      </c>
      <c r="V3" s="12" t="s">
        <v>190</v>
      </c>
      <c r="W3" s="12" t="s">
        <v>612</v>
      </c>
      <c r="X3" s="12" t="s">
        <v>613</v>
      </c>
      <c r="Y3" s="12" t="s">
        <v>69</v>
      </c>
      <c r="Z3" s="12" t="s">
        <v>119</v>
      </c>
      <c r="AA3" s="12" t="s">
        <v>75</v>
      </c>
      <c r="AB3" s="12" t="s">
        <v>206</v>
      </c>
      <c r="AC3" s="12" t="s">
        <v>207</v>
      </c>
      <c r="AD3" s="12" t="s">
        <v>611</v>
      </c>
      <c r="AE3" s="12" t="s">
        <v>631</v>
      </c>
      <c r="AH3" s="12" t="s">
        <v>578</v>
      </c>
      <c r="AI3" s="12" t="s">
        <v>579</v>
      </c>
      <c r="AJ3" s="12" t="s">
        <v>310</v>
      </c>
      <c r="AK3" s="12" t="s">
        <v>311</v>
      </c>
      <c r="AL3" s="12" t="s">
        <v>312</v>
      </c>
    </row>
    <row r="4" spans="1:38" ht="16.5" x14ac:dyDescent="0.2">
      <c r="A4" s="15" t="s">
        <v>188</v>
      </c>
      <c r="B4" s="17">
        <f>新属性投放!E81</f>
        <v>0.5</v>
      </c>
      <c r="C4" s="17">
        <f>新属性投放!F81</f>
        <v>0.5</v>
      </c>
      <c r="D4" s="17">
        <f>新属性投放!G81</f>
        <v>0.5</v>
      </c>
      <c r="E4" s="27">
        <f>INT(新属性投放!H81/1.5)</f>
        <v>24081</v>
      </c>
      <c r="F4" s="27">
        <f>INT(新属性投放!I81/1.5)</f>
        <v>12008</v>
      </c>
      <c r="G4" s="27">
        <f>INT(新属性投放!J81/1.5)</f>
        <v>72418</v>
      </c>
      <c r="I4" s="13">
        <v>1</v>
      </c>
      <c r="J4" s="13" t="s">
        <v>574</v>
      </c>
      <c r="K4" s="13">
        <v>1</v>
      </c>
      <c r="L4" s="13">
        <f>K4^1.7</f>
        <v>1</v>
      </c>
      <c r="M4" s="13">
        <v>40</v>
      </c>
      <c r="P4" s="13">
        <v>0</v>
      </c>
      <c r="Q4" s="13"/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/>
      <c r="AG4" s="13">
        <v>1</v>
      </c>
      <c r="AH4" s="13" t="s">
        <v>580</v>
      </c>
      <c r="AI4" s="13" t="s">
        <v>581</v>
      </c>
      <c r="AJ4" s="13">
        <v>1</v>
      </c>
      <c r="AK4" s="13"/>
      <c r="AL4" s="13">
        <v>2</v>
      </c>
    </row>
    <row r="5" spans="1:38" ht="16.5" x14ac:dyDescent="0.2">
      <c r="A5" s="15" t="s">
        <v>191</v>
      </c>
      <c r="B5" s="13"/>
      <c r="C5" s="13"/>
      <c r="D5" s="13"/>
      <c r="E5" s="28">
        <v>0</v>
      </c>
      <c r="F5" s="28">
        <v>0</v>
      </c>
      <c r="G5" s="28">
        <v>0</v>
      </c>
      <c r="I5" s="13">
        <v>2</v>
      </c>
      <c r="J5" s="13" t="s">
        <v>575</v>
      </c>
      <c r="K5" s="13">
        <v>2</v>
      </c>
      <c r="L5" s="13">
        <v>3</v>
      </c>
      <c r="M5" s="13">
        <v>120</v>
      </c>
      <c r="P5" s="13" t="s">
        <v>559</v>
      </c>
      <c r="Q5" s="13">
        <v>1</v>
      </c>
      <c r="R5" s="13">
        <v>1</v>
      </c>
      <c r="S5" s="13">
        <v>1606003</v>
      </c>
      <c r="T5" s="13">
        <v>1</v>
      </c>
      <c r="U5" s="13">
        <f>INDEX($K$4:$K$7,T5)</f>
        <v>1</v>
      </c>
      <c r="V5" s="31">
        <f t="shared" ref="V5:V46" si="0">U5/$U$1</f>
        <v>0.01</v>
      </c>
      <c r="W5" s="35">
        <v>15</v>
      </c>
      <c r="X5" s="35">
        <f>SUM(W$5:W5)</f>
        <v>15</v>
      </c>
      <c r="Y5" s="14">
        <f>INDEX(AJ$4:AJ$48,$Q5)</f>
        <v>1</v>
      </c>
      <c r="Z5" s="14">
        <f t="shared" ref="Z5:AA5" si="1">INDEX(AK$4:AK$48,$Q5)</f>
        <v>0</v>
      </c>
      <c r="AA5" s="14">
        <f t="shared" si="1"/>
        <v>2</v>
      </c>
      <c r="AB5" s="13">
        <v>1</v>
      </c>
      <c r="AC5" s="13">
        <v>3</v>
      </c>
      <c r="AD5" s="13"/>
      <c r="AE5" s="13"/>
      <c r="AG5" s="13">
        <v>2</v>
      </c>
      <c r="AH5" s="13" t="s">
        <v>580</v>
      </c>
      <c r="AI5" s="13" t="s">
        <v>582</v>
      </c>
      <c r="AJ5" s="13">
        <v>1</v>
      </c>
      <c r="AK5" s="13">
        <v>2</v>
      </c>
      <c r="AL5" s="13"/>
    </row>
    <row r="6" spans="1:38" ht="16.5" x14ac:dyDescent="0.2">
      <c r="A6" s="15" t="s">
        <v>192</v>
      </c>
      <c r="B6" s="28">
        <v>1</v>
      </c>
      <c r="C6" s="28">
        <v>1</v>
      </c>
      <c r="D6" s="28">
        <v>1</v>
      </c>
      <c r="E6" s="13"/>
      <c r="F6" s="13"/>
      <c r="G6" s="13"/>
      <c r="I6" s="13">
        <v>3</v>
      </c>
      <c r="J6" s="13" t="s">
        <v>576</v>
      </c>
      <c r="K6" s="13">
        <v>3</v>
      </c>
      <c r="L6" s="13">
        <v>7</v>
      </c>
      <c r="M6" s="13">
        <v>280</v>
      </c>
      <c r="P6" s="13" t="s">
        <v>559</v>
      </c>
      <c r="Q6" s="13">
        <v>2</v>
      </c>
      <c r="R6" s="13">
        <v>2</v>
      </c>
      <c r="S6" s="13">
        <v>1606004</v>
      </c>
      <c r="T6" s="13">
        <v>1</v>
      </c>
      <c r="U6" s="13">
        <f t="shared" ref="U6:U18" si="2">INDEX($K$4:$K$7,T6)</f>
        <v>1</v>
      </c>
      <c r="V6" s="31">
        <f t="shared" si="0"/>
        <v>0.01</v>
      </c>
      <c r="W6" s="35">
        <v>15</v>
      </c>
      <c r="X6" s="35">
        <f>SUM(W$5:W6)</f>
        <v>30</v>
      </c>
      <c r="Y6" s="14">
        <f t="shared" ref="Y6:Y46" si="3">INDEX(AJ$4:AJ$48,$Q6)</f>
        <v>1</v>
      </c>
      <c r="Z6" s="14">
        <f t="shared" ref="Z6:Z46" si="4">INDEX(AK$4:AK$48,$Q6)</f>
        <v>2</v>
      </c>
      <c r="AA6" s="14">
        <f t="shared" ref="AA6:AA46" si="5">INDEX(AL$4:AL$48,$Q6)</f>
        <v>0</v>
      </c>
      <c r="AB6" s="13">
        <v>1</v>
      </c>
      <c r="AC6" s="13">
        <v>2</v>
      </c>
      <c r="AD6" s="13"/>
      <c r="AE6" s="13"/>
      <c r="AG6" s="13">
        <v>3</v>
      </c>
      <c r="AH6" s="13" t="s">
        <v>580</v>
      </c>
      <c r="AI6" s="13" t="s">
        <v>583</v>
      </c>
      <c r="AJ6" s="13">
        <v>2</v>
      </c>
      <c r="AK6" s="13">
        <v>1</v>
      </c>
      <c r="AL6" s="13"/>
    </row>
    <row r="7" spans="1:38" ht="16.5" x14ac:dyDescent="0.2">
      <c r="A7" s="15" t="s">
        <v>193</v>
      </c>
      <c r="B7" s="13"/>
      <c r="C7" s="13"/>
      <c r="D7" s="13"/>
      <c r="E7" s="28">
        <v>1</v>
      </c>
      <c r="F7" s="28">
        <v>1</v>
      </c>
      <c r="G7" s="28">
        <v>1</v>
      </c>
      <c r="I7" s="13">
        <v>4</v>
      </c>
      <c r="J7" s="13" t="s">
        <v>577</v>
      </c>
      <c r="K7" s="13">
        <v>5</v>
      </c>
      <c r="L7" s="13">
        <v>15</v>
      </c>
      <c r="M7" s="13">
        <v>600</v>
      </c>
      <c r="P7" s="13" t="s">
        <v>560</v>
      </c>
      <c r="Q7" s="13">
        <v>9</v>
      </c>
      <c r="R7" s="13">
        <v>3</v>
      </c>
      <c r="S7" s="13">
        <v>1606005</v>
      </c>
      <c r="T7" s="13">
        <v>2</v>
      </c>
      <c r="U7" s="13">
        <f t="shared" si="2"/>
        <v>2</v>
      </c>
      <c r="V7" s="31">
        <f t="shared" si="0"/>
        <v>0.02</v>
      </c>
      <c r="W7" s="35">
        <v>15</v>
      </c>
      <c r="X7" s="35">
        <f>SUM(W$5:W7)</f>
        <v>45</v>
      </c>
      <c r="Y7" s="14">
        <f t="shared" si="3"/>
        <v>1</v>
      </c>
      <c r="Z7" s="14">
        <f t="shared" si="4"/>
        <v>0</v>
      </c>
      <c r="AA7" s="14">
        <f t="shared" si="5"/>
        <v>2</v>
      </c>
      <c r="AB7" s="13">
        <v>1</v>
      </c>
      <c r="AC7" s="13">
        <v>3</v>
      </c>
      <c r="AD7" s="13"/>
      <c r="AE7" s="13"/>
      <c r="AG7" s="13">
        <v>4</v>
      </c>
      <c r="AH7" s="13" t="s">
        <v>580</v>
      </c>
      <c r="AI7" s="13" t="s">
        <v>584</v>
      </c>
      <c r="AJ7" s="13">
        <v>1</v>
      </c>
      <c r="AK7" s="13">
        <v>1</v>
      </c>
      <c r="AL7" s="13">
        <v>1</v>
      </c>
    </row>
    <row r="8" spans="1:38" ht="16.5" x14ac:dyDescent="0.2">
      <c r="P8" s="13" t="s">
        <v>561</v>
      </c>
      <c r="Q8" s="13">
        <v>3</v>
      </c>
      <c r="R8" s="13">
        <v>1</v>
      </c>
      <c r="S8" s="13">
        <v>1606006</v>
      </c>
      <c r="T8" s="13">
        <v>1</v>
      </c>
      <c r="U8" s="13">
        <f t="shared" si="2"/>
        <v>1</v>
      </c>
      <c r="V8" s="31">
        <f t="shared" si="0"/>
        <v>0.01</v>
      </c>
      <c r="W8" s="35">
        <v>15</v>
      </c>
      <c r="X8" s="35">
        <f>SUM(W$5:W8)</f>
        <v>60</v>
      </c>
      <c r="Y8" s="14">
        <f t="shared" si="3"/>
        <v>2</v>
      </c>
      <c r="Z8" s="14">
        <f t="shared" si="4"/>
        <v>1</v>
      </c>
      <c r="AA8" s="14">
        <f t="shared" si="5"/>
        <v>0</v>
      </c>
      <c r="AB8" s="13">
        <v>1</v>
      </c>
      <c r="AC8" s="13">
        <v>2</v>
      </c>
      <c r="AD8" s="13"/>
      <c r="AE8" s="13"/>
      <c r="AG8" s="13">
        <v>5</v>
      </c>
      <c r="AH8" s="13" t="s">
        <v>580</v>
      </c>
      <c r="AI8" s="13" t="s">
        <v>585</v>
      </c>
      <c r="AJ8" s="13"/>
      <c r="AK8" s="13">
        <v>1</v>
      </c>
      <c r="AL8" s="13">
        <v>2</v>
      </c>
    </row>
    <row r="9" spans="1:38" ht="16.5" x14ac:dyDescent="0.2">
      <c r="A9" s="15" t="s">
        <v>191</v>
      </c>
      <c r="B9" s="17">
        <f t="shared" ref="B9:G11" si="6">B$4*B5</f>
        <v>0</v>
      </c>
      <c r="C9" s="17">
        <f t="shared" si="6"/>
        <v>0</v>
      </c>
      <c r="D9" s="17">
        <f t="shared" si="6"/>
        <v>0</v>
      </c>
      <c r="E9" s="14">
        <f t="shared" si="6"/>
        <v>0</v>
      </c>
      <c r="F9" s="14">
        <f t="shared" si="6"/>
        <v>0</v>
      </c>
      <c r="G9" s="14">
        <f t="shared" si="6"/>
        <v>0</v>
      </c>
      <c r="P9" s="13" t="s">
        <v>562</v>
      </c>
      <c r="Q9" s="13">
        <v>4</v>
      </c>
      <c r="R9" s="13">
        <v>2</v>
      </c>
      <c r="S9" s="13">
        <v>1606007</v>
      </c>
      <c r="T9" s="13">
        <v>1</v>
      </c>
      <c r="U9" s="13">
        <f t="shared" si="2"/>
        <v>1</v>
      </c>
      <c r="V9" s="31">
        <f t="shared" si="0"/>
        <v>0.01</v>
      </c>
      <c r="W9" s="35">
        <v>15</v>
      </c>
      <c r="X9" s="35">
        <f>SUM(W$5:W9)</f>
        <v>75</v>
      </c>
      <c r="Y9" s="14">
        <f t="shared" si="3"/>
        <v>1</v>
      </c>
      <c r="Z9" s="14">
        <f t="shared" si="4"/>
        <v>1</v>
      </c>
      <c r="AA9" s="14">
        <f t="shared" si="5"/>
        <v>1</v>
      </c>
      <c r="AB9" s="13">
        <v>1</v>
      </c>
      <c r="AC9" s="13">
        <v>2</v>
      </c>
      <c r="AD9" s="13">
        <v>3</v>
      </c>
      <c r="AE9" s="13"/>
      <c r="AG9" s="13">
        <v>6</v>
      </c>
      <c r="AH9" s="13" t="s">
        <v>580</v>
      </c>
      <c r="AI9" s="13" t="s">
        <v>586</v>
      </c>
      <c r="AJ9" s="13">
        <v>2</v>
      </c>
      <c r="AK9" s="13"/>
      <c r="AL9" s="13">
        <v>1</v>
      </c>
    </row>
    <row r="10" spans="1:38" ht="16.5" x14ac:dyDescent="0.2">
      <c r="A10" s="15" t="s">
        <v>192</v>
      </c>
      <c r="B10" s="17">
        <f t="shared" si="6"/>
        <v>0.5</v>
      </c>
      <c r="C10" s="17">
        <f t="shared" si="6"/>
        <v>0.5</v>
      </c>
      <c r="D10" s="17">
        <f t="shared" si="6"/>
        <v>0.5</v>
      </c>
      <c r="E10" s="14">
        <f t="shared" si="6"/>
        <v>0</v>
      </c>
      <c r="F10" s="14">
        <f t="shared" si="6"/>
        <v>0</v>
      </c>
      <c r="G10" s="14">
        <f t="shared" si="6"/>
        <v>0</v>
      </c>
      <c r="P10" s="13" t="s">
        <v>562</v>
      </c>
      <c r="Q10" s="13">
        <v>10</v>
      </c>
      <c r="R10" s="13">
        <v>3</v>
      </c>
      <c r="S10" s="13">
        <v>1606008</v>
      </c>
      <c r="T10" s="13">
        <v>1</v>
      </c>
      <c r="U10" s="13">
        <f t="shared" si="2"/>
        <v>1</v>
      </c>
      <c r="V10" s="31">
        <f t="shared" si="0"/>
        <v>0.01</v>
      </c>
      <c r="W10" s="35">
        <v>15</v>
      </c>
      <c r="X10" s="35">
        <f>SUM(W$5:W10)</f>
        <v>90</v>
      </c>
      <c r="Y10" s="14">
        <f t="shared" si="3"/>
        <v>0</v>
      </c>
      <c r="Z10" s="14">
        <f t="shared" si="4"/>
        <v>2</v>
      </c>
      <c r="AA10" s="14">
        <f t="shared" si="5"/>
        <v>1</v>
      </c>
      <c r="AB10" s="13">
        <v>2</v>
      </c>
      <c r="AC10" s="13">
        <v>3</v>
      </c>
      <c r="AD10" s="13"/>
      <c r="AE10" s="13"/>
      <c r="AG10" s="13">
        <v>7</v>
      </c>
      <c r="AH10" s="13" t="s">
        <v>580</v>
      </c>
      <c r="AI10" s="13" t="s">
        <v>587</v>
      </c>
      <c r="AJ10" s="13"/>
      <c r="AK10" s="13">
        <v>2</v>
      </c>
      <c r="AL10" s="13">
        <v>1</v>
      </c>
    </row>
    <row r="11" spans="1:38" ht="16.5" x14ac:dyDescent="0.2">
      <c r="A11" s="15" t="s">
        <v>193</v>
      </c>
      <c r="B11" s="17">
        <f t="shared" si="6"/>
        <v>0</v>
      </c>
      <c r="C11" s="17">
        <f t="shared" si="6"/>
        <v>0</v>
      </c>
      <c r="D11" s="17">
        <f t="shared" si="6"/>
        <v>0</v>
      </c>
      <c r="E11" s="14">
        <f t="shared" si="6"/>
        <v>24081</v>
      </c>
      <c r="F11" s="14">
        <f t="shared" si="6"/>
        <v>12008</v>
      </c>
      <c r="G11" s="14">
        <f t="shared" si="6"/>
        <v>72418</v>
      </c>
      <c r="P11" s="13" t="s">
        <v>562</v>
      </c>
      <c r="Q11" s="13">
        <v>11</v>
      </c>
      <c r="R11" s="13">
        <v>4</v>
      </c>
      <c r="S11" s="13">
        <v>1606009</v>
      </c>
      <c r="T11" s="13">
        <v>2</v>
      </c>
      <c r="U11" s="13">
        <f t="shared" si="2"/>
        <v>2</v>
      </c>
      <c r="V11" s="31">
        <f t="shared" si="0"/>
        <v>0.02</v>
      </c>
      <c r="W11" s="35">
        <v>15</v>
      </c>
      <c r="X11" s="35">
        <f>SUM(W$5:W11)</f>
        <v>105</v>
      </c>
      <c r="Y11" s="14">
        <f t="shared" si="3"/>
        <v>1</v>
      </c>
      <c r="Z11" s="14">
        <f t="shared" si="4"/>
        <v>1</v>
      </c>
      <c r="AA11" s="14">
        <f t="shared" si="5"/>
        <v>1</v>
      </c>
      <c r="AB11" s="13">
        <v>1</v>
      </c>
      <c r="AC11" s="13">
        <v>2</v>
      </c>
      <c r="AD11" s="13">
        <v>3</v>
      </c>
      <c r="AE11" s="13"/>
      <c r="AG11" s="13">
        <v>8</v>
      </c>
      <c r="AH11" s="37"/>
      <c r="AI11" s="37"/>
      <c r="AJ11" s="37"/>
      <c r="AK11" s="37"/>
      <c r="AL11" s="37"/>
    </row>
    <row r="12" spans="1:38" ht="16.5" x14ac:dyDescent="0.2">
      <c r="P12" s="13" t="s">
        <v>563</v>
      </c>
      <c r="Q12" s="13">
        <v>25</v>
      </c>
      <c r="R12" s="13">
        <v>5</v>
      </c>
      <c r="S12" s="13">
        <v>1606010</v>
      </c>
      <c r="T12" s="13">
        <v>3</v>
      </c>
      <c r="U12" s="13">
        <f t="shared" si="2"/>
        <v>3</v>
      </c>
      <c r="V12" s="31">
        <f t="shared" si="0"/>
        <v>0.03</v>
      </c>
      <c r="W12" s="35">
        <v>15</v>
      </c>
      <c r="X12" s="35">
        <f>SUM(W$5:W12)</f>
        <v>120</v>
      </c>
      <c r="Y12" s="14">
        <f t="shared" si="3"/>
        <v>2</v>
      </c>
      <c r="Z12" s="14">
        <f t="shared" si="4"/>
        <v>1</v>
      </c>
      <c r="AA12" s="14">
        <f t="shared" si="5"/>
        <v>0</v>
      </c>
      <c r="AB12" s="13">
        <v>1</v>
      </c>
      <c r="AC12" s="13">
        <v>2</v>
      </c>
      <c r="AD12" s="13"/>
      <c r="AE12" s="13"/>
      <c r="AG12" s="13">
        <v>9</v>
      </c>
      <c r="AH12" s="13" t="s">
        <v>588</v>
      </c>
      <c r="AI12" s="13" t="s">
        <v>589</v>
      </c>
      <c r="AJ12" s="13">
        <v>1</v>
      </c>
      <c r="AK12" s="13"/>
      <c r="AL12" s="13">
        <v>2</v>
      </c>
    </row>
    <row r="13" spans="1:38" ht="16.5" x14ac:dyDescent="0.2">
      <c r="B13" s="20">
        <f>SUM(B16:B22)</f>
        <v>12.5</v>
      </c>
      <c r="P13" s="13" t="s">
        <v>564</v>
      </c>
      <c r="Q13" s="13">
        <v>5</v>
      </c>
      <c r="R13" s="13">
        <v>1</v>
      </c>
      <c r="S13" s="13">
        <v>1606011</v>
      </c>
      <c r="T13" s="13">
        <v>1</v>
      </c>
      <c r="U13" s="13">
        <f t="shared" si="2"/>
        <v>1</v>
      </c>
      <c r="V13" s="31">
        <f t="shared" si="0"/>
        <v>0.01</v>
      </c>
      <c r="W13" s="35">
        <v>21</v>
      </c>
      <c r="X13" s="35">
        <f>SUM(W$5:W13)</f>
        <v>141</v>
      </c>
      <c r="Y13" s="14">
        <f t="shared" si="3"/>
        <v>0</v>
      </c>
      <c r="Z13" s="14">
        <f t="shared" si="4"/>
        <v>1</v>
      </c>
      <c r="AA13" s="14">
        <f t="shared" si="5"/>
        <v>2</v>
      </c>
      <c r="AB13" s="13">
        <v>2</v>
      </c>
      <c r="AC13" s="13">
        <v>3</v>
      </c>
      <c r="AD13" s="13"/>
      <c r="AE13" s="13"/>
      <c r="AG13" s="13">
        <v>10</v>
      </c>
      <c r="AH13" s="13" t="s">
        <v>588</v>
      </c>
      <c r="AI13" s="13" t="s">
        <v>590</v>
      </c>
      <c r="AJ13" s="13"/>
      <c r="AK13" s="13">
        <v>2</v>
      </c>
      <c r="AL13" s="13">
        <v>1</v>
      </c>
    </row>
    <row r="14" spans="1:38" ht="18" customHeight="1" x14ac:dyDescent="0.2">
      <c r="A14" s="63" t="s">
        <v>200</v>
      </c>
      <c r="B14" s="63"/>
      <c r="C14" s="63"/>
      <c r="D14" s="63"/>
      <c r="E14" s="63"/>
      <c r="F14" s="63"/>
      <c r="P14" s="13" t="s">
        <v>565</v>
      </c>
      <c r="Q14" s="13">
        <v>12</v>
      </c>
      <c r="R14" s="13">
        <v>2</v>
      </c>
      <c r="S14" s="13">
        <v>1606012</v>
      </c>
      <c r="T14" s="13">
        <v>2</v>
      </c>
      <c r="U14" s="13">
        <f t="shared" si="2"/>
        <v>2</v>
      </c>
      <c r="V14" s="31">
        <f t="shared" si="0"/>
        <v>0.02</v>
      </c>
      <c r="W14" s="35">
        <v>21</v>
      </c>
      <c r="X14" s="35">
        <f>SUM(W$5:W14)</f>
        <v>162</v>
      </c>
      <c r="Y14" s="14">
        <f t="shared" si="3"/>
        <v>1</v>
      </c>
      <c r="Z14" s="14">
        <f t="shared" si="4"/>
        <v>0</v>
      </c>
      <c r="AA14" s="14">
        <f t="shared" si="5"/>
        <v>2</v>
      </c>
      <c r="AB14" s="13">
        <v>1</v>
      </c>
      <c r="AC14" s="13">
        <v>3</v>
      </c>
      <c r="AD14" s="13"/>
      <c r="AE14" s="13"/>
      <c r="AG14" s="13">
        <v>11</v>
      </c>
      <c r="AH14" s="13" t="s">
        <v>575</v>
      </c>
      <c r="AI14" s="13" t="s">
        <v>644</v>
      </c>
      <c r="AJ14" s="13">
        <v>1</v>
      </c>
      <c r="AK14" s="13">
        <v>1</v>
      </c>
      <c r="AL14" s="13">
        <v>1</v>
      </c>
    </row>
    <row r="15" spans="1:38" ht="17.25" x14ac:dyDescent="0.2">
      <c r="A15" s="12" t="s">
        <v>181</v>
      </c>
      <c r="B15" s="12" t="s">
        <v>189</v>
      </c>
      <c r="C15" s="12" t="s">
        <v>190</v>
      </c>
      <c r="D15" s="12" t="s">
        <v>126</v>
      </c>
      <c r="E15" s="12" t="s">
        <v>127</v>
      </c>
      <c r="F15" s="12" t="s">
        <v>66</v>
      </c>
      <c r="P15" s="13" t="s">
        <v>564</v>
      </c>
      <c r="Q15" s="13">
        <v>13</v>
      </c>
      <c r="R15" s="13">
        <v>3</v>
      </c>
      <c r="S15" s="13">
        <v>1606013</v>
      </c>
      <c r="T15" s="13">
        <v>2</v>
      </c>
      <c r="U15" s="13">
        <f t="shared" si="2"/>
        <v>2</v>
      </c>
      <c r="V15" s="31">
        <f t="shared" si="0"/>
        <v>0.02</v>
      </c>
      <c r="W15" s="35">
        <v>21</v>
      </c>
      <c r="X15" s="35">
        <f>SUM(W$5:W15)</f>
        <v>183</v>
      </c>
      <c r="Y15" s="14">
        <f t="shared" si="3"/>
        <v>0</v>
      </c>
      <c r="Z15" s="14">
        <f t="shared" si="4"/>
        <v>1</v>
      </c>
      <c r="AA15" s="14">
        <f t="shared" si="5"/>
        <v>2</v>
      </c>
      <c r="AB15" s="13">
        <v>2</v>
      </c>
      <c r="AC15" s="13">
        <v>3</v>
      </c>
      <c r="AD15" s="13"/>
      <c r="AE15" s="13"/>
      <c r="AG15" s="13">
        <v>12</v>
      </c>
      <c r="AH15" s="13" t="s">
        <v>588</v>
      </c>
      <c r="AI15" s="13" t="s">
        <v>632</v>
      </c>
      <c r="AJ15" s="13">
        <v>1</v>
      </c>
      <c r="AK15" s="13"/>
      <c r="AL15" s="13">
        <v>2</v>
      </c>
    </row>
    <row r="16" spans="1:38" ht="16.5" x14ac:dyDescent="0.2">
      <c r="A16" s="13" t="s">
        <v>552</v>
      </c>
      <c r="B16" s="13">
        <v>1</v>
      </c>
      <c r="C16" s="17">
        <f>B16/B$13</f>
        <v>0.08</v>
      </c>
      <c r="D16" s="17">
        <f>B$10*$C16</f>
        <v>0.04</v>
      </c>
      <c r="E16" s="17">
        <f>C$10*$C16</f>
        <v>0.04</v>
      </c>
      <c r="F16" s="17">
        <f>D$10*$C16</f>
        <v>0.04</v>
      </c>
      <c r="P16" s="13" t="s">
        <v>564</v>
      </c>
      <c r="Q16" s="13">
        <v>26</v>
      </c>
      <c r="R16" s="13">
        <v>4</v>
      </c>
      <c r="S16" s="13">
        <v>1606014</v>
      </c>
      <c r="T16" s="13">
        <v>3</v>
      </c>
      <c r="U16" s="13">
        <f t="shared" si="2"/>
        <v>3</v>
      </c>
      <c r="V16" s="31">
        <f t="shared" si="0"/>
        <v>0.03</v>
      </c>
      <c r="W16" s="35">
        <v>21</v>
      </c>
      <c r="X16" s="35">
        <f>SUM(W$5:W16)</f>
        <v>204</v>
      </c>
      <c r="Y16" s="14">
        <f t="shared" si="3"/>
        <v>0</v>
      </c>
      <c r="Z16" s="14">
        <f t="shared" si="4"/>
        <v>1</v>
      </c>
      <c r="AA16" s="14">
        <f t="shared" si="5"/>
        <v>2</v>
      </c>
      <c r="AB16" s="13">
        <v>2</v>
      </c>
      <c r="AC16" s="13">
        <v>3</v>
      </c>
      <c r="AD16" s="13"/>
      <c r="AE16" s="13"/>
      <c r="AG16" s="13">
        <v>13</v>
      </c>
      <c r="AH16" s="13" t="s">
        <v>588</v>
      </c>
      <c r="AI16" s="13" t="s">
        <v>633</v>
      </c>
      <c r="AJ16" s="13"/>
      <c r="AK16" s="13">
        <v>1</v>
      </c>
      <c r="AL16" s="13">
        <v>2</v>
      </c>
    </row>
    <row r="17" spans="1:38" ht="16.5" x14ac:dyDescent="0.2">
      <c r="A17" s="13" t="s">
        <v>553</v>
      </c>
      <c r="B17" s="13">
        <v>1</v>
      </c>
      <c r="C17" s="17">
        <f t="shared" ref="C17:C22" si="7">B17/B$13</f>
        <v>0.08</v>
      </c>
      <c r="D17" s="17">
        <f t="shared" ref="D17:F22" si="8">B$10*$C17</f>
        <v>0.04</v>
      </c>
      <c r="E17" s="17">
        <f t="shared" si="8"/>
        <v>0.04</v>
      </c>
      <c r="F17" s="17">
        <f t="shared" si="8"/>
        <v>0.04</v>
      </c>
      <c r="P17" s="13" t="s">
        <v>565</v>
      </c>
      <c r="Q17" s="13">
        <v>27</v>
      </c>
      <c r="R17" s="13">
        <v>5</v>
      </c>
      <c r="S17" s="13">
        <v>1606015</v>
      </c>
      <c r="T17" s="13">
        <v>3</v>
      </c>
      <c r="U17" s="13">
        <f t="shared" si="2"/>
        <v>3</v>
      </c>
      <c r="V17" s="31">
        <f t="shared" si="0"/>
        <v>0.03</v>
      </c>
      <c r="W17" s="35">
        <v>21</v>
      </c>
      <c r="X17" s="35">
        <f>SUM(W$5:W17)</f>
        <v>225</v>
      </c>
      <c r="Y17" s="14">
        <f t="shared" si="3"/>
        <v>1</v>
      </c>
      <c r="Z17" s="14">
        <f t="shared" si="4"/>
        <v>0</v>
      </c>
      <c r="AA17" s="14">
        <f t="shared" si="5"/>
        <v>2</v>
      </c>
      <c r="AB17" s="13">
        <v>1</v>
      </c>
      <c r="AC17" s="13">
        <v>3</v>
      </c>
      <c r="AD17" s="13"/>
      <c r="AE17" s="13"/>
      <c r="AG17" s="13">
        <v>14</v>
      </c>
      <c r="AH17" s="13" t="s">
        <v>588</v>
      </c>
      <c r="AI17" s="13" t="s">
        <v>645</v>
      </c>
      <c r="AJ17" s="13">
        <v>2</v>
      </c>
      <c r="AK17" s="13">
        <v>1</v>
      </c>
      <c r="AL17" s="13"/>
    </row>
    <row r="18" spans="1:38" ht="16.5" x14ac:dyDescent="0.2">
      <c r="A18" s="13" t="s">
        <v>554</v>
      </c>
      <c r="B18" s="13">
        <v>1.5</v>
      </c>
      <c r="C18" s="17">
        <f t="shared" si="7"/>
        <v>0.12</v>
      </c>
      <c r="D18" s="17">
        <f t="shared" si="8"/>
        <v>0.06</v>
      </c>
      <c r="E18" s="17">
        <f t="shared" si="8"/>
        <v>0.06</v>
      </c>
      <c r="F18" s="17">
        <f t="shared" si="8"/>
        <v>0.06</v>
      </c>
      <c r="P18" s="13" t="s">
        <v>564</v>
      </c>
      <c r="Q18" s="13">
        <v>39</v>
      </c>
      <c r="R18" s="13">
        <v>6</v>
      </c>
      <c r="S18" s="13">
        <v>1606016</v>
      </c>
      <c r="T18" s="13">
        <v>4</v>
      </c>
      <c r="U18" s="13">
        <f t="shared" si="2"/>
        <v>5</v>
      </c>
      <c r="V18" s="31">
        <f t="shared" si="0"/>
        <v>0.05</v>
      </c>
      <c r="W18" s="35">
        <v>21</v>
      </c>
      <c r="X18" s="35">
        <f>SUM(W$5:W18)</f>
        <v>246</v>
      </c>
      <c r="Y18" s="14">
        <f t="shared" si="3"/>
        <v>3</v>
      </c>
      <c r="Z18" s="14">
        <f t="shared" si="4"/>
        <v>0</v>
      </c>
      <c r="AA18" s="14">
        <f t="shared" si="5"/>
        <v>0</v>
      </c>
      <c r="AB18" s="13">
        <v>1</v>
      </c>
      <c r="AC18" s="13"/>
      <c r="AD18" s="13"/>
      <c r="AE18" s="13">
        <v>2</v>
      </c>
      <c r="AG18" s="13">
        <v>15</v>
      </c>
      <c r="AH18" s="13" t="s">
        <v>588</v>
      </c>
      <c r="AI18" s="13" t="s">
        <v>646</v>
      </c>
      <c r="AJ18" s="13">
        <v>2</v>
      </c>
      <c r="AK18" s="13"/>
      <c r="AL18" s="13">
        <v>1</v>
      </c>
    </row>
    <row r="19" spans="1:38" ht="16.5" x14ac:dyDescent="0.2">
      <c r="A19" s="13" t="s">
        <v>555</v>
      </c>
      <c r="B19" s="13">
        <v>1.5</v>
      </c>
      <c r="C19" s="17">
        <f t="shared" si="7"/>
        <v>0.12</v>
      </c>
      <c r="D19" s="17">
        <f t="shared" si="8"/>
        <v>0.06</v>
      </c>
      <c r="E19" s="17">
        <f t="shared" si="8"/>
        <v>0.06</v>
      </c>
      <c r="F19" s="17">
        <f t="shared" si="8"/>
        <v>0.06</v>
      </c>
      <c r="P19" s="13" t="s">
        <v>566</v>
      </c>
      <c r="Q19" s="13">
        <v>6</v>
      </c>
      <c r="R19" s="13">
        <v>1</v>
      </c>
      <c r="S19" s="13">
        <v>1606019</v>
      </c>
      <c r="T19" s="13">
        <v>1</v>
      </c>
      <c r="U19" s="13">
        <f t="shared" ref="U19:U46" si="9">INDEX($K$4:$K$7,T19)</f>
        <v>1</v>
      </c>
      <c r="V19" s="31">
        <f t="shared" si="0"/>
        <v>0.01</v>
      </c>
      <c r="W19" s="35">
        <v>21</v>
      </c>
      <c r="X19" s="35">
        <f>SUM(W$5:W19)</f>
        <v>267</v>
      </c>
      <c r="Y19" s="14">
        <f t="shared" si="3"/>
        <v>2</v>
      </c>
      <c r="Z19" s="14">
        <f t="shared" si="4"/>
        <v>0</v>
      </c>
      <c r="AA19" s="14">
        <f t="shared" si="5"/>
        <v>1</v>
      </c>
      <c r="AB19" s="13">
        <v>1</v>
      </c>
      <c r="AC19" s="13">
        <v>3</v>
      </c>
      <c r="AD19" s="13"/>
      <c r="AE19" s="13"/>
      <c r="AG19" s="13">
        <v>16</v>
      </c>
      <c r="AH19" s="13" t="s">
        <v>588</v>
      </c>
      <c r="AI19" s="13" t="s">
        <v>634</v>
      </c>
      <c r="AJ19" s="13"/>
      <c r="AK19" s="13">
        <v>2</v>
      </c>
      <c r="AL19" s="13">
        <v>1</v>
      </c>
    </row>
    <row r="20" spans="1:38" ht="16.5" x14ac:dyDescent="0.2">
      <c r="A20" s="13" t="s">
        <v>556</v>
      </c>
      <c r="B20" s="13">
        <v>2.5</v>
      </c>
      <c r="C20" s="17">
        <f t="shared" si="7"/>
        <v>0.2</v>
      </c>
      <c r="D20" s="17">
        <f t="shared" si="8"/>
        <v>0.1</v>
      </c>
      <c r="E20" s="17">
        <f t="shared" si="8"/>
        <v>0.1</v>
      </c>
      <c r="F20" s="17">
        <f t="shared" si="8"/>
        <v>0.1</v>
      </c>
      <c r="P20" s="13" t="s">
        <v>566</v>
      </c>
      <c r="Q20" s="13">
        <v>14</v>
      </c>
      <c r="R20" s="13">
        <v>2</v>
      </c>
      <c r="S20" s="13">
        <v>1606020</v>
      </c>
      <c r="T20" s="13">
        <v>1</v>
      </c>
      <c r="U20" s="13">
        <f t="shared" si="9"/>
        <v>1</v>
      </c>
      <c r="V20" s="31">
        <f t="shared" si="0"/>
        <v>0.01</v>
      </c>
      <c r="W20" s="35">
        <v>21</v>
      </c>
      <c r="X20" s="35">
        <f>SUM(W$5:W20)</f>
        <v>288</v>
      </c>
      <c r="Y20" s="14">
        <f t="shared" si="3"/>
        <v>2</v>
      </c>
      <c r="Z20" s="14">
        <f t="shared" si="4"/>
        <v>1</v>
      </c>
      <c r="AA20" s="14">
        <f t="shared" si="5"/>
        <v>0</v>
      </c>
      <c r="AB20" s="13">
        <v>1</v>
      </c>
      <c r="AC20" s="13">
        <v>2</v>
      </c>
      <c r="AD20" s="13"/>
      <c r="AE20" s="13"/>
      <c r="AG20" s="13">
        <v>17</v>
      </c>
      <c r="AH20" s="13" t="s">
        <v>588</v>
      </c>
      <c r="AI20" s="13" t="s">
        <v>594</v>
      </c>
      <c r="AJ20" s="13">
        <v>1</v>
      </c>
      <c r="AK20" s="13">
        <v>2</v>
      </c>
      <c r="AL20" s="13"/>
    </row>
    <row r="21" spans="1:38" ht="16.5" x14ac:dyDescent="0.2">
      <c r="A21" s="13" t="s">
        <v>557</v>
      </c>
      <c r="B21" s="13">
        <v>2.5</v>
      </c>
      <c r="C21" s="17">
        <f t="shared" si="7"/>
        <v>0.2</v>
      </c>
      <c r="D21" s="17">
        <f t="shared" si="8"/>
        <v>0.1</v>
      </c>
      <c r="E21" s="17">
        <f t="shared" si="8"/>
        <v>0.1</v>
      </c>
      <c r="F21" s="17">
        <f t="shared" si="8"/>
        <v>0.1</v>
      </c>
      <c r="P21" s="13" t="s">
        <v>566</v>
      </c>
      <c r="Q21" s="13">
        <v>15</v>
      </c>
      <c r="R21" s="13">
        <v>3</v>
      </c>
      <c r="S21" s="13">
        <v>1606021</v>
      </c>
      <c r="T21" s="13">
        <v>2</v>
      </c>
      <c r="U21" s="13">
        <f t="shared" si="9"/>
        <v>2</v>
      </c>
      <c r="V21" s="31">
        <f t="shared" si="0"/>
        <v>0.02</v>
      </c>
      <c r="W21" s="35">
        <v>21</v>
      </c>
      <c r="X21" s="35">
        <f>SUM(W$5:W21)</f>
        <v>309</v>
      </c>
      <c r="Y21" s="14">
        <f t="shared" si="3"/>
        <v>2</v>
      </c>
      <c r="Z21" s="14">
        <f t="shared" si="4"/>
        <v>0</v>
      </c>
      <c r="AA21" s="14">
        <f t="shared" si="5"/>
        <v>1</v>
      </c>
      <c r="AB21" s="13">
        <v>1</v>
      </c>
      <c r="AC21" s="13">
        <v>3</v>
      </c>
      <c r="AD21" s="13"/>
      <c r="AE21" s="13"/>
      <c r="AG21" s="13">
        <v>18</v>
      </c>
      <c r="AH21" s="13" t="s">
        <v>588</v>
      </c>
      <c r="AI21" s="13" t="s">
        <v>596</v>
      </c>
      <c r="AJ21" s="13">
        <v>2</v>
      </c>
      <c r="AK21" s="13">
        <v>1</v>
      </c>
      <c r="AL21" s="13"/>
    </row>
    <row r="22" spans="1:38" ht="16.5" x14ac:dyDescent="0.2">
      <c r="A22" s="13" t="s">
        <v>558</v>
      </c>
      <c r="B22" s="13">
        <v>2.5</v>
      </c>
      <c r="C22" s="17">
        <f t="shared" si="7"/>
        <v>0.2</v>
      </c>
      <c r="D22" s="17">
        <f t="shared" si="8"/>
        <v>0.1</v>
      </c>
      <c r="E22" s="17">
        <f t="shared" si="8"/>
        <v>0.1</v>
      </c>
      <c r="F22" s="17">
        <f t="shared" si="8"/>
        <v>0.1</v>
      </c>
      <c r="P22" s="13" t="s">
        <v>566</v>
      </c>
      <c r="Q22" s="13">
        <v>28</v>
      </c>
      <c r="R22" s="13">
        <v>4</v>
      </c>
      <c r="S22" s="13">
        <v>1606022</v>
      </c>
      <c r="T22" s="13">
        <v>2</v>
      </c>
      <c r="U22" s="13">
        <f t="shared" si="9"/>
        <v>2</v>
      </c>
      <c r="V22" s="31">
        <f t="shared" si="0"/>
        <v>0.02</v>
      </c>
      <c r="W22" s="35">
        <v>21</v>
      </c>
      <c r="X22" s="35">
        <f>SUM(W$5:W22)</f>
        <v>330</v>
      </c>
      <c r="Y22" s="14">
        <f t="shared" si="3"/>
        <v>2</v>
      </c>
      <c r="Z22" s="14">
        <f t="shared" si="4"/>
        <v>0</v>
      </c>
      <c r="AA22" s="14">
        <f t="shared" si="5"/>
        <v>1</v>
      </c>
      <c r="AB22" s="13">
        <v>1</v>
      </c>
      <c r="AC22" s="13">
        <v>3</v>
      </c>
      <c r="AD22" s="13"/>
      <c r="AE22" s="13"/>
      <c r="AG22" s="13">
        <v>19</v>
      </c>
      <c r="AH22" s="13" t="s">
        <v>588</v>
      </c>
      <c r="AI22" s="13" t="s">
        <v>597</v>
      </c>
      <c r="AJ22" s="13"/>
      <c r="AK22" s="13">
        <v>2</v>
      </c>
      <c r="AL22" s="13">
        <v>1</v>
      </c>
    </row>
    <row r="23" spans="1:38" ht="16.5" x14ac:dyDescent="0.2">
      <c r="P23" s="13" t="s">
        <v>566</v>
      </c>
      <c r="Q23" s="13">
        <v>29</v>
      </c>
      <c r="R23" s="13">
        <v>5</v>
      </c>
      <c r="S23" s="13">
        <v>1606023</v>
      </c>
      <c r="T23" s="13">
        <v>2</v>
      </c>
      <c r="U23" s="13">
        <f t="shared" si="9"/>
        <v>2</v>
      </c>
      <c r="V23" s="31">
        <f t="shared" si="0"/>
        <v>0.02</v>
      </c>
      <c r="W23" s="35">
        <v>21</v>
      </c>
      <c r="X23" s="35">
        <f>SUM(W$5:W23)</f>
        <v>351</v>
      </c>
      <c r="Y23" s="14">
        <f t="shared" si="3"/>
        <v>1</v>
      </c>
      <c r="Z23" s="14">
        <f t="shared" si="4"/>
        <v>1</v>
      </c>
      <c r="AA23" s="14">
        <f t="shared" si="5"/>
        <v>1</v>
      </c>
      <c r="AB23" s="13">
        <v>1</v>
      </c>
      <c r="AC23" s="13">
        <v>2</v>
      </c>
      <c r="AD23" s="13">
        <v>3</v>
      </c>
      <c r="AE23" s="13"/>
      <c r="AG23" s="13">
        <v>20</v>
      </c>
      <c r="AH23" s="13" t="s">
        <v>588</v>
      </c>
      <c r="AI23" s="13" t="s">
        <v>598</v>
      </c>
      <c r="AJ23" s="13">
        <v>1</v>
      </c>
      <c r="AK23" s="13">
        <v>1</v>
      </c>
      <c r="AL23" s="13">
        <v>1</v>
      </c>
    </row>
    <row r="24" spans="1:38" ht="16.5" x14ac:dyDescent="0.2">
      <c r="P24" s="13" t="s">
        <v>566</v>
      </c>
      <c r="Q24" s="13">
        <v>40</v>
      </c>
      <c r="R24" s="13">
        <v>6</v>
      </c>
      <c r="S24" s="13">
        <v>1606024</v>
      </c>
      <c r="T24" s="13">
        <v>3</v>
      </c>
      <c r="U24" s="13">
        <f t="shared" si="9"/>
        <v>3</v>
      </c>
      <c r="V24" s="31">
        <f t="shared" si="0"/>
        <v>0.03</v>
      </c>
      <c r="W24" s="35">
        <v>21</v>
      </c>
      <c r="X24" s="35">
        <f>SUM(W$5:W24)</f>
        <v>372</v>
      </c>
      <c r="Y24" s="14">
        <f t="shared" si="3"/>
        <v>0</v>
      </c>
      <c r="Z24" s="14">
        <f t="shared" si="4"/>
        <v>0</v>
      </c>
      <c r="AA24" s="14">
        <f t="shared" si="5"/>
        <v>3</v>
      </c>
      <c r="AB24" s="13">
        <v>3</v>
      </c>
      <c r="AC24" s="13"/>
      <c r="AD24" s="13"/>
      <c r="AE24" s="13">
        <v>2</v>
      </c>
      <c r="AG24" s="13">
        <v>21</v>
      </c>
      <c r="AH24" s="13" t="s">
        <v>588</v>
      </c>
      <c r="AI24" s="13" t="s">
        <v>599</v>
      </c>
      <c r="AJ24" s="13">
        <v>1</v>
      </c>
      <c r="AK24" s="13"/>
      <c r="AL24" s="13">
        <v>2</v>
      </c>
    </row>
    <row r="25" spans="1:38" ht="19.5" customHeight="1" x14ac:dyDescent="0.2">
      <c r="A25" s="63" t="s">
        <v>201</v>
      </c>
      <c r="B25" s="63"/>
      <c r="C25" s="63"/>
      <c r="D25" s="63"/>
      <c r="E25" s="63"/>
      <c r="F25" s="63"/>
      <c r="G25" s="63"/>
      <c r="P25" s="13" t="s">
        <v>567</v>
      </c>
      <c r="Q25" s="13">
        <v>7</v>
      </c>
      <c r="R25" s="13">
        <v>1</v>
      </c>
      <c r="S25" s="13">
        <v>1606027</v>
      </c>
      <c r="T25" s="13">
        <v>1</v>
      </c>
      <c r="U25" s="13">
        <f t="shared" si="9"/>
        <v>1</v>
      </c>
      <c r="V25" s="31">
        <f t="shared" si="0"/>
        <v>0.01</v>
      </c>
      <c r="W25" s="35">
        <v>21</v>
      </c>
      <c r="X25" s="35">
        <f>SUM(W$5:W25)</f>
        <v>393</v>
      </c>
      <c r="Y25" s="14">
        <f t="shared" si="3"/>
        <v>0</v>
      </c>
      <c r="Z25" s="14">
        <f t="shared" si="4"/>
        <v>2</v>
      </c>
      <c r="AA25" s="14">
        <f t="shared" si="5"/>
        <v>1</v>
      </c>
      <c r="AB25" s="13">
        <v>2</v>
      </c>
      <c r="AC25" s="13">
        <v>3</v>
      </c>
      <c r="AD25" s="13"/>
      <c r="AE25" s="13"/>
      <c r="AG25" s="13">
        <v>22</v>
      </c>
      <c r="AH25" s="13" t="s">
        <v>588</v>
      </c>
      <c r="AI25" s="13" t="s">
        <v>600</v>
      </c>
      <c r="AJ25" s="13">
        <v>2</v>
      </c>
      <c r="AK25" s="13">
        <v>1</v>
      </c>
      <c r="AL25" s="13"/>
    </row>
    <row r="26" spans="1:38" ht="17.25" x14ac:dyDescent="0.2">
      <c r="A26" s="12" t="s">
        <v>197</v>
      </c>
      <c r="B26" s="12" t="s">
        <v>198</v>
      </c>
      <c r="C26" s="12" t="s">
        <v>194</v>
      </c>
      <c r="D26" s="12" t="s">
        <v>202</v>
      </c>
      <c r="E26" s="12" t="s">
        <v>196</v>
      </c>
      <c r="F26" s="12" t="s">
        <v>195</v>
      </c>
      <c r="G26" s="12" t="s">
        <v>196</v>
      </c>
      <c r="P26" s="13" t="s">
        <v>567</v>
      </c>
      <c r="Q26" s="13">
        <v>16</v>
      </c>
      <c r="R26" s="13">
        <v>2</v>
      </c>
      <c r="S26" s="13">
        <v>1606028</v>
      </c>
      <c r="T26" s="13">
        <v>1</v>
      </c>
      <c r="U26" s="13">
        <f t="shared" si="9"/>
        <v>1</v>
      </c>
      <c r="V26" s="31">
        <f t="shared" si="0"/>
        <v>0.01</v>
      </c>
      <c r="W26" s="35">
        <v>21</v>
      </c>
      <c r="X26" s="35">
        <f>SUM(W$5:W26)</f>
        <v>414</v>
      </c>
      <c r="Y26" s="14">
        <f t="shared" si="3"/>
        <v>0</v>
      </c>
      <c r="Z26" s="14">
        <f t="shared" si="4"/>
        <v>2</v>
      </c>
      <c r="AA26" s="14">
        <f t="shared" si="5"/>
        <v>1</v>
      </c>
      <c r="AB26" s="13">
        <v>2</v>
      </c>
      <c r="AC26" s="13">
        <v>3</v>
      </c>
      <c r="AD26" s="13"/>
      <c r="AE26" s="13"/>
      <c r="AG26" s="13">
        <v>23</v>
      </c>
      <c r="AH26" s="13" t="s">
        <v>588</v>
      </c>
      <c r="AI26" s="13" t="s">
        <v>601</v>
      </c>
      <c r="AJ26" s="13">
        <v>1</v>
      </c>
      <c r="AK26" s="13">
        <v>1</v>
      </c>
      <c r="AL26" s="13">
        <v>1</v>
      </c>
    </row>
    <row r="27" spans="1:38" ht="16.5" x14ac:dyDescent="0.2">
      <c r="A27" s="13" t="s">
        <v>182</v>
      </c>
      <c r="B27" s="13">
        <v>1</v>
      </c>
      <c r="C27" s="13">
        <v>5</v>
      </c>
      <c r="D27" s="13" t="s">
        <v>60</v>
      </c>
      <c r="E27" s="17">
        <f>INDEX($D$16:$F$22,$B27,MATCH(D27,$D$15:$F$15,0))*0.4</f>
        <v>1.6E-2</v>
      </c>
      <c r="F27" s="13" t="s">
        <v>66</v>
      </c>
      <c r="G27" s="17">
        <f>INDEX($D$16:$F$22,$B27,MATCH(F27,$D$15:$F$15,0))*0.4</f>
        <v>1.6E-2</v>
      </c>
      <c r="I27" s="32"/>
      <c r="P27" s="13" t="s">
        <v>567</v>
      </c>
      <c r="Q27" s="13">
        <v>17</v>
      </c>
      <c r="R27" s="13">
        <v>3</v>
      </c>
      <c r="S27" s="13">
        <v>1606029</v>
      </c>
      <c r="T27" s="13">
        <v>2</v>
      </c>
      <c r="U27" s="13">
        <f t="shared" si="9"/>
        <v>2</v>
      </c>
      <c r="V27" s="31">
        <f t="shared" si="0"/>
        <v>0.02</v>
      </c>
      <c r="W27" s="35">
        <v>21</v>
      </c>
      <c r="X27" s="35">
        <f>SUM(W$5:W27)</f>
        <v>435</v>
      </c>
      <c r="Y27" s="14">
        <f t="shared" si="3"/>
        <v>1</v>
      </c>
      <c r="Z27" s="14">
        <f t="shared" si="4"/>
        <v>2</v>
      </c>
      <c r="AA27" s="14">
        <f t="shared" si="5"/>
        <v>0</v>
      </c>
      <c r="AB27" s="13">
        <v>1</v>
      </c>
      <c r="AC27" s="13">
        <v>2</v>
      </c>
      <c r="AD27" s="13"/>
      <c r="AE27" s="13"/>
      <c r="AG27" s="13">
        <v>24</v>
      </c>
    </row>
    <row r="28" spans="1:38" ht="16.5" x14ac:dyDescent="0.2">
      <c r="A28" s="13" t="s">
        <v>182</v>
      </c>
      <c r="B28" s="13">
        <v>1</v>
      </c>
      <c r="C28" s="13">
        <v>10</v>
      </c>
      <c r="D28" s="13"/>
      <c r="E28" s="13"/>
      <c r="F28" s="13"/>
      <c r="G28" s="13"/>
      <c r="I28" s="32"/>
      <c r="P28" s="13" t="s">
        <v>567</v>
      </c>
      <c r="Q28" s="13">
        <v>30</v>
      </c>
      <c r="R28" s="13">
        <v>4</v>
      </c>
      <c r="S28" s="13">
        <v>1606030</v>
      </c>
      <c r="T28" s="13">
        <v>2</v>
      </c>
      <c r="U28" s="13">
        <f t="shared" si="9"/>
        <v>2</v>
      </c>
      <c r="V28" s="31">
        <f t="shared" si="0"/>
        <v>0.02</v>
      </c>
      <c r="W28" s="35">
        <v>21</v>
      </c>
      <c r="X28" s="35">
        <f>SUM(W$5:W28)</f>
        <v>456</v>
      </c>
      <c r="Y28" s="14">
        <f t="shared" si="3"/>
        <v>0</v>
      </c>
      <c r="Z28" s="14">
        <f t="shared" si="4"/>
        <v>2</v>
      </c>
      <c r="AA28" s="14">
        <f t="shared" si="5"/>
        <v>1</v>
      </c>
      <c r="AB28" s="13">
        <v>2</v>
      </c>
      <c r="AC28" s="13">
        <v>3</v>
      </c>
      <c r="AD28" s="13"/>
      <c r="AE28" s="13"/>
      <c r="AG28" s="13">
        <v>25</v>
      </c>
      <c r="AH28" s="13" t="s">
        <v>602</v>
      </c>
      <c r="AI28" s="13" t="s">
        <v>603</v>
      </c>
      <c r="AJ28" s="13">
        <v>2</v>
      </c>
      <c r="AK28" s="13">
        <v>1</v>
      </c>
      <c r="AL28" s="13"/>
    </row>
    <row r="29" spans="1:38" ht="16.5" x14ac:dyDescent="0.2">
      <c r="A29" s="13" t="s">
        <v>182</v>
      </c>
      <c r="B29" s="13">
        <v>1</v>
      </c>
      <c r="C29" s="13">
        <v>15</v>
      </c>
      <c r="D29" s="13" t="s">
        <v>60</v>
      </c>
      <c r="E29" s="17">
        <f>INDEX($D$16:$F$22,$B29,MATCH(D29,$D$15:$F$15,0))*0.6</f>
        <v>2.4E-2</v>
      </c>
      <c r="F29" s="13" t="s">
        <v>63</v>
      </c>
      <c r="G29" s="17">
        <f>INDEX($D$16:$F$22,$B29,MATCH(F29,$D$15:$F$15,0))*0.4</f>
        <v>1.6E-2</v>
      </c>
      <c r="I29" s="32"/>
      <c r="P29" s="13" t="s">
        <v>567</v>
      </c>
      <c r="Q29" s="13">
        <v>31</v>
      </c>
      <c r="R29" s="13">
        <v>5</v>
      </c>
      <c r="S29" s="13">
        <v>1606031</v>
      </c>
      <c r="T29" s="13">
        <v>2</v>
      </c>
      <c r="U29" s="13">
        <f t="shared" si="9"/>
        <v>2</v>
      </c>
      <c r="V29" s="31">
        <f t="shared" si="0"/>
        <v>0.02</v>
      </c>
      <c r="W29" s="35">
        <v>21</v>
      </c>
      <c r="X29" s="35">
        <f>SUM(W$5:W29)</f>
        <v>477</v>
      </c>
      <c r="Y29" s="14">
        <f t="shared" si="3"/>
        <v>1</v>
      </c>
      <c r="Z29" s="14">
        <f t="shared" si="4"/>
        <v>1</v>
      </c>
      <c r="AA29" s="14">
        <f t="shared" si="5"/>
        <v>1</v>
      </c>
      <c r="AB29" s="13">
        <v>1</v>
      </c>
      <c r="AC29" s="13">
        <v>2</v>
      </c>
      <c r="AD29" s="13">
        <v>3</v>
      </c>
      <c r="AE29" s="13"/>
      <c r="AG29" s="13">
        <v>26</v>
      </c>
      <c r="AH29" s="13" t="s">
        <v>602</v>
      </c>
      <c r="AI29" s="13" t="s">
        <v>591</v>
      </c>
      <c r="AJ29" s="13"/>
      <c r="AK29" s="13">
        <v>1</v>
      </c>
      <c r="AL29" s="13">
        <v>2</v>
      </c>
    </row>
    <row r="30" spans="1:38" ht="16.5" x14ac:dyDescent="0.2">
      <c r="A30" s="13" t="s">
        <v>182</v>
      </c>
      <c r="B30" s="13">
        <v>1</v>
      </c>
      <c r="C30" s="13">
        <v>20</v>
      </c>
      <c r="D30" s="13"/>
      <c r="E30" s="13"/>
      <c r="F30" s="13"/>
      <c r="G30" s="13"/>
      <c r="I30" s="32"/>
      <c r="P30" s="13" t="s">
        <v>567</v>
      </c>
      <c r="Q30" s="13">
        <v>41</v>
      </c>
      <c r="R30" s="13">
        <v>6</v>
      </c>
      <c r="S30" s="13">
        <v>1606032</v>
      </c>
      <c r="T30" s="13">
        <v>3</v>
      </c>
      <c r="U30" s="13">
        <f t="shared" si="9"/>
        <v>3</v>
      </c>
      <c r="V30" s="31">
        <f t="shared" si="0"/>
        <v>0.03</v>
      </c>
      <c r="W30" s="35">
        <v>21</v>
      </c>
      <c r="X30" s="35">
        <f>SUM(W$5:W30)</f>
        <v>498</v>
      </c>
      <c r="Y30" s="14">
        <f t="shared" si="3"/>
        <v>0</v>
      </c>
      <c r="Z30" s="14">
        <f t="shared" si="4"/>
        <v>3</v>
      </c>
      <c r="AA30" s="14">
        <f t="shared" si="5"/>
        <v>0</v>
      </c>
      <c r="AB30" s="13">
        <v>2</v>
      </c>
      <c r="AC30" s="13"/>
      <c r="AD30" s="13"/>
      <c r="AE30" s="13">
        <v>2</v>
      </c>
      <c r="AG30" s="13">
        <v>27</v>
      </c>
      <c r="AH30" s="13" t="s">
        <v>602</v>
      </c>
      <c r="AI30" s="13" t="s">
        <v>592</v>
      </c>
      <c r="AJ30" s="13">
        <v>1</v>
      </c>
      <c r="AK30" s="13"/>
      <c r="AL30" s="13">
        <v>2</v>
      </c>
    </row>
    <row r="31" spans="1:38" ht="16.5" x14ac:dyDescent="0.2">
      <c r="A31" s="13" t="s">
        <v>182</v>
      </c>
      <c r="B31" s="13">
        <v>1</v>
      </c>
      <c r="C31" s="13">
        <v>25</v>
      </c>
      <c r="D31" s="13" t="s">
        <v>63</v>
      </c>
      <c r="E31" s="17">
        <f>INDEX($D$16:$F$22,$B31,MATCH(D31,$D$15:$F$15,0))*0.6</f>
        <v>2.4E-2</v>
      </c>
      <c r="F31" s="13" t="s">
        <v>66</v>
      </c>
      <c r="G31" s="17">
        <f>INDEX($D$16:$F$22,$B31,MATCH(F31,$D$15:$F$15,0))*0.6</f>
        <v>2.4E-2</v>
      </c>
      <c r="I31" s="32"/>
      <c r="P31" s="13" t="s">
        <v>568</v>
      </c>
      <c r="Q31" s="13">
        <v>18</v>
      </c>
      <c r="R31" s="13">
        <v>1</v>
      </c>
      <c r="S31" s="13">
        <v>1606035</v>
      </c>
      <c r="T31" s="13">
        <v>2</v>
      </c>
      <c r="U31" s="13">
        <f t="shared" si="9"/>
        <v>2</v>
      </c>
      <c r="V31" s="31">
        <f t="shared" si="0"/>
        <v>0.02</v>
      </c>
      <c r="W31" s="35">
        <v>21</v>
      </c>
      <c r="X31" s="35">
        <f>SUM(W$5:W31)</f>
        <v>519</v>
      </c>
      <c r="Y31" s="14">
        <f t="shared" si="3"/>
        <v>2</v>
      </c>
      <c r="Z31" s="14">
        <f t="shared" si="4"/>
        <v>1</v>
      </c>
      <c r="AA31" s="14">
        <f t="shared" si="5"/>
        <v>0</v>
      </c>
      <c r="AB31" s="13">
        <v>1</v>
      </c>
      <c r="AC31" s="13">
        <v>2</v>
      </c>
      <c r="AD31" s="13"/>
      <c r="AE31" s="13"/>
      <c r="AG31" s="13">
        <v>28</v>
      </c>
      <c r="AH31" s="13" t="s">
        <v>602</v>
      </c>
      <c r="AI31" s="13" t="s">
        <v>635</v>
      </c>
      <c r="AJ31" s="13">
        <v>2</v>
      </c>
      <c r="AK31" s="13"/>
      <c r="AL31" s="13">
        <v>1</v>
      </c>
    </row>
    <row r="32" spans="1:38" ht="16.5" x14ac:dyDescent="0.2">
      <c r="A32" s="13" t="s">
        <v>182</v>
      </c>
      <c r="B32" s="13">
        <v>1</v>
      </c>
      <c r="C32" s="13">
        <v>30</v>
      </c>
      <c r="D32" s="13"/>
      <c r="E32" s="13"/>
      <c r="F32" s="13"/>
      <c r="G32" s="13"/>
      <c r="I32" s="32"/>
      <c r="P32" s="13" t="s">
        <v>568</v>
      </c>
      <c r="Q32" s="13">
        <v>19</v>
      </c>
      <c r="R32" s="13">
        <v>2</v>
      </c>
      <c r="S32" s="13">
        <v>1606036</v>
      </c>
      <c r="T32" s="13">
        <v>2</v>
      </c>
      <c r="U32" s="13">
        <f t="shared" si="9"/>
        <v>2</v>
      </c>
      <c r="V32" s="31">
        <f t="shared" si="0"/>
        <v>0.02</v>
      </c>
      <c r="W32" s="35">
        <v>21</v>
      </c>
      <c r="X32" s="35">
        <f>SUM(W$5:W32)</f>
        <v>540</v>
      </c>
      <c r="Y32" s="14">
        <f t="shared" si="3"/>
        <v>0</v>
      </c>
      <c r="Z32" s="14">
        <f t="shared" si="4"/>
        <v>2</v>
      </c>
      <c r="AA32" s="14">
        <f t="shared" si="5"/>
        <v>1</v>
      </c>
      <c r="AB32" s="13">
        <v>2</v>
      </c>
      <c r="AC32" s="13">
        <v>3</v>
      </c>
      <c r="AD32" s="13"/>
      <c r="AE32" s="13"/>
      <c r="AG32" s="13">
        <v>29</v>
      </c>
      <c r="AH32" s="13" t="s">
        <v>602</v>
      </c>
      <c r="AI32" s="13" t="s">
        <v>593</v>
      </c>
      <c r="AJ32" s="13">
        <v>1</v>
      </c>
      <c r="AK32" s="13">
        <v>1</v>
      </c>
      <c r="AL32" s="13">
        <v>1</v>
      </c>
    </row>
    <row r="33" spans="1:39" ht="16.5" x14ac:dyDescent="0.2">
      <c r="A33" s="13" t="s">
        <v>199</v>
      </c>
      <c r="B33" s="13">
        <v>2</v>
      </c>
      <c r="C33" s="13">
        <v>5</v>
      </c>
      <c r="D33" s="13" t="s">
        <v>60</v>
      </c>
      <c r="E33" s="17">
        <f>INDEX($D$16:$F$22,$B33,MATCH(D33,$D$15:$F$15,0))*0.4</f>
        <v>1.6E-2</v>
      </c>
      <c r="F33" s="13" t="s">
        <v>66</v>
      </c>
      <c r="G33" s="17">
        <f>INDEX($D$16:$F$22,$B33,MATCH(F33,$D$15:$F$15,0))*0.4</f>
        <v>1.6E-2</v>
      </c>
      <c r="I33" s="32"/>
      <c r="P33" s="13" t="s">
        <v>568</v>
      </c>
      <c r="Q33" s="13">
        <v>20</v>
      </c>
      <c r="R33" s="13">
        <v>3</v>
      </c>
      <c r="S33" s="13">
        <v>1606037</v>
      </c>
      <c r="T33" s="13">
        <v>2</v>
      </c>
      <c r="U33" s="13">
        <f t="shared" si="9"/>
        <v>2</v>
      </c>
      <c r="V33" s="31">
        <f t="shared" si="0"/>
        <v>0.02</v>
      </c>
      <c r="W33" s="35">
        <v>21</v>
      </c>
      <c r="X33" s="35">
        <f>SUM(W$5:W33)</f>
        <v>561</v>
      </c>
      <c r="Y33" s="14">
        <f t="shared" si="3"/>
        <v>1</v>
      </c>
      <c r="Z33" s="14">
        <f t="shared" si="4"/>
        <v>1</v>
      </c>
      <c r="AA33" s="14">
        <f t="shared" si="5"/>
        <v>1</v>
      </c>
      <c r="AB33" s="13">
        <v>1</v>
      </c>
      <c r="AC33" s="13">
        <v>2</v>
      </c>
      <c r="AD33" s="13">
        <v>3</v>
      </c>
      <c r="AE33" s="13"/>
      <c r="AG33" s="13">
        <v>30</v>
      </c>
      <c r="AH33" s="13" t="s">
        <v>602</v>
      </c>
      <c r="AI33" s="13" t="s">
        <v>595</v>
      </c>
      <c r="AJ33" s="13"/>
      <c r="AK33" s="13">
        <v>2</v>
      </c>
      <c r="AL33" s="13">
        <v>1</v>
      </c>
    </row>
    <row r="34" spans="1:39" ht="16.5" x14ac:dyDescent="0.2">
      <c r="A34" s="13" t="s">
        <v>199</v>
      </c>
      <c r="B34" s="13">
        <v>2</v>
      </c>
      <c r="C34" s="13">
        <v>10</v>
      </c>
      <c r="D34" s="13"/>
      <c r="E34" s="13"/>
      <c r="F34" s="13"/>
      <c r="G34" s="13"/>
      <c r="I34" s="32"/>
      <c r="P34" s="13" t="s">
        <v>568</v>
      </c>
      <c r="Q34" s="13">
        <v>32</v>
      </c>
      <c r="R34" s="13">
        <v>4</v>
      </c>
      <c r="S34" s="13">
        <v>1606038</v>
      </c>
      <c r="T34" s="13">
        <v>3</v>
      </c>
      <c r="U34" s="13">
        <f t="shared" si="9"/>
        <v>3</v>
      </c>
      <c r="V34" s="31">
        <f t="shared" si="0"/>
        <v>0.03</v>
      </c>
      <c r="W34" s="35">
        <v>21</v>
      </c>
      <c r="X34" s="35">
        <f>SUM(W$5:W34)</f>
        <v>582</v>
      </c>
      <c r="Y34" s="14">
        <f t="shared" si="3"/>
        <v>1</v>
      </c>
      <c r="Z34" s="14">
        <f t="shared" si="4"/>
        <v>2</v>
      </c>
      <c r="AA34" s="14">
        <f t="shared" si="5"/>
        <v>0</v>
      </c>
      <c r="AB34" s="13">
        <v>1</v>
      </c>
      <c r="AC34" s="13">
        <v>2</v>
      </c>
      <c r="AD34" s="13"/>
      <c r="AE34" s="13"/>
      <c r="AG34" s="13">
        <v>31</v>
      </c>
      <c r="AH34" s="13" t="s">
        <v>602</v>
      </c>
      <c r="AI34" s="13" t="s">
        <v>636</v>
      </c>
      <c r="AJ34" s="13">
        <v>1</v>
      </c>
      <c r="AK34" s="13">
        <v>1</v>
      </c>
      <c r="AL34" s="13">
        <v>1</v>
      </c>
    </row>
    <row r="35" spans="1:39" ht="16.5" x14ac:dyDescent="0.2">
      <c r="A35" s="13" t="s">
        <v>199</v>
      </c>
      <c r="B35" s="13">
        <v>2</v>
      </c>
      <c r="C35" s="13">
        <v>15</v>
      </c>
      <c r="D35" s="13" t="s">
        <v>60</v>
      </c>
      <c r="E35" s="17">
        <f>INDEX($D$16:$F$22,$B35,MATCH(D35,$D$15:$F$15,0))*0.6</f>
        <v>2.4E-2</v>
      </c>
      <c r="F35" s="13" t="s">
        <v>63</v>
      </c>
      <c r="G35" s="17">
        <f>INDEX($D$16:$F$22,$B35,MATCH(F35,$D$15:$F$15,0))*0.4</f>
        <v>1.6E-2</v>
      </c>
      <c r="I35" s="32"/>
      <c r="P35" s="13" t="s">
        <v>568</v>
      </c>
      <c r="Q35" s="13">
        <v>33</v>
      </c>
      <c r="R35" s="13">
        <v>5</v>
      </c>
      <c r="S35" s="13">
        <v>1606039</v>
      </c>
      <c r="T35" s="13">
        <v>3</v>
      </c>
      <c r="U35" s="13">
        <f t="shared" si="9"/>
        <v>3</v>
      </c>
      <c r="V35" s="31">
        <f t="shared" si="0"/>
        <v>0.03</v>
      </c>
      <c r="W35" s="35">
        <v>21</v>
      </c>
      <c r="X35" s="35">
        <f>SUM(W$5:W35)</f>
        <v>603</v>
      </c>
      <c r="Y35" s="14">
        <f t="shared" si="3"/>
        <v>1</v>
      </c>
      <c r="Z35" s="14">
        <f t="shared" si="4"/>
        <v>0</v>
      </c>
      <c r="AA35" s="14">
        <f t="shared" si="5"/>
        <v>2</v>
      </c>
      <c r="AB35" s="13">
        <v>1</v>
      </c>
      <c r="AC35" s="13">
        <v>3</v>
      </c>
      <c r="AD35" s="13"/>
      <c r="AE35" s="13"/>
      <c r="AG35" s="13">
        <v>32</v>
      </c>
      <c r="AH35" s="13" t="s">
        <v>602</v>
      </c>
      <c r="AI35" s="13" t="s">
        <v>598</v>
      </c>
      <c r="AJ35" s="13">
        <v>1</v>
      </c>
      <c r="AK35" s="13">
        <v>2</v>
      </c>
      <c r="AL35" s="13"/>
    </row>
    <row r="36" spans="1:39" ht="16.5" x14ac:dyDescent="0.2">
      <c r="A36" s="13" t="s">
        <v>199</v>
      </c>
      <c r="B36" s="13">
        <v>2</v>
      </c>
      <c r="C36" s="13">
        <v>20</v>
      </c>
      <c r="D36" s="13"/>
      <c r="E36" s="13"/>
      <c r="F36" s="13"/>
      <c r="G36" s="13"/>
      <c r="I36" s="32"/>
      <c r="P36" s="13" t="s">
        <v>568</v>
      </c>
      <c r="Q36" s="13">
        <v>34</v>
      </c>
      <c r="R36" s="13">
        <v>6</v>
      </c>
      <c r="S36" s="13">
        <v>1606040</v>
      </c>
      <c r="T36" s="13">
        <v>3</v>
      </c>
      <c r="U36" s="13">
        <f t="shared" si="9"/>
        <v>3</v>
      </c>
      <c r="V36" s="31">
        <f t="shared" si="0"/>
        <v>0.03</v>
      </c>
      <c r="W36" s="35">
        <v>21</v>
      </c>
      <c r="X36" s="35">
        <f>SUM(W$5:W36)</f>
        <v>624</v>
      </c>
      <c r="Y36" s="14">
        <f t="shared" si="3"/>
        <v>1</v>
      </c>
      <c r="Z36" s="14">
        <f t="shared" si="4"/>
        <v>1</v>
      </c>
      <c r="AA36" s="14">
        <f t="shared" si="5"/>
        <v>1</v>
      </c>
      <c r="AB36" s="13">
        <v>1</v>
      </c>
      <c r="AC36" s="13">
        <v>2</v>
      </c>
      <c r="AD36" s="13">
        <v>3</v>
      </c>
      <c r="AE36" s="13"/>
      <c r="AG36" s="13">
        <v>33</v>
      </c>
      <c r="AH36" s="13" t="s">
        <v>602</v>
      </c>
      <c r="AI36" s="13" t="s">
        <v>637</v>
      </c>
      <c r="AJ36" s="13">
        <v>1</v>
      </c>
      <c r="AK36" s="13"/>
      <c r="AL36" s="13">
        <v>2</v>
      </c>
    </row>
    <row r="37" spans="1:39" ht="16.5" x14ac:dyDescent="0.2">
      <c r="A37" s="13" t="s">
        <v>199</v>
      </c>
      <c r="B37" s="13">
        <v>2</v>
      </c>
      <c r="C37" s="13">
        <v>25</v>
      </c>
      <c r="D37" s="13" t="s">
        <v>63</v>
      </c>
      <c r="E37" s="17">
        <f>INDEX($D$16:$F$22,$B37,MATCH(D37,$D$15:$F$15,0))*0.6</f>
        <v>2.4E-2</v>
      </c>
      <c r="F37" s="13" t="s">
        <v>66</v>
      </c>
      <c r="G37" s="17">
        <f>INDEX($D$16:$F$22,$B37,MATCH(F37,$D$15:$F$15,0))*0.6</f>
        <v>2.4E-2</v>
      </c>
      <c r="I37" s="32"/>
      <c r="P37" s="13" t="s">
        <v>568</v>
      </c>
      <c r="Q37" s="13">
        <v>42</v>
      </c>
      <c r="R37" s="13">
        <v>7</v>
      </c>
      <c r="S37" s="13">
        <v>1606041</v>
      </c>
      <c r="T37" s="13">
        <v>4</v>
      </c>
      <c r="U37" s="13">
        <f t="shared" si="9"/>
        <v>5</v>
      </c>
      <c r="V37" s="31">
        <f t="shared" si="0"/>
        <v>0.05</v>
      </c>
      <c r="W37" s="35">
        <v>21</v>
      </c>
      <c r="X37" s="35">
        <f>SUM(W$5:W37)</f>
        <v>645</v>
      </c>
      <c r="Y37" s="14">
        <f t="shared" si="3"/>
        <v>2</v>
      </c>
      <c r="Z37" s="14">
        <f t="shared" si="4"/>
        <v>2</v>
      </c>
      <c r="AA37" s="14">
        <f t="shared" si="5"/>
        <v>0</v>
      </c>
      <c r="AB37" s="13">
        <v>1</v>
      </c>
      <c r="AC37" s="13">
        <v>2</v>
      </c>
      <c r="AD37" s="13"/>
      <c r="AE37" s="13">
        <v>1</v>
      </c>
      <c r="AG37" s="13">
        <v>34</v>
      </c>
      <c r="AH37" s="13" t="s">
        <v>602</v>
      </c>
      <c r="AI37" s="13" t="s">
        <v>638</v>
      </c>
      <c r="AJ37" s="13">
        <v>1</v>
      </c>
      <c r="AK37" s="13">
        <v>1</v>
      </c>
      <c r="AL37" s="13">
        <v>1</v>
      </c>
    </row>
    <row r="38" spans="1:39" ht="16.5" x14ac:dyDescent="0.2">
      <c r="A38" s="13" t="s">
        <v>199</v>
      </c>
      <c r="B38" s="13">
        <v>2</v>
      </c>
      <c r="C38" s="13">
        <v>30</v>
      </c>
      <c r="D38" s="13"/>
      <c r="E38" s="13"/>
      <c r="F38" s="13"/>
      <c r="G38" s="13"/>
      <c r="I38" s="32"/>
      <c r="P38" s="13" t="s">
        <v>568</v>
      </c>
      <c r="Q38" s="13">
        <v>43</v>
      </c>
      <c r="R38" s="13">
        <v>8</v>
      </c>
      <c r="S38" s="13">
        <v>1606042</v>
      </c>
      <c r="T38" s="13">
        <v>4</v>
      </c>
      <c r="U38" s="13">
        <f t="shared" si="9"/>
        <v>5</v>
      </c>
      <c r="V38" s="31">
        <f t="shared" si="0"/>
        <v>0.05</v>
      </c>
      <c r="W38" s="35">
        <v>21</v>
      </c>
      <c r="X38" s="35">
        <f>SUM(W$5:W38)</f>
        <v>666</v>
      </c>
      <c r="Y38" s="14">
        <f t="shared" si="3"/>
        <v>0</v>
      </c>
      <c r="Z38" s="14">
        <f t="shared" si="4"/>
        <v>2</v>
      </c>
      <c r="AA38" s="14">
        <f t="shared" si="5"/>
        <v>2</v>
      </c>
      <c r="AB38" s="13">
        <v>2</v>
      </c>
      <c r="AC38" s="13">
        <v>3</v>
      </c>
      <c r="AD38" s="13"/>
      <c r="AE38" s="13">
        <v>1</v>
      </c>
      <c r="AG38" s="13">
        <v>35</v>
      </c>
      <c r="AH38" s="13" t="s">
        <v>602</v>
      </c>
      <c r="AI38" s="13" t="s">
        <v>639</v>
      </c>
      <c r="AJ38" s="13">
        <v>2</v>
      </c>
      <c r="AK38" s="13">
        <v>1</v>
      </c>
      <c r="AL38" s="13"/>
    </row>
    <row r="39" spans="1:39" ht="16.5" x14ac:dyDescent="0.2">
      <c r="A39" s="13" t="s">
        <v>183</v>
      </c>
      <c r="B39" s="13">
        <v>3</v>
      </c>
      <c r="C39" s="13">
        <v>5</v>
      </c>
      <c r="D39" s="13" t="s">
        <v>60</v>
      </c>
      <c r="E39" s="17">
        <f>INDEX($D$16:$F$22,$B39,MATCH(D39,$D$15:$F$15,0))*0.4</f>
        <v>2.4E-2</v>
      </c>
      <c r="F39" s="13" t="s">
        <v>66</v>
      </c>
      <c r="G39" s="17">
        <f>INDEX($D$16:$F$22,$B39,MATCH(F39,$D$15:$F$15,0))*0.4</f>
        <v>2.4E-2</v>
      </c>
      <c r="I39" s="32"/>
      <c r="P39" s="13" t="s">
        <v>569</v>
      </c>
      <c r="Q39" s="13">
        <v>21</v>
      </c>
      <c r="R39" s="13">
        <v>1</v>
      </c>
      <c r="S39" s="13">
        <v>1606043</v>
      </c>
      <c r="T39" s="13">
        <v>2</v>
      </c>
      <c r="U39" s="13">
        <f t="shared" si="9"/>
        <v>2</v>
      </c>
      <c r="V39" s="31">
        <f t="shared" si="0"/>
        <v>0.02</v>
      </c>
      <c r="W39" s="35">
        <v>21</v>
      </c>
      <c r="X39" s="35">
        <f>SUM(W$5:W39)</f>
        <v>687</v>
      </c>
      <c r="Y39" s="14">
        <f t="shared" si="3"/>
        <v>1</v>
      </c>
      <c r="Z39" s="14">
        <f t="shared" si="4"/>
        <v>0</v>
      </c>
      <c r="AA39" s="14">
        <f t="shared" si="5"/>
        <v>2</v>
      </c>
      <c r="AB39" s="13">
        <v>1</v>
      </c>
      <c r="AC39" s="13">
        <v>3</v>
      </c>
      <c r="AD39" s="13"/>
      <c r="AE39" s="13"/>
      <c r="AG39" s="13">
        <v>36</v>
      </c>
      <c r="AH39" s="13" t="s">
        <v>602</v>
      </c>
      <c r="AI39" s="13" t="s">
        <v>640</v>
      </c>
      <c r="AJ39" s="13"/>
      <c r="AK39" s="13">
        <v>2</v>
      </c>
      <c r="AL39" s="13">
        <v>1</v>
      </c>
    </row>
    <row r="40" spans="1:39" ht="16.5" x14ac:dyDescent="0.2">
      <c r="A40" s="13" t="s">
        <v>183</v>
      </c>
      <c r="B40" s="13">
        <v>3</v>
      </c>
      <c r="C40" s="13">
        <v>10</v>
      </c>
      <c r="D40" s="13"/>
      <c r="E40" s="13"/>
      <c r="F40" s="13"/>
      <c r="G40" s="13"/>
      <c r="I40" s="32"/>
      <c r="P40" s="13" t="s">
        <v>569</v>
      </c>
      <c r="Q40" s="13">
        <v>22</v>
      </c>
      <c r="R40" s="13">
        <v>2</v>
      </c>
      <c r="S40" s="13">
        <v>1606044</v>
      </c>
      <c r="T40" s="13">
        <v>2</v>
      </c>
      <c r="U40" s="13">
        <f t="shared" si="9"/>
        <v>2</v>
      </c>
      <c r="V40" s="31">
        <f t="shared" si="0"/>
        <v>0.02</v>
      </c>
      <c r="W40" s="35">
        <v>21</v>
      </c>
      <c r="X40" s="35">
        <f>SUM(W$5:W40)</f>
        <v>708</v>
      </c>
      <c r="Y40" s="14">
        <f t="shared" si="3"/>
        <v>2</v>
      </c>
      <c r="Z40" s="14">
        <f t="shared" si="4"/>
        <v>1</v>
      </c>
      <c r="AA40" s="14">
        <f t="shared" si="5"/>
        <v>0</v>
      </c>
      <c r="AB40" s="13">
        <v>1</v>
      </c>
      <c r="AC40" s="13">
        <v>2</v>
      </c>
      <c r="AD40" s="13"/>
      <c r="AE40" s="13"/>
      <c r="AG40" s="13">
        <v>37</v>
      </c>
      <c r="AH40" s="13" t="s">
        <v>602</v>
      </c>
      <c r="AI40" s="13" t="s">
        <v>641</v>
      </c>
      <c r="AJ40" s="13">
        <v>1</v>
      </c>
      <c r="AK40" s="13">
        <v>1</v>
      </c>
      <c r="AL40" s="13">
        <v>1</v>
      </c>
    </row>
    <row r="41" spans="1:39" ht="16.5" x14ac:dyDescent="0.2">
      <c r="A41" s="13" t="s">
        <v>183</v>
      </c>
      <c r="B41" s="13">
        <v>3</v>
      </c>
      <c r="C41" s="13">
        <v>15</v>
      </c>
      <c r="D41" s="13" t="s">
        <v>60</v>
      </c>
      <c r="E41" s="17">
        <f>INDEX($D$16:$F$22,$B41,MATCH(D41,$D$15:$F$15,0))*0.6</f>
        <v>3.5999999999999997E-2</v>
      </c>
      <c r="F41" s="13" t="s">
        <v>63</v>
      </c>
      <c r="G41" s="17">
        <f>INDEX($D$16:$F$22,$B41,MATCH(F41,$D$15:$F$15,0))*0.4</f>
        <v>2.4E-2</v>
      </c>
      <c r="I41" s="32"/>
      <c r="P41" s="13" t="s">
        <v>569</v>
      </c>
      <c r="Q41" s="13">
        <v>23</v>
      </c>
      <c r="R41" s="13">
        <v>3</v>
      </c>
      <c r="S41" s="13">
        <v>1606045</v>
      </c>
      <c r="T41" s="13">
        <v>2</v>
      </c>
      <c r="U41" s="13">
        <f t="shared" si="9"/>
        <v>2</v>
      </c>
      <c r="V41" s="31">
        <f t="shared" si="0"/>
        <v>0.02</v>
      </c>
      <c r="W41" s="35">
        <v>21</v>
      </c>
      <c r="X41" s="35">
        <f>SUM(W$5:W41)</f>
        <v>729</v>
      </c>
      <c r="Y41" s="14">
        <f t="shared" si="3"/>
        <v>1</v>
      </c>
      <c r="Z41" s="14">
        <f t="shared" si="4"/>
        <v>1</v>
      </c>
      <c r="AA41" s="14">
        <f t="shared" si="5"/>
        <v>1</v>
      </c>
      <c r="AB41" s="13">
        <v>1</v>
      </c>
      <c r="AC41" s="13">
        <v>2</v>
      </c>
      <c r="AD41" s="13">
        <v>3</v>
      </c>
      <c r="AE41" s="13"/>
      <c r="AG41" s="13">
        <v>38</v>
      </c>
    </row>
    <row r="42" spans="1:39" ht="16.5" x14ac:dyDescent="0.2">
      <c r="A42" s="13" t="s">
        <v>183</v>
      </c>
      <c r="B42" s="13">
        <v>3</v>
      </c>
      <c r="C42" s="13">
        <v>20</v>
      </c>
      <c r="D42" s="13"/>
      <c r="E42" s="13"/>
      <c r="F42" s="13"/>
      <c r="G42" s="13"/>
      <c r="I42" s="32"/>
      <c r="P42" s="13" t="s">
        <v>569</v>
      </c>
      <c r="Q42" s="13">
        <v>35</v>
      </c>
      <c r="R42" s="13">
        <v>4</v>
      </c>
      <c r="S42" s="13">
        <v>1606046</v>
      </c>
      <c r="T42" s="13">
        <v>3</v>
      </c>
      <c r="U42" s="13">
        <f t="shared" si="9"/>
        <v>3</v>
      </c>
      <c r="V42" s="31">
        <f t="shared" si="0"/>
        <v>0.03</v>
      </c>
      <c r="W42" s="35">
        <v>21</v>
      </c>
      <c r="X42" s="35">
        <f>SUM(W$5:W42)</f>
        <v>750</v>
      </c>
      <c r="Y42" s="14">
        <f t="shared" si="3"/>
        <v>2</v>
      </c>
      <c r="Z42" s="14">
        <f t="shared" si="4"/>
        <v>1</v>
      </c>
      <c r="AA42" s="14">
        <f t="shared" si="5"/>
        <v>0</v>
      </c>
      <c r="AB42" s="13">
        <v>1</v>
      </c>
      <c r="AC42" s="13">
        <v>2</v>
      </c>
      <c r="AD42" s="13"/>
      <c r="AE42" s="13"/>
      <c r="AG42" s="13">
        <v>39</v>
      </c>
      <c r="AH42" s="13" t="s">
        <v>606</v>
      </c>
      <c r="AI42" s="13" t="s">
        <v>604</v>
      </c>
      <c r="AJ42" s="13">
        <v>3</v>
      </c>
      <c r="AK42" s="13"/>
      <c r="AL42" s="13"/>
      <c r="AM42" s="20">
        <v>2</v>
      </c>
    </row>
    <row r="43" spans="1:39" ht="16.5" x14ac:dyDescent="0.2">
      <c r="A43" s="13" t="s">
        <v>183</v>
      </c>
      <c r="B43" s="13">
        <v>3</v>
      </c>
      <c r="C43" s="13">
        <v>25</v>
      </c>
      <c r="D43" s="13" t="s">
        <v>63</v>
      </c>
      <c r="E43" s="17">
        <f>INDEX($D$16:$F$22,$B43,MATCH(D43,$D$15:$F$15,0))*0.6</f>
        <v>3.5999999999999997E-2</v>
      </c>
      <c r="F43" s="13" t="s">
        <v>66</v>
      </c>
      <c r="G43" s="17">
        <f>INDEX($D$16:$F$22,$B43,MATCH(F43,$D$15:$F$15,0))*0.6</f>
        <v>3.5999999999999997E-2</v>
      </c>
      <c r="I43" s="32"/>
      <c r="P43" s="13" t="s">
        <v>569</v>
      </c>
      <c r="Q43" s="13">
        <v>36</v>
      </c>
      <c r="R43" s="13">
        <v>5</v>
      </c>
      <c r="S43" s="13">
        <v>1606047</v>
      </c>
      <c r="T43" s="13">
        <v>3</v>
      </c>
      <c r="U43" s="13">
        <f t="shared" si="9"/>
        <v>3</v>
      </c>
      <c r="V43" s="31">
        <f t="shared" si="0"/>
        <v>0.03</v>
      </c>
      <c r="W43" s="35">
        <v>21</v>
      </c>
      <c r="X43" s="35">
        <f>SUM(W$5:W43)</f>
        <v>771</v>
      </c>
      <c r="Y43" s="14">
        <f t="shared" si="3"/>
        <v>0</v>
      </c>
      <c r="Z43" s="14">
        <f t="shared" si="4"/>
        <v>2</v>
      </c>
      <c r="AA43" s="14">
        <f t="shared" si="5"/>
        <v>1</v>
      </c>
      <c r="AB43" s="13">
        <v>2</v>
      </c>
      <c r="AC43" s="13">
        <v>3</v>
      </c>
      <c r="AD43" s="13"/>
      <c r="AE43" s="13"/>
      <c r="AG43" s="13">
        <v>40</v>
      </c>
      <c r="AH43" s="13" t="s">
        <v>606</v>
      </c>
      <c r="AI43" s="13" t="s">
        <v>642</v>
      </c>
      <c r="AJ43" s="13"/>
      <c r="AK43" s="13"/>
      <c r="AL43" s="13">
        <v>3</v>
      </c>
      <c r="AM43" s="20">
        <v>2</v>
      </c>
    </row>
    <row r="44" spans="1:39" ht="16.5" x14ac:dyDescent="0.2">
      <c r="A44" s="13" t="s">
        <v>183</v>
      </c>
      <c r="B44" s="13">
        <v>3</v>
      </c>
      <c r="C44" s="13">
        <v>30</v>
      </c>
      <c r="D44" s="13"/>
      <c r="E44" s="13"/>
      <c r="F44" s="13"/>
      <c r="G44" s="13"/>
      <c r="I44" s="32"/>
      <c r="P44" s="13" t="s">
        <v>569</v>
      </c>
      <c r="Q44" s="13">
        <v>37</v>
      </c>
      <c r="R44" s="13">
        <v>6</v>
      </c>
      <c r="S44" s="13">
        <v>1606048</v>
      </c>
      <c r="T44" s="13">
        <v>3</v>
      </c>
      <c r="U44" s="13">
        <f t="shared" si="9"/>
        <v>3</v>
      </c>
      <c r="V44" s="31">
        <f t="shared" si="0"/>
        <v>0.03</v>
      </c>
      <c r="W44" s="35">
        <v>21</v>
      </c>
      <c r="X44" s="35">
        <f>SUM(W$5:W44)</f>
        <v>792</v>
      </c>
      <c r="Y44" s="14">
        <f t="shared" si="3"/>
        <v>1</v>
      </c>
      <c r="Z44" s="14">
        <f t="shared" si="4"/>
        <v>1</v>
      </c>
      <c r="AA44" s="14">
        <f t="shared" si="5"/>
        <v>1</v>
      </c>
      <c r="AB44" s="13">
        <v>1</v>
      </c>
      <c r="AC44" s="13">
        <v>2</v>
      </c>
      <c r="AD44" s="13">
        <v>3</v>
      </c>
      <c r="AE44" s="13"/>
      <c r="AG44" s="13">
        <v>41</v>
      </c>
      <c r="AH44" s="13" t="s">
        <v>606</v>
      </c>
      <c r="AI44" s="13" t="s">
        <v>605</v>
      </c>
      <c r="AJ44" s="13"/>
      <c r="AK44" s="13">
        <v>3</v>
      </c>
      <c r="AL44" s="13"/>
      <c r="AM44" s="20">
        <v>2</v>
      </c>
    </row>
    <row r="45" spans="1:39" ht="16.5" x14ac:dyDescent="0.2">
      <c r="A45" s="13" t="s">
        <v>184</v>
      </c>
      <c r="B45" s="13">
        <v>4</v>
      </c>
      <c r="C45" s="13">
        <v>5</v>
      </c>
      <c r="D45" s="13" t="s">
        <v>60</v>
      </c>
      <c r="E45" s="17">
        <f>INDEX($D$16:$F$22,$B45,MATCH(D45,$D$15:$F$15,0))*0.4</f>
        <v>2.4E-2</v>
      </c>
      <c r="F45" s="13" t="s">
        <v>66</v>
      </c>
      <c r="G45" s="17">
        <f>INDEX($D$16:$F$22,$B45,MATCH(F45,$D$15:$F$15,0))*0.4</f>
        <v>2.4E-2</v>
      </c>
      <c r="I45" s="32"/>
      <c r="P45" s="13" t="s">
        <v>569</v>
      </c>
      <c r="Q45" s="13">
        <v>44</v>
      </c>
      <c r="R45" s="13">
        <v>7</v>
      </c>
      <c r="S45" s="13">
        <v>1606049</v>
      </c>
      <c r="T45" s="13">
        <v>4</v>
      </c>
      <c r="U45" s="13">
        <f t="shared" si="9"/>
        <v>5</v>
      </c>
      <c r="V45" s="31">
        <f t="shared" si="0"/>
        <v>0.05</v>
      </c>
      <c r="W45" s="35">
        <v>21</v>
      </c>
      <c r="X45" s="35">
        <f>SUM(W$5:W45)</f>
        <v>813</v>
      </c>
      <c r="Y45" s="14">
        <f t="shared" si="3"/>
        <v>2</v>
      </c>
      <c r="Z45" s="14">
        <f t="shared" si="4"/>
        <v>0</v>
      </c>
      <c r="AA45" s="14">
        <f t="shared" si="5"/>
        <v>2</v>
      </c>
      <c r="AB45" s="13">
        <v>1</v>
      </c>
      <c r="AC45" s="13">
        <v>3</v>
      </c>
      <c r="AD45" s="13"/>
      <c r="AE45" s="13">
        <v>1</v>
      </c>
      <c r="AG45" s="13">
        <v>42</v>
      </c>
      <c r="AH45" s="13" t="s">
        <v>606</v>
      </c>
      <c r="AI45" s="13" t="s">
        <v>607</v>
      </c>
      <c r="AJ45" s="13">
        <v>2</v>
      </c>
      <c r="AK45" s="13">
        <v>2</v>
      </c>
      <c r="AL45" s="13"/>
      <c r="AM45" s="33">
        <v>1</v>
      </c>
    </row>
    <row r="46" spans="1:39" ht="16.5" x14ac:dyDescent="0.2">
      <c r="A46" s="13" t="s">
        <v>184</v>
      </c>
      <c r="B46" s="13">
        <v>4</v>
      </c>
      <c r="C46" s="13">
        <v>10</v>
      </c>
      <c r="D46" s="13"/>
      <c r="E46" s="13"/>
      <c r="F46" s="13"/>
      <c r="G46" s="13"/>
      <c r="I46" s="32"/>
      <c r="P46" s="13" t="s">
        <v>569</v>
      </c>
      <c r="Q46" s="13">
        <v>45</v>
      </c>
      <c r="R46" s="13">
        <v>8</v>
      </c>
      <c r="S46" s="13">
        <v>1606050</v>
      </c>
      <c r="T46" s="13">
        <v>4</v>
      </c>
      <c r="U46" s="13">
        <f t="shared" si="9"/>
        <v>5</v>
      </c>
      <c r="V46" s="31">
        <f t="shared" si="0"/>
        <v>0.05</v>
      </c>
      <c r="W46" s="35">
        <v>21</v>
      </c>
      <c r="X46" s="35">
        <f>SUM(W$5:W46)</f>
        <v>834</v>
      </c>
      <c r="Y46" s="14">
        <f t="shared" si="3"/>
        <v>1</v>
      </c>
      <c r="Z46" s="14">
        <f t="shared" si="4"/>
        <v>0</v>
      </c>
      <c r="AA46" s="14">
        <f t="shared" si="5"/>
        <v>1</v>
      </c>
      <c r="AB46" s="13">
        <v>1</v>
      </c>
      <c r="AC46" s="13">
        <v>3</v>
      </c>
      <c r="AD46" s="13"/>
      <c r="AE46" s="13">
        <v>3</v>
      </c>
      <c r="AG46" s="13">
        <v>43</v>
      </c>
      <c r="AH46" s="13" t="s">
        <v>606</v>
      </c>
      <c r="AI46" s="13" t="s">
        <v>608</v>
      </c>
      <c r="AJ46" s="13"/>
      <c r="AK46" s="13">
        <v>2</v>
      </c>
      <c r="AL46" s="13">
        <v>2</v>
      </c>
      <c r="AM46" s="33">
        <v>1</v>
      </c>
    </row>
    <row r="47" spans="1:39" ht="16.5" x14ac:dyDescent="0.2">
      <c r="A47" s="13" t="s">
        <v>184</v>
      </c>
      <c r="B47" s="13">
        <v>4</v>
      </c>
      <c r="C47" s="13">
        <v>15</v>
      </c>
      <c r="D47" s="13" t="s">
        <v>60</v>
      </c>
      <c r="E47" s="17">
        <f>INDEX($D$16:$F$22,$B47,MATCH(D47,$D$15:$F$15,0))*0.6</f>
        <v>3.5999999999999997E-2</v>
      </c>
      <c r="F47" s="13" t="s">
        <v>63</v>
      </c>
      <c r="G47" s="17">
        <f>INDEX($D$16:$F$22,$B47,MATCH(F47,$D$15:$F$15,0))*0.4</f>
        <v>2.4E-2</v>
      </c>
      <c r="I47" s="32"/>
      <c r="AG47" s="13">
        <v>44</v>
      </c>
      <c r="AH47" s="13" t="s">
        <v>606</v>
      </c>
      <c r="AI47" s="13" t="s">
        <v>609</v>
      </c>
      <c r="AJ47" s="13">
        <v>2</v>
      </c>
      <c r="AK47" s="13"/>
      <c r="AL47" s="13">
        <v>2</v>
      </c>
      <c r="AM47" s="20">
        <v>1</v>
      </c>
    </row>
    <row r="48" spans="1:39" ht="16.5" x14ac:dyDescent="0.2">
      <c r="A48" s="13" t="s">
        <v>184</v>
      </c>
      <c r="B48" s="13">
        <v>4</v>
      </c>
      <c r="C48" s="13">
        <v>20</v>
      </c>
      <c r="D48" s="13"/>
      <c r="E48" s="13"/>
      <c r="F48" s="13"/>
      <c r="G48" s="13"/>
      <c r="I48" s="32"/>
      <c r="AG48" s="13">
        <v>45</v>
      </c>
      <c r="AH48" s="13" t="s">
        <v>606</v>
      </c>
      <c r="AI48" s="13" t="s">
        <v>610</v>
      </c>
      <c r="AJ48" s="13">
        <v>1</v>
      </c>
      <c r="AK48" s="13"/>
      <c r="AL48" s="13">
        <v>1</v>
      </c>
      <c r="AM48" s="34">
        <v>3</v>
      </c>
    </row>
    <row r="49" spans="1:33" ht="16.5" x14ac:dyDescent="0.2">
      <c r="A49" s="13" t="s">
        <v>184</v>
      </c>
      <c r="B49" s="13">
        <v>4</v>
      </c>
      <c r="C49" s="13">
        <v>25</v>
      </c>
      <c r="D49" s="13" t="s">
        <v>63</v>
      </c>
      <c r="E49" s="17">
        <f>INDEX($D$16:$F$22,$B49,MATCH(D49,$D$15:$F$15,0))*0.6</f>
        <v>3.5999999999999997E-2</v>
      </c>
      <c r="F49" s="13" t="s">
        <v>66</v>
      </c>
      <c r="G49" s="17">
        <f>INDEX($D$16:$F$22,$B49,MATCH(F49,$D$15:$F$15,0))*0.6</f>
        <v>3.5999999999999997E-2</v>
      </c>
      <c r="I49" s="32"/>
    </row>
    <row r="50" spans="1:33" ht="16.5" x14ac:dyDescent="0.2">
      <c r="A50" s="13" t="s">
        <v>184</v>
      </c>
      <c r="B50" s="13">
        <v>4</v>
      </c>
      <c r="C50" s="13">
        <v>30</v>
      </c>
      <c r="D50" s="13"/>
      <c r="E50" s="13"/>
      <c r="F50" s="13"/>
      <c r="G50" s="13"/>
      <c r="I50" s="32"/>
    </row>
    <row r="51" spans="1:33" ht="16.5" x14ac:dyDescent="0.2">
      <c r="A51" s="13" t="s">
        <v>185</v>
      </c>
      <c r="B51" s="13">
        <v>5</v>
      </c>
      <c r="C51" s="13">
        <v>5</v>
      </c>
      <c r="D51" s="13" t="s">
        <v>60</v>
      </c>
      <c r="E51" s="17">
        <f>INDEX($D$16:$F$22,$B51,MATCH(D51,$D$15:$F$15,0))*0.4*3</f>
        <v>0.12000000000000002</v>
      </c>
      <c r="F51" s="13" t="s">
        <v>66</v>
      </c>
      <c r="G51" s="17">
        <f>INDEX($D$16:$F$22,$B51,MATCH(F51,$D$15:$F$15,0))*0.4*3</f>
        <v>0.12000000000000002</v>
      </c>
      <c r="I51" s="32"/>
    </row>
    <row r="52" spans="1:33" ht="16.5" x14ac:dyDescent="0.2">
      <c r="A52" s="13" t="s">
        <v>185</v>
      </c>
      <c r="B52" s="13">
        <v>5</v>
      </c>
      <c r="C52" s="13">
        <v>10</v>
      </c>
      <c r="D52" s="13"/>
      <c r="E52" s="13"/>
      <c r="F52" s="13"/>
      <c r="G52" s="13"/>
      <c r="I52" s="32"/>
    </row>
    <row r="53" spans="1:33" ht="16.5" x14ac:dyDescent="0.2">
      <c r="A53" s="13" t="s">
        <v>185</v>
      </c>
      <c r="B53" s="13">
        <v>5</v>
      </c>
      <c r="C53" s="13">
        <v>15</v>
      </c>
      <c r="D53" s="13" t="s">
        <v>60</v>
      </c>
      <c r="E53" s="17">
        <f>INDEX($D$16:$F$22,$B53,MATCH(D53,$D$15:$F$15,0))*0.6*3</f>
        <v>0.18</v>
      </c>
      <c r="F53" s="13" t="s">
        <v>63</v>
      </c>
      <c r="G53" s="17">
        <f>INDEX($D$16:$F$22,$B53,MATCH(F53,$D$15:$F$15,0))*0.4*3</f>
        <v>0.12000000000000002</v>
      </c>
      <c r="I53" s="32"/>
    </row>
    <row r="54" spans="1:33" ht="16.5" x14ac:dyDescent="0.2">
      <c r="A54" s="13" t="s">
        <v>185</v>
      </c>
      <c r="B54" s="13">
        <v>5</v>
      </c>
      <c r="C54" s="13">
        <v>20</v>
      </c>
      <c r="D54" s="13"/>
      <c r="E54" s="13"/>
      <c r="F54" s="13"/>
      <c r="G54" s="13"/>
      <c r="I54" s="32"/>
    </row>
    <row r="55" spans="1:33" ht="16.5" x14ac:dyDescent="0.2">
      <c r="A55" s="13" t="s">
        <v>185</v>
      </c>
      <c r="B55" s="13">
        <v>5</v>
      </c>
      <c r="C55" s="13">
        <v>25</v>
      </c>
      <c r="D55" s="13" t="s">
        <v>63</v>
      </c>
      <c r="E55" s="17">
        <f>INDEX($D$16:$F$22,$B55,MATCH(D55,$D$15:$F$15,0))*0.6*3</f>
        <v>0.18</v>
      </c>
      <c r="F55" s="13" t="s">
        <v>66</v>
      </c>
      <c r="G55" s="17">
        <f>INDEX($D$16:$F$22,$B55,MATCH(F55,$D$15:$F$15,0))*0.6*3</f>
        <v>0.18</v>
      </c>
      <c r="I55" s="32"/>
    </row>
    <row r="56" spans="1:33" ht="17.25" x14ac:dyDescent="0.2">
      <c r="A56" s="13" t="s">
        <v>185</v>
      </c>
      <c r="B56" s="13">
        <v>5</v>
      </c>
      <c r="C56" s="13">
        <v>30</v>
      </c>
      <c r="D56" s="13"/>
      <c r="E56" s="13"/>
      <c r="F56" s="13"/>
      <c r="G56" s="13"/>
      <c r="I56" s="32"/>
      <c r="P56" s="12" t="s">
        <v>205</v>
      </c>
      <c r="Q56" s="12" t="s">
        <v>615</v>
      </c>
      <c r="R56" s="12" t="s">
        <v>616</v>
      </c>
      <c r="S56" s="12" t="s">
        <v>647</v>
      </c>
      <c r="T56" s="12" t="s">
        <v>648</v>
      </c>
      <c r="U56" s="12" t="s">
        <v>617</v>
      </c>
      <c r="V56" s="12" t="s">
        <v>618</v>
      </c>
      <c r="W56" s="12" t="s">
        <v>619</v>
      </c>
      <c r="X56" s="12" t="s">
        <v>626</v>
      </c>
      <c r="Y56" s="12" t="s">
        <v>627</v>
      </c>
      <c r="Z56" s="12" t="s">
        <v>628</v>
      </c>
      <c r="AA56" s="12" t="s">
        <v>620</v>
      </c>
      <c r="AB56" s="12" t="s">
        <v>621</v>
      </c>
      <c r="AC56" s="12" t="s">
        <v>622</v>
      </c>
      <c r="AD56" s="12" t="s">
        <v>623</v>
      </c>
      <c r="AE56" s="12" t="s">
        <v>624</v>
      </c>
      <c r="AF56" s="12" t="s">
        <v>625</v>
      </c>
      <c r="AG56" s="12" t="s">
        <v>630</v>
      </c>
    </row>
    <row r="57" spans="1:33" ht="16.5" x14ac:dyDescent="0.2">
      <c r="A57" s="13" t="s">
        <v>186</v>
      </c>
      <c r="B57" s="13">
        <v>6</v>
      </c>
      <c r="C57" s="13">
        <v>5</v>
      </c>
      <c r="D57" s="13" t="s">
        <v>60</v>
      </c>
      <c r="E57" s="17">
        <f>INDEX($D$16:$F$22,$B57,MATCH(D57,$D$15:$F$15,0))*0.4*3</f>
        <v>0.12000000000000002</v>
      </c>
      <c r="F57" s="13" t="s">
        <v>66</v>
      </c>
      <c r="G57" s="17">
        <f>INDEX($D$16:$F$22,$B57,MATCH(F57,$D$15:$F$15,0))*0.4*3</f>
        <v>0.12000000000000002</v>
      </c>
      <c r="I57" s="32"/>
      <c r="P57" s="13">
        <v>1</v>
      </c>
      <c r="Q57" s="14">
        <f t="shared" ref="Q57:Q120" si="10">MATCH(P57-1,$X$4:$X$46,1)</f>
        <v>1</v>
      </c>
      <c r="R57" s="14">
        <f t="shared" ref="R57:R120" si="11">INDEX($S$5:$S$46,Q57)</f>
        <v>1606003</v>
      </c>
      <c r="S57" s="14" t="str">
        <f>INDEX($P$5:$P$46,Q57)&amp;"碎片"&amp;INDEX($R$5:$R$46,Q57)&amp;"等级"&amp;U57</f>
        <v>神器1碎片1等级1</v>
      </c>
      <c r="T57" s="29" t="s">
        <v>649</v>
      </c>
      <c r="U57" s="14">
        <f t="shared" ref="U57:U120" si="12">P57-INDEX($X$4:$X$46,Q57)</f>
        <v>1</v>
      </c>
      <c r="V57" s="36">
        <f>15%+U57*5%+U57*U57*0.2%</f>
        <v>0.20200000000000001</v>
      </c>
      <c r="W57" s="17">
        <f t="shared" ref="W57:W120" si="13">INDEX($V$5:$V$46,Q57)*V57</f>
        <v>2.0200000000000001E-3</v>
      </c>
      <c r="X57" s="14">
        <f>INDEX(AB$5:AB$46,$Q57)</f>
        <v>1</v>
      </c>
      <c r="Y57" s="14">
        <f>INDEX(AC$5:AC$46,$Q57)</f>
        <v>3</v>
      </c>
      <c r="Z57" s="14">
        <f>INDEX(AD$5:AD$46,$Q57)</f>
        <v>0</v>
      </c>
      <c r="AA57" s="14" t="str">
        <f>INDEX($Y$3:$AA$3,X57)</f>
        <v>AtkExt</v>
      </c>
      <c r="AB57" s="14">
        <f t="shared" ref="AB57:AB120" si="14">INT(INDEX($E$4:$G$4,X57)*W57*INDEX($Y$5:$AA$46,Q57,X57))</f>
        <v>48</v>
      </c>
      <c r="AC57" s="14" t="str">
        <f>IF(Y57&gt;0,INDEX($Y$3:$AA$3,Y57),"[x]")</f>
        <v>HPExt</v>
      </c>
      <c r="AD57" s="14">
        <f>IF(Y57&gt;0,INT(INDEX($E$4:$G$4,Y57)*W57*INDEX($Y$5:$AA$46,Q57,Y57)),"[x]")</f>
        <v>292</v>
      </c>
      <c r="AE57" s="14" t="str">
        <f>IF(Z57&gt;0,INDEX($Y$3:$AA$3,Z57),"[x]")</f>
        <v>[x]</v>
      </c>
      <c r="AF57" s="27" t="str">
        <f>IF(Z57&gt;0,INT(INDEX($E$4:$G$4,Z57)*W57*INDEX($Y$5:$AA$46,Q57,Z57)),"[x]")</f>
        <v>[x]</v>
      </c>
      <c r="AG57" s="27" t="str">
        <f>IF(INDEX($AE$5:$AE$46,Q57)&gt;0,INDEX($AE$5:$AE$46,Q57)*U57,"[x]")</f>
        <v>[x]</v>
      </c>
    </row>
    <row r="58" spans="1:33" ht="16.5" x14ac:dyDescent="0.2">
      <c r="A58" s="13" t="s">
        <v>186</v>
      </c>
      <c r="B58" s="13">
        <v>6</v>
      </c>
      <c r="C58" s="13">
        <v>10</v>
      </c>
      <c r="D58" s="13"/>
      <c r="E58" s="13"/>
      <c r="F58" s="13"/>
      <c r="G58" s="13"/>
      <c r="I58" s="32"/>
      <c r="P58" s="13">
        <v>2</v>
      </c>
      <c r="Q58" s="14">
        <f t="shared" si="10"/>
        <v>1</v>
      </c>
      <c r="R58" s="14">
        <f t="shared" si="11"/>
        <v>1606003</v>
      </c>
      <c r="S58" s="14" t="str">
        <f t="shared" ref="S58:S121" si="15">INDEX($P$5:$P$46,Q58)&amp;"碎片"&amp;INDEX($R$5:$R$46,Q58)&amp;"等级"&amp;U58</f>
        <v>神器1碎片1等级2</v>
      </c>
      <c r="T58" s="29" t="s">
        <v>649</v>
      </c>
      <c r="U58" s="14">
        <f t="shared" si="12"/>
        <v>2</v>
      </c>
      <c r="V58" s="36">
        <f t="shared" ref="V58:V121" si="16">15%+U58*5%+U58*U58*0.2%</f>
        <v>0.25800000000000001</v>
      </c>
      <c r="W58" s="17">
        <f t="shared" si="13"/>
        <v>2.5800000000000003E-3</v>
      </c>
      <c r="X58" s="14">
        <f t="shared" ref="X58:X121" si="17">INDEX($AB$5:$AB$46,Q58)</f>
        <v>1</v>
      </c>
      <c r="Y58" s="14">
        <f t="shared" ref="Y58:Y121" si="18">INDEX(AC$5:AC$46,$Q58)</f>
        <v>3</v>
      </c>
      <c r="Z58" s="14">
        <f t="shared" ref="Z58:Z121" si="19">INDEX(AD$5:AD$46,$Q58)</f>
        <v>0</v>
      </c>
      <c r="AA58" s="14" t="str">
        <f t="shared" ref="AA58:AA121" si="20">INDEX($Y$3:$AA$3,X58)</f>
        <v>AtkExt</v>
      </c>
      <c r="AB58" s="14">
        <f t="shared" si="14"/>
        <v>62</v>
      </c>
      <c r="AC58" s="14" t="str">
        <f t="shared" ref="AC58:AC121" si="21">IF(Y58&gt;0,INDEX($Y$3:$AA$3,Y58),"[x]")</f>
        <v>HPExt</v>
      </c>
      <c r="AD58" s="14">
        <f t="shared" ref="AD58:AD121" si="22">IF(Y58&gt;0,INT(INDEX($E$4:$G$4,Y58)*W58*INDEX($Y$5:$AA$46,Q58,Y58)),"[x]")</f>
        <v>373</v>
      </c>
      <c r="AE58" s="14" t="str">
        <f t="shared" ref="AE58:AE121" si="23">IF(Z58&gt;0,INDEX($Y$3:$AA$3,Z58),"[x]")</f>
        <v>[x]</v>
      </c>
      <c r="AF58" s="27" t="str">
        <f t="shared" ref="AF58:AF121" si="24">IF(Z58&gt;0,INT(INDEX($E$4:$G$4,Z58)*W58*INDEX($Y$5:$AA$46,Q58,Z58)),"[x]")</f>
        <v>[x]</v>
      </c>
      <c r="AG58" s="27" t="str">
        <f t="shared" ref="AG58:AG121" si="25">IF(INDEX($AE$5:$AE$46,Q58)&gt;0,INDEX($AE$5:$AE$46,Q58)*U58,"[x]")</f>
        <v>[x]</v>
      </c>
    </row>
    <row r="59" spans="1:33" ht="16.5" x14ac:dyDescent="0.2">
      <c r="A59" s="13" t="s">
        <v>186</v>
      </c>
      <c r="B59" s="13">
        <v>6</v>
      </c>
      <c r="C59" s="13">
        <v>15</v>
      </c>
      <c r="D59" s="13" t="s">
        <v>60</v>
      </c>
      <c r="E59" s="17">
        <f>INDEX($D$16:$F$22,$B59,MATCH(D59,$D$15:$F$15,0))*0.6*3</f>
        <v>0.18</v>
      </c>
      <c r="F59" s="13" t="s">
        <v>63</v>
      </c>
      <c r="G59" s="17">
        <f>INDEX($D$16:$F$22,$B59,MATCH(F59,$D$15:$F$15,0))*0.4*3</f>
        <v>0.12000000000000002</v>
      </c>
      <c r="I59" s="32"/>
      <c r="P59" s="13">
        <v>3</v>
      </c>
      <c r="Q59" s="14">
        <f t="shared" si="10"/>
        <v>1</v>
      </c>
      <c r="R59" s="14">
        <f t="shared" si="11"/>
        <v>1606003</v>
      </c>
      <c r="S59" s="14" t="str">
        <f t="shared" si="15"/>
        <v>神器1碎片1等级3</v>
      </c>
      <c r="T59" s="29" t="s">
        <v>649</v>
      </c>
      <c r="U59" s="14">
        <f t="shared" si="12"/>
        <v>3</v>
      </c>
      <c r="V59" s="36">
        <f t="shared" si="16"/>
        <v>0.31800000000000006</v>
      </c>
      <c r="W59" s="17">
        <f t="shared" si="13"/>
        <v>3.1800000000000005E-3</v>
      </c>
      <c r="X59" s="14">
        <f t="shared" si="17"/>
        <v>1</v>
      </c>
      <c r="Y59" s="14">
        <f t="shared" si="18"/>
        <v>3</v>
      </c>
      <c r="Z59" s="14">
        <f t="shared" si="19"/>
        <v>0</v>
      </c>
      <c r="AA59" s="14" t="str">
        <f t="shared" si="20"/>
        <v>AtkExt</v>
      </c>
      <c r="AB59" s="14">
        <f t="shared" si="14"/>
        <v>76</v>
      </c>
      <c r="AC59" s="14" t="str">
        <f t="shared" si="21"/>
        <v>HPExt</v>
      </c>
      <c r="AD59" s="14">
        <f t="shared" si="22"/>
        <v>460</v>
      </c>
      <c r="AE59" s="14" t="str">
        <f t="shared" si="23"/>
        <v>[x]</v>
      </c>
      <c r="AF59" s="27" t="str">
        <f t="shared" si="24"/>
        <v>[x]</v>
      </c>
      <c r="AG59" s="27" t="str">
        <f t="shared" si="25"/>
        <v>[x]</v>
      </c>
    </row>
    <row r="60" spans="1:33" ht="16.5" x14ac:dyDescent="0.2">
      <c r="A60" s="13" t="s">
        <v>186</v>
      </c>
      <c r="B60" s="13">
        <v>6</v>
      </c>
      <c r="C60" s="13">
        <v>20</v>
      </c>
      <c r="D60" s="13"/>
      <c r="E60" s="13"/>
      <c r="F60" s="13"/>
      <c r="G60" s="13"/>
      <c r="I60" s="32"/>
      <c r="P60" s="13">
        <v>4</v>
      </c>
      <c r="Q60" s="14">
        <f t="shared" si="10"/>
        <v>1</v>
      </c>
      <c r="R60" s="14">
        <f t="shared" si="11"/>
        <v>1606003</v>
      </c>
      <c r="S60" s="14" t="str">
        <f t="shared" si="15"/>
        <v>神器1碎片1等级4</v>
      </c>
      <c r="T60" s="29" t="s">
        <v>649</v>
      </c>
      <c r="U60" s="14">
        <f t="shared" si="12"/>
        <v>4</v>
      </c>
      <c r="V60" s="36">
        <f t="shared" si="16"/>
        <v>0.38200000000000001</v>
      </c>
      <c r="W60" s="17">
        <f t="shared" si="13"/>
        <v>3.82E-3</v>
      </c>
      <c r="X60" s="14">
        <f t="shared" si="17"/>
        <v>1</v>
      </c>
      <c r="Y60" s="14">
        <f t="shared" si="18"/>
        <v>3</v>
      </c>
      <c r="Z60" s="14">
        <f t="shared" si="19"/>
        <v>0</v>
      </c>
      <c r="AA60" s="14" t="str">
        <f t="shared" si="20"/>
        <v>AtkExt</v>
      </c>
      <c r="AB60" s="14">
        <f t="shared" si="14"/>
        <v>91</v>
      </c>
      <c r="AC60" s="14" t="str">
        <f t="shared" si="21"/>
        <v>HPExt</v>
      </c>
      <c r="AD60" s="14">
        <f t="shared" si="22"/>
        <v>553</v>
      </c>
      <c r="AE60" s="14" t="str">
        <f t="shared" si="23"/>
        <v>[x]</v>
      </c>
      <c r="AF60" s="27" t="str">
        <f t="shared" si="24"/>
        <v>[x]</v>
      </c>
      <c r="AG60" s="27" t="str">
        <f t="shared" si="25"/>
        <v>[x]</v>
      </c>
    </row>
    <row r="61" spans="1:33" ht="16.5" x14ac:dyDescent="0.2">
      <c r="A61" s="13" t="s">
        <v>186</v>
      </c>
      <c r="B61" s="13">
        <v>6</v>
      </c>
      <c r="C61" s="13">
        <v>25</v>
      </c>
      <c r="D61" s="13" t="s">
        <v>63</v>
      </c>
      <c r="E61" s="17">
        <f>INDEX($D$16:$F$22,$B61,MATCH(D61,$D$15:$F$15,0))*0.6*3</f>
        <v>0.18</v>
      </c>
      <c r="F61" s="13" t="s">
        <v>66</v>
      </c>
      <c r="G61" s="17">
        <f>INDEX($D$16:$F$22,$B61,MATCH(F61,$D$15:$F$15,0))*0.6*3</f>
        <v>0.18</v>
      </c>
      <c r="I61" s="32"/>
      <c r="P61" s="13">
        <v>5</v>
      </c>
      <c r="Q61" s="14">
        <f t="shared" si="10"/>
        <v>1</v>
      </c>
      <c r="R61" s="14">
        <f t="shared" si="11"/>
        <v>1606003</v>
      </c>
      <c r="S61" s="14" t="str">
        <f t="shared" si="15"/>
        <v>神器1碎片1等级5</v>
      </c>
      <c r="T61" s="29" t="s">
        <v>649</v>
      </c>
      <c r="U61" s="14">
        <f t="shared" si="12"/>
        <v>5</v>
      </c>
      <c r="V61" s="36">
        <f t="shared" si="16"/>
        <v>0.45</v>
      </c>
      <c r="W61" s="17">
        <f t="shared" si="13"/>
        <v>4.5000000000000005E-3</v>
      </c>
      <c r="X61" s="14">
        <f t="shared" si="17"/>
        <v>1</v>
      </c>
      <c r="Y61" s="14">
        <f t="shared" si="18"/>
        <v>3</v>
      </c>
      <c r="Z61" s="14">
        <f t="shared" si="19"/>
        <v>0</v>
      </c>
      <c r="AA61" s="14" t="str">
        <f t="shared" si="20"/>
        <v>AtkExt</v>
      </c>
      <c r="AB61" s="14">
        <f t="shared" si="14"/>
        <v>108</v>
      </c>
      <c r="AC61" s="14" t="str">
        <f t="shared" si="21"/>
        <v>HPExt</v>
      </c>
      <c r="AD61" s="14">
        <f t="shared" si="22"/>
        <v>651</v>
      </c>
      <c r="AE61" s="14" t="str">
        <f t="shared" si="23"/>
        <v>[x]</v>
      </c>
      <c r="AF61" s="27" t="str">
        <f t="shared" si="24"/>
        <v>[x]</v>
      </c>
      <c r="AG61" s="27" t="str">
        <f t="shared" si="25"/>
        <v>[x]</v>
      </c>
    </row>
    <row r="62" spans="1:33" ht="16.5" x14ac:dyDescent="0.2">
      <c r="A62" s="13" t="s">
        <v>186</v>
      </c>
      <c r="B62" s="13">
        <v>6</v>
      </c>
      <c r="C62" s="13">
        <v>30</v>
      </c>
      <c r="D62" s="13"/>
      <c r="E62" s="13"/>
      <c r="F62" s="13"/>
      <c r="G62" s="13"/>
      <c r="I62" s="32"/>
      <c r="P62" s="13">
        <v>6</v>
      </c>
      <c r="Q62" s="14">
        <f t="shared" si="10"/>
        <v>1</v>
      </c>
      <c r="R62" s="14">
        <f t="shared" si="11"/>
        <v>1606003</v>
      </c>
      <c r="S62" s="14" t="str">
        <f t="shared" si="15"/>
        <v>神器1碎片1等级6</v>
      </c>
      <c r="T62" s="29" t="s">
        <v>649</v>
      </c>
      <c r="U62" s="14">
        <f t="shared" si="12"/>
        <v>6</v>
      </c>
      <c r="V62" s="36">
        <f t="shared" si="16"/>
        <v>0.52200000000000002</v>
      </c>
      <c r="W62" s="17">
        <f t="shared" si="13"/>
        <v>5.2200000000000007E-3</v>
      </c>
      <c r="X62" s="14">
        <f t="shared" si="17"/>
        <v>1</v>
      </c>
      <c r="Y62" s="14">
        <f t="shared" si="18"/>
        <v>3</v>
      </c>
      <c r="Z62" s="14">
        <f t="shared" si="19"/>
        <v>0</v>
      </c>
      <c r="AA62" s="14" t="str">
        <f t="shared" si="20"/>
        <v>AtkExt</v>
      </c>
      <c r="AB62" s="14">
        <f t="shared" si="14"/>
        <v>125</v>
      </c>
      <c r="AC62" s="14" t="str">
        <f t="shared" si="21"/>
        <v>HPExt</v>
      </c>
      <c r="AD62" s="14">
        <f t="shared" si="22"/>
        <v>756</v>
      </c>
      <c r="AE62" s="14" t="str">
        <f t="shared" si="23"/>
        <v>[x]</v>
      </c>
      <c r="AF62" s="27" t="str">
        <f t="shared" si="24"/>
        <v>[x]</v>
      </c>
      <c r="AG62" s="27" t="str">
        <f t="shared" si="25"/>
        <v>[x]</v>
      </c>
    </row>
    <row r="63" spans="1:33" ht="16.5" x14ac:dyDescent="0.2">
      <c r="A63" s="13" t="s">
        <v>187</v>
      </c>
      <c r="B63" s="13">
        <v>7</v>
      </c>
      <c r="C63" s="13">
        <v>5</v>
      </c>
      <c r="D63" s="13" t="s">
        <v>60</v>
      </c>
      <c r="E63" s="17">
        <f>INDEX($D$16:$F$22,$B63,MATCH(D63,$D$15:$F$15,0))*0.4*3</f>
        <v>0.12000000000000002</v>
      </c>
      <c r="F63" s="13" t="s">
        <v>66</v>
      </c>
      <c r="G63" s="17">
        <f>INDEX($D$16:$F$22,$B63,MATCH(F63,$D$15:$F$15,0))*0.4*3</f>
        <v>0.12000000000000002</v>
      </c>
      <c r="I63" s="32"/>
      <c r="P63" s="13">
        <v>7</v>
      </c>
      <c r="Q63" s="14">
        <f t="shared" si="10"/>
        <v>1</v>
      </c>
      <c r="R63" s="14">
        <f t="shared" si="11"/>
        <v>1606003</v>
      </c>
      <c r="S63" s="14" t="str">
        <f t="shared" si="15"/>
        <v>神器1碎片1等级7</v>
      </c>
      <c r="T63" s="29" t="s">
        <v>649</v>
      </c>
      <c r="U63" s="14">
        <f t="shared" si="12"/>
        <v>7</v>
      </c>
      <c r="V63" s="36">
        <f t="shared" si="16"/>
        <v>0.59799999999999998</v>
      </c>
      <c r="W63" s="17">
        <f t="shared" si="13"/>
        <v>5.9800000000000001E-3</v>
      </c>
      <c r="X63" s="14">
        <f t="shared" si="17"/>
        <v>1</v>
      </c>
      <c r="Y63" s="14">
        <f t="shared" si="18"/>
        <v>3</v>
      </c>
      <c r="Z63" s="14">
        <f t="shared" si="19"/>
        <v>0</v>
      </c>
      <c r="AA63" s="14" t="str">
        <f t="shared" si="20"/>
        <v>AtkExt</v>
      </c>
      <c r="AB63" s="14">
        <f t="shared" si="14"/>
        <v>144</v>
      </c>
      <c r="AC63" s="14" t="str">
        <f t="shared" si="21"/>
        <v>HPExt</v>
      </c>
      <c r="AD63" s="14">
        <f t="shared" si="22"/>
        <v>866</v>
      </c>
      <c r="AE63" s="14" t="str">
        <f t="shared" si="23"/>
        <v>[x]</v>
      </c>
      <c r="AF63" s="27" t="str">
        <f t="shared" si="24"/>
        <v>[x]</v>
      </c>
      <c r="AG63" s="27" t="str">
        <f t="shared" si="25"/>
        <v>[x]</v>
      </c>
    </row>
    <row r="64" spans="1:33" ht="16.5" x14ac:dyDescent="0.2">
      <c r="A64" s="13" t="s">
        <v>187</v>
      </c>
      <c r="B64" s="13">
        <v>7</v>
      </c>
      <c r="C64" s="13">
        <v>10</v>
      </c>
      <c r="D64" s="13"/>
      <c r="E64" s="13"/>
      <c r="F64" s="13"/>
      <c r="G64" s="13"/>
      <c r="I64" s="32"/>
      <c r="P64" s="13">
        <v>8</v>
      </c>
      <c r="Q64" s="14">
        <f t="shared" si="10"/>
        <v>1</v>
      </c>
      <c r="R64" s="14">
        <f t="shared" si="11"/>
        <v>1606003</v>
      </c>
      <c r="S64" s="14" t="str">
        <f t="shared" si="15"/>
        <v>神器1碎片1等级8</v>
      </c>
      <c r="T64" s="29" t="s">
        <v>649</v>
      </c>
      <c r="U64" s="14">
        <f t="shared" si="12"/>
        <v>8</v>
      </c>
      <c r="V64" s="36">
        <f t="shared" si="16"/>
        <v>0.67800000000000005</v>
      </c>
      <c r="W64" s="17">
        <f t="shared" si="13"/>
        <v>6.7800000000000004E-3</v>
      </c>
      <c r="X64" s="14">
        <f t="shared" si="17"/>
        <v>1</v>
      </c>
      <c r="Y64" s="14">
        <f t="shared" si="18"/>
        <v>3</v>
      </c>
      <c r="Z64" s="14">
        <f t="shared" si="19"/>
        <v>0</v>
      </c>
      <c r="AA64" s="14" t="str">
        <f t="shared" si="20"/>
        <v>AtkExt</v>
      </c>
      <c r="AB64" s="14">
        <f t="shared" si="14"/>
        <v>163</v>
      </c>
      <c r="AC64" s="14" t="str">
        <f t="shared" si="21"/>
        <v>HPExt</v>
      </c>
      <c r="AD64" s="14">
        <f t="shared" si="22"/>
        <v>981</v>
      </c>
      <c r="AE64" s="14" t="str">
        <f t="shared" si="23"/>
        <v>[x]</v>
      </c>
      <c r="AF64" s="27" t="str">
        <f t="shared" si="24"/>
        <v>[x]</v>
      </c>
      <c r="AG64" s="27" t="str">
        <f t="shared" si="25"/>
        <v>[x]</v>
      </c>
    </row>
    <row r="65" spans="1:33" ht="16.5" x14ac:dyDescent="0.2">
      <c r="A65" s="13" t="s">
        <v>187</v>
      </c>
      <c r="B65" s="13">
        <v>7</v>
      </c>
      <c r="C65" s="13">
        <v>15</v>
      </c>
      <c r="D65" s="13" t="s">
        <v>60</v>
      </c>
      <c r="E65" s="17">
        <f>INDEX($D$16:$F$22,$B65,MATCH(D65,$D$15:$F$15,0))*0.6*3</f>
        <v>0.18</v>
      </c>
      <c r="F65" s="13" t="s">
        <v>63</v>
      </c>
      <c r="G65" s="17">
        <f>INDEX($D$16:$F$22,$B65,MATCH(F65,$D$15:$F$15,0))*0.4*3</f>
        <v>0.12000000000000002</v>
      </c>
      <c r="I65" s="32"/>
      <c r="P65" s="13">
        <v>9</v>
      </c>
      <c r="Q65" s="14">
        <f t="shared" si="10"/>
        <v>1</v>
      </c>
      <c r="R65" s="14">
        <f t="shared" si="11"/>
        <v>1606003</v>
      </c>
      <c r="S65" s="14" t="str">
        <f t="shared" si="15"/>
        <v>神器1碎片1等级9</v>
      </c>
      <c r="T65" s="29" t="s">
        <v>649</v>
      </c>
      <c r="U65" s="14">
        <f t="shared" si="12"/>
        <v>9</v>
      </c>
      <c r="V65" s="36">
        <f t="shared" si="16"/>
        <v>0.76200000000000001</v>
      </c>
      <c r="W65" s="17">
        <f t="shared" si="13"/>
        <v>7.62E-3</v>
      </c>
      <c r="X65" s="14">
        <f t="shared" si="17"/>
        <v>1</v>
      </c>
      <c r="Y65" s="14">
        <f t="shared" si="18"/>
        <v>3</v>
      </c>
      <c r="Z65" s="14">
        <f t="shared" si="19"/>
        <v>0</v>
      </c>
      <c r="AA65" s="14" t="str">
        <f t="shared" si="20"/>
        <v>AtkExt</v>
      </c>
      <c r="AB65" s="14">
        <f t="shared" si="14"/>
        <v>183</v>
      </c>
      <c r="AC65" s="14" t="str">
        <f t="shared" si="21"/>
        <v>HPExt</v>
      </c>
      <c r="AD65" s="14">
        <f t="shared" si="22"/>
        <v>1103</v>
      </c>
      <c r="AE65" s="14" t="str">
        <f t="shared" si="23"/>
        <v>[x]</v>
      </c>
      <c r="AF65" s="27" t="str">
        <f t="shared" si="24"/>
        <v>[x]</v>
      </c>
      <c r="AG65" s="27" t="str">
        <f t="shared" si="25"/>
        <v>[x]</v>
      </c>
    </row>
    <row r="66" spans="1:33" ht="16.5" x14ac:dyDescent="0.2">
      <c r="A66" s="13" t="s">
        <v>187</v>
      </c>
      <c r="B66" s="13">
        <v>7</v>
      </c>
      <c r="C66" s="13">
        <v>20</v>
      </c>
      <c r="D66" s="13"/>
      <c r="E66" s="13"/>
      <c r="F66" s="13"/>
      <c r="G66" s="13"/>
      <c r="I66" s="32"/>
      <c r="P66" s="13">
        <v>10</v>
      </c>
      <c r="Q66" s="14">
        <f t="shared" si="10"/>
        <v>1</v>
      </c>
      <c r="R66" s="14">
        <f t="shared" si="11"/>
        <v>1606003</v>
      </c>
      <c r="S66" s="14" t="str">
        <f t="shared" si="15"/>
        <v>神器1碎片1等级10</v>
      </c>
      <c r="T66" s="29" t="s">
        <v>649</v>
      </c>
      <c r="U66" s="14">
        <f t="shared" si="12"/>
        <v>10</v>
      </c>
      <c r="V66" s="36">
        <f t="shared" si="16"/>
        <v>0.85000000000000009</v>
      </c>
      <c r="W66" s="17">
        <f t="shared" si="13"/>
        <v>8.5000000000000006E-3</v>
      </c>
      <c r="X66" s="14">
        <f t="shared" si="17"/>
        <v>1</v>
      </c>
      <c r="Y66" s="14">
        <f t="shared" si="18"/>
        <v>3</v>
      </c>
      <c r="Z66" s="14">
        <f t="shared" si="19"/>
        <v>0</v>
      </c>
      <c r="AA66" s="14" t="str">
        <f t="shared" si="20"/>
        <v>AtkExt</v>
      </c>
      <c r="AB66" s="14">
        <f t="shared" si="14"/>
        <v>204</v>
      </c>
      <c r="AC66" s="14" t="str">
        <f t="shared" si="21"/>
        <v>HPExt</v>
      </c>
      <c r="AD66" s="14">
        <f t="shared" si="22"/>
        <v>1231</v>
      </c>
      <c r="AE66" s="14" t="str">
        <f t="shared" si="23"/>
        <v>[x]</v>
      </c>
      <c r="AF66" s="27" t="str">
        <f t="shared" si="24"/>
        <v>[x]</v>
      </c>
      <c r="AG66" s="27" t="str">
        <f t="shared" si="25"/>
        <v>[x]</v>
      </c>
    </row>
    <row r="67" spans="1:33" ht="16.5" x14ac:dyDescent="0.2">
      <c r="A67" s="13" t="s">
        <v>187</v>
      </c>
      <c r="B67" s="13">
        <v>7</v>
      </c>
      <c r="C67" s="13">
        <v>25</v>
      </c>
      <c r="D67" s="13" t="s">
        <v>63</v>
      </c>
      <c r="E67" s="17">
        <f>INDEX($D$16:$F$22,$B67,MATCH(D67,$D$15:$F$15,0))*0.6*3</f>
        <v>0.18</v>
      </c>
      <c r="F67" s="13" t="s">
        <v>66</v>
      </c>
      <c r="G67" s="17">
        <f>INDEX($D$16:$F$22,$B67,MATCH(F67,$D$15:$F$15,0))*0.6*3</f>
        <v>0.18</v>
      </c>
      <c r="I67" s="32"/>
      <c r="P67" s="13">
        <v>11</v>
      </c>
      <c r="Q67" s="14">
        <f t="shared" si="10"/>
        <v>1</v>
      </c>
      <c r="R67" s="14">
        <f t="shared" si="11"/>
        <v>1606003</v>
      </c>
      <c r="S67" s="14" t="str">
        <f t="shared" si="15"/>
        <v>神器1碎片1等级11</v>
      </c>
      <c r="T67" s="29" t="s">
        <v>649</v>
      </c>
      <c r="U67" s="14">
        <f t="shared" si="12"/>
        <v>11</v>
      </c>
      <c r="V67" s="36">
        <f t="shared" si="16"/>
        <v>0.94200000000000006</v>
      </c>
      <c r="W67" s="17">
        <f t="shared" si="13"/>
        <v>9.4200000000000013E-3</v>
      </c>
      <c r="X67" s="14">
        <f t="shared" si="17"/>
        <v>1</v>
      </c>
      <c r="Y67" s="14">
        <f t="shared" si="18"/>
        <v>3</v>
      </c>
      <c r="Z67" s="14">
        <f t="shared" si="19"/>
        <v>0</v>
      </c>
      <c r="AA67" s="14" t="str">
        <f t="shared" si="20"/>
        <v>AtkExt</v>
      </c>
      <c r="AB67" s="14">
        <f t="shared" si="14"/>
        <v>226</v>
      </c>
      <c r="AC67" s="14" t="str">
        <f t="shared" si="21"/>
        <v>HPExt</v>
      </c>
      <c r="AD67" s="14">
        <f t="shared" si="22"/>
        <v>1364</v>
      </c>
      <c r="AE67" s="14" t="str">
        <f t="shared" si="23"/>
        <v>[x]</v>
      </c>
      <c r="AF67" s="27" t="str">
        <f t="shared" si="24"/>
        <v>[x]</v>
      </c>
      <c r="AG67" s="27" t="str">
        <f t="shared" si="25"/>
        <v>[x]</v>
      </c>
    </row>
    <row r="68" spans="1:33" ht="16.5" x14ac:dyDescent="0.2">
      <c r="A68" s="13" t="s">
        <v>187</v>
      </c>
      <c r="B68" s="13">
        <v>7</v>
      </c>
      <c r="C68" s="13">
        <v>30</v>
      </c>
      <c r="D68" s="13"/>
      <c r="E68" s="13"/>
      <c r="F68" s="13"/>
      <c r="G68" s="13"/>
      <c r="I68" s="32"/>
      <c r="P68" s="13">
        <v>12</v>
      </c>
      <c r="Q68" s="14">
        <f t="shared" si="10"/>
        <v>1</v>
      </c>
      <c r="R68" s="14">
        <f t="shared" si="11"/>
        <v>1606003</v>
      </c>
      <c r="S68" s="14" t="str">
        <f t="shared" si="15"/>
        <v>神器1碎片1等级12</v>
      </c>
      <c r="T68" s="29" t="s">
        <v>649</v>
      </c>
      <c r="U68" s="14">
        <f t="shared" si="12"/>
        <v>12</v>
      </c>
      <c r="V68" s="36">
        <f t="shared" si="16"/>
        <v>1.0380000000000003</v>
      </c>
      <c r="W68" s="17">
        <f t="shared" si="13"/>
        <v>1.0380000000000002E-2</v>
      </c>
      <c r="X68" s="14">
        <f t="shared" si="17"/>
        <v>1</v>
      </c>
      <c r="Y68" s="14">
        <f t="shared" si="18"/>
        <v>3</v>
      </c>
      <c r="Z68" s="14">
        <f t="shared" si="19"/>
        <v>0</v>
      </c>
      <c r="AA68" s="14" t="str">
        <f t="shared" si="20"/>
        <v>AtkExt</v>
      </c>
      <c r="AB68" s="14">
        <f t="shared" si="14"/>
        <v>249</v>
      </c>
      <c r="AC68" s="14" t="str">
        <f t="shared" si="21"/>
        <v>HPExt</v>
      </c>
      <c r="AD68" s="14">
        <f t="shared" si="22"/>
        <v>1503</v>
      </c>
      <c r="AE68" s="14" t="str">
        <f t="shared" si="23"/>
        <v>[x]</v>
      </c>
      <c r="AF68" s="27" t="str">
        <f t="shared" si="24"/>
        <v>[x]</v>
      </c>
      <c r="AG68" s="27" t="str">
        <f t="shared" si="25"/>
        <v>[x]</v>
      </c>
    </row>
    <row r="69" spans="1:33" ht="16.5" x14ac:dyDescent="0.2">
      <c r="I69" s="32"/>
      <c r="P69" s="13">
        <v>13</v>
      </c>
      <c r="Q69" s="14">
        <f t="shared" si="10"/>
        <v>1</v>
      </c>
      <c r="R69" s="14">
        <f t="shared" si="11"/>
        <v>1606003</v>
      </c>
      <c r="S69" s="14" t="str">
        <f t="shared" si="15"/>
        <v>神器1碎片1等级13</v>
      </c>
      <c r="T69" s="29" t="s">
        <v>649</v>
      </c>
      <c r="U69" s="14">
        <f t="shared" si="12"/>
        <v>13</v>
      </c>
      <c r="V69" s="36">
        <f t="shared" si="16"/>
        <v>1.1380000000000001</v>
      </c>
      <c r="W69" s="17">
        <f t="shared" si="13"/>
        <v>1.1380000000000001E-2</v>
      </c>
      <c r="X69" s="14">
        <f t="shared" si="17"/>
        <v>1</v>
      </c>
      <c r="Y69" s="14">
        <f t="shared" si="18"/>
        <v>3</v>
      </c>
      <c r="Z69" s="14">
        <f t="shared" si="19"/>
        <v>0</v>
      </c>
      <c r="AA69" s="14" t="str">
        <f t="shared" si="20"/>
        <v>AtkExt</v>
      </c>
      <c r="AB69" s="14">
        <f t="shared" si="14"/>
        <v>274</v>
      </c>
      <c r="AC69" s="14" t="str">
        <f t="shared" si="21"/>
        <v>HPExt</v>
      </c>
      <c r="AD69" s="14">
        <f t="shared" si="22"/>
        <v>1648</v>
      </c>
      <c r="AE69" s="14" t="str">
        <f t="shared" si="23"/>
        <v>[x]</v>
      </c>
      <c r="AF69" s="27" t="str">
        <f t="shared" si="24"/>
        <v>[x]</v>
      </c>
      <c r="AG69" s="27" t="str">
        <f t="shared" si="25"/>
        <v>[x]</v>
      </c>
    </row>
    <row r="70" spans="1:33" ht="16.5" x14ac:dyDescent="0.2">
      <c r="I70" s="32"/>
      <c r="P70" s="13">
        <v>14</v>
      </c>
      <c r="Q70" s="14">
        <f t="shared" si="10"/>
        <v>1</v>
      </c>
      <c r="R70" s="14">
        <f t="shared" si="11"/>
        <v>1606003</v>
      </c>
      <c r="S70" s="14" t="str">
        <f t="shared" si="15"/>
        <v>神器1碎片1等级14</v>
      </c>
      <c r="T70" s="29" t="s">
        <v>649</v>
      </c>
      <c r="U70" s="14">
        <f t="shared" si="12"/>
        <v>14</v>
      </c>
      <c r="V70" s="36">
        <f t="shared" si="16"/>
        <v>1.242</v>
      </c>
      <c r="W70" s="17">
        <f t="shared" si="13"/>
        <v>1.242E-2</v>
      </c>
      <c r="X70" s="14">
        <f t="shared" si="17"/>
        <v>1</v>
      </c>
      <c r="Y70" s="14">
        <f t="shared" si="18"/>
        <v>3</v>
      </c>
      <c r="Z70" s="14">
        <f t="shared" si="19"/>
        <v>0</v>
      </c>
      <c r="AA70" s="14" t="str">
        <f t="shared" si="20"/>
        <v>AtkExt</v>
      </c>
      <c r="AB70" s="14">
        <f t="shared" si="14"/>
        <v>299</v>
      </c>
      <c r="AC70" s="14" t="str">
        <f t="shared" si="21"/>
        <v>HPExt</v>
      </c>
      <c r="AD70" s="14">
        <f t="shared" si="22"/>
        <v>1798</v>
      </c>
      <c r="AE70" s="14" t="str">
        <f t="shared" si="23"/>
        <v>[x]</v>
      </c>
      <c r="AF70" s="27" t="str">
        <f t="shared" si="24"/>
        <v>[x]</v>
      </c>
      <c r="AG70" s="27" t="str">
        <f t="shared" si="25"/>
        <v>[x]</v>
      </c>
    </row>
    <row r="71" spans="1:33" ht="16.5" x14ac:dyDescent="0.2">
      <c r="I71" s="32"/>
      <c r="P71" s="13">
        <v>15</v>
      </c>
      <c r="Q71" s="14">
        <f t="shared" si="10"/>
        <v>1</v>
      </c>
      <c r="R71" s="14">
        <f t="shared" si="11"/>
        <v>1606003</v>
      </c>
      <c r="S71" s="14" t="str">
        <f t="shared" si="15"/>
        <v>神器1碎片1等级15</v>
      </c>
      <c r="T71" s="29" t="s">
        <v>649</v>
      </c>
      <c r="U71" s="14">
        <f t="shared" si="12"/>
        <v>15</v>
      </c>
      <c r="V71" s="36">
        <f t="shared" si="16"/>
        <v>1.35</v>
      </c>
      <c r="W71" s="17">
        <f t="shared" si="13"/>
        <v>1.3500000000000002E-2</v>
      </c>
      <c r="X71" s="14">
        <f t="shared" si="17"/>
        <v>1</v>
      </c>
      <c r="Y71" s="14">
        <f t="shared" si="18"/>
        <v>3</v>
      </c>
      <c r="Z71" s="14">
        <f t="shared" si="19"/>
        <v>0</v>
      </c>
      <c r="AA71" s="14" t="str">
        <f t="shared" si="20"/>
        <v>AtkExt</v>
      </c>
      <c r="AB71" s="14">
        <f t="shared" si="14"/>
        <v>325</v>
      </c>
      <c r="AC71" s="14" t="str">
        <f t="shared" si="21"/>
        <v>HPExt</v>
      </c>
      <c r="AD71" s="14">
        <f t="shared" si="22"/>
        <v>1955</v>
      </c>
      <c r="AE71" s="14" t="str">
        <f t="shared" si="23"/>
        <v>[x]</v>
      </c>
      <c r="AF71" s="27" t="str">
        <f t="shared" si="24"/>
        <v>[x]</v>
      </c>
      <c r="AG71" s="27" t="str">
        <f t="shared" si="25"/>
        <v>[x]</v>
      </c>
    </row>
    <row r="72" spans="1:33" ht="16.5" x14ac:dyDescent="0.2">
      <c r="I72" s="32"/>
      <c r="P72" s="13">
        <v>16</v>
      </c>
      <c r="Q72" s="14">
        <f t="shared" si="10"/>
        <v>2</v>
      </c>
      <c r="R72" s="14">
        <f t="shared" si="11"/>
        <v>1606004</v>
      </c>
      <c r="S72" s="14" t="str">
        <f t="shared" si="15"/>
        <v>神器1碎片2等级1</v>
      </c>
      <c r="T72" s="29" t="s">
        <v>649</v>
      </c>
      <c r="U72" s="14">
        <f t="shared" si="12"/>
        <v>1</v>
      </c>
      <c r="V72" s="36">
        <f t="shared" si="16"/>
        <v>0.20200000000000001</v>
      </c>
      <c r="W72" s="17">
        <f t="shared" si="13"/>
        <v>2.0200000000000001E-3</v>
      </c>
      <c r="X72" s="14">
        <f t="shared" si="17"/>
        <v>1</v>
      </c>
      <c r="Y72" s="14">
        <f t="shared" si="18"/>
        <v>2</v>
      </c>
      <c r="Z72" s="14">
        <f t="shared" si="19"/>
        <v>0</v>
      </c>
      <c r="AA72" s="14" t="str">
        <f t="shared" si="20"/>
        <v>AtkExt</v>
      </c>
      <c r="AB72" s="14">
        <f t="shared" si="14"/>
        <v>48</v>
      </c>
      <c r="AC72" s="14" t="str">
        <f t="shared" si="21"/>
        <v>DefExt</v>
      </c>
      <c r="AD72" s="14">
        <f t="shared" si="22"/>
        <v>48</v>
      </c>
      <c r="AE72" s="14" t="str">
        <f t="shared" si="23"/>
        <v>[x]</v>
      </c>
      <c r="AF72" s="27" t="str">
        <f t="shared" si="24"/>
        <v>[x]</v>
      </c>
      <c r="AG72" s="27" t="str">
        <f t="shared" si="25"/>
        <v>[x]</v>
      </c>
    </row>
    <row r="73" spans="1:33" ht="16.5" x14ac:dyDescent="0.2">
      <c r="I73" s="32"/>
      <c r="P73" s="13">
        <v>17</v>
      </c>
      <c r="Q73" s="14">
        <f t="shared" si="10"/>
        <v>2</v>
      </c>
      <c r="R73" s="14">
        <f t="shared" si="11"/>
        <v>1606004</v>
      </c>
      <c r="S73" s="14" t="str">
        <f t="shared" si="15"/>
        <v>神器1碎片2等级2</v>
      </c>
      <c r="T73" s="29" t="s">
        <v>649</v>
      </c>
      <c r="U73" s="14">
        <f t="shared" si="12"/>
        <v>2</v>
      </c>
      <c r="V73" s="36">
        <f t="shared" si="16"/>
        <v>0.25800000000000001</v>
      </c>
      <c r="W73" s="17">
        <f t="shared" si="13"/>
        <v>2.5800000000000003E-3</v>
      </c>
      <c r="X73" s="14">
        <f t="shared" si="17"/>
        <v>1</v>
      </c>
      <c r="Y73" s="14">
        <f t="shared" si="18"/>
        <v>2</v>
      </c>
      <c r="Z73" s="14">
        <f t="shared" si="19"/>
        <v>0</v>
      </c>
      <c r="AA73" s="14" t="str">
        <f t="shared" si="20"/>
        <v>AtkExt</v>
      </c>
      <c r="AB73" s="14">
        <f t="shared" si="14"/>
        <v>62</v>
      </c>
      <c r="AC73" s="14" t="str">
        <f t="shared" si="21"/>
        <v>DefExt</v>
      </c>
      <c r="AD73" s="14">
        <f t="shared" si="22"/>
        <v>61</v>
      </c>
      <c r="AE73" s="14" t="str">
        <f t="shared" si="23"/>
        <v>[x]</v>
      </c>
      <c r="AF73" s="27" t="str">
        <f t="shared" si="24"/>
        <v>[x]</v>
      </c>
      <c r="AG73" s="27" t="str">
        <f t="shared" si="25"/>
        <v>[x]</v>
      </c>
    </row>
    <row r="74" spans="1:33" ht="16.5" x14ac:dyDescent="0.2">
      <c r="I74" s="32"/>
      <c r="P74" s="13">
        <v>18</v>
      </c>
      <c r="Q74" s="14">
        <f t="shared" si="10"/>
        <v>2</v>
      </c>
      <c r="R74" s="14">
        <f t="shared" si="11"/>
        <v>1606004</v>
      </c>
      <c r="S74" s="14" t="str">
        <f t="shared" si="15"/>
        <v>神器1碎片2等级3</v>
      </c>
      <c r="T74" s="29" t="s">
        <v>649</v>
      </c>
      <c r="U74" s="14">
        <f t="shared" si="12"/>
        <v>3</v>
      </c>
      <c r="V74" s="36">
        <f t="shared" si="16"/>
        <v>0.31800000000000006</v>
      </c>
      <c r="W74" s="17">
        <f t="shared" si="13"/>
        <v>3.1800000000000005E-3</v>
      </c>
      <c r="X74" s="14">
        <f t="shared" si="17"/>
        <v>1</v>
      </c>
      <c r="Y74" s="14">
        <f t="shared" si="18"/>
        <v>2</v>
      </c>
      <c r="Z74" s="14">
        <f t="shared" si="19"/>
        <v>0</v>
      </c>
      <c r="AA74" s="14" t="str">
        <f t="shared" si="20"/>
        <v>AtkExt</v>
      </c>
      <c r="AB74" s="14">
        <f t="shared" si="14"/>
        <v>76</v>
      </c>
      <c r="AC74" s="14" t="str">
        <f t="shared" si="21"/>
        <v>DefExt</v>
      </c>
      <c r="AD74" s="14">
        <f t="shared" si="22"/>
        <v>76</v>
      </c>
      <c r="AE74" s="14" t="str">
        <f t="shared" si="23"/>
        <v>[x]</v>
      </c>
      <c r="AF74" s="27" t="str">
        <f t="shared" si="24"/>
        <v>[x]</v>
      </c>
      <c r="AG74" s="27" t="str">
        <f t="shared" si="25"/>
        <v>[x]</v>
      </c>
    </row>
    <row r="75" spans="1:33" ht="16.5" x14ac:dyDescent="0.2">
      <c r="I75" s="32"/>
      <c r="P75" s="13">
        <v>19</v>
      </c>
      <c r="Q75" s="14">
        <f t="shared" si="10"/>
        <v>2</v>
      </c>
      <c r="R75" s="14">
        <f t="shared" si="11"/>
        <v>1606004</v>
      </c>
      <c r="S75" s="14" t="str">
        <f t="shared" si="15"/>
        <v>神器1碎片2等级4</v>
      </c>
      <c r="T75" s="29" t="s">
        <v>649</v>
      </c>
      <c r="U75" s="14">
        <f t="shared" si="12"/>
        <v>4</v>
      </c>
      <c r="V75" s="36">
        <f t="shared" si="16"/>
        <v>0.38200000000000001</v>
      </c>
      <c r="W75" s="17">
        <f t="shared" si="13"/>
        <v>3.82E-3</v>
      </c>
      <c r="X75" s="14">
        <f t="shared" si="17"/>
        <v>1</v>
      </c>
      <c r="Y75" s="14">
        <f t="shared" si="18"/>
        <v>2</v>
      </c>
      <c r="Z75" s="14">
        <f t="shared" si="19"/>
        <v>0</v>
      </c>
      <c r="AA75" s="14" t="str">
        <f t="shared" si="20"/>
        <v>AtkExt</v>
      </c>
      <c r="AB75" s="14">
        <f t="shared" si="14"/>
        <v>91</v>
      </c>
      <c r="AC75" s="14" t="str">
        <f t="shared" si="21"/>
        <v>DefExt</v>
      </c>
      <c r="AD75" s="14">
        <f t="shared" si="22"/>
        <v>91</v>
      </c>
      <c r="AE75" s="14" t="str">
        <f t="shared" si="23"/>
        <v>[x]</v>
      </c>
      <c r="AF75" s="27" t="str">
        <f t="shared" si="24"/>
        <v>[x]</v>
      </c>
      <c r="AG75" s="27" t="str">
        <f t="shared" si="25"/>
        <v>[x]</v>
      </c>
    </row>
    <row r="76" spans="1:33" ht="16.5" x14ac:dyDescent="0.2">
      <c r="I76" s="32"/>
      <c r="P76" s="13">
        <v>20</v>
      </c>
      <c r="Q76" s="14">
        <f t="shared" si="10"/>
        <v>2</v>
      </c>
      <c r="R76" s="14">
        <f t="shared" si="11"/>
        <v>1606004</v>
      </c>
      <c r="S76" s="14" t="str">
        <f t="shared" si="15"/>
        <v>神器1碎片2等级5</v>
      </c>
      <c r="T76" s="29" t="s">
        <v>649</v>
      </c>
      <c r="U76" s="14">
        <f t="shared" si="12"/>
        <v>5</v>
      </c>
      <c r="V76" s="36">
        <f t="shared" si="16"/>
        <v>0.45</v>
      </c>
      <c r="W76" s="17">
        <f t="shared" si="13"/>
        <v>4.5000000000000005E-3</v>
      </c>
      <c r="X76" s="14">
        <f t="shared" si="17"/>
        <v>1</v>
      </c>
      <c r="Y76" s="14">
        <f t="shared" si="18"/>
        <v>2</v>
      </c>
      <c r="Z76" s="14">
        <f t="shared" si="19"/>
        <v>0</v>
      </c>
      <c r="AA76" s="14" t="str">
        <f t="shared" si="20"/>
        <v>AtkExt</v>
      </c>
      <c r="AB76" s="14">
        <f t="shared" si="14"/>
        <v>108</v>
      </c>
      <c r="AC76" s="14" t="str">
        <f t="shared" si="21"/>
        <v>DefExt</v>
      </c>
      <c r="AD76" s="14">
        <f t="shared" si="22"/>
        <v>108</v>
      </c>
      <c r="AE76" s="14" t="str">
        <f t="shared" si="23"/>
        <v>[x]</v>
      </c>
      <c r="AF76" s="27" t="str">
        <f t="shared" si="24"/>
        <v>[x]</v>
      </c>
      <c r="AG76" s="27" t="str">
        <f t="shared" si="25"/>
        <v>[x]</v>
      </c>
    </row>
    <row r="77" spans="1:33" ht="16.5" x14ac:dyDescent="0.2">
      <c r="I77" s="32"/>
      <c r="P77" s="13">
        <v>21</v>
      </c>
      <c r="Q77" s="14">
        <f t="shared" si="10"/>
        <v>2</v>
      </c>
      <c r="R77" s="14">
        <f t="shared" si="11"/>
        <v>1606004</v>
      </c>
      <c r="S77" s="14" t="str">
        <f t="shared" si="15"/>
        <v>神器1碎片2等级6</v>
      </c>
      <c r="T77" s="29" t="s">
        <v>649</v>
      </c>
      <c r="U77" s="14">
        <f t="shared" si="12"/>
        <v>6</v>
      </c>
      <c r="V77" s="36">
        <f t="shared" si="16"/>
        <v>0.52200000000000002</v>
      </c>
      <c r="W77" s="17">
        <f t="shared" si="13"/>
        <v>5.2200000000000007E-3</v>
      </c>
      <c r="X77" s="14">
        <f t="shared" si="17"/>
        <v>1</v>
      </c>
      <c r="Y77" s="14">
        <f t="shared" si="18"/>
        <v>2</v>
      </c>
      <c r="Z77" s="14">
        <f t="shared" si="19"/>
        <v>0</v>
      </c>
      <c r="AA77" s="14" t="str">
        <f t="shared" si="20"/>
        <v>AtkExt</v>
      </c>
      <c r="AB77" s="14">
        <f t="shared" si="14"/>
        <v>125</v>
      </c>
      <c r="AC77" s="14" t="str">
        <f t="shared" si="21"/>
        <v>DefExt</v>
      </c>
      <c r="AD77" s="14">
        <f t="shared" si="22"/>
        <v>125</v>
      </c>
      <c r="AE77" s="14" t="str">
        <f t="shared" si="23"/>
        <v>[x]</v>
      </c>
      <c r="AF77" s="27" t="str">
        <f t="shared" si="24"/>
        <v>[x]</v>
      </c>
      <c r="AG77" s="27" t="str">
        <f t="shared" si="25"/>
        <v>[x]</v>
      </c>
    </row>
    <row r="78" spans="1:33" ht="16.5" x14ac:dyDescent="0.2">
      <c r="I78" s="32"/>
      <c r="P78" s="13">
        <v>22</v>
      </c>
      <c r="Q78" s="14">
        <f t="shared" si="10"/>
        <v>2</v>
      </c>
      <c r="R78" s="14">
        <f t="shared" si="11"/>
        <v>1606004</v>
      </c>
      <c r="S78" s="14" t="str">
        <f t="shared" si="15"/>
        <v>神器1碎片2等级7</v>
      </c>
      <c r="T78" s="29" t="s">
        <v>649</v>
      </c>
      <c r="U78" s="14">
        <f t="shared" si="12"/>
        <v>7</v>
      </c>
      <c r="V78" s="36">
        <f t="shared" si="16"/>
        <v>0.59799999999999998</v>
      </c>
      <c r="W78" s="17">
        <f t="shared" si="13"/>
        <v>5.9800000000000001E-3</v>
      </c>
      <c r="X78" s="14">
        <f t="shared" si="17"/>
        <v>1</v>
      </c>
      <c r="Y78" s="14">
        <f t="shared" si="18"/>
        <v>2</v>
      </c>
      <c r="Z78" s="14">
        <f t="shared" si="19"/>
        <v>0</v>
      </c>
      <c r="AA78" s="14" t="str">
        <f t="shared" si="20"/>
        <v>AtkExt</v>
      </c>
      <c r="AB78" s="14">
        <f t="shared" si="14"/>
        <v>144</v>
      </c>
      <c r="AC78" s="14" t="str">
        <f t="shared" si="21"/>
        <v>DefExt</v>
      </c>
      <c r="AD78" s="14">
        <f t="shared" si="22"/>
        <v>143</v>
      </c>
      <c r="AE78" s="14" t="str">
        <f t="shared" si="23"/>
        <v>[x]</v>
      </c>
      <c r="AF78" s="27" t="str">
        <f t="shared" si="24"/>
        <v>[x]</v>
      </c>
      <c r="AG78" s="27" t="str">
        <f t="shared" si="25"/>
        <v>[x]</v>
      </c>
    </row>
    <row r="79" spans="1:33" ht="16.5" x14ac:dyDescent="0.2">
      <c r="I79" s="32"/>
      <c r="P79" s="13">
        <v>23</v>
      </c>
      <c r="Q79" s="14">
        <f t="shared" si="10"/>
        <v>2</v>
      </c>
      <c r="R79" s="14">
        <f t="shared" si="11"/>
        <v>1606004</v>
      </c>
      <c r="S79" s="14" t="str">
        <f t="shared" si="15"/>
        <v>神器1碎片2等级8</v>
      </c>
      <c r="T79" s="29" t="s">
        <v>649</v>
      </c>
      <c r="U79" s="14">
        <f t="shared" si="12"/>
        <v>8</v>
      </c>
      <c r="V79" s="36">
        <f t="shared" si="16"/>
        <v>0.67800000000000005</v>
      </c>
      <c r="W79" s="17">
        <f t="shared" si="13"/>
        <v>6.7800000000000004E-3</v>
      </c>
      <c r="X79" s="14">
        <f t="shared" si="17"/>
        <v>1</v>
      </c>
      <c r="Y79" s="14">
        <f t="shared" si="18"/>
        <v>2</v>
      </c>
      <c r="Z79" s="14">
        <f t="shared" si="19"/>
        <v>0</v>
      </c>
      <c r="AA79" s="14" t="str">
        <f t="shared" si="20"/>
        <v>AtkExt</v>
      </c>
      <c r="AB79" s="14">
        <f t="shared" si="14"/>
        <v>163</v>
      </c>
      <c r="AC79" s="14" t="str">
        <f t="shared" si="21"/>
        <v>DefExt</v>
      </c>
      <c r="AD79" s="14">
        <f t="shared" si="22"/>
        <v>162</v>
      </c>
      <c r="AE79" s="14" t="str">
        <f t="shared" si="23"/>
        <v>[x]</v>
      </c>
      <c r="AF79" s="27" t="str">
        <f t="shared" si="24"/>
        <v>[x]</v>
      </c>
      <c r="AG79" s="27" t="str">
        <f t="shared" si="25"/>
        <v>[x]</v>
      </c>
    </row>
    <row r="80" spans="1:33" ht="16.5" x14ac:dyDescent="0.2">
      <c r="I80" s="32"/>
      <c r="P80" s="13">
        <v>24</v>
      </c>
      <c r="Q80" s="14">
        <f t="shared" si="10"/>
        <v>2</v>
      </c>
      <c r="R80" s="14">
        <f t="shared" si="11"/>
        <v>1606004</v>
      </c>
      <c r="S80" s="14" t="str">
        <f t="shared" si="15"/>
        <v>神器1碎片2等级9</v>
      </c>
      <c r="T80" s="29" t="s">
        <v>649</v>
      </c>
      <c r="U80" s="14">
        <f t="shared" si="12"/>
        <v>9</v>
      </c>
      <c r="V80" s="36">
        <f t="shared" si="16"/>
        <v>0.76200000000000001</v>
      </c>
      <c r="W80" s="17">
        <f t="shared" si="13"/>
        <v>7.62E-3</v>
      </c>
      <c r="X80" s="14">
        <f t="shared" si="17"/>
        <v>1</v>
      </c>
      <c r="Y80" s="14">
        <f t="shared" si="18"/>
        <v>2</v>
      </c>
      <c r="Z80" s="14">
        <f t="shared" si="19"/>
        <v>0</v>
      </c>
      <c r="AA80" s="14" t="str">
        <f t="shared" si="20"/>
        <v>AtkExt</v>
      </c>
      <c r="AB80" s="14">
        <f t="shared" si="14"/>
        <v>183</v>
      </c>
      <c r="AC80" s="14" t="str">
        <f t="shared" si="21"/>
        <v>DefExt</v>
      </c>
      <c r="AD80" s="14">
        <f t="shared" si="22"/>
        <v>183</v>
      </c>
      <c r="AE80" s="14" t="str">
        <f t="shared" si="23"/>
        <v>[x]</v>
      </c>
      <c r="AF80" s="27" t="str">
        <f t="shared" si="24"/>
        <v>[x]</v>
      </c>
      <c r="AG80" s="27" t="str">
        <f t="shared" si="25"/>
        <v>[x]</v>
      </c>
    </row>
    <row r="81" spans="9:33" ht="16.5" x14ac:dyDescent="0.2">
      <c r="I81" s="32"/>
      <c r="P81" s="13">
        <v>25</v>
      </c>
      <c r="Q81" s="14">
        <f t="shared" si="10"/>
        <v>2</v>
      </c>
      <c r="R81" s="14">
        <f t="shared" si="11"/>
        <v>1606004</v>
      </c>
      <c r="S81" s="14" t="str">
        <f t="shared" si="15"/>
        <v>神器1碎片2等级10</v>
      </c>
      <c r="T81" s="29" t="s">
        <v>649</v>
      </c>
      <c r="U81" s="14">
        <f t="shared" si="12"/>
        <v>10</v>
      </c>
      <c r="V81" s="36">
        <f t="shared" si="16"/>
        <v>0.85000000000000009</v>
      </c>
      <c r="W81" s="17">
        <f t="shared" si="13"/>
        <v>8.5000000000000006E-3</v>
      </c>
      <c r="X81" s="14">
        <f t="shared" si="17"/>
        <v>1</v>
      </c>
      <c r="Y81" s="14">
        <f t="shared" si="18"/>
        <v>2</v>
      </c>
      <c r="Z81" s="14">
        <f t="shared" si="19"/>
        <v>0</v>
      </c>
      <c r="AA81" s="14" t="str">
        <f t="shared" si="20"/>
        <v>AtkExt</v>
      </c>
      <c r="AB81" s="14">
        <f t="shared" si="14"/>
        <v>204</v>
      </c>
      <c r="AC81" s="14" t="str">
        <f t="shared" si="21"/>
        <v>DefExt</v>
      </c>
      <c r="AD81" s="14">
        <f t="shared" si="22"/>
        <v>204</v>
      </c>
      <c r="AE81" s="14" t="str">
        <f t="shared" si="23"/>
        <v>[x]</v>
      </c>
      <c r="AF81" s="27" t="str">
        <f t="shared" si="24"/>
        <v>[x]</v>
      </c>
      <c r="AG81" s="27" t="str">
        <f t="shared" si="25"/>
        <v>[x]</v>
      </c>
    </row>
    <row r="82" spans="9:33" ht="16.5" x14ac:dyDescent="0.2">
      <c r="I82" s="32"/>
      <c r="P82" s="13">
        <v>26</v>
      </c>
      <c r="Q82" s="14">
        <f t="shared" si="10"/>
        <v>2</v>
      </c>
      <c r="R82" s="14">
        <f t="shared" si="11"/>
        <v>1606004</v>
      </c>
      <c r="S82" s="14" t="str">
        <f t="shared" si="15"/>
        <v>神器1碎片2等级11</v>
      </c>
      <c r="T82" s="29" t="s">
        <v>649</v>
      </c>
      <c r="U82" s="14">
        <f t="shared" si="12"/>
        <v>11</v>
      </c>
      <c r="V82" s="36">
        <f t="shared" si="16"/>
        <v>0.94200000000000006</v>
      </c>
      <c r="W82" s="17">
        <f t="shared" si="13"/>
        <v>9.4200000000000013E-3</v>
      </c>
      <c r="X82" s="14">
        <f t="shared" si="17"/>
        <v>1</v>
      </c>
      <c r="Y82" s="14">
        <f t="shared" si="18"/>
        <v>2</v>
      </c>
      <c r="Z82" s="14">
        <f t="shared" si="19"/>
        <v>0</v>
      </c>
      <c r="AA82" s="14" t="str">
        <f t="shared" si="20"/>
        <v>AtkExt</v>
      </c>
      <c r="AB82" s="14">
        <f t="shared" si="14"/>
        <v>226</v>
      </c>
      <c r="AC82" s="14" t="str">
        <f t="shared" si="21"/>
        <v>DefExt</v>
      </c>
      <c r="AD82" s="14">
        <f t="shared" si="22"/>
        <v>226</v>
      </c>
      <c r="AE82" s="14" t="str">
        <f t="shared" si="23"/>
        <v>[x]</v>
      </c>
      <c r="AF82" s="27" t="str">
        <f t="shared" si="24"/>
        <v>[x]</v>
      </c>
      <c r="AG82" s="27" t="str">
        <f t="shared" si="25"/>
        <v>[x]</v>
      </c>
    </row>
    <row r="83" spans="9:33" ht="16.5" x14ac:dyDescent="0.2">
      <c r="I83" s="32"/>
      <c r="P83" s="13">
        <v>27</v>
      </c>
      <c r="Q83" s="14">
        <f t="shared" si="10"/>
        <v>2</v>
      </c>
      <c r="R83" s="14">
        <f t="shared" si="11"/>
        <v>1606004</v>
      </c>
      <c r="S83" s="14" t="str">
        <f t="shared" si="15"/>
        <v>神器1碎片2等级12</v>
      </c>
      <c r="T83" s="29" t="s">
        <v>649</v>
      </c>
      <c r="U83" s="14">
        <f t="shared" si="12"/>
        <v>12</v>
      </c>
      <c r="V83" s="36">
        <f t="shared" si="16"/>
        <v>1.0380000000000003</v>
      </c>
      <c r="W83" s="17">
        <f t="shared" si="13"/>
        <v>1.0380000000000002E-2</v>
      </c>
      <c r="X83" s="14">
        <f t="shared" si="17"/>
        <v>1</v>
      </c>
      <c r="Y83" s="14">
        <f t="shared" si="18"/>
        <v>2</v>
      </c>
      <c r="Z83" s="14">
        <f t="shared" si="19"/>
        <v>0</v>
      </c>
      <c r="AA83" s="14" t="str">
        <f t="shared" si="20"/>
        <v>AtkExt</v>
      </c>
      <c r="AB83" s="14">
        <f t="shared" si="14"/>
        <v>249</v>
      </c>
      <c r="AC83" s="14" t="str">
        <f t="shared" si="21"/>
        <v>DefExt</v>
      </c>
      <c r="AD83" s="14">
        <f t="shared" si="22"/>
        <v>249</v>
      </c>
      <c r="AE83" s="14" t="str">
        <f t="shared" si="23"/>
        <v>[x]</v>
      </c>
      <c r="AF83" s="27" t="str">
        <f t="shared" si="24"/>
        <v>[x]</v>
      </c>
      <c r="AG83" s="27" t="str">
        <f t="shared" si="25"/>
        <v>[x]</v>
      </c>
    </row>
    <row r="84" spans="9:33" ht="16.5" x14ac:dyDescent="0.2">
      <c r="I84" s="32"/>
      <c r="P84" s="13">
        <v>28</v>
      </c>
      <c r="Q84" s="14">
        <f t="shared" si="10"/>
        <v>2</v>
      </c>
      <c r="R84" s="14">
        <f t="shared" si="11"/>
        <v>1606004</v>
      </c>
      <c r="S84" s="14" t="str">
        <f t="shared" si="15"/>
        <v>神器1碎片2等级13</v>
      </c>
      <c r="T84" s="29" t="s">
        <v>649</v>
      </c>
      <c r="U84" s="14">
        <f t="shared" si="12"/>
        <v>13</v>
      </c>
      <c r="V84" s="36">
        <f t="shared" si="16"/>
        <v>1.1380000000000001</v>
      </c>
      <c r="W84" s="17">
        <f t="shared" si="13"/>
        <v>1.1380000000000001E-2</v>
      </c>
      <c r="X84" s="14">
        <f t="shared" si="17"/>
        <v>1</v>
      </c>
      <c r="Y84" s="14">
        <f t="shared" si="18"/>
        <v>2</v>
      </c>
      <c r="Z84" s="14">
        <f t="shared" si="19"/>
        <v>0</v>
      </c>
      <c r="AA84" s="14" t="str">
        <f t="shared" si="20"/>
        <v>AtkExt</v>
      </c>
      <c r="AB84" s="14">
        <f t="shared" si="14"/>
        <v>274</v>
      </c>
      <c r="AC84" s="14" t="str">
        <f t="shared" si="21"/>
        <v>DefExt</v>
      </c>
      <c r="AD84" s="14">
        <f t="shared" si="22"/>
        <v>273</v>
      </c>
      <c r="AE84" s="14" t="str">
        <f t="shared" si="23"/>
        <v>[x]</v>
      </c>
      <c r="AF84" s="27" t="str">
        <f t="shared" si="24"/>
        <v>[x]</v>
      </c>
      <c r="AG84" s="27" t="str">
        <f t="shared" si="25"/>
        <v>[x]</v>
      </c>
    </row>
    <row r="85" spans="9:33" ht="16.5" x14ac:dyDescent="0.2">
      <c r="I85" s="32"/>
      <c r="P85" s="13">
        <v>29</v>
      </c>
      <c r="Q85" s="14">
        <f t="shared" si="10"/>
        <v>2</v>
      </c>
      <c r="R85" s="14">
        <f t="shared" si="11"/>
        <v>1606004</v>
      </c>
      <c r="S85" s="14" t="str">
        <f t="shared" si="15"/>
        <v>神器1碎片2等级14</v>
      </c>
      <c r="T85" s="29" t="s">
        <v>649</v>
      </c>
      <c r="U85" s="14">
        <f t="shared" si="12"/>
        <v>14</v>
      </c>
      <c r="V85" s="36">
        <f t="shared" si="16"/>
        <v>1.242</v>
      </c>
      <c r="W85" s="17">
        <f t="shared" si="13"/>
        <v>1.242E-2</v>
      </c>
      <c r="X85" s="14">
        <f t="shared" si="17"/>
        <v>1</v>
      </c>
      <c r="Y85" s="14">
        <f t="shared" si="18"/>
        <v>2</v>
      </c>
      <c r="Z85" s="14">
        <f t="shared" si="19"/>
        <v>0</v>
      </c>
      <c r="AA85" s="14" t="str">
        <f t="shared" si="20"/>
        <v>AtkExt</v>
      </c>
      <c r="AB85" s="14">
        <f t="shared" si="14"/>
        <v>299</v>
      </c>
      <c r="AC85" s="14" t="str">
        <f t="shared" si="21"/>
        <v>DefExt</v>
      </c>
      <c r="AD85" s="14">
        <f t="shared" si="22"/>
        <v>298</v>
      </c>
      <c r="AE85" s="14" t="str">
        <f t="shared" si="23"/>
        <v>[x]</v>
      </c>
      <c r="AF85" s="27" t="str">
        <f t="shared" si="24"/>
        <v>[x]</v>
      </c>
      <c r="AG85" s="27" t="str">
        <f t="shared" si="25"/>
        <v>[x]</v>
      </c>
    </row>
    <row r="86" spans="9:33" ht="16.5" x14ac:dyDescent="0.2">
      <c r="I86" s="32"/>
      <c r="P86" s="13">
        <v>30</v>
      </c>
      <c r="Q86" s="14">
        <f t="shared" si="10"/>
        <v>2</v>
      </c>
      <c r="R86" s="14">
        <f t="shared" si="11"/>
        <v>1606004</v>
      </c>
      <c r="S86" s="14" t="str">
        <f t="shared" si="15"/>
        <v>神器1碎片2等级15</v>
      </c>
      <c r="T86" s="29" t="s">
        <v>649</v>
      </c>
      <c r="U86" s="14">
        <f t="shared" si="12"/>
        <v>15</v>
      </c>
      <c r="V86" s="36">
        <f t="shared" si="16"/>
        <v>1.35</v>
      </c>
      <c r="W86" s="17">
        <f t="shared" si="13"/>
        <v>1.3500000000000002E-2</v>
      </c>
      <c r="X86" s="14">
        <f t="shared" si="17"/>
        <v>1</v>
      </c>
      <c r="Y86" s="14">
        <f t="shared" si="18"/>
        <v>2</v>
      </c>
      <c r="Z86" s="14">
        <f t="shared" si="19"/>
        <v>0</v>
      </c>
      <c r="AA86" s="14" t="str">
        <f t="shared" si="20"/>
        <v>AtkExt</v>
      </c>
      <c r="AB86" s="14">
        <f t="shared" si="14"/>
        <v>325</v>
      </c>
      <c r="AC86" s="14" t="str">
        <f t="shared" si="21"/>
        <v>DefExt</v>
      </c>
      <c r="AD86" s="14">
        <f t="shared" si="22"/>
        <v>324</v>
      </c>
      <c r="AE86" s="14" t="str">
        <f t="shared" si="23"/>
        <v>[x]</v>
      </c>
      <c r="AF86" s="27" t="str">
        <f t="shared" si="24"/>
        <v>[x]</v>
      </c>
      <c r="AG86" s="27" t="str">
        <f t="shared" si="25"/>
        <v>[x]</v>
      </c>
    </row>
    <row r="87" spans="9:33" ht="16.5" x14ac:dyDescent="0.2">
      <c r="I87" s="32"/>
      <c r="P87" s="13">
        <v>31</v>
      </c>
      <c r="Q87" s="14">
        <f t="shared" si="10"/>
        <v>3</v>
      </c>
      <c r="R87" s="14">
        <f t="shared" si="11"/>
        <v>1606005</v>
      </c>
      <c r="S87" s="14" t="str">
        <f t="shared" si="15"/>
        <v>神器1碎片3等级1</v>
      </c>
      <c r="T87" s="29" t="s">
        <v>649</v>
      </c>
      <c r="U87" s="14">
        <f t="shared" si="12"/>
        <v>1</v>
      </c>
      <c r="V87" s="36">
        <f t="shared" si="16"/>
        <v>0.20200000000000001</v>
      </c>
      <c r="W87" s="17">
        <f t="shared" si="13"/>
        <v>4.0400000000000002E-3</v>
      </c>
      <c r="X87" s="14">
        <f t="shared" si="17"/>
        <v>1</v>
      </c>
      <c r="Y87" s="14">
        <f t="shared" si="18"/>
        <v>3</v>
      </c>
      <c r="Z87" s="14">
        <f t="shared" si="19"/>
        <v>0</v>
      </c>
      <c r="AA87" s="14" t="str">
        <f t="shared" si="20"/>
        <v>AtkExt</v>
      </c>
      <c r="AB87" s="14">
        <f t="shared" si="14"/>
        <v>97</v>
      </c>
      <c r="AC87" s="14" t="str">
        <f t="shared" si="21"/>
        <v>HPExt</v>
      </c>
      <c r="AD87" s="14">
        <f t="shared" si="22"/>
        <v>585</v>
      </c>
      <c r="AE87" s="14" t="str">
        <f t="shared" si="23"/>
        <v>[x]</v>
      </c>
      <c r="AF87" s="27" t="str">
        <f t="shared" si="24"/>
        <v>[x]</v>
      </c>
      <c r="AG87" s="27" t="str">
        <f t="shared" si="25"/>
        <v>[x]</v>
      </c>
    </row>
    <row r="88" spans="9:33" ht="16.5" x14ac:dyDescent="0.2">
      <c r="I88" s="32"/>
      <c r="P88" s="13">
        <v>32</v>
      </c>
      <c r="Q88" s="14">
        <f t="shared" si="10"/>
        <v>3</v>
      </c>
      <c r="R88" s="14">
        <f t="shared" si="11"/>
        <v>1606005</v>
      </c>
      <c r="S88" s="14" t="str">
        <f t="shared" si="15"/>
        <v>神器1碎片3等级2</v>
      </c>
      <c r="T88" s="29" t="s">
        <v>649</v>
      </c>
      <c r="U88" s="14">
        <f t="shared" si="12"/>
        <v>2</v>
      </c>
      <c r="V88" s="36">
        <f t="shared" si="16"/>
        <v>0.25800000000000001</v>
      </c>
      <c r="W88" s="17">
        <f t="shared" si="13"/>
        <v>5.1600000000000005E-3</v>
      </c>
      <c r="X88" s="14">
        <f t="shared" si="17"/>
        <v>1</v>
      </c>
      <c r="Y88" s="14">
        <f t="shared" si="18"/>
        <v>3</v>
      </c>
      <c r="Z88" s="14">
        <f t="shared" si="19"/>
        <v>0</v>
      </c>
      <c r="AA88" s="14" t="str">
        <f t="shared" si="20"/>
        <v>AtkExt</v>
      </c>
      <c r="AB88" s="14">
        <f t="shared" si="14"/>
        <v>124</v>
      </c>
      <c r="AC88" s="14" t="str">
        <f t="shared" si="21"/>
        <v>HPExt</v>
      </c>
      <c r="AD88" s="14">
        <f t="shared" si="22"/>
        <v>747</v>
      </c>
      <c r="AE88" s="14" t="str">
        <f t="shared" si="23"/>
        <v>[x]</v>
      </c>
      <c r="AF88" s="27" t="str">
        <f t="shared" si="24"/>
        <v>[x]</v>
      </c>
      <c r="AG88" s="27" t="str">
        <f t="shared" si="25"/>
        <v>[x]</v>
      </c>
    </row>
    <row r="89" spans="9:33" ht="16.5" x14ac:dyDescent="0.2">
      <c r="I89" s="32"/>
      <c r="P89" s="13">
        <v>33</v>
      </c>
      <c r="Q89" s="14">
        <f t="shared" si="10"/>
        <v>3</v>
      </c>
      <c r="R89" s="14">
        <f t="shared" si="11"/>
        <v>1606005</v>
      </c>
      <c r="S89" s="14" t="str">
        <f t="shared" si="15"/>
        <v>神器1碎片3等级3</v>
      </c>
      <c r="T89" s="29" t="s">
        <v>649</v>
      </c>
      <c r="U89" s="14">
        <f t="shared" si="12"/>
        <v>3</v>
      </c>
      <c r="V89" s="36">
        <f t="shared" si="16"/>
        <v>0.31800000000000006</v>
      </c>
      <c r="W89" s="17">
        <f t="shared" si="13"/>
        <v>6.3600000000000011E-3</v>
      </c>
      <c r="X89" s="14">
        <f t="shared" si="17"/>
        <v>1</v>
      </c>
      <c r="Y89" s="14">
        <f t="shared" si="18"/>
        <v>3</v>
      </c>
      <c r="Z89" s="14">
        <f t="shared" si="19"/>
        <v>0</v>
      </c>
      <c r="AA89" s="14" t="str">
        <f t="shared" si="20"/>
        <v>AtkExt</v>
      </c>
      <c r="AB89" s="14">
        <f t="shared" si="14"/>
        <v>153</v>
      </c>
      <c r="AC89" s="14" t="str">
        <f t="shared" si="21"/>
        <v>HPExt</v>
      </c>
      <c r="AD89" s="14">
        <f t="shared" si="22"/>
        <v>921</v>
      </c>
      <c r="AE89" s="14" t="str">
        <f t="shared" si="23"/>
        <v>[x]</v>
      </c>
      <c r="AF89" s="27" t="str">
        <f t="shared" si="24"/>
        <v>[x]</v>
      </c>
      <c r="AG89" s="27" t="str">
        <f t="shared" si="25"/>
        <v>[x]</v>
      </c>
    </row>
    <row r="90" spans="9:33" ht="16.5" x14ac:dyDescent="0.2">
      <c r="I90" s="32"/>
      <c r="P90" s="13">
        <v>34</v>
      </c>
      <c r="Q90" s="14">
        <f t="shared" si="10"/>
        <v>3</v>
      </c>
      <c r="R90" s="14">
        <f t="shared" si="11"/>
        <v>1606005</v>
      </c>
      <c r="S90" s="14" t="str">
        <f t="shared" si="15"/>
        <v>神器1碎片3等级4</v>
      </c>
      <c r="T90" s="29" t="s">
        <v>649</v>
      </c>
      <c r="U90" s="14">
        <f t="shared" si="12"/>
        <v>4</v>
      </c>
      <c r="V90" s="36">
        <f t="shared" si="16"/>
        <v>0.38200000000000001</v>
      </c>
      <c r="W90" s="17">
        <f t="shared" si="13"/>
        <v>7.6400000000000001E-3</v>
      </c>
      <c r="X90" s="14">
        <f t="shared" si="17"/>
        <v>1</v>
      </c>
      <c r="Y90" s="14">
        <f t="shared" si="18"/>
        <v>3</v>
      </c>
      <c r="Z90" s="14">
        <f t="shared" si="19"/>
        <v>0</v>
      </c>
      <c r="AA90" s="14" t="str">
        <f t="shared" si="20"/>
        <v>AtkExt</v>
      </c>
      <c r="AB90" s="14">
        <f t="shared" si="14"/>
        <v>183</v>
      </c>
      <c r="AC90" s="14" t="str">
        <f t="shared" si="21"/>
        <v>HPExt</v>
      </c>
      <c r="AD90" s="14">
        <f t="shared" si="22"/>
        <v>1106</v>
      </c>
      <c r="AE90" s="14" t="str">
        <f t="shared" si="23"/>
        <v>[x]</v>
      </c>
      <c r="AF90" s="27" t="str">
        <f t="shared" si="24"/>
        <v>[x]</v>
      </c>
      <c r="AG90" s="27" t="str">
        <f t="shared" si="25"/>
        <v>[x]</v>
      </c>
    </row>
    <row r="91" spans="9:33" ht="16.5" x14ac:dyDescent="0.2">
      <c r="I91" s="32"/>
      <c r="P91" s="13">
        <v>35</v>
      </c>
      <c r="Q91" s="14">
        <f t="shared" si="10"/>
        <v>3</v>
      </c>
      <c r="R91" s="14">
        <f t="shared" si="11"/>
        <v>1606005</v>
      </c>
      <c r="S91" s="14" t="str">
        <f t="shared" si="15"/>
        <v>神器1碎片3等级5</v>
      </c>
      <c r="T91" s="29" t="s">
        <v>649</v>
      </c>
      <c r="U91" s="14">
        <f t="shared" si="12"/>
        <v>5</v>
      </c>
      <c r="V91" s="36">
        <f t="shared" si="16"/>
        <v>0.45</v>
      </c>
      <c r="W91" s="17">
        <f t="shared" si="13"/>
        <v>9.0000000000000011E-3</v>
      </c>
      <c r="X91" s="14">
        <f t="shared" si="17"/>
        <v>1</v>
      </c>
      <c r="Y91" s="14">
        <f t="shared" si="18"/>
        <v>3</v>
      </c>
      <c r="Z91" s="14">
        <f t="shared" si="19"/>
        <v>0</v>
      </c>
      <c r="AA91" s="14" t="str">
        <f t="shared" si="20"/>
        <v>AtkExt</v>
      </c>
      <c r="AB91" s="14">
        <f t="shared" si="14"/>
        <v>216</v>
      </c>
      <c r="AC91" s="14" t="str">
        <f t="shared" si="21"/>
        <v>HPExt</v>
      </c>
      <c r="AD91" s="14">
        <f t="shared" si="22"/>
        <v>1303</v>
      </c>
      <c r="AE91" s="14" t="str">
        <f t="shared" si="23"/>
        <v>[x]</v>
      </c>
      <c r="AF91" s="27" t="str">
        <f t="shared" si="24"/>
        <v>[x]</v>
      </c>
      <c r="AG91" s="27" t="str">
        <f t="shared" si="25"/>
        <v>[x]</v>
      </c>
    </row>
    <row r="92" spans="9:33" ht="16.5" x14ac:dyDescent="0.2">
      <c r="I92" s="32"/>
      <c r="P92" s="13">
        <v>36</v>
      </c>
      <c r="Q92" s="14">
        <f t="shared" si="10"/>
        <v>3</v>
      </c>
      <c r="R92" s="14">
        <f t="shared" si="11"/>
        <v>1606005</v>
      </c>
      <c r="S92" s="14" t="str">
        <f t="shared" si="15"/>
        <v>神器1碎片3等级6</v>
      </c>
      <c r="T92" s="29" t="s">
        <v>649</v>
      </c>
      <c r="U92" s="14">
        <f t="shared" si="12"/>
        <v>6</v>
      </c>
      <c r="V92" s="36">
        <f t="shared" si="16"/>
        <v>0.52200000000000002</v>
      </c>
      <c r="W92" s="17">
        <f t="shared" si="13"/>
        <v>1.0440000000000001E-2</v>
      </c>
      <c r="X92" s="14">
        <f t="shared" si="17"/>
        <v>1</v>
      </c>
      <c r="Y92" s="14">
        <f t="shared" si="18"/>
        <v>3</v>
      </c>
      <c r="Z92" s="14">
        <f t="shared" si="19"/>
        <v>0</v>
      </c>
      <c r="AA92" s="14" t="str">
        <f t="shared" si="20"/>
        <v>AtkExt</v>
      </c>
      <c r="AB92" s="14">
        <f t="shared" si="14"/>
        <v>251</v>
      </c>
      <c r="AC92" s="14" t="str">
        <f t="shared" si="21"/>
        <v>HPExt</v>
      </c>
      <c r="AD92" s="14">
        <f t="shared" si="22"/>
        <v>1512</v>
      </c>
      <c r="AE92" s="14" t="str">
        <f t="shared" si="23"/>
        <v>[x]</v>
      </c>
      <c r="AF92" s="27" t="str">
        <f t="shared" si="24"/>
        <v>[x]</v>
      </c>
      <c r="AG92" s="27" t="str">
        <f t="shared" si="25"/>
        <v>[x]</v>
      </c>
    </row>
    <row r="93" spans="9:33" ht="16.5" x14ac:dyDescent="0.2">
      <c r="I93" s="32"/>
      <c r="P93" s="13">
        <v>37</v>
      </c>
      <c r="Q93" s="14">
        <f t="shared" si="10"/>
        <v>3</v>
      </c>
      <c r="R93" s="14">
        <f t="shared" si="11"/>
        <v>1606005</v>
      </c>
      <c r="S93" s="14" t="str">
        <f t="shared" si="15"/>
        <v>神器1碎片3等级7</v>
      </c>
      <c r="T93" s="29" t="s">
        <v>649</v>
      </c>
      <c r="U93" s="14">
        <f t="shared" si="12"/>
        <v>7</v>
      </c>
      <c r="V93" s="36">
        <f t="shared" si="16"/>
        <v>0.59799999999999998</v>
      </c>
      <c r="W93" s="17">
        <f t="shared" si="13"/>
        <v>1.196E-2</v>
      </c>
      <c r="X93" s="14">
        <f t="shared" si="17"/>
        <v>1</v>
      </c>
      <c r="Y93" s="14">
        <f t="shared" si="18"/>
        <v>3</v>
      </c>
      <c r="Z93" s="14">
        <f t="shared" si="19"/>
        <v>0</v>
      </c>
      <c r="AA93" s="14" t="str">
        <f t="shared" si="20"/>
        <v>AtkExt</v>
      </c>
      <c r="AB93" s="14">
        <f t="shared" si="14"/>
        <v>288</v>
      </c>
      <c r="AC93" s="14" t="str">
        <f t="shared" si="21"/>
        <v>HPExt</v>
      </c>
      <c r="AD93" s="14">
        <f t="shared" si="22"/>
        <v>1732</v>
      </c>
      <c r="AE93" s="14" t="str">
        <f t="shared" si="23"/>
        <v>[x]</v>
      </c>
      <c r="AF93" s="27" t="str">
        <f t="shared" si="24"/>
        <v>[x]</v>
      </c>
      <c r="AG93" s="27" t="str">
        <f t="shared" si="25"/>
        <v>[x]</v>
      </c>
    </row>
    <row r="94" spans="9:33" ht="16.5" x14ac:dyDescent="0.2">
      <c r="I94" s="32"/>
      <c r="P94" s="13">
        <v>38</v>
      </c>
      <c r="Q94" s="14">
        <f t="shared" si="10"/>
        <v>3</v>
      </c>
      <c r="R94" s="14">
        <f t="shared" si="11"/>
        <v>1606005</v>
      </c>
      <c r="S94" s="14" t="str">
        <f t="shared" si="15"/>
        <v>神器1碎片3等级8</v>
      </c>
      <c r="T94" s="29" t="s">
        <v>649</v>
      </c>
      <c r="U94" s="14">
        <f t="shared" si="12"/>
        <v>8</v>
      </c>
      <c r="V94" s="36">
        <f t="shared" si="16"/>
        <v>0.67800000000000005</v>
      </c>
      <c r="W94" s="17">
        <f t="shared" si="13"/>
        <v>1.3560000000000001E-2</v>
      </c>
      <c r="X94" s="14">
        <f t="shared" si="17"/>
        <v>1</v>
      </c>
      <c r="Y94" s="14">
        <f t="shared" si="18"/>
        <v>3</v>
      </c>
      <c r="Z94" s="14">
        <f t="shared" si="19"/>
        <v>0</v>
      </c>
      <c r="AA94" s="14" t="str">
        <f t="shared" si="20"/>
        <v>AtkExt</v>
      </c>
      <c r="AB94" s="14">
        <f t="shared" si="14"/>
        <v>326</v>
      </c>
      <c r="AC94" s="14" t="str">
        <f t="shared" si="21"/>
        <v>HPExt</v>
      </c>
      <c r="AD94" s="14">
        <f t="shared" si="22"/>
        <v>1963</v>
      </c>
      <c r="AE94" s="14" t="str">
        <f t="shared" si="23"/>
        <v>[x]</v>
      </c>
      <c r="AF94" s="27" t="str">
        <f t="shared" si="24"/>
        <v>[x]</v>
      </c>
      <c r="AG94" s="27" t="str">
        <f t="shared" si="25"/>
        <v>[x]</v>
      </c>
    </row>
    <row r="95" spans="9:33" ht="16.5" x14ac:dyDescent="0.2">
      <c r="I95" s="32"/>
      <c r="P95" s="13">
        <v>39</v>
      </c>
      <c r="Q95" s="14">
        <f t="shared" si="10"/>
        <v>3</v>
      </c>
      <c r="R95" s="14">
        <f t="shared" si="11"/>
        <v>1606005</v>
      </c>
      <c r="S95" s="14" t="str">
        <f t="shared" si="15"/>
        <v>神器1碎片3等级9</v>
      </c>
      <c r="T95" s="29" t="s">
        <v>649</v>
      </c>
      <c r="U95" s="14">
        <f t="shared" si="12"/>
        <v>9</v>
      </c>
      <c r="V95" s="36">
        <f t="shared" si="16"/>
        <v>0.76200000000000001</v>
      </c>
      <c r="W95" s="17">
        <f t="shared" si="13"/>
        <v>1.524E-2</v>
      </c>
      <c r="X95" s="14">
        <f t="shared" si="17"/>
        <v>1</v>
      </c>
      <c r="Y95" s="14">
        <f t="shared" si="18"/>
        <v>3</v>
      </c>
      <c r="Z95" s="14">
        <f t="shared" si="19"/>
        <v>0</v>
      </c>
      <c r="AA95" s="14" t="str">
        <f t="shared" si="20"/>
        <v>AtkExt</v>
      </c>
      <c r="AB95" s="14">
        <f t="shared" si="14"/>
        <v>366</v>
      </c>
      <c r="AC95" s="14" t="str">
        <f t="shared" si="21"/>
        <v>HPExt</v>
      </c>
      <c r="AD95" s="14">
        <f t="shared" si="22"/>
        <v>2207</v>
      </c>
      <c r="AE95" s="14" t="str">
        <f t="shared" si="23"/>
        <v>[x]</v>
      </c>
      <c r="AF95" s="27" t="str">
        <f t="shared" si="24"/>
        <v>[x]</v>
      </c>
      <c r="AG95" s="27" t="str">
        <f t="shared" si="25"/>
        <v>[x]</v>
      </c>
    </row>
    <row r="96" spans="9:33" ht="16.5" x14ac:dyDescent="0.2">
      <c r="I96" s="32"/>
      <c r="P96" s="13">
        <v>40</v>
      </c>
      <c r="Q96" s="14">
        <f t="shared" si="10"/>
        <v>3</v>
      </c>
      <c r="R96" s="14">
        <f t="shared" si="11"/>
        <v>1606005</v>
      </c>
      <c r="S96" s="14" t="str">
        <f t="shared" si="15"/>
        <v>神器1碎片3等级10</v>
      </c>
      <c r="T96" s="29" t="s">
        <v>649</v>
      </c>
      <c r="U96" s="14">
        <f t="shared" si="12"/>
        <v>10</v>
      </c>
      <c r="V96" s="36">
        <f t="shared" si="16"/>
        <v>0.85000000000000009</v>
      </c>
      <c r="W96" s="17">
        <f t="shared" si="13"/>
        <v>1.7000000000000001E-2</v>
      </c>
      <c r="X96" s="14">
        <f t="shared" si="17"/>
        <v>1</v>
      </c>
      <c r="Y96" s="14">
        <f t="shared" si="18"/>
        <v>3</v>
      </c>
      <c r="Z96" s="14">
        <f t="shared" si="19"/>
        <v>0</v>
      </c>
      <c r="AA96" s="14" t="str">
        <f t="shared" si="20"/>
        <v>AtkExt</v>
      </c>
      <c r="AB96" s="14">
        <f t="shared" si="14"/>
        <v>409</v>
      </c>
      <c r="AC96" s="14" t="str">
        <f t="shared" si="21"/>
        <v>HPExt</v>
      </c>
      <c r="AD96" s="14">
        <f t="shared" si="22"/>
        <v>2462</v>
      </c>
      <c r="AE96" s="14" t="str">
        <f t="shared" si="23"/>
        <v>[x]</v>
      </c>
      <c r="AF96" s="27" t="str">
        <f t="shared" si="24"/>
        <v>[x]</v>
      </c>
      <c r="AG96" s="27" t="str">
        <f t="shared" si="25"/>
        <v>[x]</v>
      </c>
    </row>
    <row r="97" spans="9:33" ht="16.5" x14ac:dyDescent="0.2">
      <c r="I97" s="32"/>
      <c r="P97" s="13">
        <v>41</v>
      </c>
      <c r="Q97" s="14">
        <f t="shared" si="10"/>
        <v>3</v>
      </c>
      <c r="R97" s="14">
        <f t="shared" si="11"/>
        <v>1606005</v>
      </c>
      <c r="S97" s="14" t="str">
        <f t="shared" si="15"/>
        <v>神器1碎片3等级11</v>
      </c>
      <c r="T97" s="29" t="s">
        <v>649</v>
      </c>
      <c r="U97" s="14">
        <f t="shared" si="12"/>
        <v>11</v>
      </c>
      <c r="V97" s="36">
        <f t="shared" si="16"/>
        <v>0.94200000000000006</v>
      </c>
      <c r="W97" s="17">
        <f t="shared" si="13"/>
        <v>1.8840000000000003E-2</v>
      </c>
      <c r="X97" s="14">
        <f t="shared" si="17"/>
        <v>1</v>
      </c>
      <c r="Y97" s="14">
        <f t="shared" si="18"/>
        <v>3</v>
      </c>
      <c r="Z97" s="14">
        <f t="shared" si="19"/>
        <v>0</v>
      </c>
      <c r="AA97" s="14" t="str">
        <f t="shared" si="20"/>
        <v>AtkExt</v>
      </c>
      <c r="AB97" s="14">
        <f t="shared" si="14"/>
        <v>453</v>
      </c>
      <c r="AC97" s="14" t="str">
        <f t="shared" si="21"/>
        <v>HPExt</v>
      </c>
      <c r="AD97" s="14">
        <f t="shared" si="22"/>
        <v>2728</v>
      </c>
      <c r="AE97" s="14" t="str">
        <f t="shared" si="23"/>
        <v>[x]</v>
      </c>
      <c r="AF97" s="27" t="str">
        <f t="shared" si="24"/>
        <v>[x]</v>
      </c>
      <c r="AG97" s="27" t="str">
        <f t="shared" si="25"/>
        <v>[x]</v>
      </c>
    </row>
    <row r="98" spans="9:33" ht="16.5" x14ac:dyDescent="0.2">
      <c r="I98" s="32"/>
      <c r="P98" s="13">
        <v>42</v>
      </c>
      <c r="Q98" s="14">
        <f t="shared" si="10"/>
        <v>3</v>
      </c>
      <c r="R98" s="14">
        <f t="shared" si="11"/>
        <v>1606005</v>
      </c>
      <c r="S98" s="14" t="str">
        <f t="shared" si="15"/>
        <v>神器1碎片3等级12</v>
      </c>
      <c r="T98" s="29" t="s">
        <v>649</v>
      </c>
      <c r="U98" s="14">
        <f t="shared" si="12"/>
        <v>12</v>
      </c>
      <c r="V98" s="36">
        <f t="shared" si="16"/>
        <v>1.0380000000000003</v>
      </c>
      <c r="W98" s="17">
        <f t="shared" si="13"/>
        <v>2.0760000000000004E-2</v>
      </c>
      <c r="X98" s="14">
        <f t="shared" si="17"/>
        <v>1</v>
      </c>
      <c r="Y98" s="14">
        <f t="shared" si="18"/>
        <v>3</v>
      </c>
      <c r="Z98" s="14">
        <f t="shared" si="19"/>
        <v>0</v>
      </c>
      <c r="AA98" s="14" t="str">
        <f t="shared" si="20"/>
        <v>AtkExt</v>
      </c>
      <c r="AB98" s="14">
        <f t="shared" si="14"/>
        <v>499</v>
      </c>
      <c r="AC98" s="14" t="str">
        <f t="shared" si="21"/>
        <v>HPExt</v>
      </c>
      <c r="AD98" s="14">
        <f t="shared" si="22"/>
        <v>3006</v>
      </c>
      <c r="AE98" s="14" t="str">
        <f t="shared" si="23"/>
        <v>[x]</v>
      </c>
      <c r="AF98" s="27" t="str">
        <f t="shared" si="24"/>
        <v>[x]</v>
      </c>
      <c r="AG98" s="27" t="str">
        <f t="shared" si="25"/>
        <v>[x]</v>
      </c>
    </row>
    <row r="99" spans="9:33" ht="16.5" x14ac:dyDescent="0.2">
      <c r="I99" s="32"/>
      <c r="P99" s="13">
        <v>43</v>
      </c>
      <c r="Q99" s="14">
        <f t="shared" si="10"/>
        <v>3</v>
      </c>
      <c r="R99" s="14">
        <f t="shared" si="11"/>
        <v>1606005</v>
      </c>
      <c r="S99" s="14" t="str">
        <f t="shared" si="15"/>
        <v>神器1碎片3等级13</v>
      </c>
      <c r="T99" s="29" t="s">
        <v>649</v>
      </c>
      <c r="U99" s="14">
        <f t="shared" si="12"/>
        <v>13</v>
      </c>
      <c r="V99" s="36">
        <f t="shared" si="16"/>
        <v>1.1380000000000001</v>
      </c>
      <c r="W99" s="17">
        <f t="shared" si="13"/>
        <v>2.2760000000000002E-2</v>
      </c>
      <c r="X99" s="14">
        <f t="shared" si="17"/>
        <v>1</v>
      </c>
      <c r="Y99" s="14">
        <f t="shared" si="18"/>
        <v>3</v>
      </c>
      <c r="Z99" s="14">
        <f t="shared" si="19"/>
        <v>0</v>
      </c>
      <c r="AA99" s="14" t="str">
        <f t="shared" si="20"/>
        <v>AtkExt</v>
      </c>
      <c r="AB99" s="14">
        <f t="shared" si="14"/>
        <v>548</v>
      </c>
      <c r="AC99" s="14" t="str">
        <f t="shared" si="21"/>
        <v>HPExt</v>
      </c>
      <c r="AD99" s="14">
        <f t="shared" si="22"/>
        <v>3296</v>
      </c>
      <c r="AE99" s="14" t="str">
        <f t="shared" si="23"/>
        <v>[x]</v>
      </c>
      <c r="AF99" s="27" t="str">
        <f t="shared" si="24"/>
        <v>[x]</v>
      </c>
      <c r="AG99" s="27" t="str">
        <f t="shared" si="25"/>
        <v>[x]</v>
      </c>
    </row>
    <row r="100" spans="9:33" ht="16.5" x14ac:dyDescent="0.2">
      <c r="I100" s="32"/>
      <c r="P100" s="13">
        <v>44</v>
      </c>
      <c r="Q100" s="14">
        <f t="shared" si="10"/>
        <v>3</v>
      </c>
      <c r="R100" s="14">
        <f t="shared" si="11"/>
        <v>1606005</v>
      </c>
      <c r="S100" s="14" t="str">
        <f t="shared" si="15"/>
        <v>神器1碎片3等级14</v>
      </c>
      <c r="T100" s="29" t="s">
        <v>649</v>
      </c>
      <c r="U100" s="14">
        <f t="shared" si="12"/>
        <v>14</v>
      </c>
      <c r="V100" s="36">
        <f t="shared" si="16"/>
        <v>1.242</v>
      </c>
      <c r="W100" s="17">
        <f t="shared" si="13"/>
        <v>2.4840000000000001E-2</v>
      </c>
      <c r="X100" s="14">
        <f t="shared" si="17"/>
        <v>1</v>
      </c>
      <c r="Y100" s="14">
        <f t="shared" si="18"/>
        <v>3</v>
      </c>
      <c r="Z100" s="14">
        <f t="shared" si="19"/>
        <v>0</v>
      </c>
      <c r="AA100" s="14" t="str">
        <f t="shared" si="20"/>
        <v>AtkExt</v>
      </c>
      <c r="AB100" s="14">
        <f t="shared" si="14"/>
        <v>598</v>
      </c>
      <c r="AC100" s="14" t="str">
        <f t="shared" si="21"/>
        <v>HPExt</v>
      </c>
      <c r="AD100" s="14">
        <f t="shared" si="22"/>
        <v>3597</v>
      </c>
      <c r="AE100" s="14" t="str">
        <f t="shared" si="23"/>
        <v>[x]</v>
      </c>
      <c r="AF100" s="27" t="str">
        <f t="shared" si="24"/>
        <v>[x]</v>
      </c>
      <c r="AG100" s="27" t="str">
        <f t="shared" si="25"/>
        <v>[x]</v>
      </c>
    </row>
    <row r="101" spans="9:33" ht="16.5" x14ac:dyDescent="0.2">
      <c r="I101" s="32"/>
      <c r="P101" s="13">
        <v>45</v>
      </c>
      <c r="Q101" s="14">
        <f t="shared" si="10"/>
        <v>3</v>
      </c>
      <c r="R101" s="14">
        <f t="shared" si="11"/>
        <v>1606005</v>
      </c>
      <c r="S101" s="14" t="str">
        <f t="shared" si="15"/>
        <v>神器1碎片3等级15</v>
      </c>
      <c r="T101" s="29" t="s">
        <v>649</v>
      </c>
      <c r="U101" s="14">
        <f t="shared" si="12"/>
        <v>15</v>
      </c>
      <c r="V101" s="36">
        <f t="shared" si="16"/>
        <v>1.35</v>
      </c>
      <c r="W101" s="17">
        <f t="shared" si="13"/>
        <v>2.7000000000000003E-2</v>
      </c>
      <c r="X101" s="14">
        <f t="shared" si="17"/>
        <v>1</v>
      </c>
      <c r="Y101" s="14">
        <f t="shared" si="18"/>
        <v>3</v>
      </c>
      <c r="Z101" s="14">
        <f t="shared" si="19"/>
        <v>0</v>
      </c>
      <c r="AA101" s="14" t="str">
        <f t="shared" si="20"/>
        <v>AtkExt</v>
      </c>
      <c r="AB101" s="14">
        <f t="shared" si="14"/>
        <v>650</v>
      </c>
      <c r="AC101" s="14" t="str">
        <f t="shared" si="21"/>
        <v>HPExt</v>
      </c>
      <c r="AD101" s="14">
        <f t="shared" si="22"/>
        <v>3910</v>
      </c>
      <c r="AE101" s="14" t="str">
        <f t="shared" si="23"/>
        <v>[x]</v>
      </c>
      <c r="AF101" s="27" t="str">
        <f t="shared" si="24"/>
        <v>[x]</v>
      </c>
      <c r="AG101" s="27" t="str">
        <f t="shared" si="25"/>
        <v>[x]</v>
      </c>
    </row>
    <row r="102" spans="9:33" ht="16.5" x14ac:dyDescent="0.2">
      <c r="I102" s="32"/>
      <c r="P102" s="13">
        <v>46</v>
      </c>
      <c r="Q102" s="14">
        <f t="shared" si="10"/>
        <v>4</v>
      </c>
      <c r="R102" s="14">
        <f t="shared" si="11"/>
        <v>1606006</v>
      </c>
      <c r="S102" s="14" t="str">
        <f t="shared" si="15"/>
        <v>神器2碎片1等级1</v>
      </c>
      <c r="T102" s="29" t="s">
        <v>649</v>
      </c>
      <c r="U102" s="14">
        <f t="shared" si="12"/>
        <v>1</v>
      </c>
      <c r="V102" s="36">
        <f t="shared" si="16"/>
        <v>0.20200000000000001</v>
      </c>
      <c r="W102" s="17">
        <f t="shared" si="13"/>
        <v>2.0200000000000001E-3</v>
      </c>
      <c r="X102" s="14">
        <f t="shared" si="17"/>
        <v>1</v>
      </c>
      <c r="Y102" s="14">
        <f t="shared" si="18"/>
        <v>2</v>
      </c>
      <c r="Z102" s="14">
        <f t="shared" si="19"/>
        <v>0</v>
      </c>
      <c r="AA102" s="14" t="str">
        <f t="shared" si="20"/>
        <v>AtkExt</v>
      </c>
      <c r="AB102" s="14">
        <f t="shared" si="14"/>
        <v>97</v>
      </c>
      <c r="AC102" s="14" t="str">
        <f t="shared" si="21"/>
        <v>DefExt</v>
      </c>
      <c r="AD102" s="14">
        <f t="shared" si="22"/>
        <v>24</v>
      </c>
      <c r="AE102" s="14" t="str">
        <f t="shared" si="23"/>
        <v>[x]</v>
      </c>
      <c r="AF102" s="27" t="str">
        <f t="shared" si="24"/>
        <v>[x]</v>
      </c>
      <c r="AG102" s="27" t="str">
        <f t="shared" si="25"/>
        <v>[x]</v>
      </c>
    </row>
    <row r="103" spans="9:33" ht="16.5" x14ac:dyDescent="0.2">
      <c r="I103" s="32"/>
      <c r="P103" s="13">
        <v>47</v>
      </c>
      <c r="Q103" s="14">
        <f t="shared" si="10"/>
        <v>4</v>
      </c>
      <c r="R103" s="14">
        <f t="shared" si="11"/>
        <v>1606006</v>
      </c>
      <c r="S103" s="14" t="str">
        <f t="shared" si="15"/>
        <v>神器2碎片1等级2</v>
      </c>
      <c r="T103" s="29" t="s">
        <v>649</v>
      </c>
      <c r="U103" s="14">
        <f t="shared" si="12"/>
        <v>2</v>
      </c>
      <c r="V103" s="36">
        <f t="shared" si="16"/>
        <v>0.25800000000000001</v>
      </c>
      <c r="W103" s="17">
        <f t="shared" si="13"/>
        <v>2.5800000000000003E-3</v>
      </c>
      <c r="X103" s="14">
        <f t="shared" si="17"/>
        <v>1</v>
      </c>
      <c r="Y103" s="14">
        <f t="shared" si="18"/>
        <v>2</v>
      </c>
      <c r="Z103" s="14">
        <f t="shared" si="19"/>
        <v>0</v>
      </c>
      <c r="AA103" s="14" t="str">
        <f t="shared" si="20"/>
        <v>AtkExt</v>
      </c>
      <c r="AB103" s="14">
        <f t="shared" si="14"/>
        <v>124</v>
      </c>
      <c r="AC103" s="14" t="str">
        <f t="shared" si="21"/>
        <v>DefExt</v>
      </c>
      <c r="AD103" s="14">
        <f t="shared" si="22"/>
        <v>30</v>
      </c>
      <c r="AE103" s="14" t="str">
        <f t="shared" si="23"/>
        <v>[x]</v>
      </c>
      <c r="AF103" s="27" t="str">
        <f t="shared" si="24"/>
        <v>[x]</v>
      </c>
      <c r="AG103" s="27" t="str">
        <f t="shared" si="25"/>
        <v>[x]</v>
      </c>
    </row>
    <row r="104" spans="9:33" ht="16.5" x14ac:dyDescent="0.2">
      <c r="I104" s="32"/>
      <c r="P104" s="13">
        <v>48</v>
      </c>
      <c r="Q104" s="14">
        <f t="shared" si="10"/>
        <v>4</v>
      </c>
      <c r="R104" s="14">
        <f t="shared" si="11"/>
        <v>1606006</v>
      </c>
      <c r="S104" s="14" t="str">
        <f t="shared" si="15"/>
        <v>神器2碎片1等级3</v>
      </c>
      <c r="T104" s="29" t="s">
        <v>649</v>
      </c>
      <c r="U104" s="14">
        <f t="shared" si="12"/>
        <v>3</v>
      </c>
      <c r="V104" s="36">
        <f t="shared" si="16"/>
        <v>0.31800000000000006</v>
      </c>
      <c r="W104" s="17">
        <f t="shared" si="13"/>
        <v>3.1800000000000005E-3</v>
      </c>
      <c r="X104" s="14">
        <f t="shared" si="17"/>
        <v>1</v>
      </c>
      <c r="Y104" s="14">
        <f t="shared" si="18"/>
        <v>2</v>
      </c>
      <c r="Z104" s="14">
        <f t="shared" si="19"/>
        <v>0</v>
      </c>
      <c r="AA104" s="14" t="str">
        <f t="shared" si="20"/>
        <v>AtkExt</v>
      </c>
      <c r="AB104" s="14">
        <f t="shared" si="14"/>
        <v>153</v>
      </c>
      <c r="AC104" s="14" t="str">
        <f t="shared" si="21"/>
        <v>DefExt</v>
      </c>
      <c r="AD104" s="14">
        <f t="shared" si="22"/>
        <v>38</v>
      </c>
      <c r="AE104" s="14" t="str">
        <f t="shared" si="23"/>
        <v>[x]</v>
      </c>
      <c r="AF104" s="27" t="str">
        <f t="shared" si="24"/>
        <v>[x]</v>
      </c>
      <c r="AG104" s="27" t="str">
        <f t="shared" si="25"/>
        <v>[x]</v>
      </c>
    </row>
    <row r="105" spans="9:33" ht="16.5" x14ac:dyDescent="0.2">
      <c r="I105" s="32"/>
      <c r="P105" s="13">
        <v>49</v>
      </c>
      <c r="Q105" s="14">
        <f t="shared" si="10"/>
        <v>4</v>
      </c>
      <c r="R105" s="14">
        <f t="shared" si="11"/>
        <v>1606006</v>
      </c>
      <c r="S105" s="14" t="str">
        <f t="shared" si="15"/>
        <v>神器2碎片1等级4</v>
      </c>
      <c r="T105" s="29" t="s">
        <v>649</v>
      </c>
      <c r="U105" s="14">
        <f t="shared" si="12"/>
        <v>4</v>
      </c>
      <c r="V105" s="36">
        <f t="shared" si="16"/>
        <v>0.38200000000000001</v>
      </c>
      <c r="W105" s="17">
        <f t="shared" si="13"/>
        <v>3.82E-3</v>
      </c>
      <c r="X105" s="14">
        <f t="shared" si="17"/>
        <v>1</v>
      </c>
      <c r="Y105" s="14">
        <f t="shared" si="18"/>
        <v>2</v>
      </c>
      <c r="Z105" s="14">
        <f t="shared" si="19"/>
        <v>0</v>
      </c>
      <c r="AA105" s="14" t="str">
        <f t="shared" si="20"/>
        <v>AtkExt</v>
      </c>
      <c r="AB105" s="14">
        <f t="shared" si="14"/>
        <v>183</v>
      </c>
      <c r="AC105" s="14" t="str">
        <f t="shared" si="21"/>
        <v>DefExt</v>
      </c>
      <c r="AD105" s="14">
        <f t="shared" si="22"/>
        <v>45</v>
      </c>
      <c r="AE105" s="14" t="str">
        <f t="shared" si="23"/>
        <v>[x]</v>
      </c>
      <c r="AF105" s="27" t="str">
        <f t="shared" si="24"/>
        <v>[x]</v>
      </c>
      <c r="AG105" s="27" t="str">
        <f t="shared" si="25"/>
        <v>[x]</v>
      </c>
    </row>
    <row r="106" spans="9:33" ht="16.5" x14ac:dyDescent="0.2">
      <c r="I106" s="32"/>
      <c r="P106" s="13">
        <v>50</v>
      </c>
      <c r="Q106" s="14">
        <f t="shared" si="10"/>
        <v>4</v>
      </c>
      <c r="R106" s="14">
        <f t="shared" si="11"/>
        <v>1606006</v>
      </c>
      <c r="S106" s="14" t="str">
        <f t="shared" si="15"/>
        <v>神器2碎片1等级5</v>
      </c>
      <c r="T106" s="29" t="s">
        <v>649</v>
      </c>
      <c r="U106" s="14">
        <f t="shared" si="12"/>
        <v>5</v>
      </c>
      <c r="V106" s="36">
        <f t="shared" si="16"/>
        <v>0.45</v>
      </c>
      <c r="W106" s="17">
        <f t="shared" si="13"/>
        <v>4.5000000000000005E-3</v>
      </c>
      <c r="X106" s="14">
        <f t="shared" si="17"/>
        <v>1</v>
      </c>
      <c r="Y106" s="14">
        <f t="shared" si="18"/>
        <v>2</v>
      </c>
      <c r="Z106" s="14">
        <f t="shared" si="19"/>
        <v>0</v>
      </c>
      <c r="AA106" s="14" t="str">
        <f t="shared" si="20"/>
        <v>AtkExt</v>
      </c>
      <c r="AB106" s="14">
        <f t="shared" si="14"/>
        <v>216</v>
      </c>
      <c r="AC106" s="14" t="str">
        <f t="shared" si="21"/>
        <v>DefExt</v>
      </c>
      <c r="AD106" s="14">
        <f t="shared" si="22"/>
        <v>54</v>
      </c>
      <c r="AE106" s="14" t="str">
        <f t="shared" si="23"/>
        <v>[x]</v>
      </c>
      <c r="AF106" s="27" t="str">
        <f t="shared" si="24"/>
        <v>[x]</v>
      </c>
      <c r="AG106" s="27" t="str">
        <f t="shared" si="25"/>
        <v>[x]</v>
      </c>
    </row>
    <row r="107" spans="9:33" ht="16.5" x14ac:dyDescent="0.2">
      <c r="I107" s="32"/>
      <c r="P107" s="13">
        <v>51</v>
      </c>
      <c r="Q107" s="14">
        <f t="shared" si="10"/>
        <v>4</v>
      </c>
      <c r="R107" s="14">
        <f t="shared" si="11"/>
        <v>1606006</v>
      </c>
      <c r="S107" s="14" t="str">
        <f t="shared" si="15"/>
        <v>神器2碎片1等级6</v>
      </c>
      <c r="T107" s="29" t="s">
        <v>649</v>
      </c>
      <c r="U107" s="14">
        <f t="shared" si="12"/>
        <v>6</v>
      </c>
      <c r="V107" s="36">
        <f t="shared" si="16"/>
        <v>0.52200000000000002</v>
      </c>
      <c r="W107" s="17">
        <f t="shared" si="13"/>
        <v>5.2200000000000007E-3</v>
      </c>
      <c r="X107" s="14">
        <f t="shared" si="17"/>
        <v>1</v>
      </c>
      <c r="Y107" s="14">
        <f t="shared" si="18"/>
        <v>2</v>
      </c>
      <c r="Z107" s="14">
        <f t="shared" si="19"/>
        <v>0</v>
      </c>
      <c r="AA107" s="14" t="str">
        <f t="shared" si="20"/>
        <v>AtkExt</v>
      </c>
      <c r="AB107" s="14">
        <f t="shared" si="14"/>
        <v>251</v>
      </c>
      <c r="AC107" s="14" t="str">
        <f t="shared" si="21"/>
        <v>DefExt</v>
      </c>
      <c r="AD107" s="14">
        <f t="shared" si="22"/>
        <v>62</v>
      </c>
      <c r="AE107" s="14" t="str">
        <f t="shared" si="23"/>
        <v>[x]</v>
      </c>
      <c r="AF107" s="27" t="str">
        <f t="shared" si="24"/>
        <v>[x]</v>
      </c>
      <c r="AG107" s="27" t="str">
        <f t="shared" si="25"/>
        <v>[x]</v>
      </c>
    </row>
    <row r="108" spans="9:33" ht="16.5" x14ac:dyDescent="0.2">
      <c r="I108" s="32"/>
      <c r="P108" s="13">
        <v>52</v>
      </c>
      <c r="Q108" s="14">
        <f t="shared" si="10"/>
        <v>4</v>
      </c>
      <c r="R108" s="14">
        <f t="shared" si="11"/>
        <v>1606006</v>
      </c>
      <c r="S108" s="14" t="str">
        <f t="shared" si="15"/>
        <v>神器2碎片1等级7</v>
      </c>
      <c r="T108" s="29" t="s">
        <v>649</v>
      </c>
      <c r="U108" s="14">
        <f t="shared" si="12"/>
        <v>7</v>
      </c>
      <c r="V108" s="36">
        <f t="shared" si="16"/>
        <v>0.59799999999999998</v>
      </c>
      <c r="W108" s="17">
        <f t="shared" si="13"/>
        <v>5.9800000000000001E-3</v>
      </c>
      <c r="X108" s="14">
        <f t="shared" si="17"/>
        <v>1</v>
      </c>
      <c r="Y108" s="14">
        <f t="shared" si="18"/>
        <v>2</v>
      </c>
      <c r="Z108" s="14">
        <f t="shared" si="19"/>
        <v>0</v>
      </c>
      <c r="AA108" s="14" t="str">
        <f t="shared" si="20"/>
        <v>AtkExt</v>
      </c>
      <c r="AB108" s="14">
        <f t="shared" si="14"/>
        <v>288</v>
      </c>
      <c r="AC108" s="14" t="str">
        <f t="shared" si="21"/>
        <v>DefExt</v>
      </c>
      <c r="AD108" s="14">
        <f t="shared" si="22"/>
        <v>71</v>
      </c>
      <c r="AE108" s="14" t="str">
        <f t="shared" si="23"/>
        <v>[x]</v>
      </c>
      <c r="AF108" s="27" t="str">
        <f t="shared" si="24"/>
        <v>[x]</v>
      </c>
      <c r="AG108" s="27" t="str">
        <f t="shared" si="25"/>
        <v>[x]</v>
      </c>
    </row>
    <row r="109" spans="9:33" ht="16.5" x14ac:dyDescent="0.2">
      <c r="I109" s="32"/>
      <c r="P109" s="13">
        <v>53</v>
      </c>
      <c r="Q109" s="14">
        <f t="shared" si="10"/>
        <v>4</v>
      </c>
      <c r="R109" s="14">
        <f t="shared" si="11"/>
        <v>1606006</v>
      </c>
      <c r="S109" s="14" t="str">
        <f t="shared" si="15"/>
        <v>神器2碎片1等级8</v>
      </c>
      <c r="T109" s="29" t="s">
        <v>649</v>
      </c>
      <c r="U109" s="14">
        <f t="shared" si="12"/>
        <v>8</v>
      </c>
      <c r="V109" s="36">
        <f t="shared" si="16"/>
        <v>0.67800000000000005</v>
      </c>
      <c r="W109" s="17">
        <f t="shared" si="13"/>
        <v>6.7800000000000004E-3</v>
      </c>
      <c r="X109" s="14">
        <f t="shared" si="17"/>
        <v>1</v>
      </c>
      <c r="Y109" s="14">
        <f t="shared" si="18"/>
        <v>2</v>
      </c>
      <c r="Z109" s="14">
        <f t="shared" si="19"/>
        <v>0</v>
      </c>
      <c r="AA109" s="14" t="str">
        <f t="shared" si="20"/>
        <v>AtkExt</v>
      </c>
      <c r="AB109" s="14">
        <f t="shared" si="14"/>
        <v>326</v>
      </c>
      <c r="AC109" s="14" t="str">
        <f t="shared" si="21"/>
        <v>DefExt</v>
      </c>
      <c r="AD109" s="14">
        <f t="shared" si="22"/>
        <v>81</v>
      </c>
      <c r="AE109" s="14" t="str">
        <f t="shared" si="23"/>
        <v>[x]</v>
      </c>
      <c r="AF109" s="27" t="str">
        <f t="shared" si="24"/>
        <v>[x]</v>
      </c>
      <c r="AG109" s="27" t="str">
        <f t="shared" si="25"/>
        <v>[x]</v>
      </c>
    </row>
    <row r="110" spans="9:33" ht="16.5" x14ac:dyDescent="0.2">
      <c r="I110" s="32"/>
      <c r="P110" s="13">
        <v>54</v>
      </c>
      <c r="Q110" s="14">
        <f t="shared" si="10"/>
        <v>4</v>
      </c>
      <c r="R110" s="14">
        <f t="shared" si="11"/>
        <v>1606006</v>
      </c>
      <c r="S110" s="14" t="str">
        <f t="shared" si="15"/>
        <v>神器2碎片1等级9</v>
      </c>
      <c r="T110" s="29" t="s">
        <v>649</v>
      </c>
      <c r="U110" s="14">
        <f t="shared" si="12"/>
        <v>9</v>
      </c>
      <c r="V110" s="36">
        <f t="shared" si="16"/>
        <v>0.76200000000000001</v>
      </c>
      <c r="W110" s="17">
        <f t="shared" si="13"/>
        <v>7.62E-3</v>
      </c>
      <c r="X110" s="14">
        <f t="shared" si="17"/>
        <v>1</v>
      </c>
      <c r="Y110" s="14">
        <f t="shared" si="18"/>
        <v>2</v>
      </c>
      <c r="Z110" s="14">
        <f t="shared" si="19"/>
        <v>0</v>
      </c>
      <c r="AA110" s="14" t="str">
        <f t="shared" si="20"/>
        <v>AtkExt</v>
      </c>
      <c r="AB110" s="14">
        <f t="shared" si="14"/>
        <v>366</v>
      </c>
      <c r="AC110" s="14" t="str">
        <f t="shared" si="21"/>
        <v>DefExt</v>
      </c>
      <c r="AD110" s="14">
        <f t="shared" si="22"/>
        <v>91</v>
      </c>
      <c r="AE110" s="14" t="str">
        <f t="shared" si="23"/>
        <v>[x]</v>
      </c>
      <c r="AF110" s="27" t="str">
        <f t="shared" si="24"/>
        <v>[x]</v>
      </c>
      <c r="AG110" s="27" t="str">
        <f t="shared" si="25"/>
        <v>[x]</v>
      </c>
    </row>
    <row r="111" spans="9:33" ht="16.5" x14ac:dyDescent="0.2">
      <c r="I111" s="32"/>
      <c r="P111" s="13">
        <v>55</v>
      </c>
      <c r="Q111" s="14">
        <f t="shared" si="10"/>
        <v>4</v>
      </c>
      <c r="R111" s="14">
        <f t="shared" si="11"/>
        <v>1606006</v>
      </c>
      <c r="S111" s="14" t="str">
        <f t="shared" si="15"/>
        <v>神器2碎片1等级10</v>
      </c>
      <c r="T111" s="29" t="s">
        <v>649</v>
      </c>
      <c r="U111" s="14">
        <f t="shared" si="12"/>
        <v>10</v>
      </c>
      <c r="V111" s="36">
        <f t="shared" si="16"/>
        <v>0.85000000000000009</v>
      </c>
      <c r="W111" s="17">
        <f t="shared" si="13"/>
        <v>8.5000000000000006E-3</v>
      </c>
      <c r="X111" s="14">
        <f t="shared" si="17"/>
        <v>1</v>
      </c>
      <c r="Y111" s="14">
        <f t="shared" si="18"/>
        <v>2</v>
      </c>
      <c r="Z111" s="14">
        <f t="shared" si="19"/>
        <v>0</v>
      </c>
      <c r="AA111" s="14" t="str">
        <f t="shared" si="20"/>
        <v>AtkExt</v>
      </c>
      <c r="AB111" s="14">
        <f t="shared" si="14"/>
        <v>409</v>
      </c>
      <c r="AC111" s="14" t="str">
        <f t="shared" si="21"/>
        <v>DefExt</v>
      </c>
      <c r="AD111" s="14">
        <f t="shared" si="22"/>
        <v>102</v>
      </c>
      <c r="AE111" s="14" t="str">
        <f t="shared" si="23"/>
        <v>[x]</v>
      </c>
      <c r="AF111" s="27" t="str">
        <f t="shared" si="24"/>
        <v>[x]</v>
      </c>
      <c r="AG111" s="27" t="str">
        <f t="shared" si="25"/>
        <v>[x]</v>
      </c>
    </row>
    <row r="112" spans="9:33" ht="16.5" x14ac:dyDescent="0.2">
      <c r="I112" s="32"/>
      <c r="P112" s="13">
        <v>56</v>
      </c>
      <c r="Q112" s="14">
        <f t="shared" si="10"/>
        <v>4</v>
      </c>
      <c r="R112" s="14">
        <f t="shared" si="11"/>
        <v>1606006</v>
      </c>
      <c r="S112" s="14" t="str">
        <f t="shared" si="15"/>
        <v>神器2碎片1等级11</v>
      </c>
      <c r="T112" s="29" t="s">
        <v>649</v>
      </c>
      <c r="U112" s="14">
        <f t="shared" si="12"/>
        <v>11</v>
      </c>
      <c r="V112" s="36">
        <f t="shared" si="16"/>
        <v>0.94200000000000006</v>
      </c>
      <c r="W112" s="17">
        <f t="shared" si="13"/>
        <v>9.4200000000000013E-3</v>
      </c>
      <c r="X112" s="14">
        <f t="shared" si="17"/>
        <v>1</v>
      </c>
      <c r="Y112" s="14">
        <f t="shared" si="18"/>
        <v>2</v>
      </c>
      <c r="Z112" s="14">
        <f t="shared" si="19"/>
        <v>0</v>
      </c>
      <c r="AA112" s="14" t="str">
        <f t="shared" si="20"/>
        <v>AtkExt</v>
      </c>
      <c r="AB112" s="14">
        <f t="shared" si="14"/>
        <v>453</v>
      </c>
      <c r="AC112" s="14" t="str">
        <f t="shared" si="21"/>
        <v>DefExt</v>
      </c>
      <c r="AD112" s="14">
        <f t="shared" si="22"/>
        <v>113</v>
      </c>
      <c r="AE112" s="14" t="str">
        <f t="shared" si="23"/>
        <v>[x]</v>
      </c>
      <c r="AF112" s="27" t="str">
        <f t="shared" si="24"/>
        <v>[x]</v>
      </c>
      <c r="AG112" s="27" t="str">
        <f t="shared" si="25"/>
        <v>[x]</v>
      </c>
    </row>
    <row r="113" spans="9:33" ht="16.5" x14ac:dyDescent="0.2">
      <c r="I113" s="32"/>
      <c r="P113" s="13">
        <v>57</v>
      </c>
      <c r="Q113" s="14">
        <f t="shared" si="10"/>
        <v>4</v>
      </c>
      <c r="R113" s="14">
        <f t="shared" si="11"/>
        <v>1606006</v>
      </c>
      <c r="S113" s="14" t="str">
        <f t="shared" si="15"/>
        <v>神器2碎片1等级12</v>
      </c>
      <c r="T113" s="29" t="s">
        <v>649</v>
      </c>
      <c r="U113" s="14">
        <f t="shared" si="12"/>
        <v>12</v>
      </c>
      <c r="V113" s="36">
        <f t="shared" si="16"/>
        <v>1.0380000000000003</v>
      </c>
      <c r="W113" s="17">
        <f t="shared" si="13"/>
        <v>1.0380000000000002E-2</v>
      </c>
      <c r="X113" s="14">
        <f t="shared" si="17"/>
        <v>1</v>
      </c>
      <c r="Y113" s="14">
        <f t="shared" si="18"/>
        <v>2</v>
      </c>
      <c r="Z113" s="14">
        <f t="shared" si="19"/>
        <v>0</v>
      </c>
      <c r="AA113" s="14" t="str">
        <f t="shared" si="20"/>
        <v>AtkExt</v>
      </c>
      <c r="AB113" s="14">
        <f t="shared" si="14"/>
        <v>499</v>
      </c>
      <c r="AC113" s="14" t="str">
        <f t="shared" si="21"/>
        <v>DefExt</v>
      </c>
      <c r="AD113" s="14">
        <f t="shared" si="22"/>
        <v>124</v>
      </c>
      <c r="AE113" s="14" t="str">
        <f t="shared" si="23"/>
        <v>[x]</v>
      </c>
      <c r="AF113" s="27" t="str">
        <f t="shared" si="24"/>
        <v>[x]</v>
      </c>
      <c r="AG113" s="27" t="str">
        <f t="shared" si="25"/>
        <v>[x]</v>
      </c>
    </row>
    <row r="114" spans="9:33" ht="16.5" x14ac:dyDescent="0.2">
      <c r="I114" s="32"/>
      <c r="P114" s="13">
        <v>58</v>
      </c>
      <c r="Q114" s="14">
        <f t="shared" si="10"/>
        <v>4</v>
      </c>
      <c r="R114" s="14">
        <f t="shared" si="11"/>
        <v>1606006</v>
      </c>
      <c r="S114" s="14" t="str">
        <f t="shared" si="15"/>
        <v>神器2碎片1等级13</v>
      </c>
      <c r="T114" s="29" t="s">
        <v>649</v>
      </c>
      <c r="U114" s="14">
        <f t="shared" si="12"/>
        <v>13</v>
      </c>
      <c r="V114" s="36">
        <f t="shared" si="16"/>
        <v>1.1380000000000001</v>
      </c>
      <c r="W114" s="17">
        <f t="shared" si="13"/>
        <v>1.1380000000000001E-2</v>
      </c>
      <c r="X114" s="14">
        <f t="shared" si="17"/>
        <v>1</v>
      </c>
      <c r="Y114" s="14">
        <f t="shared" si="18"/>
        <v>2</v>
      </c>
      <c r="Z114" s="14">
        <f t="shared" si="19"/>
        <v>0</v>
      </c>
      <c r="AA114" s="14" t="str">
        <f t="shared" si="20"/>
        <v>AtkExt</v>
      </c>
      <c r="AB114" s="14">
        <f t="shared" si="14"/>
        <v>548</v>
      </c>
      <c r="AC114" s="14" t="str">
        <f t="shared" si="21"/>
        <v>DefExt</v>
      </c>
      <c r="AD114" s="14">
        <f t="shared" si="22"/>
        <v>136</v>
      </c>
      <c r="AE114" s="14" t="str">
        <f t="shared" si="23"/>
        <v>[x]</v>
      </c>
      <c r="AF114" s="27" t="str">
        <f t="shared" si="24"/>
        <v>[x]</v>
      </c>
      <c r="AG114" s="27" t="str">
        <f t="shared" si="25"/>
        <v>[x]</v>
      </c>
    </row>
    <row r="115" spans="9:33" ht="16.5" x14ac:dyDescent="0.2">
      <c r="I115" s="32"/>
      <c r="P115" s="13">
        <v>59</v>
      </c>
      <c r="Q115" s="14">
        <f t="shared" si="10"/>
        <v>4</v>
      </c>
      <c r="R115" s="14">
        <f t="shared" si="11"/>
        <v>1606006</v>
      </c>
      <c r="S115" s="14" t="str">
        <f t="shared" si="15"/>
        <v>神器2碎片1等级14</v>
      </c>
      <c r="T115" s="29" t="s">
        <v>649</v>
      </c>
      <c r="U115" s="14">
        <f t="shared" si="12"/>
        <v>14</v>
      </c>
      <c r="V115" s="36">
        <f t="shared" si="16"/>
        <v>1.242</v>
      </c>
      <c r="W115" s="17">
        <f t="shared" si="13"/>
        <v>1.242E-2</v>
      </c>
      <c r="X115" s="14">
        <f t="shared" si="17"/>
        <v>1</v>
      </c>
      <c r="Y115" s="14">
        <f t="shared" si="18"/>
        <v>2</v>
      </c>
      <c r="Z115" s="14">
        <f t="shared" si="19"/>
        <v>0</v>
      </c>
      <c r="AA115" s="14" t="str">
        <f t="shared" si="20"/>
        <v>AtkExt</v>
      </c>
      <c r="AB115" s="14">
        <f t="shared" si="14"/>
        <v>598</v>
      </c>
      <c r="AC115" s="14" t="str">
        <f t="shared" si="21"/>
        <v>DefExt</v>
      </c>
      <c r="AD115" s="14">
        <f t="shared" si="22"/>
        <v>149</v>
      </c>
      <c r="AE115" s="14" t="str">
        <f t="shared" si="23"/>
        <v>[x]</v>
      </c>
      <c r="AF115" s="27" t="str">
        <f t="shared" si="24"/>
        <v>[x]</v>
      </c>
      <c r="AG115" s="27" t="str">
        <f t="shared" si="25"/>
        <v>[x]</v>
      </c>
    </row>
    <row r="116" spans="9:33" ht="16.5" x14ac:dyDescent="0.2">
      <c r="I116" s="32"/>
      <c r="P116" s="13">
        <v>60</v>
      </c>
      <c r="Q116" s="14">
        <f t="shared" si="10"/>
        <v>4</v>
      </c>
      <c r="R116" s="14">
        <f t="shared" si="11"/>
        <v>1606006</v>
      </c>
      <c r="S116" s="14" t="str">
        <f t="shared" si="15"/>
        <v>神器2碎片1等级15</v>
      </c>
      <c r="T116" s="29" t="s">
        <v>649</v>
      </c>
      <c r="U116" s="14">
        <f t="shared" si="12"/>
        <v>15</v>
      </c>
      <c r="V116" s="36">
        <f t="shared" si="16"/>
        <v>1.35</v>
      </c>
      <c r="W116" s="17">
        <f t="shared" si="13"/>
        <v>1.3500000000000002E-2</v>
      </c>
      <c r="X116" s="14">
        <f t="shared" si="17"/>
        <v>1</v>
      </c>
      <c r="Y116" s="14">
        <f t="shared" si="18"/>
        <v>2</v>
      </c>
      <c r="Z116" s="14">
        <f t="shared" si="19"/>
        <v>0</v>
      </c>
      <c r="AA116" s="14" t="str">
        <f t="shared" si="20"/>
        <v>AtkExt</v>
      </c>
      <c r="AB116" s="14">
        <f t="shared" si="14"/>
        <v>650</v>
      </c>
      <c r="AC116" s="14" t="str">
        <f t="shared" si="21"/>
        <v>DefExt</v>
      </c>
      <c r="AD116" s="14">
        <f t="shared" si="22"/>
        <v>162</v>
      </c>
      <c r="AE116" s="14" t="str">
        <f t="shared" si="23"/>
        <v>[x]</v>
      </c>
      <c r="AF116" s="27" t="str">
        <f t="shared" si="24"/>
        <v>[x]</v>
      </c>
      <c r="AG116" s="27" t="str">
        <f t="shared" si="25"/>
        <v>[x]</v>
      </c>
    </row>
    <row r="117" spans="9:33" ht="16.5" x14ac:dyDescent="0.2">
      <c r="I117" s="32"/>
      <c r="P117" s="13">
        <v>61</v>
      </c>
      <c r="Q117" s="14">
        <f t="shared" si="10"/>
        <v>5</v>
      </c>
      <c r="R117" s="14">
        <f t="shared" si="11"/>
        <v>1606007</v>
      </c>
      <c r="S117" s="14" t="str">
        <f t="shared" si="15"/>
        <v>神器2碎片2等级1</v>
      </c>
      <c r="T117" s="29" t="s">
        <v>649</v>
      </c>
      <c r="U117" s="14">
        <f t="shared" si="12"/>
        <v>1</v>
      </c>
      <c r="V117" s="36">
        <f t="shared" si="16"/>
        <v>0.20200000000000001</v>
      </c>
      <c r="W117" s="17">
        <f t="shared" si="13"/>
        <v>2.0200000000000001E-3</v>
      </c>
      <c r="X117" s="14">
        <f t="shared" si="17"/>
        <v>1</v>
      </c>
      <c r="Y117" s="14">
        <f t="shared" si="18"/>
        <v>2</v>
      </c>
      <c r="Z117" s="14">
        <f t="shared" si="19"/>
        <v>3</v>
      </c>
      <c r="AA117" s="14" t="str">
        <f t="shared" si="20"/>
        <v>AtkExt</v>
      </c>
      <c r="AB117" s="14">
        <f t="shared" si="14"/>
        <v>48</v>
      </c>
      <c r="AC117" s="14" t="str">
        <f t="shared" si="21"/>
        <v>DefExt</v>
      </c>
      <c r="AD117" s="14">
        <f t="shared" si="22"/>
        <v>24</v>
      </c>
      <c r="AE117" s="14" t="str">
        <f t="shared" si="23"/>
        <v>HPExt</v>
      </c>
      <c r="AF117" s="27">
        <f t="shared" si="24"/>
        <v>146</v>
      </c>
      <c r="AG117" s="27" t="str">
        <f t="shared" si="25"/>
        <v>[x]</v>
      </c>
    </row>
    <row r="118" spans="9:33" ht="16.5" x14ac:dyDescent="0.2">
      <c r="I118" s="32"/>
      <c r="P118" s="13">
        <v>62</v>
      </c>
      <c r="Q118" s="14">
        <f t="shared" si="10"/>
        <v>5</v>
      </c>
      <c r="R118" s="14">
        <f t="shared" si="11"/>
        <v>1606007</v>
      </c>
      <c r="S118" s="14" t="str">
        <f t="shared" si="15"/>
        <v>神器2碎片2等级2</v>
      </c>
      <c r="T118" s="29" t="s">
        <v>649</v>
      </c>
      <c r="U118" s="14">
        <f t="shared" si="12"/>
        <v>2</v>
      </c>
      <c r="V118" s="36">
        <f t="shared" si="16"/>
        <v>0.25800000000000001</v>
      </c>
      <c r="W118" s="17">
        <f t="shared" si="13"/>
        <v>2.5800000000000003E-3</v>
      </c>
      <c r="X118" s="14">
        <f t="shared" si="17"/>
        <v>1</v>
      </c>
      <c r="Y118" s="14">
        <f t="shared" si="18"/>
        <v>2</v>
      </c>
      <c r="Z118" s="14">
        <f t="shared" si="19"/>
        <v>3</v>
      </c>
      <c r="AA118" s="14" t="str">
        <f t="shared" si="20"/>
        <v>AtkExt</v>
      </c>
      <c r="AB118" s="14">
        <f t="shared" si="14"/>
        <v>62</v>
      </c>
      <c r="AC118" s="14" t="str">
        <f t="shared" si="21"/>
        <v>DefExt</v>
      </c>
      <c r="AD118" s="14">
        <f t="shared" si="22"/>
        <v>30</v>
      </c>
      <c r="AE118" s="14" t="str">
        <f t="shared" si="23"/>
        <v>HPExt</v>
      </c>
      <c r="AF118" s="27">
        <f t="shared" si="24"/>
        <v>186</v>
      </c>
      <c r="AG118" s="27" t="str">
        <f t="shared" si="25"/>
        <v>[x]</v>
      </c>
    </row>
    <row r="119" spans="9:33" ht="16.5" x14ac:dyDescent="0.2">
      <c r="I119" s="32"/>
      <c r="P119" s="13">
        <v>63</v>
      </c>
      <c r="Q119" s="14">
        <f t="shared" si="10"/>
        <v>5</v>
      </c>
      <c r="R119" s="14">
        <f t="shared" si="11"/>
        <v>1606007</v>
      </c>
      <c r="S119" s="14" t="str">
        <f t="shared" si="15"/>
        <v>神器2碎片2等级3</v>
      </c>
      <c r="T119" s="29" t="s">
        <v>649</v>
      </c>
      <c r="U119" s="14">
        <f t="shared" si="12"/>
        <v>3</v>
      </c>
      <c r="V119" s="36">
        <f t="shared" si="16"/>
        <v>0.31800000000000006</v>
      </c>
      <c r="W119" s="17">
        <f t="shared" si="13"/>
        <v>3.1800000000000005E-3</v>
      </c>
      <c r="X119" s="14">
        <f t="shared" si="17"/>
        <v>1</v>
      </c>
      <c r="Y119" s="14">
        <f t="shared" si="18"/>
        <v>2</v>
      </c>
      <c r="Z119" s="14">
        <f t="shared" si="19"/>
        <v>3</v>
      </c>
      <c r="AA119" s="14" t="str">
        <f t="shared" si="20"/>
        <v>AtkExt</v>
      </c>
      <c r="AB119" s="14">
        <f t="shared" si="14"/>
        <v>76</v>
      </c>
      <c r="AC119" s="14" t="str">
        <f t="shared" si="21"/>
        <v>DefExt</v>
      </c>
      <c r="AD119" s="14">
        <f t="shared" si="22"/>
        <v>38</v>
      </c>
      <c r="AE119" s="14" t="str">
        <f t="shared" si="23"/>
        <v>HPExt</v>
      </c>
      <c r="AF119" s="27">
        <f t="shared" si="24"/>
        <v>230</v>
      </c>
      <c r="AG119" s="27" t="str">
        <f t="shared" si="25"/>
        <v>[x]</v>
      </c>
    </row>
    <row r="120" spans="9:33" ht="16.5" x14ac:dyDescent="0.2">
      <c r="I120" s="32"/>
      <c r="P120" s="13">
        <v>64</v>
      </c>
      <c r="Q120" s="14">
        <f t="shared" si="10"/>
        <v>5</v>
      </c>
      <c r="R120" s="14">
        <f t="shared" si="11"/>
        <v>1606007</v>
      </c>
      <c r="S120" s="14" t="str">
        <f t="shared" si="15"/>
        <v>神器2碎片2等级4</v>
      </c>
      <c r="T120" s="29" t="s">
        <v>649</v>
      </c>
      <c r="U120" s="14">
        <f t="shared" si="12"/>
        <v>4</v>
      </c>
      <c r="V120" s="36">
        <f t="shared" si="16"/>
        <v>0.38200000000000001</v>
      </c>
      <c r="W120" s="17">
        <f t="shared" si="13"/>
        <v>3.82E-3</v>
      </c>
      <c r="X120" s="14">
        <f t="shared" si="17"/>
        <v>1</v>
      </c>
      <c r="Y120" s="14">
        <f t="shared" si="18"/>
        <v>2</v>
      </c>
      <c r="Z120" s="14">
        <f t="shared" si="19"/>
        <v>3</v>
      </c>
      <c r="AA120" s="14" t="str">
        <f t="shared" si="20"/>
        <v>AtkExt</v>
      </c>
      <c r="AB120" s="14">
        <f t="shared" si="14"/>
        <v>91</v>
      </c>
      <c r="AC120" s="14" t="str">
        <f t="shared" si="21"/>
        <v>DefExt</v>
      </c>
      <c r="AD120" s="14">
        <f t="shared" si="22"/>
        <v>45</v>
      </c>
      <c r="AE120" s="14" t="str">
        <f t="shared" si="23"/>
        <v>HPExt</v>
      </c>
      <c r="AF120" s="27">
        <f t="shared" si="24"/>
        <v>276</v>
      </c>
      <c r="AG120" s="27" t="str">
        <f t="shared" si="25"/>
        <v>[x]</v>
      </c>
    </row>
    <row r="121" spans="9:33" ht="16.5" x14ac:dyDescent="0.2">
      <c r="I121" s="32"/>
      <c r="P121" s="13">
        <v>65</v>
      </c>
      <c r="Q121" s="14">
        <f t="shared" ref="Q121:Q184" si="26">MATCH(P121-1,$X$4:$X$46,1)</f>
        <v>5</v>
      </c>
      <c r="R121" s="14">
        <f t="shared" ref="R121:R184" si="27">INDEX($S$5:$S$46,Q121)</f>
        <v>1606007</v>
      </c>
      <c r="S121" s="14" t="str">
        <f t="shared" si="15"/>
        <v>神器2碎片2等级5</v>
      </c>
      <c r="T121" s="29" t="s">
        <v>649</v>
      </c>
      <c r="U121" s="14">
        <f t="shared" ref="U121:U184" si="28">P121-INDEX($X$4:$X$46,Q121)</f>
        <v>5</v>
      </c>
      <c r="V121" s="36">
        <f t="shared" si="16"/>
        <v>0.45</v>
      </c>
      <c r="W121" s="17">
        <f t="shared" ref="W121:W184" si="29">INDEX($V$5:$V$46,Q121)*V121</f>
        <v>4.5000000000000005E-3</v>
      </c>
      <c r="X121" s="14">
        <f t="shared" si="17"/>
        <v>1</v>
      </c>
      <c r="Y121" s="14">
        <f t="shared" si="18"/>
        <v>2</v>
      </c>
      <c r="Z121" s="14">
        <f t="shared" si="19"/>
        <v>3</v>
      </c>
      <c r="AA121" s="14" t="str">
        <f t="shared" si="20"/>
        <v>AtkExt</v>
      </c>
      <c r="AB121" s="14">
        <f t="shared" ref="AB121:AB184" si="30">INT(INDEX($E$4:$G$4,X121)*W121*INDEX($Y$5:$AA$46,Q121,X121))</f>
        <v>108</v>
      </c>
      <c r="AC121" s="14" t="str">
        <f t="shared" si="21"/>
        <v>DefExt</v>
      </c>
      <c r="AD121" s="14">
        <f t="shared" si="22"/>
        <v>54</v>
      </c>
      <c r="AE121" s="14" t="str">
        <f t="shared" si="23"/>
        <v>HPExt</v>
      </c>
      <c r="AF121" s="27">
        <f t="shared" si="24"/>
        <v>325</v>
      </c>
      <c r="AG121" s="27" t="str">
        <f t="shared" si="25"/>
        <v>[x]</v>
      </c>
    </row>
    <row r="122" spans="9:33" ht="16.5" x14ac:dyDescent="0.2">
      <c r="I122" s="32"/>
      <c r="P122" s="13">
        <v>66</v>
      </c>
      <c r="Q122" s="14">
        <f t="shared" si="26"/>
        <v>5</v>
      </c>
      <c r="R122" s="14">
        <f t="shared" si="27"/>
        <v>1606007</v>
      </c>
      <c r="S122" s="14" t="str">
        <f t="shared" ref="S122:S185" si="31">INDEX($P$5:$P$46,Q122)&amp;"碎片"&amp;INDEX($R$5:$R$46,Q122)&amp;"等级"&amp;U122</f>
        <v>神器2碎片2等级6</v>
      </c>
      <c r="T122" s="29" t="s">
        <v>649</v>
      </c>
      <c r="U122" s="14">
        <f t="shared" si="28"/>
        <v>6</v>
      </c>
      <c r="V122" s="36">
        <f t="shared" ref="V122:V185" si="32">15%+U122*5%+U122*U122*0.2%</f>
        <v>0.52200000000000002</v>
      </c>
      <c r="W122" s="17">
        <f t="shared" si="29"/>
        <v>5.2200000000000007E-3</v>
      </c>
      <c r="X122" s="14">
        <f t="shared" ref="X122:X185" si="33">INDEX($AB$5:$AB$46,Q122)</f>
        <v>1</v>
      </c>
      <c r="Y122" s="14">
        <f t="shared" ref="Y122:Y185" si="34">INDEX(AC$5:AC$46,$Q122)</f>
        <v>2</v>
      </c>
      <c r="Z122" s="14">
        <f t="shared" ref="Z122:Z185" si="35">INDEX(AD$5:AD$46,$Q122)</f>
        <v>3</v>
      </c>
      <c r="AA122" s="14" t="str">
        <f t="shared" ref="AA122:AA185" si="36">INDEX($Y$3:$AA$3,X122)</f>
        <v>AtkExt</v>
      </c>
      <c r="AB122" s="14">
        <f t="shared" si="30"/>
        <v>125</v>
      </c>
      <c r="AC122" s="14" t="str">
        <f t="shared" ref="AC122:AC185" si="37">IF(Y122&gt;0,INDEX($Y$3:$AA$3,Y122),"[x]")</f>
        <v>DefExt</v>
      </c>
      <c r="AD122" s="14">
        <f t="shared" ref="AD122:AD185" si="38">IF(Y122&gt;0,INT(INDEX($E$4:$G$4,Y122)*W122*INDEX($Y$5:$AA$46,Q122,Y122)),"[x]")</f>
        <v>62</v>
      </c>
      <c r="AE122" s="14" t="str">
        <f t="shared" ref="AE122:AE185" si="39">IF(Z122&gt;0,INDEX($Y$3:$AA$3,Z122),"[x]")</f>
        <v>HPExt</v>
      </c>
      <c r="AF122" s="27">
        <f t="shared" ref="AF122:AF185" si="40">IF(Z122&gt;0,INT(INDEX($E$4:$G$4,Z122)*W122*INDEX($Y$5:$AA$46,Q122,Z122)),"[x]")</f>
        <v>378</v>
      </c>
      <c r="AG122" s="27" t="str">
        <f t="shared" ref="AG122:AG185" si="41">IF(INDEX($AE$5:$AE$46,Q122)&gt;0,INDEX($AE$5:$AE$46,Q122)*U122,"[x]")</f>
        <v>[x]</v>
      </c>
    </row>
    <row r="123" spans="9:33" ht="16.5" x14ac:dyDescent="0.2">
      <c r="I123" s="32"/>
      <c r="P123" s="13">
        <v>67</v>
      </c>
      <c r="Q123" s="14">
        <f t="shared" si="26"/>
        <v>5</v>
      </c>
      <c r="R123" s="14">
        <f t="shared" si="27"/>
        <v>1606007</v>
      </c>
      <c r="S123" s="14" t="str">
        <f t="shared" si="31"/>
        <v>神器2碎片2等级7</v>
      </c>
      <c r="T123" s="29" t="s">
        <v>649</v>
      </c>
      <c r="U123" s="14">
        <f t="shared" si="28"/>
        <v>7</v>
      </c>
      <c r="V123" s="36">
        <f t="shared" si="32"/>
        <v>0.59799999999999998</v>
      </c>
      <c r="W123" s="17">
        <f t="shared" si="29"/>
        <v>5.9800000000000001E-3</v>
      </c>
      <c r="X123" s="14">
        <f t="shared" si="33"/>
        <v>1</v>
      </c>
      <c r="Y123" s="14">
        <f t="shared" si="34"/>
        <v>2</v>
      </c>
      <c r="Z123" s="14">
        <f t="shared" si="35"/>
        <v>3</v>
      </c>
      <c r="AA123" s="14" t="str">
        <f t="shared" si="36"/>
        <v>AtkExt</v>
      </c>
      <c r="AB123" s="14">
        <f t="shared" si="30"/>
        <v>144</v>
      </c>
      <c r="AC123" s="14" t="str">
        <f t="shared" si="37"/>
        <v>DefExt</v>
      </c>
      <c r="AD123" s="14">
        <f t="shared" si="38"/>
        <v>71</v>
      </c>
      <c r="AE123" s="14" t="str">
        <f t="shared" si="39"/>
        <v>HPExt</v>
      </c>
      <c r="AF123" s="27">
        <f t="shared" si="40"/>
        <v>433</v>
      </c>
      <c r="AG123" s="27" t="str">
        <f t="shared" si="41"/>
        <v>[x]</v>
      </c>
    </row>
    <row r="124" spans="9:33" ht="16.5" x14ac:dyDescent="0.2">
      <c r="I124" s="32"/>
      <c r="P124" s="13">
        <v>68</v>
      </c>
      <c r="Q124" s="14">
        <f t="shared" si="26"/>
        <v>5</v>
      </c>
      <c r="R124" s="14">
        <f t="shared" si="27"/>
        <v>1606007</v>
      </c>
      <c r="S124" s="14" t="str">
        <f t="shared" si="31"/>
        <v>神器2碎片2等级8</v>
      </c>
      <c r="T124" s="29" t="s">
        <v>649</v>
      </c>
      <c r="U124" s="14">
        <f t="shared" si="28"/>
        <v>8</v>
      </c>
      <c r="V124" s="36">
        <f t="shared" si="32"/>
        <v>0.67800000000000005</v>
      </c>
      <c r="W124" s="17">
        <f t="shared" si="29"/>
        <v>6.7800000000000004E-3</v>
      </c>
      <c r="X124" s="14">
        <f t="shared" si="33"/>
        <v>1</v>
      </c>
      <c r="Y124" s="14">
        <f t="shared" si="34"/>
        <v>2</v>
      </c>
      <c r="Z124" s="14">
        <f t="shared" si="35"/>
        <v>3</v>
      </c>
      <c r="AA124" s="14" t="str">
        <f t="shared" si="36"/>
        <v>AtkExt</v>
      </c>
      <c r="AB124" s="14">
        <f t="shared" si="30"/>
        <v>163</v>
      </c>
      <c r="AC124" s="14" t="str">
        <f t="shared" si="37"/>
        <v>DefExt</v>
      </c>
      <c r="AD124" s="14">
        <f t="shared" si="38"/>
        <v>81</v>
      </c>
      <c r="AE124" s="14" t="str">
        <f t="shared" si="39"/>
        <v>HPExt</v>
      </c>
      <c r="AF124" s="27">
        <f t="shared" si="40"/>
        <v>490</v>
      </c>
      <c r="AG124" s="27" t="str">
        <f t="shared" si="41"/>
        <v>[x]</v>
      </c>
    </row>
    <row r="125" spans="9:33" ht="16.5" x14ac:dyDescent="0.2">
      <c r="I125" s="32"/>
      <c r="P125" s="13">
        <v>69</v>
      </c>
      <c r="Q125" s="14">
        <f t="shared" si="26"/>
        <v>5</v>
      </c>
      <c r="R125" s="14">
        <f t="shared" si="27"/>
        <v>1606007</v>
      </c>
      <c r="S125" s="14" t="str">
        <f t="shared" si="31"/>
        <v>神器2碎片2等级9</v>
      </c>
      <c r="T125" s="29" t="s">
        <v>649</v>
      </c>
      <c r="U125" s="14">
        <f t="shared" si="28"/>
        <v>9</v>
      </c>
      <c r="V125" s="36">
        <f t="shared" si="32"/>
        <v>0.76200000000000001</v>
      </c>
      <c r="W125" s="17">
        <f t="shared" si="29"/>
        <v>7.62E-3</v>
      </c>
      <c r="X125" s="14">
        <f t="shared" si="33"/>
        <v>1</v>
      </c>
      <c r="Y125" s="14">
        <f t="shared" si="34"/>
        <v>2</v>
      </c>
      <c r="Z125" s="14">
        <f t="shared" si="35"/>
        <v>3</v>
      </c>
      <c r="AA125" s="14" t="str">
        <f t="shared" si="36"/>
        <v>AtkExt</v>
      </c>
      <c r="AB125" s="14">
        <f t="shared" si="30"/>
        <v>183</v>
      </c>
      <c r="AC125" s="14" t="str">
        <f t="shared" si="37"/>
        <v>DefExt</v>
      </c>
      <c r="AD125" s="14">
        <f t="shared" si="38"/>
        <v>91</v>
      </c>
      <c r="AE125" s="14" t="str">
        <f t="shared" si="39"/>
        <v>HPExt</v>
      </c>
      <c r="AF125" s="27">
        <f t="shared" si="40"/>
        <v>551</v>
      </c>
      <c r="AG125" s="27" t="str">
        <f t="shared" si="41"/>
        <v>[x]</v>
      </c>
    </row>
    <row r="126" spans="9:33" ht="16.5" x14ac:dyDescent="0.2">
      <c r="I126" s="32"/>
      <c r="P126" s="13">
        <v>70</v>
      </c>
      <c r="Q126" s="14">
        <f t="shared" si="26"/>
        <v>5</v>
      </c>
      <c r="R126" s="14">
        <f t="shared" si="27"/>
        <v>1606007</v>
      </c>
      <c r="S126" s="14" t="str">
        <f t="shared" si="31"/>
        <v>神器2碎片2等级10</v>
      </c>
      <c r="T126" s="29" t="s">
        <v>649</v>
      </c>
      <c r="U126" s="14">
        <f t="shared" si="28"/>
        <v>10</v>
      </c>
      <c r="V126" s="36">
        <f t="shared" si="32"/>
        <v>0.85000000000000009</v>
      </c>
      <c r="W126" s="17">
        <f t="shared" si="29"/>
        <v>8.5000000000000006E-3</v>
      </c>
      <c r="X126" s="14">
        <f t="shared" si="33"/>
        <v>1</v>
      </c>
      <c r="Y126" s="14">
        <f t="shared" si="34"/>
        <v>2</v>
      </c>
      <c r="Z126" s="14">
        <f t="shared" si="35"/>
        <v>3</v>
      </c>
      <c r="AA126" s="14" t="str">
        <f t="shared" si="36"/>
        <v>AtkExt</v>
      </c>
      <c r="AB126" s="14">
        <f t="shared" si="30"/>
        <v>204</v>
      </c>
      <c r="AC126" s="14" t="str">
        <f t="shared" si="37"/>
        <v>DefExt</v>
      </c>
      <c r="AD126" s="14">
        <f t="shared" si="38"/>
        <v>102</v>
      </c>
      <c r="AE126" s="14" t="str">
        <f t="shared" si="39"/>
        <v>HPExt</v>
      </c>
      <c r="AF126" s="27">
        <f t="shared" si="40"/>
        <v>615</v>
      </c>
      <c r="AG126" s="27" t="str">
        <f t="shared" si="41"/>
        <v>[x]</v>
      </c>
    </row>
    <row r="127" spans="9:33" ht="16.5" x14ac:dyDescent="0.2">
      <c r="I127" s="32"/>
      <c r="P127" s="13">
        <v>71</v>
      </c>
      <c r="Q127" s="14">
        <f t="shared" si="26"/>
        <v>5</v>
      </c>
      <c r="R127" s="14">
        <f t="shared" si="27"/>
        <v>1606007</v>
      </c>
      <c r="S127" s="14" t="str">
        <f t="shared" si="31"/>
        <v>神器2碎片2等级11</v>
      </c>
      <c r="T127" s="29" t="s">
        <v>649</v>
      </c>
      <c r="U127" s="14">
        <f t="shared" si="28"/>
        <v>11</v>
      </c>
      <c r="V127" s="36">
        <f t="shared" si="32"/>
        <v>0.94200000000000006</v>
      </c>
      <c r="W127" s="17">
        <f t="shared" si="29"/>
        <v>9.4200000000000013E-3</v>
      </c>
      <c r="X127" s="14">
        <f t="shared" si="33"/>
        <v>1</v>
      </c>
      <c r="Y127" s="14">
        <f t="shared" si="34"/>
        <v>2</v>
      </c>
      <c r="Z127" s="14">
        <f t="shared" si="35"/>
        <v>3</v>
      </c>
      <c r="AA127" s="14" t="str">
        <f t="shared" si="36"/>
        <v>AtkExt</v>
      </c>
      <c r="AB127" s="14">
        <f t="shared" si="30"/>
        <v>226</v>
      </c>
      <c r="AC127" s="14" t="str">
        <f t="shared" si="37"/>
        <v>DefExt</v>
      </c>
      <c r="AD127" s="14">
        <f t="shared" si="38"/>
        <v>113</v>
      </c>
      <c r="AE127" s="14" t="str">
        <f t="shared" si="39"/>
        <v>HPExt</v>
      </c>
      <c r="AF127" s="27">
        <f t="shared" si="40"/>
        <v>682</v>
      </c>
      <c r="AG127" s="27" t="str">
        <f t="shared" si="41"/>
        <v>[x]</v>
      </c>
    </row>
    <row r="128" spans="9:33" ht="16.5" x14ac:dyDescent="0.2">
      <c r="I128" s="32"/>
      <c r="P128" s="13">
        <v>72</v>
      </c>
      <c r="Q128" s="14">
        <f t="shared" si="26"/>
        <v>5</v>
      </c>
      <c r="R128" s="14">
        <f t="shared" si="27"/>
        <v>1606007</v>
      </c>
      <c r="S128" s="14" t="str">
        <f t="shared" si="31"/>
        <v>神器2碎片2等级12</v>
      </c>
      <c r="T128" s="29" t="s">
        <v>649</v>
      </c>
      <c r="U128" s="14">
        <f t="shared" si="28"/>
        <v>12</v>
      </c>
      <c r="V128" s="36">
        <f t="shared" si="32"/>
        <v>1.0380000000000003</v>
      </c>
      <c r="W128" s="17">
        <f t="shared" si="29"/>
        <v>1.0380000000000002E-2</v>
      </c>
      <c r="X128" s="14">
        <f t="shared" si="33"/>
        <v>1</v>
      </c>
      <c r="Y128" s="14">
        <f t="shared" si="34"/>
        <v>2</v>
      </c>
      <c r="Z128" s="14">
        <f t="shared" si="35"/>
        <v>3</v>
      </c>
      <c r="AA128" s="14" t="str">
        <f t="shared" si="36"/>
        <v>AtkExt</v>
      </c>
      <c r="AB128" s="14">
        <f t="shared" si="30"/>
        <v>249</v>
      </c>
      <c r="AC128" s="14" t="str">
        <f t="shared" si="37"/>
        <v>DefExt</v>
      </c>
      <c r="AD128" s="14">
        <f t="shared" si="38"/>
        <v>124</v>
      </c>
      <c r="AE128" s="14" t="str">
        <f t="shared" si="39"/>
        <v>HPExt</v>
      </c>
      <c r="AF128" s="27">
        <f t="shared" si="40"/>
        <v>751</v>
      </c>
      <c r="AG128" s="27" t="str">
        <f t="shared" si="41"/>
        <v>[x]</v>
      </c>
    </row>
    <row r="129" spans="9:33" ht="16.5" x14ac:dyDescent="0.2">
      <c r="I129" s="32"/>
      <c r="P129" s="13">
        <v>73</v>
      </c>
      <c r="Q129" s="14">
        <f t="shared" si="26"/>
        <v>5</v>
      </c>
      <c r="R129" s="14">
        <f t="shared" si="27"/>
        <v>1606007</v>
      </c>
      <c r="S129" s="14" t="str">
        <f t="shared" si="31"/>
        <v>神器2碎片2等级13</v>
      </c>
      <c r="T129" s="29" t="s">
        <v>649</v>
      </c>
      <c r="U129" s="14">
        <f t="shared" si="28"/>
        <v>13</v>
      </c>
      <c r="V129" s="36">
        <f t="shared" si="32"/>
        <v>1.1380000000000001</v>
      </c>
      <c r="W129" s="17">
        <f t="shared" si="29"/>
        <v>1.1380000000000001E-2</v>
      </c>
      <c r="X129" s="14">
        <f t="shared" si="33"/>
        <v>1</v>
      </c>
      <c r="Y129" s="14">
        <f t="shared" si="34"/>
        <v>2</v>
      </c>
      <c r="Z129" s="14">
        <f t="shared" si="35"/>
        <v>3</v>
      </c>
      <c r="AA129" s="14" t="str">
        <f t="shared" si="36"/>
        <v>AtkExt</v>
      </c>
      <c r="AB129" s="14">
        <f t="shared" si="30"/>
        <v>274</v>
      </c>
      <c r="AC129" s="14" t="str">
        <f t="shared" si="37"/>
        <v>DefExt</v>
      </c>
      <c r="AD129" s="14">
        <f t="shared" si="38"/>
        <v>136</v>
      </c>
      <c r="AE129" s="14" t="str">
        <f t="shared" si="39"/>
        <v>HPExt</v>
      </c>
      <c r="AF129" s="27">
        <f t="shared" si="40"/>
        <v>824</v>
      </c>
      <c r="AG129" s="27" t="str">
        <f t="shared" si="41"/>
        <v>[x]</v>
      </c>
    </row>
    <row r="130" spans="9:33" ht="16.5" x14ac:dyDescent="0.2">
      <c r="I130" s="32"/>
      <c r="P130" s="13">
        <v>74</v>
      </c>
      <c r="Q130" s="14">
        <f t="shared" si="26"/>
        <v>5</v>
      </c>
      <c r="R130" s="14">
        <f t="shared" si="27"/>
        <v>1606007</v>
      </c>
      <c r="S130" s="14" t="str">
        <f t="shared" si="31"/>
        <v>神器2碎片2等级14</v>
      </c>
      <c r="T130" s="29" t="s">
        <v>649</v>
      </c>
      <c r="U130" s="14">
        <f t="shared" si="28"/>
        <v>14</v>
      </c>
      <c r="V130" s="36">
        <f t="shared" si="32"/>
        <v>1.242</v>
      </c>
      <c r="W130" s="17">
        <f t="shared" si="29"/>
        <v>1.242E-2</v>
      </c>
      <c r="X130" s="14">
        <f t="shared" si="33"/>
        <v>1</v>
      </c>
      <c r="Y130" s="14">
        <f t="shared" si="34"/>
        <v>2</v>
      </c>
      <c r="Z130" s="14">
        <f t="shared" si="35"/>
        <v>3</v>
      </c>
      <c r="AA130" s="14" t="str">
        <f t="shared" si="36"/>
        <v>AtkExt</v>
      </c>
      <c r="AB130" s="14">
        <f t="shared" si="30"/>
        <v>299</v>
      </c>
      <c r="AC130" s="14" t="str">
        <f t="shared" si="37"/>
        <v>DefExt</v>
      </c>
      <c r="AD130" s="14">
        <f t="shared" si="38"/>
        <v>149</v>
      </c>
      <c r="AE130" s="14" t="str">
        <f t="shared" si="39"/>
        <v>HPExt</v>
      </c>
      <c r="AF130" s="27">
        <f t="shared" si="40"/>
        <v>899</v>
      </c>
      <c r="AG130" s="27" t="str">
        <f t="shared" si="41"/>
        <v>[x]</v>
      </c>
    </row>
    <row r="131" spans="9:33" ht="16.5" x14ac:dyDescent="0.2">
      <c r="I131" s="32"/>
      <c r="P131" s="13">
        <v>75</v>
      </c>
      <c r="Q131" s="14">
        <f t="shared" si="26"/>
        <v>5</v>
      </c>
      <c r="R131" s="14">
        <f t="shared" si="27"/>
        <v>1606007</v>
      </c>
      <c r="S131" s="14" t="str">
        <f t="shared" si="31"/>
        <v>神器2碎片2等级15</v>
      </c>
      <c r="T131" s="29" t="s">
        <v>649</v>
      </c>
      <c r="U131" s="14">
        <f t="shared" si="28"/>
        <v>15</v>
      </c>
      <c r="V131" s="36">
        <f t="shared" si="32"/>
        <v>1.35</v>
      </c>
      <c r="W131" s="17">
        <f t="shared" si="29"/>
        <v>1.3500000000000002E-2</v>
      </c>
      <c r="X131" s="14">
        <f t="shared" si="33"/>
        <v>1</v>
      </c>
      <c r="Y131" s="14">
        <f t="shared" si="34"/>
        <v>2</v>
      </c>
      <c r="Z131" s="14">
        <f t="shared" si="35"/>
        <v>3</v>
      </c>
      <c r="AA131" s="14" t="str">
        <f t="shared" si="36"/>
        <v>AtkExt</v>
      </c>
      <c r="AB131" s="14">
        <f t="shared" si="30"/>
        <v>325</v>
      </c>
      <c r="AC131" s="14" t="str">
        <f t="shared" si="37"/>
        <v>DefExt</v>
      </c>
      <c r="AD131" s="14">
        <f t="shared" si="38"/>
        <v>162</v>
      </c>
      <c r="AE131" s="14" t="str">
        <f t="shared" si="39"/>
        <v>HPExt</v>
      </c>
      <c r="AF131" s="27">
        <f t="shared" si="40"/>
        <v>977</v>
      </c>
      <c r="AG131" s="27" t="str">
        <f t="shared" si="41"/>
        <v>[x]</v>
      </c>
    </row>
    <row r="132" spans="9:33" ht="16.5" x14ac:dyDescent="0.2">
      <c r="I132" s="32"/>
      <c r="P132" s="13">
        <v>76</v>
      </c>
      <c r="Q132" s="14">
        <f t="shared" si="26"/>
        <v>6</v>
      </c>
      <c r="R132" s="14">
        <f t="shared" si="27"/>
        <v>1606008</v>
      </c>
      <c r="S132" s="14" t="str">
        <f t="shared" si="31"/>
        <v>神器2碎片3等级1</v>
      </c>
      <c r="T132" s="29" t="s">
        <v>649</v>
      </c>
      <c r="U132" s="14">
        <f t="shared" si="28"/>
        <v>1</v>
      </c>
      <c r="V132" s="36">
        <f t="shared" si="32"/>
        <v>0.20200000000000001</v>
      </c>
      <c r="W132" s="17">
        <f t="shared" si="29"/>
        <v>2.0200000000000001E-3</v>
      </c>
      <c r="X132" s="14">
        <f t="shared" si="33"/>
        <v>2</v>
      </c>
      <c r="Y132" s="14">
        <f t="shared" si="34"/>
        <v>3</v>
      </c>
      <c r="Z132" s="14">
        <f t="shared" si="35"/>
        <v>0</v>
      </c>
      <c r="AA132" s="14" t="str">
        <f t="shared" si="36"/>
        <v>DefExt</v>
      </c>
      <c r="AB132" s="14">
        <f t="shared" si="30"/>
        <v>48</v>
      </c>
      <c r="AC132" s="14" t="str">
        <f t="shared" si="37"/>
        <v>HPExt</v>
      </c>
      <c r="AD132" s="14">
        <f t="shared" si="38"/>
        <v>146</v>
      </c>
      <c r="AE132" s="14" t="str">
        <f t="shared" si="39"/>
        <v>[x]</v>
      </c>
      <c r="AF132" s="27" t="str">
        <f t="shared" si="40"/>
        <v>[x]</v>
      </c>
      <c r="AG132" s="27" t="str">
        <f t="shared" si="41"/>
        <v>[x]</v>
      </c>
    </row>
    <row r="133" spans="9:33" ht="16.5" x14ac:dyDescent="0.2">
      <c r="I133" s="32"/>
      <c r="P133" s="13">
        <v>77</v>
      </c>
      <c r="Q133" s="14">
        <f t="shared" si="26"/>
        <v>6</v>
      </c>
      <c r="R133" s="14">
        <f t="shared" si="27"/>
        <v>1606008</v>
      </c>
      <c r="S133" s="14" t="str">
        <f t="shared" si="31"/>
        <v>神器2碎片3等级2</v>
      </c>
      <c r="T133" s="29" t="s">
        <v>649</v>
      </c>
      <c r="U133" s="14">
        <f t="shared" si="28"/>
        <v>2</v>
      </c>
      <c r="V133" s="36">
        <f t="shared" si="32"/>
        <v>0.25800000000000001</v>
      </c>
      <c r="W133" s="17">
        <f t="shared" si="29"/>
        <v>2.5800000000000003E-3</v>
      </c>
      <c r="X133" s="14">
        <f t="shared" si="33"/>
        <v>2</v>
      </c>
      <c r="Y133" s="14">
        <f t="shared" si="34"/>
        <v>3</v>
      </c>
      <c r="Z133" s="14">
        <f t="shared" si="35"/>
        <v>0</v>
      </c>
      <c r="AA133" s="14" t="str">
        <f t="shared" si="36"/>
        <v>DefExt</v>
      </c>
      <c r="AB133" s="14">
        <f t="shared" si="30"/>
        <v>61</v>
      </c>
      <c r="AC133" s="14" t="str">
        <f t="shared" si="37"/>
        <v>HPExt</v>
      </c>
      <c r="AD133" s="14">
        <f t="shared" si="38"/>
        <v>186</v>
      </c>
      <c r="AE133" s="14" t="str">
        <f t="shared" si="39"/>
        <v>[x]</v>
      </c>
      <c r="AF133" s="27" t="str">
        <f t="shared" si="40"/>
        <v>[x]</v>
      </c>
      <c r="AG133" s="27" t="str">
        <f t="shared" si="41"/>
        <v>[x]</v>
      </c>
    </row>
    <row r="134" spans="9:33" ht="16.5" x14ac:dyDescent="0.2">
      <c r="I134" s="32"/>
      <c r="P134" s="13">
        <v>78</v>
      </c>
      <c r="Q134" s="14">
        <f t="shared" si="26"/>
        <v>6</v>
      </c>
      <c r="R134" s="14">
        <f t="shared" si="27"/>
        <v>1606008</v>
      </c>
      <c r="S134" s="14" t="str">
        <f t="shared" si="31"/>
        <v>神器2碎片3等级3</v>
      </c>
      <c r="T134" s="29" t="s">
        <v>649</v>
      </c>
      <c r="U134" s="14">
        <f t="shared" si="28"/>
        <v>3</v>
      </c>
      <c r="V134" s="36">
        <f t="shared" si="32"/>
        <v>0.31800000000000006</v>
      </c>
      <c r="W134" s="17">
        <f t="shared" si="29"/>
        <v>3.1800000000000005E-3</v>
      </c>
      <c r="X134" s="14">
        <f t="shared" si="33"/>
        <v>2</v>
      </c>
      <c r="Y134" s="14">
        <f t="shared" si="34"/>
        <v>3</v>
      </c>
      <c r="Z134" s="14">
        <f t="shared" si="35"/>
        <v>0</v>
      </c>
      <c r="AA134" s="14" t="str">
        <f t="shared" si="36"/>
        <v>DefExt</v>
      </c>
      <c r="AB134" s="14">
        <f t="shared" si="30"/>
        <v>76</v>
      </c>
      <c r="AC134" s="14" t="str">
        <f t="shared" si="37"/>
        <v>HPExt</v>
      </c>
      <c r="AD134" s="14">
        <f t="shared" si="38"/>
        <v>230</v>
      </c>
      <c r="AE134" s="14" t="str">
        <f t="shared" si="39"/>
        <v>[x]</v>
      </c>
      <c r="AF134" s="27" t="str">
        <f t="shared" si="40"/>
        <v>[x]</v>
      </c>
      <c r="AG134" s="27" t="str">
        <f t="shared" si="41"/>
        <v>[x]</v>
      </c>
    </row>
    <row r="135" spans="9:33" ht="16.5" x14ac:dyDescent="0.2">
      <c r="I135" s="32"/>
      <c r="P135" s="13">
        <v>79</v>
      </c>
      <c r="Q135" s="14">
        <f t="shared" si="26"/>
        <v>6</v>
      </c>
      <c r="R135" s="14">
        <f t="shared" si="27"/>
        <v>1606008</v>
      </c>
      <c r="S135" s="14" t="str">
        <f t="shared" si="31"/>
        <v>神器2碎片3等级4</v>
      </c>
      <c r="T135" s="29" t="s">
        <v>649</v>
      </c>
      <c r="U135" s="14">
        <f t="shared" si="28"/>
        <v>4</v>
      </c>
      <c r="V135" s="36">
        <f t="shared" si="32"/>
        <v>0.38200000000000001</v>
      </c>
      <c r="W135" s="17">
        <f t="shared" si="29"/>
        <v>3.82E-3</v>
      </c>
      <c r="X135" s="14">
        <f t="shared" si="33"/>
        <v>2</v>
      </c>
      <c r="Y135" s="14">
        <f t="shared" si="34"/>
        <v>3</v>
      </c>
      <c r="Z135" s="14">
        <f t="shared" si="35"/>
        <v>0</v>
      </c>
      <c r="AA135" s="14" t="str">
        <f t="shared" si="36"/>
        <v>DefExt</v>
      </c>
      <c r="AB135" s="14">
        <f t="shared" si="30"/>
        <v>91</v>
      </c>
      <c r="AC135" s="14" t="str">
        <f t="shared" si="37"/>
        <v>HPExt</v>
      </c>
      <c r="AD135" s="14">
        <f t="shared" si="38"/>
        <v>276</v>
      </c>
      <c r="AE135" s="14" t="str">
        <f t="shared" si="39"/>
        <v>[x]</v>
      </c>
      <c r="AF135" s="27" t="str">
        <f t="shared" si="40"/>
        <v>[x]</v>
      </c>
      <c r="AG135" s="27" t="str">
        <f t="shared" si="41"/>
        <v>[x]</v>
      </c>
    </row>
    <row r="136" spans="9:33" ht="16.5" x14ac:dyDescent="0.2">
      <c r="I136" s="32"/>
      <c r="P136" s="13">
        <v>80</v>
      </c>
      <c r="Q136" s="14">
        <f t="shared" si="26"/>
        <v>6</v>
      </c>
      <c r="R136" s="14">
        <f t="shared" si="27"/>
        <v>1606008</v>
      </c>
      <c r="S136" s="14" t="str">
        <f t="shared" si="31"/>
        <v>神器2碎片3等级5</v>
      </c>
      <c r="T136" s="29" t="s">
        <v>649</v>
      </c>
      <c r="U136" s="14">
        <f t="shared" si="28"/>
        <v>5</v>
      </c>
      <c r="V136" s="36">
        <f t="shared" si="32"/>
        <v>0.45</v>
      </c>
      <c r="W136" s="17">
        <f t="shared" si="29"/>
        <v>4.5000000000000005E-3</v>
      </c>
      <c r="X136" s="14">
        <f t="shared" si="33"/>
        <v>2</v>
      </c>
      <c r="Y136" s="14">
        <f t="shared" si="34"/>
        <v>3</v>
      </c>
      <c r="Z136" s="14">
        <f t="shared" si="35"/>
        <v>0</v>
      </c>
      <c r="AA136" s="14" t="str">
        <f t="shared" si="36"/>
        <v>DefExt</v>
      </c>
      <c r="AB136" s="14">
        <f t="shared" si="30"/>
        <v>108</v>
      </c>
      <c r="AC136" s="14" t="str">
        <f t="shared" si="37"/>
        <v>HPExt</v>
      </c>
      <c r="AD136" s="14">
        <f t="shared" si="38"/>
        <v>325</v>
      </c>
      <c r="AE136" s="14" t="str">
        <f t="shared" si="39"/>
        <v>[x]</v>
      </c>
      <c r="AF136" s="27" t="str">
        <f t="shared" si="40"/>
        <v>[x]</v>
      </c>
      <c r="AG136" s="27" t="str">
        <f t="shared" si="41"/>
        <v>[x]</v>
      </c>
    </row>
    <row r="137" spans="9:33" ht="16.5" x14ac:dyDescent="0.2">
      <c r="I137" s="32"/>
      <c r="P137" s="13">
        <v>81</v>
      </c>
      <c r="Q137" s="14">
        <f t="shared" si="26"/>
        <v>6</v>
      </c>
      <c r="R137" s="14">
        <f t="shared" si="27"/>
        <v>1606008</v>
      </c>
      <c r="S137" s="14" t="str">
        <f t="shared" si="31"/>
        <v>神器2碎片3等级6</v>
      </c>
      <c r="T137" s="29" t="s">
        <v>649</v>
      </c>
      <c r="U137" s="14">
        <f t="shared" si="28"/>
        <v>6</v>
      </c>
      <c r="V137" s="36">
        <f t="shared" si="32"/>
        <v>0.52200000000000002</v>
      </c>
      <c r="W137" s="17">
        <f t="shared" si="29"/>
        <v>5.2200000000000007E-3</v>
      </c>
      <c r="X137" s="14">
        <f t="shared" si="33"/>
        <v>2</v>
      </c>
      <c r="Y137" s="14">
        <f t="shared" si="34"/>
        <v>3</v>
      </c>
      <c r="Z137" s="14">
        <f t="shared" si="35"/>
        <v>0</v>
      </c>
      <c r="AA137" s="14" t="str">
        <f t="shared" si="36"/>
        <v>DefExt</v>
      </c>
      <c r="AB137" s="14">
        <f t="shared" si="30"/>
        <v>125</v>
      </c>
      <c r="AC137" s="14" t="str">
        <f t="shared" si="37"/>
        <v>HPExt</v>
      </c>
      <c r="AD137" s="14">
        <f t="shared" si="38"/>
        <v>378</v>
      </c>
      <c r="AE137" s="14" t="str">
        <f t="shared" si="39"/>
        <v>[x]</v>
      </c>
      <c r="AF137" s="27" t="str">
        <f t="shared" si="40"/>
        <v>[x]</v>
      </c>
      <c r="AG137" s="27" t="str">
        <f t="shared" si="41"/>
        <v>[x]</v>
      </c>
    </row>
    <row r="138" spans="9:33" ht="16.5" x14ac:dyDescent="0.2">
      <c r="I138" s="32"/>
      <c r="P138" s="13">
        <v>82</v>
      </c>
      <c r="Q138" s="14">
        <f t="shared" si="26"/>
        <v>6</v>
      </c>
      <c r="R138" s="14">
        <f t="shared" si="27"/>
        <v>1606008</v>
      </c>
      <c r="S138" s="14" t="str">
        <f t="shared" si="31"/>
        <v>神器2碎片3等级7</v>
      </c>
      <c r="T138" s="29" t="s">
        <v>649</v>
      </c>
      <c r="U138" s="14">
        <f t="shared" si="28"/>
        <v>7</v>
      </c>
      <c r="V138" s="36">
        <f t="shared" si="32"/>
        <v>0.59799999999999998</v>
      </c>
      <c r="W138" s="17">
        <f t="shared" si="29"/>
        <v>5.9800000000000001E-3</v>
      </c>
      <c r="X138" s="14">
        <f t="shared" si="33"/>
        <v>2</v>
      </c>
      <c r="Y138" s="14">
        <f t="shared" si="34"/>
        <v>3</v>
      </c>
      <c r="Z138" s="14">
        <f t="shared" si="35"/>
        <v>0</v>
      </c>
      <c r="AA138" s="14" t="str">
        <f t="shared" si="36"/>
        <v>DefExt</v>
      </c>
      <c r="AB138" s="14">
        <f t="shared" si="30"/>
        <v>143</v>
      </c>
      <c r="AC138" s="14" t="str">
        <f t="shared" si="37"/>
        <v>HPExt</v>
      </c>
      <c r="AD138" s="14">
        <f t="shared" si="38"/>
        <v>433</v>
      </c>
      <c r="AE138" s="14" t="str">
        <f t="shared" si="39"/>
        <v>[x]</v>
      </c>
      <c r="AF138" s="27" t="str">
        <f t="shared" si="40"/>
        <v>[x]</v>
      </c>
      <c r="AG138" s="27" t="str">
        <f t="shared" si="41"/>
        <v>[x]</v>
      </c>
    </row>
    <row r="139" spans="9:33" ht="16.5" x14ac:dyDescent="0.2">
      <c r="I139" s="32"/>
      <c r="P139" s="13">
        <v>83</v>
      </c>
      <c r="Q139" s="14">
        <f t="shared" si="26"/>
        <v>6</v>
      </c>
      <c r="R139" s="14">
        <f t="shared" si="27"/>
        <v>1606008</v>
      </c>
      <c r="S139" s="14" t="str">
        <f t="shared" si="31"/>
        <v>神器2碎片3等级8</v>
      </c>
      <c r="T139" s="29" t="s">
        <v>649</v>
      </c>
      <c r="U139" s="14">
        <f t="shared" si="28"/>
        <v>8</v>
      </c>
      <c r="V139" s="36">
        <f t="shared" si="32"/>
        <v>0.67800000000000005</v>
      </c>
      <c r="W139" s="17">
        <f t="shared" si="29"/>
        <v>6.7800000000000004E-3</v>
      </c>
      <c r="X139" s="14">
        <f t="shared" si="33"/>
        <v>2</v>
      </c>
      <c r="Y139" s="14">
        <f t="shared" si="34"/>
        <v>3</v>
      </c>
      <c r="Z139" s="14">
        <f t="shared" si="35"/>
        <v>0</v>
      </c>
      <c r="AA139" s="14" t="str">
        <f t="shared" si="36"/>
        <v>DefExt</v>
      </c>
      <c r="AB139" s="14">
        <f t="shared" si="30"/>
        <v>162</v>
      </c>
      <c r="AC139" s="14" t="str">
        <f t="shared" si="37"/>
        <v>HPExt</v>
      </c>
      <c r="AD139" s="14">
        <f t="shared" si="38"/>
        <v>490</v>
      </c>
      <c r="AE139" s="14" t="str">
        <f t="shared" si="39"/>
        <v>[x]</v>
      </c>
      <c r="AF139" s="27" t="str">
        <f t="shared" si="40"/>
        <v>[x]</v>
      </c>
      <c r="AG139" s="27" t="str">
        <f t="shared" si="41"/>
        <v>[x]</v>
      </c>
    </row>
    <row r="140" spans="9:33" ht="16.5" x14ac:dyDescent="0.2">
      <c r="I140" s="32"/>
      <c r="P140" s="13">
        <v>84</v>
      </c>
      <c r="Q140" s="14">
        <f t="shared" si="26"/>
        <v>6</v>
      </c>
      <c r="R140" s="14">
        <f t="shared" si="27"/>
        <v>1606008</v>
      </c>
      <c r="S140" s="14" t="str">
        <f t="shared" si="31"/>
        <v>神器2碎片3等级9</v>
      </c>
      <c r="T140" s="29" t="s">
        <v>649</v>
      </c>
      <c r="U140" s="14">
        <f t="shared" si="28"/>
        <v>9</v>
      </c>
      <c r="V140" s="36">
        <f t="shared" si="32"/>
        <v>0.76200000000000001</v>
      </c>
      <c r="W140" s="17">
        <f t="shared" si="29"/>
        <v>7.62E-3</v>
      </c>
      <c r="X140" s="14">
        <f t="shared" si="33"/>
        <v>2</v>
      </c>
      <c r="Y140" s="14">
        <f t="shared" si="34"/>
        <v>3</v>
      </c>
      <c r="Z140" s="14">
        <f t="shared" si="35"/>
        <v>0</v>
      </c>
      <c r="AA140" s="14" t="str">
        <f t="shared" si="36"/>
        <v>DefExt</v>
      </c>
      <c r="AB140" s="14">
        <f t="shared" si="30"/>
        <v>183</v>
      </c>
      <c r="AC140" s="14" t="str">
        <f t="shared" si="37"/>
        <v>HPExt</v>
      </c>
      <c r="AD140" s="14">
        <f t="shared" si="38"/>
        <v>551</v>
      </c>
      <c r="AE140" s="14" t="str">
        <f t="shared" si="39"/>
        <v>[x]</v>
      </c>
      <c r="AF140" s="27" t="str">
        <f t="shared" si="40"/>
        <v>[x]</v>
      </c>
      <c r="AG140" s="27" t="str">
        <f t="shared" si="41"/>
        <v>[x]</v>
      </c>
    </row>
    <row r="141" spans="9:33" ht="16.5" x14ac:dyDescent="0.2">
      <c r="I141" s="32"/>
      <c r="P141" s="13">
        <v>85</v>
      </c>
      <c r="Q141" s="14">
        <f t="shared" si="26"/>
        <v>6</v>
      </c>
      <c r="R141" s="14">
        <f t="shared" si="27"/>
        <v>1606008</v>
      </c>
      <c r="S141" s="14" t="str">
        <f t="shared" si="31"/>
        <v>神器2碎片3等级10</v>
      </c>
      <c r="T141" s="29" t="s">
        <v>649</v>
      </c>
      <c r="U141" s="14">
        <f t="shared" si="28"/>
        <v>10</v>
      </c>
      <c r="V141" s="36">
        <f t="shared" si="32"/>
        <v>0.85000000000000009</v>
      </c>
      <c r="W141" s="17">
        <f t="shared" si="29"/>
        <v>8.5000000000000006E-3</v>
      </c>
      <c r="X141" s="14">
        <f t="shared" si="33"/>
        <v>2</v>
      </c>
      <c r="Y141" s="14">
        <f t="shared" si="34"/>
        <v>3</v>
      </c>
      <c r="Z141" s="14">
        <f t="shared" si="35"/>
        <v>0</v>
      </c>
      <c r="AA141" s="14" t="str">
        <f t="shared" si="36"/>
        <v>DefExt</v>
      </c>
      <c r="AB141" s="14">
        <f t="shared" si="30"/>
        <v>204</v>
      </c>
      <c r="AC141" s="14" t="str">
        <f t="shared" si="37"/>
        <v>HPExt</v>
      </c>
      <c r="AD141" s="14">
        <f t="shared" si="38"/>
        <v>615</v>
      </c>
      <c r="AE141" s="14" t="str">
        <f t="shared" si="39"/>
        <v>[x]</v>
      </c>
      <c r="AF141" s="27" t="str">
        <f t="shared" si="40"/>
        <v>[x]</v>
      </c>
      <c r="AG141" s="27" t="str">
        <f t="shared" si="41"/>
        <v>[x]</v>
      </c>
    </row>
    <row r="142" spans="9:33" ht="16.5" x14ac:dyDescent="0.2">
      <c r="I142" s="32"/>
      <c r="P142" s="13">
        <v>86</v>
      </c>
      <c r="Q142" s="14">
        <f t="shared" si="26"/>
        <v>6</v>
      </c>
      <c r="R142" s="14">
        <f t="shared" si="27"/>
        <v>1606008</v>
      </c>
      <c r="S142" s="14" t="str">
        <f t="shared" si="31"/>
        <v>神器2碎片3等级11</v>
      </c>
      <c r="T142" s="29" t="s">
        <v>649</v>
      </c>
      <c r="U142" s="14">
        <f t="shared" si="28"/>
        <v>11</v>
      </c>
      <c r="V142" s="36">
        <f t="shared" si="32"/>
        <v>0.94200000000000006</v>
      </c>
      <c r="W142" s="17">
        <f t="shared" si="29"/>
        <v>9.4200000000000013E-3</v>
      </c>
      <c r="X142" s="14">
        <f t="shared" si="33"/>
        <v>2</v>
      </c>
      <c r="Y142" s="14">
        <f t="shared" si="34"/>
        <v>3</v>
      </c>
      <c r="Z142" s="14">
        <f t="shared" si="35"/>
        <v>0</v>
      </c>
      <c r="AA142" s="14" t="str">
        <f t="shared" si="36"/>
        <v>DefExt</v>
      </c>
      <c r="AB142" s="14">
        <f t="shared" si="30"/>
        <v>226</v>
      </c>
      <c r="AC142" s="14" t="str">
        <f t="shared" si="37"/>
        <v>HPExt</v>
      </c>
      <c r="AD142" s="14">
        <f t="shared" si="38"/>
        <v>682</v>
      </c>
      <c r="AE142" s="14" t="str">
        <f t="shared" si="39"/>
        <v>[x]</v>
      </c>
      <c r="AF142" s="27" t="str">
        <f t="shared" si="40"/>
        <v>[x]</v>
      </c>
      <c r="AG142" s="27" t="str">
        <f t="shared" si="41"/>
        <v>[x]</v>
      </c>
    </row>
    <row r="143" spans="9:33" ht="16.5" x14ac:dyDescent="0.2">
      <c r="I143" s="32"/>
      <c r="P143" s="13">
        <v>87</v>
      </c>
      <c r="Q143" s="14">
        <f t="shared" si="26"/>
        <v>6</v>
      </c>
      <c r="R143" s="14">
        <f t="shared" si="27"/>
        <v>1606008</v>
      </c>
      <c r="S143" s="14" t="str">
        <f t="shared" si="31"/>
        <v>神器2碎片3等级12</v>
      </c>
      <c r="T143" s="29" t="s">
        <v>649</v>
      </c>
      <c r="U143" s="14">
        <f t="shared" si="28"/>
        <v>12</v>
      </c>
      <c r="V143" s="36">
        <f t="shared" si="32"/>
        <v>1.0380000000000003</v>
      </c>
      <c r="W143" s="17">
        <f t="shared" si="29"/>
        <v>1.0380000000000002E-2</v>
      </c>
      <c r="X143" s="14">
        <f t="shared" si="33"/>
        <v>2</v>
      </c>
      <c r="Y143" s="14">
        <f t="shared" si="34"/>
        <v>3</v>
      </c>
      <c r="Z143" s="14">
        <f t="shared" si="35"/>
        <v>0</v>
      </c>
      <c r="AA143" s="14" t="str">
        <f t="shared" si="36"/>
        <v>DefExt</v>
      </c>
      <c r="AB143" s="14">
        <f t="shared" si="30"/>
        <v>249</v>
      </c>
      <c r="AC143" s="14" t="str">
        <f t="shared" si="37"/>
        <v>HPExt</v>
      </c>
      <c r="AD143" s="14">
        <f t="shared" si="38"/>
        <v>751</v>
      </c>
      <c r="AE143" s="14" t="str">
        <f t="shared" si="39"/>
        <v>[x]</v>
      </c>
      <c r="AF143" s="27" t="str">
        <f t="shared" si="40"/>
        <v>[x]</v>
      </c>
      <c r="AG143" s="27" t="str">
        <f t="shared" si="41"/>
        <v>[x]</v>
      </c>
    </row>
    <row r="144" spans="9:33" ht="16.5" x14ac:dyDescent="0.2">
      <c r="I144" s="32"/>
      <c r="P144" s="13">
        <v>88</v>
      </c>
      <c r="Q144" s="14">
        <f t="shared" si="26"/>
        <v>6</v>
      </c>
      <c r="R144" s="14">
        <f t="shared" si="27"/>
        <v>1606008</v>
      </c>
      <c r="S144" s="14" t="str">
        <f t="shared" si="31"/>
        <v>神器2碎片3等级13</v>
      </c>
      <c r="T144" s="29" t="s">
        <v>649</v>
      </c>
      <c r="U144" s="14">
        <f t="shared" si="28"/>
        <v>13</v>
      </c>
      <c r="V144" s="36">
        <f t="shared" si="32"/>
        <v>1.1380000000000001</v>
      </c>
      <c r="W144" s="17">
        <f t="shared" si="29"/>
        <v>1.1380000000000001E-2</v>
      </c>
      <c r="X144" s="14">
        <f t="shared" si="33"/>
        <v>2</v>
      </c>
      <c r="Y144" s="14">
        <f t="shared" si="34"/>
        <v>3</v>
      </c>
      <c r="Z144" s="14">
        <f t="shared" si="35"/>
        <v>0</v>
      </c>
      <c r="AA144" s="14" t="str">
        <f t="shared" si="36"/>
        <v>DefExt</v>
      </c>
      <c r="AB144" s="14">
        <f t="shared" si="30"/>
        <v>273</v>
      </c>
      <c r="AC144" s="14" t="str">
        <f t="shared" si="37"/>
        <v>HPExt</v>
      </c>
      <c r="AD144" s="14">
        <f t="shared" si="38"/>
        <v>824</v>
      </c>
      <c r="AE144" s="14" t="str">
        <f t="shared" si="39"/>
        <v>[x]</v>
      </c>
      <c r="AF144" s="27" t="str">
        <f t="shared" si="40"/>
        <v>[x]</v>
      </c>
      <c r="AG144" s="27" t="str">
        <f t="shared" si="41"/>
        <v>[x]</v>
      </c>
    </row>
    <row r="145" spans="9:33" ht="16.5" x14ac:dyDescent="0.2">
      <c r="I145" s="32"/>
      <c r="P145" s="13">
        <v>89</v>
      </c>
      <c r="Q145" s="14">
        <f t="shared" si="26"/>
        <v>6</v>
      </c>
      <c r="R145" s="14">
        <f t="shared" si="27"/>
        <v>1606008</v>
      </c>
      <c r="S145" s="14" t="str">
        <f t="shared" si="31"/>
        <v>神器2碎片3等级14</v>
      </c>
      <c r="T145" s="29" t="s">
        <v>649</v>
      </c>
      <c r="U145" s="14">
        <f t="shared" si="28"/>
        <v>14</v>
      </c>
      <c r="V145" s="36">
        <f t="shared" si="32"/>
        <v>1.242</v>
      </c>
      <c r="W145" s="17">
        <f t="shared" si="29"/>
        <v>1.242E-2</v>
      </c>
      <c r="X145" s="14">
        <f t="shared" si="33"/>
        <v>2</v>
      </c>
      <c r="Y145" s="14">
        <f t="shared" si="34"/>
        <v>3</v>
      </c>
      <c r="Z145" s="14">
        <f t="shared" si="35"/>
        <v>0</v>
      </c>
      <c r="AA145" s="14" t="str">
        <f t="shared" si="36"/>
        <v>DefExt</v>
      </c>
      <c r="AB145" s="14">
        <f t="shared" si="30"/>
        <v>298</v>
      </c>
      <c r="AC145" s="14" t="str">
        <f t="shared" si="37"/>
        <v>HPExt</v>
      </c>
      <c r="AD145" s="14">
        <f t="shared" si="38"/>
        <v>899</v>
      </c>
      <c r="AE145" s="14" t="str">
        <f t="shared" si="39"/>
        <v>[x]</v>
      </c>
      <c r="AF145" s="27" t="str">
        <f t="shared" si="40"/>
        <v>[x]</v>
      </c>
      <c r="AG145" s="27" t="str">
        <f t="shared" si="41"/>
        <v>[x]</v>
      </c>
    </row>
    <row r="146" spans="9:33" ht="16.5" x14ac:dyDescent="0.2">
      <c r="I146" s="32"/>
      <c r="P146" s="13">
        <v>90</v>
      </c>
      <c r="Q146" s="14">
        <f t="shared" si="26"/>
        <v>6</v>
      </c>
      <c r="R146" s="14">
        <f t="shared" si="27"/>
        <v>1606008</v>
      </c>
      <c r="S146" s="14" t="str">
        <f t="shared" si="31"/>
        <v>神器2碎片3等级15</v>
      </c>
      <c r="T146" s="29" t="s">
        <v>649</v>
      </c>
      <c r="U146" s="14">
        <f t="shared" si="28"/>
        <v>15</v>
      </c>
      <c r="V146" s="36">
        <f t="shared" si="32"/>
        <v>1.35</v>
      </c>
      <c r="W146" s="17">
        <f t="shared" si="29"/>
        <v>1.3500000000000002E-2</v>
      </c>
      <c r="X146" s="14">
        <f t="shared" si="33"/>
        <v>2</v>
      </c>
      <c r="Y146" s="14">
        <f t="shared" si="34"/>
        <v>3</v>
      </c>
      <c r="Z146" s="14">
        <f t="shared" si="35"/>
        <v>0</v>
      </c>
      <c r="AA146" s="14" t="str">
        <f t="shared" si="36"/>
        <v>DefExt</v>
      </c>
      <c r="AB146" s="14">
        <f t="shared" si="30"/>
        <v>324</v>
      </c>
      <c r="AC146" s="14" t="str">
        <f t="shared" si="37"/>
        <v>HPExt</v>
      </c>
      <c r="AD146" s="14">
        <f t="shared" si="38"/>
        <v>977</v>
      </c>
      <c r="AE146" s="14" t="str">
        <f t="shared" si="39"/>
        <v>[x]</v>
      </c>
      <c r="AF146" s="27" t="str">
        <f t="shared" si="40"/>
        <v>[x]</v>
      </c>
      <c r="AG146" s="27" t="str">
        <f t="shared" si="41"/>
        <v>[x]</v>
      </c>
    </row>
    <row r="147" spans="9:33" ht="16.5" x14ac:dyDescent="0.2">
      <c r="I147" s="32"/>
      <c r="P147" s="13">
        <v>91</v>
      </c>
      <c r="Q147" s="14">
        <f t="shared" si="26"/>
        <v>7</v>
      </c>
      <c r="R147" s="14">
        <f t="shared" si="27"/>
        <v>1606009</v>
      </c>
      <c r="S147" s="14" t="str">
        <f t="shared" si="31"/>
        <v>神器2碎片4等级1</v>
      </c>
      <c r="T147" s="29" t="s">
        <v>649</v>
      </c>
      <c r="U147" s="14">
        <f t="shared" si="28"/>
        <v>1</v>
      </c>
      <c r="V147" s="36">
        <f t="shared" si="32"/>
        <v>0.20200000000000001</v>
      </c>
      <c r="W147" s="17">
        <f t="shared" si="29"/>
        <v>4.0400000000000002E-3</v>
      </c>
      <c r="X147" s="14">
        <f t="shared" si="33"/>
        <v>1</v>
      </c>
      <c r="Y147" s="14">
        <f t="shared" si="34"/>
        <v>2</v>
      </c>
      <c r="Z147" s="14">
        <f t="shared" si="35"/>
        <v>3</v>
      </c>
      <c r="AA147" s="14" t="str">
        <f t="shared" si="36"/>
        <v>AtkExt</v>
      </c>
      <c r="AB147" s="14">
        <f t="shared" si="30"/>
        <v>97</v>
      </c>
      <c r="AC147" s="14" t="str">
        <f t="shared" si="37"/>
        <v>DefExt</v>
      </c>
      <c r="AD147" s="14">
        <f t="shared" si="38"/>
        <v>48</v>
      </c>
      <c r="AE147" s="14" t="str">
        <f t="shared" si="39"/>
        <v>HPExt</v>
      </c>
      <c r="AF147" s="27">
        <f t="shared" si="40"/>
        <v>292</v>
      </c>
      <c r="AG147" s="27" t="str">
        <f t="shared" si="41"/>
        <v>[x]</v>
      </c>
    </row>
    <row r="148" spans="9:33" ht="16.5" x14ac:dyDescent="0.2">
      <c r="I148" s="32"/>
      <c r="P148" s="13">
        <v>92</v>
      </c>
      <c r="Q148" s="14">
        <f t="shared" si="26"/>
        <v>7</v>
      </c>
      <c r="R148" s="14">
        <f t="shared" si="27"/>
        <v>1606009</v>
      </c>
      <c r="S148" s="14" t="str">
        <f t="shared" si="31"/>
        <v>神器2碎片4等级2</v>
      </c>
      <c r="T148" s="29" t="s">
        <v>649</v>
      </c>
      <c r="U148" s="14">
        <f t="shared" si="28"/>
        <v>2</v>
      </c>
      <c r="V148" s="36">
        <f t="shared" si="32"/>
        <v>0.25800000000000001</v>
      </c>
      <c r="W148" s="17">
        <f t="shared" si="29"/>
        <v>5.1600000000000005E-3</v>
      </c>
      <c r="X148" s="14">
        <f t="shared" si="33"/>
        <v>1</v>
      </c>
      <c r="Y148" s="14">
        <f t="shared" si="34"/>
        <v>2</v>
      </c>
      <c r="Z148" s="14">
        <f t="shared" si="35"/>
        <v>3</v>
      </c>
      <c r="AA148" s="14" t="str">
        <f t="shared" si="36"/>
        <v>AtkExt</v>
      </c>
      <c r="AB148" s="14">
        <f t="shared" si="30"/>
        <v>124</v>
      </c>
      <c r="AC148" s="14" t="str">
        <f t="shared" si="37"/>
        <v>DefExt</v>
      </c>
      <c r="AD148" s="14">
        <f t="shared" si="38"/>
        <v>61</v>
      </c>
      <c r="AE148" s="14" t="str">
        <f t="shared" si="39"/>
        <v>HPExt</v>
      </c>
      <c r="AF148" s="27">
        <f t="shared" si="40"/>
        <v>373</v>
      </c>
      <c r="AG148" s="27" t="str">
        <f t="shared" si="41"/>
        <v>[x]</v>
      </c>
    </row>
    <row r="149" spans="9:33" ht="16.5" x14ac:dyDescent="0.2">
      <c r="I149" s="32"/>
      <c r="P149" s="13">
        <v>93</v>
      </c>
      <c r="Q149" s="14">
        <f t="shared" si="26"/>
        <v>7</v>
      </c>
      <c r="R149" s="14">
        <f t="shared" si="27"/>
        <v>1606009</v>
      </c>
      <c r="S149" s="14" t="str">
        <f t="shared" si="31"/>
        <v>神器2碎片4等级3</v>
      </c>
      <c r="T149" s="29" t="s">
        <v>649</v>
      </c>
      <c r="U149" s="14">
        <f t="shared" si="28"/>
        <v>3</v>
      </c>
      <c r="V149" s="36">
        <f t="shared" si="32"/>
        <v>0.31800000000000006</v>
      </c>
      <c r="W149" s="17">
        <f t="shared" si="29"/>
        <v>6.3600000000000011E-3</v>
      </c>
      <c r="X149" s="14">
        <f t="shared" si="33"/>
        <v>1</v>
      </c>
      <c r="Y149" s="14">
        <f t="shared" si="34"/>
        <v>2</v>
      </c>
      <c r="Z149" s="14">
        <f t="shared" si="35"/>
        <v>3</v>
      </c>
      <c r="AA149" s="14" t="str">
        <f t="shared" si="36"/>
        <v>AtkExt</v>
      </c>
      <c r="AB149" s="14">
        <f t="shared" si="30"/>
        <v>153</v>
      </c>
      <c r="AC149" s="14" t="str">
        <f t="shared" si="37"/>
        <v>DefExt</v>
      </c>
      <c r="AD149" s="14">
        <f t="shared" si="38"/>
        <v>76</v>
      </c>
      <c r="AE149" s="14" t="str">
        <f t="shared" si="39"/>
        <v>HPExt</v>
      </c>
      <c r="AF149" s="27">
        <f t="shared" si="40"/>
        <v>460</v>
      </c>
      <c r="AG149" s="27" t="str">
        <f t="shared" si="41"/>
        <v>[x]</v>
      </c>
    </row>
    <row r="150" spans="9:33" ht="16.5" x14ac:dyDescent="0.2">
      <c r="I150" s="32"/>
      <c r="P150" s="13">
        <v>94</v>
      </c>
      <c r="Q150" s="14">
        <f t="shared" si="26"/>
        <v>7</v>
      </c>
      <c r="R150" s="14">
        <f t="shared" si="27"/>
        <v>1606009</v>
      </c>
      <c r="S150" s="14" t="str">
        <f t="shared" si="31"/>
        <v>神器2碎片4等级4</v>
      </c>
      <c r="T150" s="29" t="s">
        <v>649</v>
      </c>
      <c r="U150" s="14">
        <f t="shared" si="28"/>
        <v>4</v>
      </c>
      <c r="V150" s="36">
        <f t="shared" si="32"/>
        <v>0.38200000000000001</v>
      </c>
      <c r="W150" s="17">
        <f t="shared" si="29"/>
        <v>7.6400000000000001E-3</v>
      </c>
      <c r="X150" s="14">
        <f t="shared" si="33"/>
        <v>1</v>
      </c>
      <c r="Y150" s="14">
        <f t="shared" si="34"/>
        <v>2</v>
      </c>
      <c r="Z150" s="14">
        <f t="shared" si="35"/>
        <v>3</v>
      </c>
      <c r="AA150" s="14" t="str">
        <f t="shared" si="36"/>
        <v>AtkExt</v>
      </c>
      <c r="AB150" s="14">
        <f t="shared" si="30"/>
        <v>183</v>
      </c>
      <c r="AC150" s="14" t="str">
        <f t="shared" si="37"/>
        <v>DefExt</v>
      </c>
      <c r="AD150" s="14">
        <f t="shared" si="38"/>
        <v>91</v>
      </c>
      <c r="AE150" s="14" t="str">
        <f t="shared" si="39"/>
        <v>HPExt</v>
      </c>
      <c r="AF150" s="27">
        <f t="shared" si="40"/>
        <v>553</v>
      </c>
      <c r="AG150" s="27" t="str">
        <f t="shared" si="41"/>
        <v>[x]</v>
      </c>
    </row>
    <row r="151" spans="9:33" ht="16.5" x14ac:dyDescent="0.2">
      <c r="I151" s="32"/>
      <c r="P151" s="13">
        <v>95</v>
      </c>
      <c r="Q151" s="14">
        <f t="shared" si="26"/>
        <v>7</v>
      </c>
      <c r="R151" s="14">
        <f t="shared" si="27"/>
        <v>1606009</v>
      </c>
      <c r="S151" s="14" t="str">
        <f t="shared" si="31"/>
        <v>神器2碎片4等级5</v>
      </c>
      <c r="T151" s="29" t="s">
        <v>649</v>
      </c>
      <c r="U151" s="14">
        <f t="shared" si="28"/>
        <v>5</v>
      </c>
      <c r="V151" s="36">
        <f t="shared" si="32"/>
        <v>0.45</v>
      </c>
      <c r="W151" s="17">
        <f t="shared" si="29"/>
        <v>9.0000000000000011E-3</v>
      </c>
      <c r="X151" s="14">
        <f t="shared" si="33"/>
        <v>1</v>
      </c>
      <c r="Y151" s="14">
        <f t="shared" si="34"/>
        <v>2</v>
      </c>
      <c r="Z151" s="14">
        <f t="shared" si="35"/>
        <v>3</v>
      </c>
      <c r="AA151" s="14" t="str">
        <f t="shared" si="36"/>
        <v>AtkExt</v>
      </c>
      <c r="AB151" s="14">
        <f t="shared" si="30"/>
        <v>216</v>
      </c>
      <c r="AC151" s="14" t="str">
        <f t="shared" si="37"/>
        <v>DefExt</v>
      </c>
      <c r="AD151" s="14">
        <f t="shared" si="38"/>
        <v>108</v>
      </c>
      <c r="AE151" s="14" t="str">
        <f t="shared" si="39"/>
        <v>HPExt</v>
      </c>
      <c r="AF151" s="27">
        <f t="shared" si="40"/>
        <v>651</v>
      </c>
      <c r="AG151" s="27" t="str">
        <f t="shared" si="41"/>
        <v>[x]</v>
      </c>
    </row>
    <row r="152" spans="9:33" ht="16.5" x14ac:dyDescent="0.2">
      <c r="I152" s="32"/>
      <c r="P152" s="13">
        <v>96</v>
      </c>
      <c r="Q152" s="14">
        <f t="shared" si="26"/>
        <v>7</v>
      </c>
      <c r="R152" s="14">
        <f t="shared" si="27"/>
        <v>1606009</v>
      </c>
      <c r="S152" s="14" t="str">
        <f t="shared" si="31"/>
        <v>神器2碎片4等级6</v>
      </c>
      <c r="T152" s="29" t="s">
        <v>649</v>
      </c>
      <c r="U152" s="14">
        <f t="shared" si="28"/>
        <v>6</v>
      </c>
      <c r="V152" s="36">
        <f t="shared" si="32"/>
        <v>0.52200000000000002</v>
      </c>
      <c r="W152" s="17">
        <f t="shared" si="29"/>
        <v>1.0440000000000001E-2</v>
      </c>
      <c r="X152" s="14">
        <f t="shared" si="33"/>
        <v>1</v>
      </c>
      <c r="Y152" s="14">
        <f t="shared" si="34"/>
        <v>2</v>
      </c>
      <c r="Z152" s="14">
        <f t="shared" si="35"/>
        <v>3</v>
      </c>
      <c r="AA152" s="14" t="str">
        <f t="shared" si="36"/>
        <v>AtkExt</v>
      </c>
      <c r="AB152" s="14">
        <f t="shared" si="30"/>
        <v>251</v>
      </c>
      <c r="AC152" s="14" t="str">
        <f t="shared" si="37"/>
        <v>DefExt</v>
      </c>
      <c r="AD152" s="14">
        <f t="shared" si="38"/>
        <v>125</v>
      </c>
      <c r="AE152" s="14" t="str">
        <f t="shared" si="39"/>
        <v>HPExt</v>
      </c>
      <c r="AF152" s="27">
        <f t="shared" si="40"/>
        <v>756</v>
      </c>
      <c r="AG152" s="27" t="str">
        <f t="shared" si="41"/>
        <v>[x]</v>
      </c>
    </row>
    <row r="153" spans="9:33" ht="16.5" x14ac:dyDescent="0.2">
      <c r="I153" s="32"/>
      <c r="P153" s="13">
        <v>97</v>
      </c>
      <c r="Q153" s="14">
        <f t="shared" si="26"/>
        <v>7</v>
      </c>
      <c r="R153" s="14">
        <f t="shared" si="27"/>
        <v>1606009</v>
      </c>
      <c r="S153" s="14" t="str">
        <f t="shared" si="31"/>
        <v>神器2碎片4等级7</v>
      </c>
      <c r="T153" s="29" t="s">
        <v>649</v>
      </c>
      <c r="U153" s="14">
        <f t="shared" si="28"/>
        <v>7</v>
      </c>
      <c r="V153" s="36">
        <f t="shared" si="32"/>
        <v>0.59799999999999998</v>
      </c>
      <c r="W153" s="17">
        <f t="shared" si="29"/>
        <v>1.196E-2</v>
      </c>
      <c r="X153" s="14">
        <f t="shared" si="33"/>
        <v>1</v>
      </c>
      <c r="Y153" s="14">
        <f t="shared" si="34"/>
        <v>2</v>
      </c>
      <c r="Z153" s="14">
        <f t="shared" si="35"/>
        <v>3</v>
      </c>
      <c r="AA153" s="14" t="str">
        <f t="shared" si="36"/>
        <v>AtkExt</v>
      </c>
      <c r="AB153" s="14">
        <f t="shared" si="30"/>
        <v>288</v>
      </c>
      <c r="AC153" s="14" t="str">
        <f t="shared" si="37"/>
        <v>DefExt</v>
      </c>
      <c r="AD153" s="14">
        <f t="shared" si="38"/>
        <v>143</v>
      </c>
      <c r="AE153" s="14" t="str">
        <f t="shared" si="39"/>
        <v>HPExt</v>
      </c>
      <c r="AF153" s="27">
        <f t="shared" si="40"/>
        <v>866</v>
      </c>
      <c r="AG153" s="27" t="str">
        <f t="shared" si="41"/>
        <v>[x]</v>
      </c>
    </row>
    <row r="154" spans="9:33" ht="16.5" x14ac:dyDescent="0.2">
      <c r="I154" s="32"/>
      <c r="P154" s="13">
        <v>98</v>
      </c>
      <c r="Q154" s="14">
        <f t="shared" si="26"/>
        <v>7</v>
      </c>
      <c r="R154" s="14">
        <f t="shared" si="27"/>
        <v>1606009</v>
      </c>
      <c r="S154" s="14" t="str">
        <f t="shared" si="31"/>
        <v>神器2碎片4等级8</v>
      </c>
      <c r="T154" s="29" t="s">
        <v>649</v>
      </c>
      <c r="U154" s="14">
        <f t="shared" si="28"/>
        <v>8</v>
      </c>
      <c r="V154" s="36">
        <f t="shared" si="32"/>
        <v>0.67800000000000005</v>
      </c>
      <c r="W154" s="17">
        <f t="shared" si="29"/>
        <v>1.3560000000000001E-2</v>
      </c>
      <c r="X154" s="14">
        <f t="shared" si="33"/>
        <v>1</v>
      </c>
      <c r="Y154" s="14">
        <f t="shared" si="34"/>
        <v>2</v>
      </c>
      <c r="Z154" s="14">
        <f t="shared" si="35"/>
        <v>3</v>
      </c>
      <c r="AA154" s="14" t="str">
        <f t="shared" si="36"/>
        <v>AtkExt</v>
      </c>
      <c r="AB154" s="14">
        <f t="shared" si="30"/>
        <v>326</v>
      </c>
      <c r="AC154" s="14" t="str">
        <f t="shared" si="37"/>
        <v>DefExt</v>
      </c>
      <c r="AD154" s="14">
        <f t="shared" si="38"/>
        <v>162</v>
      </c>
      <c r="AE154" s="14" t="str">
        <f t="shared" si="39"/>
        <v>HPExt</v>
      </c>
      <c r="AF154" s="27">
        <f t="shared" si="40"/>
        <v>981</v>
      </c>
      <c r="AG154" s="27" t="str">
        <f t="shared" si="41"/>
        <v>[x]</v>
      </c>
    </row>
    <row r="155" spans="9:33" ht="16.5" x14ac:dyDescent="0.2">
      <c r="I155" s="32"/>
      <c r="P155" s="13">
        <v>99</v>
      </c>
      <c r="Q155" s="14">
        <f t="shared" si="26"/>
        <v>7</v>
      </c>
      <c r="R155" s="14">
        <f t="shared" si="27"/>
        <v>1606009</v>
      </c>
      <c r="S155" s="14" t="str">
        <f t="shared" si="31"/>
        <v>神器2碎片4等级9</v>
      </c>
      <c r="T155" s="29" t="s">
        <v>649</v>
      </c>
      <c r="U155" s="14">
        <f t="shared" si="28"/>
        <v>9</v>
      </c>
      <c r="V155" s="36">
        <f t="shared" si="32"/>
        <v>0.76200000000000001</v>
      </c>
      <c r="W155" s="17">
        <f t="shared" si="29"/>
        <v>1.524E-2</v>
      </c>
      <c r="X155" s="14">
        <f t="shared" si="33"/>
        <v>1</v>
      </c>
      <c r="Y155" s="14">
        <f t="shared" si="34"/>
        <v>2</v>
      </c>
      <c r="Z155" s="14">
        <f t="shared" si="35"/>
        <v>3</v>
      </c>
      <c r="AA155" s="14" t="str">
        <f t="shared" si="36"/>
        <v>AtkExt</v>
      </c>
      <c r="AB155" s="14">
        <f t="shared" si="30"/>
        <v>366</v>
      </c>
      <c r="AC155" s="14" t="str">
        <f t="shared" si="37"/>
        <v>DefExt</v>
      </c>
      <c r="AD155" s="14">
        <f t="shared" si="38"/>
        <v>183</v>
      </c>
      <c r="AE155" s="14" t="str">
        <f t="shared" si="39"/>
        <v>HPExt</v>
      </c>
      <c r="AF155" s="27">
        <f t="shared" si="40"/>
        <v>1103</v>
      </c>
      <c r="AG155" s="27" t="str">
        <f t="shared" si="41"/>
        <v>[x]</v>
      </c>
    </row>
    <row r="156" spans="9:33" ht="16.5" x14ac:dyDescent="0.2">
      <c r="I156" s="32"/>
      <c r="P156" s="13">
        <v>100</v>
      </c>
      <c r="Q156" s="14">
        <f t="shared" si="26"/>
        <v>7</v>
      </c>
      <c r="R156" s="14">
        <f t="shared" si="27"/>
        <v>1606009</v>
      </c>
      <c r="S156" s="14" t="str">
        <f t="shared" si="31"/>
        <v>神器2碎片4等级10</v>
      </c>
      <c r="T156" s="29" t="s">
        <v>649</v>
      </c>
      <c r="U156" s="14">
        <f t="shared" si="28"/>
        <v>10</v>
      </c>
      <c r="V156" s="36">
        <f t="shared" si="32"/>
        <v>0.85000000000000009</v>
      </c>
      <c r="W156" s="17">
        <f t="shared" si="29"/>
        <v>1.7000000000000001E-2</v>
      </c>
      <c r="X156" s="14">
        <f t="shared" si="33"/>
        <v>1</v>
      </c>
      <c r="Y156" s="14">
        <f t="shared" si="34"/>
        <v>2</v>
      </c>
      <c r="Z156" s="14">
        <f t="shared" si="35"/>
        <v>3</v>
      </c>
      <c r="AA156" s="14" t="str">
        <f t="shared" si="36"/>
        <v>AtkExt</v>
      </c>
      <c r="AB156" s="14">
        <f t="shared" si="30"/>
        <v>409</v>
      </c>
      <c r="AC156" s="14" t="str">
        <f t="shared" si="37"/>
        <v>DefExt</v>
      </c>
      <c r="AD156" s="14">
        <f t="shared" si="38"/>
        <v>204</v>
      </c>
      <c r="AE156" s="14" t="str">
        <f t="shared" si="39"/>
        <v>HPExt</v>
      </c>
      <c r="AF156" s="27">
        <f t="shared" si="40"/>
        <v>1231</v>
      </c>
      <c r="AG156" s="27" t="str">
        <f t="shared" si="41"/>
        <v>[x]</v>
      </c>
    </row>
    <row r="157" spans="9:33" ht="16.5" x14ac:dyDescent="0.2">
      <c r="I157" s="32"/>
      <c r="P157" s="13">
        <v>101</v>
      </c>
      <c r="Q157" s="14">
        <f t="shared" si="26"/>
        <v>7</v>
      </c>
      <c r="R157" s="14">
        <f t="shared" si="27"/>
        <v>1606009</v>
      </c>
      <c r="S157" s="14" t="str">
        <f t="shared" si="31"/>
        <v>神器2碎片4等级11</v>
      </c>
      <c r="T157" s="29" t="s">
        <v>649</v>
      </c>
      <c r="U157" s="14">
        <f t="shared" si="28"/>
        <v>11</v>
      </c>
      <c r="V157" s="36">
        <f t="shared" si="32"/>
        <v>0.94200000000000006</v>
      </c>
      <c r="W157" s="17">
        <f t="shared" si="29"/>
        <v>1.8840000000000003E-2</v>
      </c>
      <c r="X157" s="14">
        <f t="shared" si="33"/>
        <v>1</v>
      </c>
      <c r="Y157" s="14">
        <f t="shared" si="34"/>
        <v>2</v>
      </c>
      <c r="Z157" s="14">
        <f t="shared" si="35"/>
        <v>3</v>
      </c>
      <c r="AA157" s="14" t="str">
        <f t="shared" si="36"/>
        <v>AtkExt</v>
      </c>
      <c r="AB157" s="14">
        <f t="shared" si="30"/>
        <v>453</v>
      </c>
      <c r="AC157" s="14" t="str">
        <f t="shared" si="37"/>
        <v>DefExt</v>
      </c>
      <c r="AD157" s="14">
        <f t="shared" si="38"/>
        <v>226</v>
      </c>
      <c r="AE157" s="14" t="str">
        <f t="shared" si="39"/>
        <v>HPExt</v>
      </c>
      <c r="AF157" s="27">
        <f t="shared" si="40"/>
        <v>1364</v>
      </c>
      <c r="AG157" s="27" t="str">
        <f t="shared" si="41"/>
        <v>[x]</v>
      </c>
    </row>
    <row r="158" spans="9:33" ht="16.5" x14ac:dyDescent="0.2">
      <c r="I158" s="32"/>
      <c r="P158" s="13">
        <v>102</v>
      </c>
      <c r="Q158" s="14">
        <f t="shared" si="26"/>
        <v>7</v>
      </c>
      <c r="R158" s="14">
        <f t="shared" si="27"/>
        <v>1606009</v>
      </c>
      <c r="S158" s="14" t="str">
        <f t="shared" si="31"/>
        <v>神器2碎片4等级12</v>
      </c>
      <c r="T158" s="29" t="s">
        <v>649</v>
      </c>
      <c r="U158" s="14">
        <f t="shared" si="28"/>
        <v>12</v>
      </c>
      <c r="V158" s="36">
        <f t="shared" si="32"/>
        <v>1.0380000000000003</v>
      </c>
      <c r="W158" s="17">
        <f t="shared" si="29"/>
        <v>2.0760000000000004E-2</v>
      </c>
      <c r="X158" s="14">
        <f t="shared" si="33"/>
        <v>1</v>
      </c>
      <c r="Y158" s="14">
        <f t="shared" si="34"/>
        <v>2</v>
      </c>
      <c r="Z158" s="14">
        <f t="shared" si="35"/>
        <v>3</v>
      </c>
      <c r="AA158" s="14" t="str">
        <f t="shared" si="36"/>
        <v>AtkExt</v>
      </c>
      <c r="AB158" s="14">
        <f t="shared" si="30"/>
        <v>499</v>
      </c>
      <c r="AC158" s="14" t="str">
        <f t="shared" si="37"/>
        <v>DefExt</v>
      </c>
      <c r="AD158" s="14">
        <f t="shared" si="38"/>
        <v>249</v>
      </c>
      <c r="AE158" s="14" t="str">
        <f t="shared" si="39"/>
        <v>HPExt</v>
      </c>
      <c r="AF158" s="27">
        <f t="shared" si="40"/>
        <v>1503</v>
      </c>
      <c r="AG158" s="27" t="str">
        <f t="shared" si="41"/>
        <v>[x]</v>
      </c>
    </row>
    <row r="159" spans="9:33" ht="16.5" x14ac:dyDescent="0.2">
      <c r="I159" s="32"/>
      <c r="P159" s="13">
        <v>103</v>
      </c>
      <c r="Q159" s="14">
        <f t="shared" si="26"/>
        <v>7</v>
      </c>
      <c r="R159" s="14">
        <f t="shared" si="27"/>
        <v>1606009</v>
      </c>
      <c r="S159" s="14" t="str">
        <f t="shared" si="31"/>
        <v>神器2碎片4等级13</v>
      </c>
      <c r="T159" s="29" t="s">
        <v>649</v>
      </c>
      <c r="U159" s="14">
        <f t="shared" si="28"/>
        <v>13</v>
      </c>
      <c r="V159" s="36">
        <f t="shared" si="32"/>
        <v>1.1380000000000001</v>
      </c>
      <c r="W159" s="17">
        <f t="shared" si="29"/>
        <v>2.2760000000000002E-2</v>
      </c>
      <c r="X159" s="14">
        <f t="shared" si="33"/>
        <v>1</v>
      </c>
      <c r="Y159" s="14">
        <f t="shared" si="34"/>
        <v>2</v>
      </c>
      <c r="Z159" s="14">
        <f t="shared" si="35"/>
        <v>3</v>
      </c>
      <c r="AA159" s="14" t="str">
        <f t="shared" si="36"/>
        <v>AtkExt</v>
      </c>
      <c r="AB159" s="14">
        <f t="shared" si="30"/>
        <v>548</v>
      </c>
      <c r="AC159" s="14" t="str">
        <f t="shared" si="37"/>
        <v>DefExt</v>
      </c>
      <c r="AD159" s="14">
        <f t="shared" si="38"/>
        <v>273</v>
      </c>
      <c r="AE159" s="14" t="str">
        <f t="shared" si="39"/>
        <v>HPExt</v>
      </c>
      <c r="AF159" s="27">
        <f t="shared" si="40"/>
        <v>1648</v>
      </c>
      <c r="AG159" s="27" t="str">
        <f t="shared" si="41"/>
        <v>[x]</v>
      </c>
    </row>
    <row r="160" spans="9:33" ht="16.5" x14ac:dyDescent="0.2">
      <c r="I160" s="32"/>
      <c r="P160" s="13">
        <v>104</v>
      </c>
      <c r="Q160" s="14">
        <f t="shared" si="26"/>
        <v>7</v>
      </c>
      <c r="R160" s="14">
        <f t="shared" si="27"/>
        <v>1606009</v>
      </c>
      <c r="S160" s="14" t="str">
        <f t="shared" si="31"/>
        <v>神器2碎片4等级14</v>
      </c>
      <c r="T160" s="29" t="s">
        <v>649</v>
      </c>
      <c r="U160" s="14">
        <f t="shared" si="28"/>
        <v>14</v>
      </c>
      <c r="V160" s="36">
        <f t="shared" si="32"/>
        <v>1.242</v>
      </c>
      <c r="W160" s="17">
        <f t="shared" si="29"/>
        <v>2.4840000000000001E-2</v>
      </c>
      <c r="X160" s="14">
        <f t="shared" si="33"/>
        <v>1</v>
      </c>
      <c r="Y160" s="14">
        <f t="shared" si="34"/>
        <v>2</v>
      </c>
      <c r="Z160" s="14">
        <f t="shared" si="35"/>
        <v>3</v>
      </c>
      <c r="AA160" s="14" t="str">
        <f t="shared" si="36"/>
        <v>AtkExt</v>
      </c>
      <c r="AB160" s="14">
        <f t="shared" si="30"/>
        <v>598</v>
      </c>
      <c r="AC160" s="14" t="str">
        <f t="shared" si="37"/>
        <v>DefExt</v>
      </c>
      <c r="AD160" s="14">
        <f t="shared" si="38"/>
        <v>298</v>
      </c>
      <c r="AE160" s="14" t="str">
        <f t="shared" si="39"/>
        <v>HPExt</v>
      </c>
      <c r="AF160" s="27">
        <f t="shared" si="40"/>
        <v>1798</v>
      </c>
      <c r="AG160" s="27" t="str">
        <f t="shared" si="41"/>
        <v>[x]</v>
      </c>
    </row>
    <row r="161" spans="9:33" ht="16.5" x14ac:dyDescent="0.2">
      <c r="I161" s="32"/>
      <c r="P161" s="13">
        <v>105</v>
      </c>
      <c r="Q161" s="14">
        <f t="shared" si="26"/>
        <v>7</v>
      </c>
      <c r="R161" s="14">
        <f t="shared" si="27"/>
        <v>1606009</v>
      </c>
      <c r="S161" s="14" t="str">
        <f t="shared" si="31"/>
        <v>神器2碎片4等级15</v>
      </c>
      <c r="T161" s="29" t="s">
        <v>649</v>
      </c>
      <c r="U161" s="14">
        <f t="shared" si="28"/>
        <v>15</v>
      </c>
      <c r="V161" s="36">
        <f t="shared" si="32"/>
        <v>1.35</v>
      </c>
      <c r="W161" s="17">
        <f t="shared" si="29"/>
        <v>2.7000000000000003E-2</v>
      </c>
      <c r="X161" s="14">
        <f t="shared" si="33"/>
        <v>1</v>
      </c>
      <c r="Y161" s="14">
        <f t="shared" si="34"/>
        <v>2</v>
      </c>
      <c r="Z161" s="14">
        <f t="shared" si="35"/>
        <v>3</v>
      </c>
      <c r="AA161" s="14" t="str">
        <f t="shared" si="36"/>
        <v>AtkExt</v>
      </c>
      <c r="AB161" s="14">
        <f t="shared" si="30"/>
        <v>650</v>
      </c>
      <c r="AC161" s="14" t="str">
        <f t="shared" si="37"/>
        <v>DefExt</v>
      </c>
      <c r="AD161" s="14">
        <f t="shared" si="38"/>
        <v>324</v>
      </c>
      <c r="AE161" s="14" t="str">
        <f t="shared" si="39"/>
        <v>HPExt</v>
      </c>
      <c r="AF161" s="27">
        <f t="shared" si="40"/>
        <v>1955</v>
      </c>
      <c r="AG161" s="27" t="str">
        <f t="shared" si="41"/>
        <v>[x]</v>
      </c>
    </row>
    <row r="162" spans="9:33" ht="16.5" x14ac:dyDescent="0.2">
      <c r="I162" s="32"/>
      <c r="P162" s="13">
        <v>106</v>
      </c>
      <c r="Q162" s="14">
        <f t="shared" si="26"/>
        <v>8</v>
      </c>
      <c r="R162" s="14">
        <f t="shared" si="27"/>
        <v>1606010</v>
      </c>
      <c r="S162" s="14" t="str">
        <f t="shared" si="31"/>
        <v>神器2碎片5等级1</v>
      </c>
      <c r="T162" s="29" t="s">
        <v>649</v>
      </c>
      <c r="U162" s="14">
        <f t="shared" si="28"/>
        <v>1</v>
      </c>
      <c r="V162" s="36">
        <f t="shared" si="32"/>
        <v>0.20200000000000001</v>
      </c>
      <c r="W162" s="17">
        <f t="shared" si="29"/>
        <v>6.0600000000000003E-3</v>
      </c>
      <c r="X162" s="14">
        <f t="shared" si="33"/>
        <v>1</v>
      </c>
      <c r="Y162" s="14">
        <f t="shared" si="34"/>
        <v>2</v>
      </c>
      <c r="Z162" s="14">
        <f t="shared" si="35"/>
        <v>0</v>
      </c>
      <c r="AA162" s="14" t="str">
        <f t="shared" si="36"/>
        <v>AtkExt</v>
      </c>
      <c r="AB162" s="14">
        <f t="shared" si="30"/>
        <v>291</v>
      </c>
      <c r="AC162" s="14" t="str">
        <f t="shared" si="37"/>
        <v>DefExt</v>
      </c>
      <c r="AD162" s="14">
        <f t="shared" si="38"/>
        <v>72</v>
      </c>
      <c r="AE162" s="14" t="str">
        <f t="shared" si="39"/>
        <v>[x]</v>
      </c>
      <c r="AF162" s="27" t="str">
        <f t="shared" si="40"/>
        <v>[x]</v>
      </c>
      <c r="AG162" s="27" t="str">
        <f t="shared" si="41"/>
        <v>[x]</v>
      </c>
    </row>
    <row r="163" spans="9:33" ht="16.5" x14ac:dyDescent="0.2">
      <c r="I163" s="32"/>
      <c r="P163" s="13">
        <v>107</v>
      </c>
      <c r="Q163" s="14">
        <f t="shared" si="26"/>
        <v>8</v>
      </c>
      <c r="R163" s="14">
        <f t="shared" si="27"/>
        <v>1606010</v>
      </c>
      <c r="S163" s="14" t="str">
        <f t="shared" si="31"/>
        <v>神器2碎片5等级2</v>
      </c>
      <c r="T163" s="29" t="s">
        <v>649</v>
      </c>
      <c r="U163" s="14">
        <f t="shared" si="28"/>
        <v>2</v>
      </c>
      <c r="V163" s="36">
        <f t="shared" si="32"/>
        <v>0.25800000000000001</v>
      </c>
      <c r="W163" s="17">
        <f t="shared" si="29"/>
        <v>7.7400000000000004E-3</v>
      </c>
      <c r="X163" s="14">
        <f t="shared" si="33"/>
        <v>1</v>
      </c>
      <c r="Y163" s="14">
        <f t="shared" si="34"/>
        <v>2</v>
      </c>
      <c r="Z163" s="14">
        <f t="shared" si="35"/>
        <v>0</v>
      </c>
      <c r="AA163" s="14" t="str">
        <f t="shared" si="36"/>
        <v>AtkExt</v>
      </c>
      <c r="AB163" s="14">
        <f t="shared" si="30"/>
        <v>372</v>
      </c>
      <c r="AC163" s="14" t="str">
        <f t="shared" si="37"/>
        <v>DefExt</v>
      </c>
      <c r="AD163" s="14">
        <f t="shared" si="38"/>
        <v>92</v>
      </c>
      <c r="AE163" s="14" t="str">
        <f t="shared" si="39"/>
        <v>[x]</v>
      </c>
      <c r="AF163" s="27" t="str">
        <f t="shared" si="40"/>
        <v>[x]</v>
      </c>
      <c r="AG163" s="27" t="str">
        <f t="shared" si="41"/>
        <v>[x]</v>
      </c>
    </row>
    <row r="164" spans="9:33" ht="16.5" x14ac:dyDescent="0.2">
      <c r="I164" s="32"/>
      <c r="P164" s="13">
        <v>108</v>
      </c>
      <c r="Q164" s="14">
        <f t="shared" si="26"/>
        <v>8</v>
      </c>
      <c r="R164" s="14">
        <f t="shared" si="27"/>
        <v>1606010</v>
      </c>
      <c r="S164" s="14" t="str">
        <f t="shared" si="31"/>
        <v>神器2碎片5等级3</v>
      </c>
      <c r="T164" s="29" t="s">
        <v>649</v>
      </c>
      <c r="U164" s="14">
        <f t="shared" si="28"/>
        <v>3</v>
      </c>
      <c r="V164" s="36">
        <f t="shared" si="32"/>
        <v>0.31800000000000006</v>
      </c>
      <c r="W164" s="17">
        <f t="shared" si="29"/>
        <v>9.5400000000000016E-3</v>
      </c>
      <c r="X164" s="14">
        <f t="shared" si="33"/>
        <v>1</v>
      </c>
      <c r="Y164" s="14">
        <f t="shared" si="34"/>
        <v>2</v>
      </c>
      <c r="Z164" s="14">
        <f t="shared" si="35"/>
        <v>0</v>
      </c>
      <c r="AA164" s="14" t="str">
        <f t="shared" si="36"/>
        <v>AtkExt</v>
      </c>
      <c r="AB164" s="14">
        <f t="shared" si="30"/>
        <v>459</v>
      </c>
      <c r="AC164" s="14" t="str">
        <f t="shared" si="37"/>
        <v>DefExt</v>
      </c>
      <c r="AD164" s="14">
        <f t="shared" si="38"/>
        <v>114</v>
      </c>
      <c r="AE164" s="14" t="str">
        <f t="shared" si="39"/>
        <v>[x]</v>
      </c>
      <c r="AF164" s="27" t="str">
        <f t="shared" si="40"/>
        <v>[x]</v>
      </c>
      <c r="AG164" s="27" t="str">
        <f t="shared" si="41"/>
        <v>[x]</v>
      </c>
    </row>
    <row r="165" spans="9:33" ht="16.5" x14ac:dyDescent="0.2">
      <c r="I165" s="32"/>
      <c r="P165" s="13">
        <v>109</v>
      </c>
      <c r="Q165" s="14">
        <f t="shared" si="26"/>
        <v>8</v>
      </c>
      <c r="R165" s="14">
        <f t="shared" si="27"/>
        <v>1606010</v>
      </c>
      <c r="S165" s="14" t="str">
        <f t="shared" si="31"/>
        <v>神器2碎片5等级4</v>
      </c>
      <c r="T165" s="29" t="s">
        <v>649</v>
      </c>
      <c r="U165" s="14">
        <f t="shared" si="28"/>
        <v>4</v>
      </c>
      <c r="V165" s="36">
        <f t="shared" si="32"/>
        <v>0.38200000000000001</v>
      </c>
      <c r="W165" s="17">
        <f t="shared" si="29"/>
        <v>1.146E-2</v>
      </c>
      <c r="X165" s="14">
        <f t="shared" si="33"/>
        <v>1</v>
      </c>
      <c r="Y165" s="14">
        <f t="shared" si="34"/>
        <v>2</v>
      </c>
      <c r="Z165" s="14">
        <f t="shared" si="35"/>
        <v>0</v>
      </c>
      <c r="AA165" s="14" t="str">
        <f t="shared" si="36"/>
        <v>AtkExt</v>
      </c>
      <c r="AB165" s="14">
        <f t="shared" si="30"/>
        <v>551</v>
      </c>
      <c r="AC165" s="14" t="str">
        <f t="shared" si="37"/>
        <v>DefExt</v>
      </c>
      <c r="AD165" s="14">
        <f t="shared" si="38"/>
        <v>137</v>
      </c>
      <c r="AE165" s="14" t="str">
        <f t="shared" si="39"/>
        <v>[x]</v>
      </c>
      <c r="AF165" s="27" t="str">
        <f t="shared" si="40"/>
        <v>[x]</v>
      </c>
      <c r="AG165" s="27" t="str">
        <f t="shared" si="41"/>
        <v>[x]</v>
      </c>
    </row>
    <row r="166" spans="9:33" ht="16.5" x14ac:dyDescent="0.2">
      <c r="I166" s="32"/>
      <c r="P166" s="13">
        <v>110</v>
      </c>
      <c r="Q166" s="14">
        <f t="shared" si="26"/>
        <v>8</v>
      </c>
      <c r="R166" s="14">
        <f t="shared" si="27"/>
        <v>1606010</v>
      </c>
      <c r="S166" s="14" t="str">
        <f t="shared" si="31"/>
        <v>神器2碎片5等级5</v>
      </c>
      <c r="T166" s="29" t="s">
        <v>649</v>
      </c>
      <c r="U166" s="14">
        <f t="shared" si="28"/>
        <v>5</v>
      </c>
      <c r="V166" s="36">
        <f t="shared" si="32"/>
        <v>0.45</v>
      </c>
      <c r="W166" s="17">
        <f t="shared" si="29"/>
        <v>1.35E-2</v>
      </c>
      <c r="X166" s="14">
        <f t="shared" si="33"/>
        <v>1</v>
      </c>
      <c r="Y166" s="14">
        <f t="shared" si="34"/>
        <v>2</v>
      </c>
      <c r="Z166" s="14">
        <f t="shared" si="35"/>
        <v>0</v>
      </c>
      <c r="AA166" s="14" t="str">
        <f t="shared" si="36"/>
        <v>AtkExt</v>
      </c>
      <c r="AB166" s="14">
        <f t="shared" si="30"/>
        <v>650</v>
      </c>
      <c r="AC166" s="14" t="str">
        <f t="shared" si="37"/>
        <v>DefExt</v>
      </c>
      <c r="AD166" s="14">
        <f t="shared" si="38"/>
        <v>162</v>
      </c>
      <c r="AE166" s="14" t="str">
        <f t="shared" si="39"/>
        <v>[x]</v>
      </c>
      <c r="AF166" s="27" t="str">
        <f t="shared" si="40"/>
        <v>[x]</v>
      </c>
      <c r="AG166" s="27" t="str">
        <f t="shared" si="41"/>
        <v>[x]</v>
      </c>
    </row>
    <row r="167" spans="9:33" ht="16.5" x14ac:dyDescent="0.2">
      <c r="I167" s="32"/>
      <c r="P167" s="13">
        <v>111</v>
      </c>
      <c r="Q167" s="14">
        <f t="shared" si="26"/>
        <v>8</v>
      </c>
      <c r="R167" s="14">
        <f t="shared" si="27"/>
        <v>1606010</v>
      </c>
      <c r="S167" s="14" t="str">
        <f t="shared" si="31"/>
        <v>神器2碎片5等级6</v>
      </c>
      <c r="T167" s="29" t="s">
        <v>649</v>
      </c>
      <c r="U167" s="14">
        <f t="shared" si="28"/>
        <v>6</v>
      </c>
      <c r="V167" s="36">
        <f t="shared" si="32"/>
        <v>0.52200000000000002</v>
      </c>
      <c r="W167" s="17">
        <f t="shared" si="29"/>
        <v>1.566E-2</v>
      </c>
      <c r="X167" s="14">
        <f t="shared" si="33"/>
        <v>1</v>
      </c>
      <c r="Y167" s="14">
        <f t="shared" si="34"/>
        <v>2</v>
      </c>
      <c r="Z167" s="14">
        <f t="shared" si="35"/>
        <v>0</v>
      </c>
      <c r="AA167" s="14" t="str">
        <f t="shared" si="36"/>
        <v>AtkExt</v>
      </c>
      <c r="AB167" s="14">
        <f t="shared" si="30"/>
        <v>754</v>
      </c>
      <c r="AC167" s="14" t="str">
        <f t="shared" si="37"/>
        <v>DefExt</v>
      </c>
      <c r="AD167" s="14">
        <f t="shared" si="38"/>
        <v>188</v>
      </c>
      <c r="AE167" s="14" t="str">
        <f t="shared" si="39"/>
        <v>[x]</v>
      </c>
      <c r="AF167" s="27" t="str">
        <f t="shared" si="40"/>
        <v>[x]</v>
      </c>
      <c r="AG167" s="27" t="str">
        <f t="shared" si="41"/>
        <v>[x]</v>
      </c>
    </row>
    <row r="168" spans="9:33" ht="16.5" x14ac:dyDescent="0.2">
      <c r="I168" s="32"/>
      <c r="P168" s="13">
        <v>112</v>
      </c>
      <c r="Q168" s="14">
        <f t="shared" si="26"/>
        <v>8</v>
      </c>
      <c r="R168" s="14">
        <f t="shared" si="27"/>
        <v>1606010</v>
      </c>
      <c r="S168" s="14" t="str">
        <f t="shared" si="31"/>
        <v>神器2碎片5等级7</v>
      </c>
      <c r="T168" s="29" t="s">
        <v>649</v>
      </c>
      <c r="U168" s="14">
        <f t="shared" si="28"/>
        <v>7</v>
      </c>
      <c r="V168" s="36">
        <f t="shared" si="32"/>
        <v>0.59799999999999998</v>
      </c>
      <c r="W168" s="17">
        <f t="shared" si="29"/>
        <v>1.7939999999999998E-2</v>
      </c>
      <c r="X168" s="14">
        <f t="shared" si="33"/>
        <v>1</v>
      </c>
      <c r="Y168" s="14">
        <f t="shared" si="34"/>
        <v>2</v>
      </c>
      <c r="Z168" s="14">
        <f t="shared" si="35"/>
        <v>0</v>
      </c>
      <c r="AA168" s="14" t="str">
        <f t="shared" si="36"/>
        <v>AtkExt</v>
      </c>
      <c r="AB168" s="14">
        <f t="shared" si="30"/>
        <v>864</v>
      </c>
      <c r="AC168" s="14" t="str">
        <f t="shared" si="37"/>
        <v>DefExt</v>
      </c>
      <c r="AD168" s="14">
        <f t="shared" si="38"/>
        <v>215</v>
      </c>
      <c r="AE168" s="14" t="str">
        <f t="shared" si="39"/>
        <v>[x]</v>
      </c>
      <c r="AF168" s="27" t="str">
        <f t="shared" si="40"/>
        <v>[x]</v>
      </c>
      <c r="AG168" s="27" t="str">
        <f t="shared" si="41"/>
        <v>[x]</v>
      </c>
    </row>
    <row r="169" spans="9:33" ht="16.5" x14ac:dyDescent="0.2">
      <c r="I169" s="32"/>
      <c r="P169" s="13">
        <v>113</v>
      </c>
      <c r="Q169" s="14">
        <f t="shared" si="26"/>
        <v>8</v>
      </c>
      <c r="R169" s="14">
        <f t="shared" si="27"/>
        <v>1606010</v>
      </c>
      <c r="S169" s="14" t="str">
        <f t="shared" si="31"/>
        <v>神器2碎片5等级8</v>
      </c>
      <c r="T169" s="29" t="s">
        <v>649</v>
      </c>
      <c r="U169" s="14">
        <f t="shared" si="28"/>
        <v>8</v>
      </c>
      <c r="V169" s="36">
        <f t="shared" si="32"/>
        <v>0.67800000000000005</v>
      </c>
      <c r="W169" s="17">
        <f t="shared" si="29"/>
        <v>2.034E-2</v>
      </c>
      <c r="X169" s="14">
        <f t="shared" si="33"/>
        <v>1</v>
      </c>
      <c r="Y169" s="14">
        <f t="shared" si="34"/>
        <v>2</v>
      </c>
      <c r="Z169" s="14">
        <f t="shared" si="35"/>
        <v>0</v>
      </c>
      <c r="AA169" s="14" t="str">
        <f t="shared" si="36"/>
        <v>AtkExt</v>
      </c>
      <c r="AB169" s="14">
        <f t="shared" si="30"/>
        <v>979</v>
      </c>
      <c r="AC169" s="14" t="str">
        <f t="shared" si="37"/>
        <v>DefExt</v>
      </c>
      <c r="AD169" s="14">
        <f t="shared" si="38"/>
        <v>244</v>
      </c>
      <c r="AE169" s="14" t="str">
        <f t="shared" si="39"/>
        <v>[x]</v>
      </c>
      <c r="AF169" s="27" t="str">
        <f t="shared" si="40"/>
        <v>[x]</v>
      </c>
      <c r="AG169" s="27" t="str">
        <f t="shared" si="41"/>
        <v>[x]</v>
      </c>
    </row>
    <row r="170" spans="9:33" ht="16.5" x14ac:dyDescent="0.2">
      <c r="I170" s="32"/>
      <c r="P170" s="13">
        <v>114</v>
      </c>
      <c r="Q170" s="14">
        <f t="shared" si="26"/>
        <v>8</v>
      </c>
      <c r="R170" s="14">
        <f t="shared" si="27"/>
        <v>1606010</v>
      </c>
      <c r="S170" s="14" t="str">
        <f t="shared" si="31"/>
        <v>神器2碎片5等级9</v>
      </c>
      <c r="T170" s="29" t="s">
        <v>649</v>
      </c>
      <c r="U170" s="14">
        <f t="shared" si="28"/>
        <v>9</v>
      </c>
      <c r="V170" s="36">
        <f t="shared" si="32"/>
        <v>0.76200000000000001</v>
      </c>
      <c r="W170" s="17">
        <f t="shared" si="29"/>
        <v>2.2859999999999998E-2</v>
      </c>
      <c r="X170" s="14">
        <f t="shared" si="33"/>
        <v>1</v>
      </c>
      <c r="Y170" s="14">
        <f t="shared" si="34"/>
        <v>2</v>
      </c>
      <c r="Z170" s="14">
        <f t="shared" si="35"/>
        <v>0</v>
      </c>
      <c r="AA170" s="14" t="str">
        <f t="shared" si="36"/>
        <v>AtkExt</v>
      </c>
      <c r="AB170" s="14">
        <f t="shared" si="30"/>
        <v>1100</v>
      </c>
      <c r="AC170" s="14" t="str">
        <f t="shared" si="37"/>
        <v>DefExt</v>
      </c>
      <c r="AD170" s="14">
        <f t="shared" si="38"/>
        <v>274</v>
      </c>
      <c r="AE170" s="14" t="str">
        <f t="shared" si="39"/>
        <v>[x]</v>
      </c>
      <c r="AF170" s="27" t="str">
        <f t="shared" si="40"/>
        <v>[x]</v>
      </c>
      <c r="AG170" s="27" t="str">
        <f t="shared" si="41"/>
        <v>[x]</v>
      </c>
    </row>
    <row r="171" spans="9:33" ht="16.5" x14ac:dyDescent="0.2">
      <c r="I171" s="32"/>
      <c r="P171" s="13">
        <v>115</v>
      </c>
      <c r="Q171" s="14">
        <f t="shared" si="26"/>
        <v>8</v>
      </c>
      <c r="R171" s="14">
        <f t="shared" si="27"/>
        <v>1606010</v>
      </c>
      <c r="S171" s="14" t="str">
        <f t="shared" si="31"/>
        <v>神器2碎片5等级10</v>
      </c>
      <c r="T171" s="29" t="s">
        <v>649</v>
      </c>
      <c r="U171" s="14">
        <f t="shared" si="28"/>
        <v>10</v>
      </c>
      <c r="V171" s="36">
        <f t="shared" si="32"/>
        <v>0.85000000000000009</v>
      </c>
      <c r="W171" s="17">
        <f t="shared" si="29"/>
        <v>2.5500000000000002E-2</v>
      </c>
      <c r="X171" s="14">
        <f t="shared" si="33"/>
        <v>1</v>
      </c>
      <c r="Y171" s="14">
        <f t="shared" si="34"/>
        <v>2</v>
      </c>
      <c r="Z171" s="14">
        <f t="shared" si="35"/>
        <v>0</v>
      </c>
      <c r="AA171" s="14" t="str">
        <f t="shared" si="36"/>
        <v>AtkExt</v>
      </c>
      <c r="AB171" s="14">
        <f t="shared" si="30"/>
        <v>1228</v>
      </c>
      <c r="AC171" s="14" t="str">
        <f t="shared" si="37"/>
        <v>DefExt</v>
      </c>
      <c r="AD171" s="14">
        <f t="shared" si="38"/>
        <v>306</v>
      </c>
      <c r="AE171" s="14" t="str">
        <f t="shared" si="39"/>
        <v>[x]</v>
      </c>
      <c r="AF171" s="27" t="str">
        <f t="shared" si="40"/>
        <v>[x]</v>
      </c>
      <c r="AG171" s="27" t="str">
        <f t="shared" si="41"/>
        <v>[x]</v>
      </c>
    </row>
    <row r="172" spans="9:33" ht="16.5" x14ac:dyDescent="0.2">
      <c r="I172" s="32"/>
      <c r="P172" s="13">
        <v>116</v>
      </c>
      <c r="Q172" s="14">
        <f t="shared" si="26"/>
        <v>8</v>
      </c>
      <c r="R172" s="14">
        <f t="shared" si="27"/>
        <v>1606010</v>
      </c>
      <c r="S172" s="14" t="str">
        <f t="shared" si="31"/>
        <v>神器2碎片5等级11</v>
      </c>
      <c r="T172" s="29" t="s">
        <v>649</v>
      </c>
      <c r="U172" s="14">
        <f t="shared" si="28"/>
        <v>11</v>
      </c>
      <c r="V172" s="36">
        <f t="shared" si="32"/>
        <v>0.94200000000000006</v>
      </c>
      <c r="W172" s="17">
        <f t="shared" si="29"/>
        <v>2.826E-2</v>
      </c>
      <c r="X172" s="14">
        <f t="shared" si="33"/>
        <v>1</v>
      </c>
      <c r="Y172" s="14">
        <f t="shared" si="34"/>
        <v>2</v>
      </c>
      <c r="Z172" s="14">
        <f t="shared" si="35"/>
        <v>0</v>
      </c>
      <c r="AA172" s="14" t="str">
        <f t="shared" si="36"/>
        <v>AtkExt</v>
      </c>
      <c r="AB172" s="14">
        <f t="shared" si="30"/>
        <v>1361</v>
      </c>
      <c r="AC172" s="14" t="str">
        <f t="shared" si="37"/>
        <v>DefExt</v>
      </c>
      <c r="AD172" s="14">
        <f t="shared" si="38"/>
        <v>339</v>
      </c>
      <c r="AE172" s="14" t="str">
        <f t="shared" si="39"/>
        <v>[x]</v>
      </c>
      <c r="AF172" s="27" t="str">
        <f t="shared" si="40"/>
        <v>[x]</v>
      </c>
      <c r="AG172" s="27" t="str">
        <f t="shared" si="41"/>
        <v>[x]</v>
      </c>
    </row>
    <row r="173" spans="9:33" ht="16.5" x14ac:dyDescent="0.2">
      <c r="I173" s="32"/>
      <c r="P173" s="13">
        <v>117</v>
      </c>
      <c r="Q173" s="14">
        <f t="shared" si="26"/>
        <v>8</v>
      </c>
      <c r="R173" s="14">
        <f t="shared" si="27"/>
        <v>1606010</v>
      </c>
      <c r="S173" s="14" t="str">
        <f t="shared" si="31"/>
        <v>神器2碎片5等级12</v>
      </c>
      <c r="T173" s="29" t="s">
        <v>649</v>
      </c>
      <c r="U173" s="14">
        <f t="shared" si="28"/>
        <v>12</v>
      </c>
      <c r="V173" s="36">
        <f t="shared" si="32"/>
        <v>1.0380000000000003</v>
      </c>
      <c r="W173" s="17">
        <f t="shared" si="29"/>
        <v>3.1140000000000008E-2</v>
      </c>
      <c r="X173" s="14">
        <f t="shared" si="33"/>
        <v>1</v>
      </c>
      <c r="Y173" s="14">
        <f t="shared" si="34"/>
        <v>2</v>
      </c>
      <c r="Z173" s="14">
        <f t="shared" si="35"/>
        <v>0</v>
      </c>
      <c r="AA173" s="14" t="str">
        <f t="shared" si="36"/>
        <v>AtkExt</v>
      </c>
      <c r="AB173" s="14">
        <f t="shared" si="30"/>
        <v>1499</v>
      </c>
      <c r="AC173" s="14" t="str">
        <f t="shared" si="37"/>
        <v>DefExt</v>
      </c>
      <c r="AD173" s="14">
        <f t="shared" si="38"/>
        <v>373</v>
      </c>
      <c r="AE173" s="14" t="str">
        <f t="shared" si="39"/>
        <v>[x]</v>
      </c>
      <c r="AF173" s="27" t="str">
        <f t="shared" si="40"/>
        <v>[x]</v>
      </c>
      <c r="AG173" s="27" t="str">
        <f t="shared" si="41"/>
        <v>[x]</v>
      </c>
    </row>
    <row r="174" spans="9:33" ht="16.5" x14ac:dyDescent="0.2">
      <c r="I174" s="32"/>
      <c r="P174" s="13">
        <v>118</v>
      </c>
      <c r="Q174" s="14">
        <f t="shared" si="26"/>
        <v>8</v>
      </c>
      <c r="R174" s="14">
        <f t="shared" si="27"/>
        <v>1606010</v>
      </c>
      <c r="S174" s="14" t="str">
        <f t="shared" si="31"/>
        <v>神器2碎片5等级13</v>
      </c>
      <c r="T174" s="29" t="s">
        <v>649</v>
      </c>
      <c r="U174" s="14">
        <f t="shared" si="28"/>
        <v>13</v>
      </c>
      <c r="V174" s="36">
        <f t="shared" si="32"/>
        <v>1.1380000000000001</v>
      </c>
      <c r="W174" s="17">
        <f t="shared" si="29"/>
        <v>3.4140000000000004E-2</v>
      </c>
      <c r="X174" s="14">
        <f t="shared" si="33"/>
        <v>1</v>
      </c>
      <c r="Y174" s="14">
        <f t="shared" si="34"/>
        <v>2</v>
      </c>
      <c r="Z174" s="14">
        <f t="shared" si="35"/>
        <v>0</v>
      </c>
      <c r="AA174" s="14" t="str">
        <f t="shared" si="36"/>
        <v>AtkExt</v>
      </c>
      <c r="AB174" s="14">
        <f t="shared" si="30"/>
        <v>1644</v>
      </c>
      <c r="AC174" s="14" t="str">
        <f t="shared" si="37"/>
        <v>DefExt</v>
      </c>
      <c r="AD174" s="14">
        <f t="shared" si="38"/>
        <v>409</v>
      </c>
      <c r="AE174" s="14" t="str">
        <f t="shared" si="39"/>
        <v>[x]</v>
      </c>
      <c r="AF174" s="27" t="str">
        <f t="shared" si="40"/>
        <v>[x]</v>
      </c>
      <c r="AG174" s="27" t="str">
        <f t="shared" si="41"/>
        <v>[x]</v>
      </c>
    </row>
    <row r="175" spans="9:33" ht="16.5" x14ac:dyDescent="0.2">
      <c r="I175" s="32"/>
      <c r="P175" s="13">
        <v>119</v>
      </c>
      <c r="Q175" s="14">
        <f t="shared" si="26"/>
        <v>8</v>
      </c>
      <c r="R175" s="14">
        <f t="shared" si="27"/>
        <v>1606010</v>
      </c>
      <c r="S175" s="14" t="str">
        <f t="shared" si="31"/>
        <v>神器2碎片5等级14</v>
      </c>
      <c r="T175" s="29" t="s">
        <v>649</v>
      </c>
      <c r="U175" s="14">
        <f t="shared" si="28"/>
        <v>14</v>
      </c>
      <c r="V175" s="36">
        <f t="shared" si="32"/>
        <v>1.242</v>
      </c>
      <c r="W175" s="17">
        <f t="shared" si="29"/>
        <v>3.7260000000000001E-2</v>
      </c>
      <c r="X175" s="14">
        <f t="shared" si="33"/>
        <v>1</v>
      </c>
      <c r="Y175" s="14">
        <f t="shared" si="34"/>
        <v>2</v>
      </c>
      <c r="Z175" s="14">
        <f t="shared" si="35"/>
        <v>0</v>
      </c>
      <c r="AA175" s="14" t="str">
        <f t="shared" si="36"/>
        <v>AtkExt</v>
      </c>
      <c r="AB175" s="14">
        <f t="shared" si="30"/>
        <v>1794</v>
      </c>
      <c r="AC175" s="14" t="str">
        <f t="shared" si="37"/>
        <v>DefExt</v>
      </c>
      <c r="AD175" s="14">
        <f t="shared" si="38"/>
        <v>447</v>
      </c>
      <c r="AE175" s="14" t="str">
        <f t="shared" si="39"/>
        <v>[x]</v>
      </c>
      <c r="AF175" s="27" t="str">
        <f t="shared" si="40"/>
        <v>[x]</v>
      </c>
      <c r="AG175" s="27" t="str">
        <f t="shared" si="41"/>
        <v>[x]</v>
      </c>
    </row>
    <row r="176" spans="9:33" ht="16.5" x14ac:dyDescent="0.2">
      <c r="I176" s="32"/>
      <c r="P176" s="13">
        <v>120</v>
      </c>
      <c r="Q176" s="14">
        <f t="shared" si="26"/>
        <v>8</v>
      </c>
      <c r="R176" s="14">
        <f t="shared" si="27"/>
        <v>1606010</v>
      </c>
      <c r="S176" s="14" t="str">
        <f t="shared" si="31"/>
        <v>神器2碎片5等级15</v>
      </c>
      <c r="T176" s="29" t="s">
        <v>649</v>
      </c>
      <c r="U176" s="14">
        <f t="shared" si="28"/>
        <v>15</v>
      </c>
      <c r="V176" s="36">
        <f t="shared" si="32"/>
        <v>1.35</v>
      </c>
      <c r="W176" s="17">
        <f t="shared" si="29"/>
        <v>4.0500000000000001E-2</v>
      </c>
      <c r="X176" s="14">
        <f t="shared" si="33"/>
        <v>1</v>
      </c>
      <c r="Y176" s="14">
        <f t="shared" si="34"/>
        <v>2</v>
      </c>
      <c r="Z176" s="14">
        <f t="shared" si="35"/>
        <v>0</v>
      </c>
      <c r="AA176" s="14" t="str">
        <f t="shared" si="36"/>
        <v>AtkExt</v>
      </c>
      <c r="AB176" s="14">
        <f t="shared" si="30"/>
        <v>1950</v>
      </c>
      <c r="AC176" s="14" t="str">
        <f t="shared" si="37"/>
        <v>DefExt</v>
      </c>
      <c r="AD176" s="14">
        <f t="shared" si="38"/>
        <v>486</v>
      </c>
      <c r="AE176" s="14" t="str">
        <f t="shared" si="39"/>
        <v>[x]</v>
      </c>
      <c r="AF176" s="27" t="str">
        <f t="shared" si="40"/>
        <v>[x]</v>
      </c>
      <c r="AG176" s="27" t="str">
        <f t="shared" si="41"/>
        <v>[x]</v>
      </c>
    </row>
    <row r="177" spans="9:33" ht="16.5" x14ac:dyDescent="0.2">
      <c r="I177" s="32"/>
      <c r="P177" s="13">
        <v>121</v>
      </c>
      <c r="Q177" s="14">
        <f t="shared" si="26"/>
        <v>9</v>
      </c>
      <c r="R177" s="14">
        <f t="shared" si="27"/>
        <v>1606011</v>
      </c>
      <c r="S177" s="14" t="str">
        <f t="shared" si="31"/>
        <v>神器3碎片1等级1</v>
      </c>
      <c r="T177" s="29" t="s">
        <v>649</v>
      </c>
      <c r="U177" s="14">
        <f t="shared" si="28"/>
        <v>1</v>
      </c>
      <c r="V177" s="36">
        <f t="shared" si="32"/>
        <v>0.20200000000000001</v>
      </c>
      <c r="W177" s="17">
        <f t="shared" si="29"/>
        <v>2.0200000000000001E-3</v>
      </c>
      <c r="X177" s="14">
        <f t="shared" si="33"/>
        <v>2</v>
      </c>
      <c r="Y177" s="14">
        <f t="shared" si="34"/>
        <v>3</v>
      </c>
      <c r="Z177" s="14">
        <f t="shared" si="35"/>
        <v>0</v>
      </c>
      <c r="AA177" s="14" t="str">
        <f t="shared" si="36"/>
        <v>DefExt</v>
      </c>
      <c r="AB177" s="14">
        <f t="shared" si="30"/>
        <v>24</v>
      </c>
      <c r="AC177" s="14" t="str">
        <f t="shared" si="37"/>
        <v>HPExt</v>
      </c>
      <c r="AD177" s="14">
        <f t="shared" si="38"/>
        <v>292</v>
      </c>
      <c r="AE177" s="14" t="str">
        <f t="shared" si="39"/>
        <v>[x]</v>
      </c>
      <c r="AF177" s="27" t="str">
        <f t="shared" si="40"/>
        <v>[x]</v>
      </c>
      <c r="AG177" s="27" t="str">
        <f t="shared" si="41"/>
        <v>[x]</v>
      </c>
    </row>
    <row r="178" spans="9:33" ht="16.5" x14ac:dyDescent="0.2">
      <c r="I178" s="32"/>
      <c r="P178" s="13">
        <v>122</v>
      </c>
      <c r="Q178" s="14">
        <f t="shared" si="26"/>
        <v>9</v>
      </c>
      <c r="R178" s="14">
        <f t="shared" si="27"/>
        <v>1606011</v>
      </c>
      <c r="S178" s="14" t="str">
        <f t="shared" si="31"/>
        <v>神器3碎片1等级2</v>
      </c>
      <c r="T178" s="29" t="s">
        <v>649</v>
      </c>
      <c r="U178" s="14">
        <f t="shared" si="28"/>
        <v>2</v>
      </c>
      <c r="V178" s="36">
        <f t="shared" si="32"/>
        <v>0.25800000000000001</v>
      </c>
      <c r="W178" s="17">
        <f t="shared" si="29"/>
        <v>2.5800000000000003E-3</v>
      </c>
      <c r="X178" s="14">
        <f t="shared" si="33"/>
        <v>2</v>
      </c>
      <c r="Y178" s="14">
        <f t="shared" si="34"/>
        <v>3</v>
      </c>
      <c r="Z178" s="14">
        <f t="shared" si="35"/>
        <v>0</v>
      </c>
      <c r="AA178" s="14" t="str">
        <f t="shared" si="36"/>
        <v>DefExt</v>
      </c>
      <c r="AB178" s="14">
        <f t="shared" si="30"/>
        <v>30</v>
      </c>
      <c r="AC178" s="14" t="str">
        <f t="shared" si="37"/>
        <v>HPExt</v>
      </c>
      <c r="AD178" s="14">
        <f t="shared" si="38"/>
        <v>373</v>
      </c>
      <c r="AE178" s="14" t="str">
        <f t="shared" si="39"/>
        <v>[x]</v>
      </c>
      <c r="AF178" s="27" t="str">
        <f t="shared" si="40"/>
        <v>[x]</v>
      </c>
      <c r="AG178" s="27" t="str">
        <f t="shared" si="41"/>
        <v>[x]</v>
      </c>
    </row>
    <row r="179" spans="9:33" ht="16.5" x14ac:dyDescent="0.2">
      <c r="I179" s="32"/>
      <c r="P179" s="13">
        <v>123</v>
      </c>
      <c r="Q179" s="14">
        <f t="shared" si="26"/>
        <v>9</v>
      </c>
      <c r="R179" s="14">
        <f t="shared" si="27"/>
        <v>1606011</v>
      </c>
      <c r="S179" s="14" t="str">
        <f t="shared" si="31"/>
        <v>神器3碎片1等级3</v>
      </c>
      <c r="T179" s="29" t="s">
        <v>649</v>
      </c>
      <c r="U179" s="14">
        <f t="shared" si="28"/>
        <v>3</v>
      </c>
      <c r="V179" s="36">
        <f t="shared" si="32"/>
        <v>0.31800000000000006</v>
      </c>
      <c r="W179" s="17">
        <f t="shared" si="29"/>
        <v>3.1800000000000005E-3</v>
      </c>
      <c r="X179" s="14">
        <f t="shared" si="33"/>
        <v>2</v>
      </c>
      <c r="Y179" s="14">
        <f t="shared" si="34"/>
        <v>3</v>
      </c>
      <c r="Z179" s="14">
        <f t="shared" si="35"/>
        <v>0</v>
      </c>
      <c r="AA179" s="14" t="str">
        <f t="shared" si="36"/>
        <v>DefExt</v>
      </c>
      <c r="AB179" s="14">
        <f t="shared" si="30"/>
        <v>38</v>
      </c>
      <c r="AC179" s="14" t="str">
        <f t="shared" si="37"/>
        <v>HPExt</v>
      </c>
      <c r="AD179" s="14">
        <f t="shared" si="38"/>
        <v>460</v>
      </c>
      <c r="AE179" s="14" t="str">
        <f t="shared" si="39"/>
        <v>[x]</v>
      </c>
      <c r="AF179" s="27" t="str">
        <f t="shared" si="40"/>
        <v>[x]</v>
      </c>
      <c r="AG179" s="27" t="str">
        <f t="shared" si="41"/>
        <v>[x]</v>
      </c>
    </row>
    <row r="180" spans="9:33" ht="16.5" x14ac:dyDescent="0.2">
      <c r="I180" s="32"/>
      <c r="P180" s="13">
        <v>124</v>
      </c>
      <c r="Q180" s="14">
        <f t="shared" si="26"/>
        <v>9</v>
      </c>
      <c r="R180" s="14">
        <f t="shared" si="27"/>
        <v>1606011</v>
      </c>
      <c r="S180" s="14" t="str">
        <f t="shared" si="31"/>
        <v>神器3碎片1等级4</v>
      </c>
      <c r="T180" s="29" t="s">
        <v>649</v>
      </c>
      <c r="U180" s="14">
        <f t="shared" si="28"/>
        <v>4</v>
      </c>
      <c r="V180" s="36">
        <f t="shared" si="32"/>
        <v>0.38200000000000001</v>
      </c>
      <c r="W180" s="17">
        <f t="shared" si="29"/>
        <v>3.82E-3</v>
      </c>
      <c r="X180" s="14">
        <f t="shared" si="33"/>
        <v>2</v>
      </c>
      <c r="Y180" s="14">
        <f t="shared" si="34"/>
        <v>3</v>
      </c>
      <c r="Z180" s="14">
        <f t="shared" si="35"/>
        <v>0</v>
      </c>
      <c r="AA180" s="14" t="str">
        <f t="shared" si="36"/>
        <v>DefExt</v>
      </c>
      <c r="AB180" s="14">
        <f t="shared" si="30"/>
        <v>45</v>
      </c>
      <c r="AC180" s="14" t="str">
        <f t="shared" si="37"/>
        <v>HPExt</v>
      </c>
      <c r="AD180" s="14">
        <f t="shared" si="38"/>
        <v>553</v>
      </c>
      <c r="AE180" s="14" t="str">
        <f t="shared" si="39"/>
        <v>[x]</v>
      </c>
      <c r="AF180" s="27" t="str">
        <f t="shared" si="40"/>
        <v>[x]</v>
      </c>
      <c r="AG180" s="27" t="str">
        <f t="shared" si="41"/>
        <v>[x]</v>
      </c>
    </row>
    <row r="181" spans="9:33" ht="16.5" x14ac:dyDescent="0.2">
      <c r="I181" s="32"/>
      <c r="P181" s="13">
        <v>125</v>
      </c>
      <c r="Q181" s="14">
        <f t="shared" si="26"/>
        <v>9</v>
      </c>
      <c r="R181" s="14">
        <f t="shared" si="27"/>
        <v>1606011</v>
      </c>
      <c r="S181" s="14" t="str">
        <f t="shared" si="31"/>
        <v>神器3碎片1等级5</v>
      </c>
      <c r="T181" s="29" t="s">
        <v>649</v>
      </c>
      <c r="U181" s="14">
        <f t="shared" si="28"/>
        <v>5</v>
      </c>
      <c r="V181" s="36">
        <f t="shared" si="32"/>
        <v>0.45</v>
      </c>
      <c r="W181" s="17">
        <f t="shared" si="29"/>
        <v>4.5000000000000005E-3</v>
      </c>
      <c r="X181" s="14">
        <f t="shared" si="33"/>
        <v>2</v>
      </c>
      <c r="Y181" s="14">
        <f t="shared" si="34"/>
        <v>3</v>
      </c>
      <c r="Z181" s="14">
        <f t="shared" si="35"/>
        <v>0</v>
      </c>
      <c r="AA181" s="14" t="str">
        <f t="shared" si="36"/>
        <v>DefExt</v>
      </c>
      <c r="AB181" s="14">
        <f t="shared" si="30"/>
        <v>54</v>
      </c>
      <c r="AC181" s="14" t="str">
        <f t="shared" si="37"/>
        <v>HPExt</v>
      </c>
      <c r="AD181" s="14">
        <f t="shared" si="38"/>
        <v>651</v>
      </c>
      <c r="AE181" s="14" t="str">
        <f t="shared" si="39"/>
        <v>[x]</v>
      </c>
      <c r="AF181" s="27" t="str">
        <f t="shared" si="40"/>
        <v>[x]</v>
      </c>
      <c r="AG181" s="27" t="str">
        <f t="shared" si="41"/>
        <v>[x]</v>
      </c>
    </row>
    <row r="182" spans="9:33" ht="16.5" x14ac:dyDescent="0.2">
      <c r="I182" s="32"/>
      <c r="P182" s="13">
        <v>126</v>
      </c>
      <c r="Q182" s="14">
        <f t="shared" si="26"/>
        <v>9</v>
      </c>
      <c r="R182" s="14">
        <f t="shared" si="27"/>
        <v>1606011</v>
      </c>
      <c r="S182" s="14" t="str">
        <f t="shared" si="31"/>
        <v>神器3碎片1等级6</v>
      </c>
      <c r="T182" s="29" t="s">
        <v>649</v>
      </c>
      <c r="U182" s="14">
        <f t="shared" si="28"/>
        <v>6</v>
      </c>
      <c r="V182" s="36">
        <f t="shared" si="32"/>
        <v>0.52200000000000002</v>
      </c>
      <c r="W182" s="17">
        <f t="shared" si="29"/>
        <v>5.2200000000000007E-3</v>
      </c>
      <c r="X182" s="14">
        <f t="shared" si="33"/>
        <v>2</v>
      </c>
      <c r="Y182" s="14">
        <f t="shared" si="34"/>
        <v>3</v>
      </c>
      <c r="Z182" s="14">
        <f t="shared" si="35"/>
        <v>0</v>
      </c>
      <c r="AA182" s="14" t="str">
        <f t="shared" si="36"/>
        <v>DefExt</v>
      </c>
      <c r="AB182" s="14">
        <f t="shared" si="30"/>
        <v>62</v>
      </c>
      <c r="AC182" s="14" t="str">
        <f t="shared" si="37"/>
        <v>HPExt</v>
      </c>
      <c r="AD182" s="14">
        <f t="shared" si="38"/>
        <v>756</v>
      </c>
      <c r="AE182" s="14" t="str">
        <f t="shared" si="39"/>
        <v>[x]</v>
      </c>
      <c r="AF182" s="27" t="str">
        <f t="shared" si="40"/>
        <v>[x]</v>
      </c>
      <c r="AG182" s="27" t="str">
        <f t="shared" si="41"/>
        <v>[x]</v>
      </c>
    </row>
    <row r="183" spans="9:33" ht="16.5" x14ac:dyDescent="0.2">
      <c r="I183" s="32"/>
      <c r="P183" s="13">
        <v>127</v>
      </c>
      <c r="Q183" s="14">
        <f t="shared" si="26"/>
        <v>9</v>
      </c>
      <c r="R183" s="14">
        <f t="shared" si="27"/>
        <v>1606011</v>
      </c>
      <c r="S183" s="14" t="str">
        <f t="shared" si="31"/>
        <v>神器3碎片1等级7</v>
      </c>
      <c r="T183" s="29" t="s">
        <v>649</v>
      </c>
      <c r="U183" s="14">
        <f t="shared" si="28"/>
        <v>7</v>
      </c>
      <c r="V183" s="36">
        <f t="shared" si="32"/>
        <v>0.59799999999999998</v>
      </c>
      <c r="W183" s="17">
        <f t="shared" si="29"/>
        <v>5.9800000000000001E-3</v>
      </c>
      <c r="X183" s="14">
        <f t="shared" si="33"/>
        <v>2</v>
      </c>
      <c r="Y183" s="14">
        <f t="shared" si="34"/>
        <v>3</v>
      </c>
      <c r="Z183" s="14">
        <f t="shared" si="35"/>
        <v>0</v>
      </c>
      <c r="AA183" s="14" t="str">
        <f t="shared" si="36"/>
        <v>DefExt</v>
      </c>
      <c r="AB183" s="14">
        <f t="shared" si="30"/>
        <v>71</v>
      </c>
      <c r="AC183" s="14" t="str">
        <f t="shared" si="37"/>
        <v>HPExt</v>
      </c>
      <c r="AD183" s="14">
        <f t="shared" si="38"/>
        <v>866</v>
      </c>
      <c r="AE183" s="14" t="str">
        <f t="shared" si="39"/>
        <v>[x]</v>
      </c>
      <c r="AF183" s="27" t="str">
        <f t="shared" si="40"/>
        <v>[x]</v>
      </c>
      <c r="AG183" s="27" t="str">
        <f t="shared" si="41"/>
        <v>[x]</v>
      </c>
    </row>
    <row r="184" spans="9:33" ht="16.5" x14ac:dyDescent="0.2">
      <c r="I184" s="32"/>
      <c r="P184" s="13">
        <v>128</v>
      </c>
      <c r="Q184" s="14">
        <f t="shared" si="26"/>
        <v>9</v>
      </c>
      <c r="R184" s="14">
        <f t="shared" si="27"/>
        <v>1606011</v>
      </c>
      <c r="S184" s="14" t="str">
        <f t="shared" si="31"/>
        <v>神器3碎片1等级8</v>
      </c>
      <c r="T184" s="29" t="s">
        <v>649</v>
      </c>
      <c r="U184" s="14">
        <f t="shared" si="28"/>
        <v>8</v>
      </c>
      <c r="V184" s="36">
        <f t="shared" si="32"/>
        <v>0.67800000000000005</v>
      </c>
      <c r="W184" s="17">
        <f t="shared" si="29"/>
        <v>6.7800000000000004E-3</v>
      </c>
      <c r="X184" s="14">
        <f t="shared" si="33"/>
        <v>2</v>
      </c>
      <c r="Y184" s="14">
        <f t="shared" si="34"/>
        <v>3</v>
      </c>
      <c r="Z184" s="14">
        <f t="shared" si="35"/>
        <v>0</v>
      </c>
      <c r="AA184" s="14" t="str">
        <f t="shared" si="36"/>
        <v>DefExt</v>
      </c>
      <c r="AB184" s="14">
        <f t="shared" si="30"/>
        <v>81</v>
      </c>
      <c r="AC184" s="14" t="str">
        <f t="shared" si="37"/>
        <v>HPExt</v>
      </c>
      <c r="AD184" s="14">
        <f t="shared" si="38"/>
        <v>981</v>
      </c>
      <c r="AE184" s="14" t="str">
        <f t="shared" si="39"/>
        <v>[x]</v>
      </c>
      <c r="AF184" s="27" t="str">
        <f t="shared" si="40"/>
        <v>[x]</v>
      </c>
      <c r="AG184" s="27" t="str">
        <f t="shared" si="41"/>
        <v>[x]</v>
      </c>
    </row>
    <row r="185" spans="9:33" ht="16.5" x14ac:dyDescent="0.2">
      <c r="I185" s="32"/>
      <c r="P185" s="13">
        <v>129</v>
      </c>
      <c r="Q185" s="14">
        <f t="shared" ref="Q185:Q248" si="42">MATCH(P185-1,$X$4:$X$46,1)</f>
        <v>9</v>
      </c>
      <c r="R185" s="14">
        <f t="shared" ref="R185:R248" si="43">INDEX($S$5:$S$46,Q185)</f>
        <v>1606011</v>
      </c>
      <c r="S185" s="14" t="str">
        <f t="shared" si="31"/>
        <v>神器3碎片1等级9</v>
      </c>
      <c r="T185" s="29" t="s">
        <v>649</v>
      </c>
      <c r="U185" s="14">
        <f t="shared" ref="U185:U248" si="44">P185-INDEX($X$4:$X$46,Q185)</f>
        <v>9</v>
      </c>
      <c r="V185" s="36">
        <f t="shared" si="32"/>
        <v>0.76200000000000001</v>
      </c>
      <c r="W185" s="17">
        <f t="shared" ref="W185:W248" si="45">INDEX($V$5:$V$46,Q185)*V185</f>
        <v>7.62E-3</v>
      </c>
      <c r="X185" s="14">
        <f t="shared" si="33"/>
        <v>2</v>
      </c>
      <c r="Y185" s="14">
        <f t="shared" si="34"/>
        <v>3</v>
      </c>
      <c r="Z185" s="14">
        <f t="shared" si="35"/>
        <v>0</v>
      </c>
      <c r="AA185" s="14" t="str">
        <f t="shared" si="36"/>
        <v>DefExt</v>
      </c>
      <c r="AB185" s="14">
        <f t="shared" ref="AB185:AB248" si="46">INT(INDEX($E$4:$G$4,X185)*W185*INDEX($Y$5:$AA$46,Q185,X185))</f>
        <v>91</v>
      </c>
      <c r="AC185" s="14" t="str">
        <f t="shared" si="37"/>
        <v>HPExt</v>
      </c>
      <c r="AD185" s="14">
        <f t="shared" si="38"/>
        <v>1103</v>
      </c>
      <c r="AE185" s="14" t="str">
        <f t="shared" si="39"/>
        <v>[x]</v>
      </c>
      <c r="AF185" s="27" t="str">
        <f t="shared" si="40"/>
        <v>[x]</v>
      </c>
      <c r="AG185" s="27" t="str">
        <f t="shared" si="41"/>
        <v>[x]</v>
      </c>
    </row>
    <row r="186" spans="9:33" ht="16.5" x14ac:dyDescent="0.2">
      <c r="I186" s="32"/>
      <c r="P186" s="13">
        <v>130</v>
      </c>
      <c r="Q186" s="14">
        <f t="shared" si="42"/>
        <v>9</v>
      </c>
      <c r="R186" s="14">
        <f t="shared" si="43"/>
        <v>1606011</v>
      </c>
      <c r="S186" s="14" t="str">
        <f t="shared" ref="S186:S249" si="47">INDEX($P$5:$P$46,Q186)&amp;"碎片"&amp;INDEX($R$5:$R$46,Q186)&amp;"等级"&amp;U186</f>
        <v>神器3碎片1等级10</v>
      </c>
      <c r="T186" s="29" t="s">
        <v>649</v>
      </c>
      <c r="U186" s="14">
        <f t="shared" si="44"/>
        <v>10</v>
      </c>
      <c r="V186" s="36">
        <f t="shared" ref="V186:V249" si="48">15%+U186*5%+U186*U186*0.2%</f>
        <v>0.85000000000000009</v>
      </c>
      <c r="W186" s="17">
        <f t="shared" si="45"/>
        <v>8.5000000000000006E-3</v>
      </c>
      <c r="X186" s="14">
        <f t="shared" ref="X186:X249" si="49">INDEX($AB$5:$AB$46,Q186)</f>
        <v>2</v>
      </c>
      <c r="Y186" s="14">
        <f t="shared" ref="Y186:Y249" si="50">INDEX(AC$5:AC$46,$Q186)</f>
        <v>3</v>
      </c>
      <c r="Z186" s="14">
        <f t="shared" ref="Z186:Z249" si="51">INDEX(AD$5:AD$46,$Q186)</f>
        <v>0</v>
      </c>
      <c r="AA186" s="14" t="str">
        <f t="shared" ref="AA186:AA249" si="52">INDEX($Y$3:$AA$3,X186)</f>
        <v>DefExt</v>
      </c>
      <c r="AB186" s="14">
        <f t="shared" si="46"/>
        <v>102</v>
      </c>
      <c r="AC186" s="14" t="str">
        <f t="shared" ref="AC186:AC249" si="53">IF(Y186&gt;0,INDEX($Y$3:$AA$3,Y186),"[x]")</f>
        <v>HPExt</v>
      </c>
      <c r="AD186" s="14">
        <f t="shared" ref="AD186:AD249" si="54">IF(Y186&gt;0,INT(INDEX($E$4:$G$4,Y186)*W186*INDEX($Y$5:$AA$46,Q186,Y186)),"[x]")</f>
        <v>1231</v>
      </c>
      <c r="AE186" s="14" t="str">
        <f t="shared" ref="AE186:AE249" si="55">IF(Z186&gt;0,INDEX($Y$3:$AA$3,Z186),"[x]")</f>
        <v>[x]</v>
      </c>
      <c r="AF186" s="27" t="str">
        <f t="shared" ref="AF186:AF249" si="56">IF(Z186&gt;0,INT(INDEX($E$4:$G$4,Z186)*W186*INDEX($Y$5:$AA$46,Q186,Z186)),"[x]")</f>
        <v>[x]</v>
      </c>
      <c r="AG186" s="27" t="str">
        <f t="shared" ref="AG186:AG249" si="57">IF(INDEX($AE$5:$AE$46,Q186)&gt;0,INDEX($AE$5:$AE$46,Q186)*U186,"[x]")</f>
        <v>[x]</v>
      </c>
    </row>
    <row r="187" spans="9:33" ht="16.5" x14ac:dyDescent="0.2">
      <c r="I187" s="32"/>
      <c r="P187" s="13">
        <v>131</v>
      </c>
      <c r="Q187" s="14">
        <f t="shared" si="42"/>
        <v>9</v>
      </c>
      <c r="R187" s="14">
        <f t="shared" si="43"/>
        <v>1606011</v>
      </c>
      <c r="S187" s="14" t="str">
        <f t="shared" si="47"/>
        <v>神器3碎片1等级11</v>
      </c>
      <c r="T187" s="29" t="s">
        <v>649</v>
      </c>
      <c r="U187" s="14">
        <f t="shared" si="44"/>
        <v>11</v>
      </c>
      <c r="V187" s="36">
        <f t="shared" si="48"/>
        <v>0.94200000000000006</v>
      </c>
      <c r="W187" s="17">
        <f t="shared" si="45"/>
        <v>9.4200000000000013E-3</v>
      </c>
      <c r="X187" s="14">
        <f t="shared" si="49"/>
        <v>2</v>
      </c>
      <c r="Y187" s="14">
        <f t="shared" si="50"/>
        <v>3</v>
      </c>
      <c r="Z187" s="14">
        <f t="shared" si="51"/>
        <v>0</v>
      </c>
      <c r="AA187" s="14" t="str">
        <f t="shared" si="52"/>
        <v>DefExt</v>
      </c>
      <c r="AB187" s="14">
        <f t="shared" si="46"/>
        <v>113</v>
      </c>
      <c r="AC187" s="14" t="str">
        <f t="shared" si="53"/>
        <v>HPExt</v>
      </c>
      <c r="AD187" s="14">
        <f t="shared" si="54"/>
        <v>1364</v>
      </c>
      <c r="AE187" s="14" t="str">
        <f t="shared" si="55"/>
        <v>[x]</v>
      </c>
      <c r="AF187" s="27" t="str">
        <f t="shared" si="56"/>
        <v>[x]</v>
      </c>
      <c r="AG187" s="27" t="str">
        <f t="shared" si="57"/>
        <v>[x]</v>
      </c>
    </row>
    <row r="188" spans="9:33" ht="16.5" x14ac:dyDescent="0.2">
      <c r="I188" s="32"/>
      <c r="P188" s="13">
        <v>132</v>
      </c>
      <c r="Q188" s="14">
        <f t="shared" si="42"/>
        <v>9</v>
      </c>
      <c r="R188" s="14">
        <f t="shared" si="43"/>
        <v>1606011</v>
      </c>
      <c r="S188" s="14" t="str">
        <f t="shared" si="47"/>
        <v>神器3碎片1等级12</v>
      </c>
      <c r="T188" s="29" t="s">
        <v>649</v>
      </c>
      <c r="U188" s="14">
        <f t="shared" si="44"/>
        <v>12</v>
      </c>
      <c r="V188" s="36">
        <f t="shared" si="48"/>
        <v>1.0380000000000003</v>
      </c>
      <c r="W188" s="17">
        <f t="shared" si="45"/>
        <v>1.0380000000000002E-2</v>
      </c>
      <c r="X188" s="14">
        <f t="shared" si="49"/>
        <v>2</v>
      </c>
      <c r="Y188" s="14">
        <f t="shared" si="50"/>
        <v>3</v>
      </c>
      <c r="Z188" s="14">
        <f t="shared" si="51"/>
        <v>0</v>
      </c>
      <c r="AA188" s="14" t="str">
        <f t="shared" si="52"/>
        <v>DefExt</v>
      </c>
      <c r="AB188" s="14">
        <f t="shared" si="46"/>
        <v>124</v>
      </c>
      <c r="AC188" s="14" t="str">
        <f t="shared" si="53"/>
        <v>HPExt</v>
      </c>
      <c r="AD188" s="14">
        <f t="shared" si="54"/>
        <v>1503</v>
      </c>
      <c r="AE188" s="14" t="str">
        <f t="shared" si="55"/>
        <v>[x]</v>
      </c>
      <c r="AF188" s="27" t="str">
        <f t="shared" si="56"/>
        <v>[x]</v>
      </c>
      <c r="AG188" s="27" t="str">
        <f t="shared" si="57"/>
        <v>[x]</v>
      </c>
    </row>
    <row r="189" spans="9:33" ht="16.5" x14ac:dyDescent="0.2">
      <c r="I189" s="32"/>
      <c r="P189" s="13">
        <v>133</v>
      </c>
      <c r="Q189" s="14">
        <f t="shared" si="42"/>
        <v>9</v>
      </c>
      <c r="R189" s="14">
        <f t="shared" si="43"/>
        <v>1606011</v>
      </c>
      <c r="S189" s="14" t="str">
        <f t="shared" si="47"/>
        <v>神器3碎片1等级13</v>
      </c>
      <c r="T189" s="29" t="s">
        <v>649</v>
      </c>
      <c r="U189" s="14">
        <f t="shared" si="44"/>
        <v>13</v>
      </c>
      <c r="V189" s="36">
        <f t="shared" si="48"/>
        <v>1.1380000000000001</v>
      </c>
      <c r="W189" s="17">
        <f t="shared" si="45"/>
        <v>1.1380000000000001E-2</v>
      </c>
      <c r="X189" s="14">
        <f t="shared" si="49"/>
        <v>2</v>
      </c>
      <c r="Y189" s="14">
        <f t="shared" si="50"/>
        <v>3</v>
      </c>
      <c r="Z189" s="14">
        <f t="shared" si="51"/>
        <v>0</v>
      </c>
      <c r="AA189" s="14" t="str">
        <f t="shared" si="52"/>
        <v>DefExt</v>
      </c>
      <c r="AB189" s="14">
        <f t="shared" si="46"/>
        <v>136</v>
      </c>
      <c r="AC189" s="14" t="str">
        <f t="shared" si="53"/>
        <v>HPExt</v>
      </c>
      <c r="AD189" s="14">
        <f t="shared" si="54"/>
        <v>1648</v>
      </c>
      <c r="AE189" s="14" t="str">
        <f t="shared" si="55"/>
        <v>[x]</v>
      </c>
      <c r="AF189" s="27" t="str">
        <f t="shared" si="56"/>
        <v>[x]</v>
      </c>
      <c r="AG189" s="27" t="str">
        <f t="shared" si="57"/>
        <v>[x]</v>
      </c>
    </row>
    <row r="190" spans="9:33" ht="16.5" x14ac:dyDescent="0.2">
      <c r="I190" s="32"/>
      <c r="P190" s="13">
        <v>134</v>
      </c>
      <c r="Q190" s="14">
        <f t="shared" si="42"/>
        <v>9</v>
      </c>
      <c r="R190" s="14">
        <f t="shared" si="43"/>
        <v>1606011</v>
      </c>
      <c r="S190" s="14" t="str">
        <f t="shared" si="47"/>
        <v>神器3碎片1等级14</v>
      </c>
      <c r="T190" s="29" t="s">
        <v>649</v>
      </c>
      <c r="U190" s="14">
        <f t="shared" si="44"/>
        <v>14</v>
      </c>
      <c r="V190" s="36">
        <f t="shared" si="48"/>
        <v>1.242</v>
      </c>
      <c r="W190" s="17">
        <f t="shared" si="45"/>
        <v>1.242E-2</v>
      </c>
      <c r="X190" s="14">
        <f t="shared" si="49"/>
        <v>2</v>
      </c>
      <c r="Y190" s="14">
        <f t="shared" si="50"/>
        <v>3</v>
      </c>
      <c r="Z190" s="14">
        <f t="shared" si="51"/>
        <v>0</v>
      </c>
      <c r="AA190" s="14" t="str">
        <f t="shared" si="52"/>
        <v>DefExt</v>
      </c>
      <c r="AB190" s="14">
        <f t="shared" si="46"/>
        <v>149</v>
      </c>
      <c r="AC190" s="14" t="str">
        <f t="shared" si="53"/>
        <v>HPExt</v>
      </c>
      <c r="AD190" s="14">
        <f t="shared" si="54"/>
        <v>1798</v>
      </c>
      <c r="AE190" s="14" t="str">
        <f t="shared" si="55"/>
        <v>[x]</v>
      </c>
      <c r="AF190" s="27" t="str">
        <f t="shared" si="56"/>
        <v>[x]</v>
      </c>
      <c r="AG190" s="27" t="str">
        <f t="shared" si="57"/>
        <v>[x]</v>
      </c>
    </row>
    <row r="191" spans="9:33" ht="16.5" x14ac:dyDescent="0.2">
      <c r="I191" s="32"/>
      <c r="P191" s="13">
        <v>135</v>
      </c>
      <c r="Q191" s="14">
        <f t="shared" si="42"/>
        <v>9</v>
      </c>
      <c r="R191" s="14">
        <f t="shared" si="43"/>
        <v>1606011</v>
      </c>
      <c r="S191" s="14" t="str">
        <f t="shared" si="47"/>
        <v>神器3碎片1等级15</v>
      </c>
      <c r="T191" s="29" t="s">
        <v>649</v>
      </c>
      <c r="U191" s="14">
        <f t="shared" si="44"/>
        <v>15</v>
      </c>
      <c r="V191" s="36">
        <f t="shared" si="48"/>
        <v>1.35</v>
      </c>
      <c r="W191" s="17">
        <f t="shared" si="45"/>
        <v>1.3500000000000002E-2</v>
      </c>
      <c r="X191" s="14">
        <f t="shared" si="49"/>
        <v>2</v>
      </c>
      <c r="Y191" s="14">
        <f t="shared" si="50"/>
        <v>3</v>
      </c>
      <c r="Z191" s="14">
        <f t="shared" si="51"/>
        <v>0</v>
      </c>
      <c r="AA191" s="14" t="str">
        <f t="shared" si="52"/>
        <v>DefExt</v>
      </c>
      <c r="AB191" s="14">
        <f t="shared" si="46"/>
        <v>162</v>
      </c>
      <c r="AC191" s="14" t="str">
        <f t="shared" si="53"/>
        <v>HPExt</v>
      </c>
      <c r="AD191" s="14">
        <f t="shared" si="54"/>
        <v>1955</v>
      </c>
      <c r="AE191" s="14" t="str">
        <f t="shared" si="55"/>
        <v>[x]</v>
      </c>
      <c r="AF191" s="27" t="str">
        <f t="shared" si="56"/>
        <v>[x]</v>
      </c>
      <c r="AG191" s="27" t="str">
        <f t="shared" si="57"/>
        <v>[x]</v>
      </c>
    </row>
    <row r="192" spans="9:33" ht="16.5" x14ac:dyDescent="0.2">
      <c r="I192" s="32"/>
      <c r="P192" s="13">
        <v>136</v>
      </c>
      <c r="Q192" s="14">
        <f t="shared" si="42"/>
        <v>9</v>
      </c>
      <c r="R192" s="14">
        <f t="shared" si="43"/>
        <v>1606011</v>
      </c>
      <c r="S192" s="14" t="str">
        <f t="shared" si="47"/>
        <v>神器3碎片1等级16</v>
      </c>
      <c r="T192" s="29" t="s">
        <v>649</v>
      </c>
      <c r="U192" s="14">
        <f t="shared" si="44"/>
        <v>16</v>
      </c>
      <c r="V192" s="36">
        <f t="shared" si="48"/>
        <v>1.4620000000000002</v>
      </c>
      <c r="W192" s="17">
        <f t="shared" si="45"/>
        <v>1.4620000000000003E-2</v>
      </c>
      <c r="X192" s="14">
        <f t="shared" si="49"/>
        <v>2</v>
      </c>
      <c r="Y192" s="14">
        <f t="shared" si="50"/>
        <v>3</v>
      </c>
      <c r="Z192" s="14">
        <f t="shared" si="51"/>
        <v>0</v>
      </c>
      <c r="AA192" s="14" t="str">
        <f t="shared" si="52"/>
        <v>DefExt</v>
      </c>
      <c r="AB192" s="14">
        <f t="shared" si="46"/>
        <v>175</v>
      </c>
      <c r="AC192" s="14" t="str">
        <f t="shared" si="53"/>
        <v>HPExt</v>
      </c>
      <c r="AD192" s="14">
        <f t="shared" si="54"/>
        <v>2117</v>
      </c>
      <c r="AE192" s="14" t="str">
        <f t="shared" si="55"/>
        <v>[x]</v>
      </c>
      <c r="AF192" s="27" t="str">
        <f t="shared" si="56"/>
        <v>[x]</v>
      </c>
      <c r="AG192" s="27" t="str">
        <f t="shared" si="57"/>
        <v>[x]</v>
      </c>
    </row>
    <row r="193" spans="9:33" ht="16.5" x14ac:dyDescent="0.2">
      <c r="I193" s="32"/>
      <c r="P193" s="13">
        <v>137</v>
      </c>
      <c r="Q193" s="14">
        <f t="shared" si="42"/>
        <v>9</v>
      </c>
      <c r="R193" s="14">
        <f t="shared" si="43"/>
        <v>1606011</v>
      </c>
      <c r="S193" s="14" t="str">
        <f t="shared" si="47"/>
        <v>神器3碎片1等级17</v>
      </c>
      <c r="T193" s="29" t="s">
        <v>649</v>
      </c>
      <c r="U193" s="14">
        <f t="shared" si="44"/>
        <v>17</v>
      </c>
      <c r="V193" s="36">
        <f t="shared" si="48"/>
        <v>1.5779999999999998</v>
      </c>
      <c r="W193" s="17">
        <f t="shared" si="45"/>
        <v>1.5779999999999999E-2</v>
      </c>
      <c r="X193" s="14">
        <f t="shared" si="49"/>
        <v>2</v>
      </c>
      <c r="Y193" s="14">
        <f t="shared" si="50"/>
        <v>3</v>
      </c>
      <c r="Z193" s="14">
        <f t="shared" si="51"/>
        <v>0</v>
      </c>
      <c r="AA193" s="14" t="str">
        <f t="shared" si="52"/>
        <v>DefExt</v>
      </c>
      <c r="AB193" s="14">
        <f t="shared" si="46"/>
        <v>189</v>
      </c>
      <c r="AC193" s="14" t="str">
        <f t="shared" si="53"/>
        <v>HPExt</v>
      </c>
      <c r="AD193" s="14">
        <f t="shared" si="54"/>
        <v>2285</v>
      </c>
      <c r="AE193" s="14" t="str">
        <f t="shared" si="55"/>
        <v>[x]</v>
      </c>
      <c r="AF193" s="27" t="str">
        <f t="shared" si="56"/>
        <v>[x]</v>
      </c>
      <c r="AG193" s="27" t="str">
        <f t="shared" si="57"/>
        <v>[x]</v>
      </c>
    </row>
    <row r="194" spans="9:33" ht="16.5" x14ac:dyDescent="0.2">
      <c r="I194" s="32"/>
      <c r="P194" s="13">
        <v>138</v>
      </c>
      <c r="Q194" s="14">
        <f t="shared" si="42"/>
        <v>9</v>
      </c>
      <c r="R194" s="14">
        <f t="shared" si="43"/>
        <v>1606011</v>
      </c>
      <c r="S194" s="14" t="str">
        <f t="shared" si="47"/>
        <v>神器3碎片1等级18</v>
      </c>
      <c r="T194" s="29" t="s">
        <v>649</v>
      </c>
      <c r="U194" s="14">
        <f t="shared" si="44"/>
        <v>18</v>
      </c>
      <c r="V194" s="36">
        <f t="shared" si="48"/>
        <v>1.698</v>
      </c>
      <c r="W194" s="17">
        <f t="shared" si="45"/>
        <v>1.6979999999999999E-2</v>
      </c>
      <c r="X194" s="14">
        <f t="shared" si="49"/>
        <v>2</v>
      </c>
      <c r="Y194" s="14">
        <f t="shared" si="50"/>
        <v>3</v>
      </c>
      <c r="Z194" s="14">
        <f t="shared" si="51"/>
        <v>0</v>
      </c>
      <c r="AA194" s="14" t="str">
        <f t="shared" si="52"/>
        <v>DefExt</v>
      </c>
      <c r="AB194" s="14">
        <f t="shared" si="46"/>
        <v>203</v>
      </c>
      <c r="AC194" s="14" t="str">
        <f t="shared" si="53"/>
        <v>HPExt</v>
      </c>
      <c r="AD194" s="14">
        <f t="shared" si="54"/>
        <v>2459</v>
      </c>
      <c r="AE194" s="14" t="str">
        <f t="shared" si="55"/>
        <v>[x]</v>
      </c>
      <c r="AF194" s="27" t="str">
        <f t="shared" si="56"/>
        <v>[x]</v>
      </c>
      <c r="AG194" s="27" t="str">
        <f t="shared" si="57"/>
        <v>[x]</v>
      </c>
    </row>
    <row r="195" spans="9:33" ht="16.5" x14ac:dyDescent="0.2">
      <c r="I195" s="32"/>
      <c r="P195" s="13">
        <v>139</v>
      </c>
      <c r="Q195" s="14">
        <f t="shared" si="42"/>
        <v>9</v>
      </c>
      <c r="R195" s="14">
        <f t="shared" si="43"/>
        <v>1606011</v>
      </c>
      <c r="S195" s="14" t="str">
        <f t="shared" si="47"/>
        <v>神器3碎片1等级19</v>
      </c>
      <c r="T195" s="29" t="s">
        <v>649</v>
      </c>
      <c r="U195" s="14">
        <f t="shared" si="44"/>
        <v>19</v>
      </c>
      <c r="V195" s="36">
        <f t="shared" si="48"/>
        <v>1.8220000000000001</v>
      </c>
      <c r="W195" s="17">
        <f t="shared" si="45"/>
        <v>1.822E-2</v>
      </c>
      <c r="X195" s="14">
        <f t="shared" si="49"/>
        <v>2</v>
      </c>
      <c r="Y195" s="14">
        <f t="shared" si="50"/>
        <v>3</v>
      </c>
      <c r="Z195" s="14">
        <f t="shared" si="51"/>
        <v>0</v>
      </c>
      <c r="AA195" s="14" t="str">
        <f t="shared" si="52"/>
        <v>DefExt</v>
      </c>
      <c r="AB195" s="14">
        <f t="shared" si="46"/>
        <v>218</v>
      </c>
      <c r="AC195" s="14" t="str">
        <f t="shared" si="53"/>
        <v>HPExt</v>
      </c>
      <c r="AD195" s="14">
        <f t="shared" si="54"/>
        <v>2638</v>
      </c>
      <c r="AE195" s="14" t="str">
        <f t="shared" si="55"/>
        <v>[x]</v>
      </c>
      <c r="AF195" s="27" t="str">
        <f t="shared" si="56"/>
        <v>[x]</v>
      </c>
      <c r="AG195" s="27" t="str">
        <f t="shared" si="57"/>
        <v>[x]</v>
      </c>
    </row>
    <row r="196" spans="9:33" ht="16.5" x14ac:dyDescent="0.2">
      <c r="I196" s="32"/>
      <c r="P196" s="13">
        <v>140</v>
      </c>
      <c r="Q196" s="14">
        <f t="shared" si="42"/>
        <v>9</v>
      </c>
      <c r="R196" s="14">
        <f t="shared" si="43"/>
        <v>1606011</v>
      </c>
      <c r="S196" s="14" t="str">
        <f t="shared" si="47"/>
        <v>神器3碎片1等级20</v>
      </c>
      <c r="T196" s="29" t="s">
        <v>649</v>
      </c>
      <c r="U196" s="14">
        <f t="shared" si="44"/>
        <v>20</v>
      </c>
      <c r="V196" s="36">
        <f t="shared" si="48"/>
        <v>1.95</v>
      </c>
      <c r="W196" s="17">
        <f t="shared" si="45"/>
        <v>1.95E-2</v>
      </c>
      <c r="X196" s="14">
        <f t="shared" si="49"/>
        <v>2</v>
      </c>
      <c r="Y196" s="14">
        <f t="shared" si="50"/>
        <v>3</v>
      </c>
      <c r="Z196" s="14">
        <f t="shared" si="51"/>
        <v>0</v>
      </c>
      <c r="AA196" s="14" t="str">
        <f t="shared" si="52"/>
        <v>DefExt</v>
      </c>
      <c r="AB196" s="14">
        <f t="shared" si="46"/>
        <v>234</v>
      </c>
      <c r="AC196" s="14" t="str">
        <f t="shared" si="53"/>
        <v>HPExt</v>
      </c>
      <c r="AD196" s="14">
        <f t="shared" si="54"/>
        <v>2824</v>
      </c>
      <c r="AE196" s="14" t="str">
        <f t="shared" si="55"/>
        <v>[x]</v>
      </c>
      <c r="AF196" s="27" t="str">
        <f t="shared" si="56"/>
        <v>[x]</v>
      </c>
      <c r="AG196" s="27" t="str">
        <f t="shared" si="57"/>
        <v>[x]</v>
      </c>
    </row>
    <row r="197" spans="9:33" ht="16.5" x14ac:dyDescent="0.2">
      <c r="I197" s="32"/>
      <c r="P197" s="13">
        <v>141</v>
      </c>
      <c r="Q197" s="14">
        <f t="shared" si="42"/>
        <v>9</v>
      </c>
      <c r="R197" s="14">
        <f t="shared" si="43"/>
        <v>1606011</v>
      </c>
      <c r="S197" s="14" t="str">
        <f t="shared" si="47"/>
        <v>神器3碎片1等级21</v>
      </c>
      <c r="T197" s="29" t="s">
        <v>649</v>
      </c>
      <c r="U197" s="14">
        <f t="shared" si="44"/>
        <v>21</v>
      </c>
      <c r="V197" s="36">
        <f t="shared" si="48"/>
        <v>2.0819999999999999</v>
      </c>
      <c r="W197" s="17">
        <f t="shared" si="45"/>
        <v>2.0819999999999998E-2</v>
      </c>
      <c r="X197" s="14">
        <f t="shared" si="49"/>
        <v>2</v>
      </c>
      <c r="Y197" s="14">
        <f t="shared" si="50"/>
        <v>3</v>
      </c>
      <c r="Z197" s="14">
        <f t="shared" si="51"/>
        <v>0</v>
      </c>
      <c r="AA197" s="14" t="str">
        <f t="shared" si="52"/>
        <v>DefExt</v>
      </c>
      <c r="AB197" s="14">
        <f t="shared" si="46"/>
        <v>250</v>
      </c>
      <c r="AC197" s="14" t="str">
        <f t="shared" si="53"/>
        <v>HPExt</v>
      </c>
      <c r="AD197" s="14">
        <f t="shared" si="54"/>
        <v>3015</v>
      </c>
      <c r="AE197" s="14" t="str">
        <f t="shared" si="55"/>
        <v>[x]</v>
      </c>
      <c r="AF197" s="27" t="str">
        <f t="shared" si="56"/>
        <v>[x]</v>
      </c>
      <c r="AG197" s="27" t="str">
        <f t="shared" si="57"/>
        <v>[x]</v>
      </c>
    </row>
    <row r="198" spans="9:33" ht="16.5" x14ac:dyDescent="0.2">
      <c r="I198" s="32"/>
      <c r="P198" s="13">
        <v>142</v>
      </c>
      <c r="Q198" s="14">
        <f t="shared" si="42"/>
        <v>10</v>
      </c>
      <c r="R198" s="14">
        <f t="shared" si="43"/>
        <v>1606012</v>
      </c>
      <c r="S198" s="14" t="str">
        <f t="shared" si="47"/>
        <v>神器3碎片2等级1</v>
      </c>
      <c r="T198" s="29" t="s">
        <v>649</v>
      </c>
      <c r="U198" s="14">
        <f t="shared" si="44"/>
        <v>1</v>
      </c>
      <c r="V198" s="36">
        <f t="shared" si="48"/>
        <v>0.20200000000000001</v>
      </c>
      <c r="W198" s="17">
        <f t="shared" si="45"/>
        <v>4.0400000000000002E-3</v>
      </c>
      <c r="X198" s="14">
        <f t="shared" si="49"/>
        <v>1</v>
      </c>
      <c r="Y198" s="14">
        <f t="shared" si="50"/>
        <v>3</v>
      </c>
      <c r="Z198" s="14">
        <f t="shared" si="51"/>
        <v>0</v>
      </c>
      <c r="AA198" s="14" t="str">
        <f t="shared" si="52"/>
        <v>AtkExt</v>
      </c>
      <c r="AB198" s="14">
        <f t="shared" si="46"/>
        <v>97</v>
      </c>
      <c r="AC198" s="14" t="str">
        <f t="shared" si="53"/>
        <v>HPExt</v>
      </c>
      <c r="AD198" s="14">
        <f t="shared" si="54"/>
        <v>585</v>
      </c>
      <c r="AE198" s="14" t="str">
        <f t="shared" si="55"/>
        <v>[x]</v>
      </c>
      <c r="AF198" s="27" t="str">
        <f t="shared" si="56"/>
        <v>[x]</v>
      </c>
      <c r="AG198" s="27" t="str">
        <f t="shared" si="57"/>
        <v>[x]</v>
      </c>
    </row>
    <row r="199" spans="9:33" ht="16.5" x14ac:dyDescent="0.2">
      <c r="I199" s="32"/>
      <c r="P199" s="13">
        <v>143</v>
      </c>
      <c r="Q199" s="14">
        <f t="shared" si="42"/>
        <v>10</v>
      </c>
      <c r="R199" s="14">
        <f t="shared" si="43"/>
        <v>1606012</v>
      </c>
      <c r="S199" s="14" t="str">
        <f t="shared" si="47"/>
        <v>神器3碎片2等级2</v>
      </c>
      <c r="T199" s="29" t="s">
        <v>649</v>
      </c>
      <c r="U199" s="14">
        <f t="shared" si="44"/>
        <v>2</v>
      </c>
      <c r="V199" s="36">
        <f t="shared" si="48"/>
        <v>0.25800000000000001</v>
      </c>
      <c r="W199" s="17">
        <f t="shared" si="45"/>
        <v>5.1600000000000005E-3</v>
      </c>
      <c r="X199" s="14">
        <f t="shared" si="49"/>
        <v>1</v>
      </c>
      <c r="Y199" s="14">
        <f t="shared" si="50"/>
        <v>3</v>
      </c>
      <c r="Z199" s="14">
        <f t="shared" si="51"/>
        <v>0</v>
      </c>
      <c r="AA199" s="14" t="str">
        <f t="shared" si="52"/>
        <v>AtkExt</v>
      </c>
      <c r="AB199" s="14">
        <f t="shared" si="46"/>
        <v>124</v>
      </c>
      <c r="AC199" s="14" t="str">
        <f t="shared" si="53"/>
        <v>HPExt</v>
      </c>
      <c r="AD199" s="14">
        <f t="shared" si="54"/>
        <v>747</v>
      </c>
      <c r="AE199" s="14" t="str">
        <f t="shared" si="55"/>
        <v>[x]</v>
      </c>
      <c r="AF199" s="27" t="str">
        <f t="shared" si="56"/>
        <v>[x]</v>
      </c>
      <c r="AG199" s="27" t="str">
        <f t="shared" si="57"/>
        <v>[x]</v>
      </c>
    </row>
    <row r="200" spans="9:33" ht="16.5" x14ac:dyDescent="0.2">
      <c r="I200" s="32"/>
      <c r="P200" s="13">
        <v>144</v>
      </c>
      <c r="Q200" s="14">
        <f t="shared" si="42"/>
        <v>10</v>
      </c>
      <c r="R200" s="14">
        <f t="shared" si="43"/>
        <v>1606012</v>
      </c>
      <c r="S200" s="14" t="str">
        <f t="shared" si="47"/>
        <v>神器3碎片2等级3</v>
      </c>
      <c r="T200" s="29" t="s">
        <v>649</v>
      </c>
      <c r="U200" s="14">
        <f t="shared" si="44"/>
        <v>3</v>
      </c>
      <c r="V200" s="36">
        <f t="shared" si="48"/>
        <v>0.31800000000000006</v>
      </c>
      <c r="W200" s="17">
        <f t="shared" si="45"/>
        <v>6.3600000000000011E-3</v>
      </c>
      <c r="X200" s="14">
        <f t="shared" si="49"/>
        <v>1</v>
      </c>
      <c r="Y200" s="14">
        <f t="shared" si="50"/>
        <v>3</v>
      </c>
      <c r="Z200" s="14">
        <f t="shared" si="51"/>
        <v>0</v>
      </c>
      <c r="AA200" s="14" t="str">
        <f t="shared" si="52"/>
        <v>AtkExt</v>
      </c>
      <c r="AB200" s="14">
        <f t="shared" si="46"/>
        <v>153</v>
      </c>
      <c r="AC200" s="14" t="str">
        <f t="shared" si="53"/>
        <v>HPExt</v>
      </c>
      <c r="AD200" s="14">
        <f t="shared" si="54"/>
        <v>921</v>
      </c>
      <c r="AE200" s="14" t="str">
        <f t="shared" si="55"/>
        <v>[x]</v>
      </c>
      <c r="AF200" s="27" t="str">
        <f t="shared" si="56"/>
        <v>[x]</v>
      </c>
      <c r="AG200" s="27" t="str">
        <f t="shared" si="57"/>
        <v>[x]</v>
      </c>
    </row>
    <row r="201" spans="9:33" ht="16.5" x14ac:dyDescent="0.2">
      <c r="I201" s="32"/>
      <c r="P201" s="13">
        <v>145</v>
      </c>
      <c r="Q201" s="14">
        <f t="shared" si="42"/>
        <v>10</v>
      </c>
      <c r="R201" s="14">
        <f t="shared" si="43"/>
        <v>1606012</v>
      </c>
      <c r="S201" s="14" t="str">
        <f t="shared" si="47"/>
        <v>神器3碎片2等级4</v>
      </c>
      <c r="T201" s="29" t="s">
        <v>649</v>
      </c>
      <c r="U201" s="14">
        <f t="shared" si="44"/>
        <v>4</v>
      </c>
      <c r="V201" s="36">
        <f t="shared" si="48"/>
        <v>0.38200000000000001</v>
      </c>
      <c r="W201" s="17">
        <f t="shared" si="45"/>
        <v>7.6400000000000001E-3</v>
      </c>
      <c r="X201" s="14">
        <f t="shared" si="49"/>
        <v>1</v>
      </c>
      <c r="Y201" s="14">
        <f t="shared" si="50"/>
        <v>3</v>
      </c>
      <c r="Z201" s="14">
        <f t="shared" si="51"/>
        <v>0</v>
      </c>
      <c r="AA201" s="14" t="str">
        <f t="shared" si="52"/>
        <v>AtkExt</v>
      </c>
      <c r="AB201" s="14">
        <f t="shared" si="46"/>
        <v>183</v>
      </c>
      <c r="AC201" s="14" t="str">
        <f t="shared" si="53"/>
        <v>HPExt</v>
      </c>
      <c r="AD201" s="14">
        <f t="shared" si="54"/>
        <v>1106</v>
      </c>
      <c r="AE201" s="14" t="str">
        <f t="shared" si="55"/>
        <v>[x]</v>
      </c>
      <c r="AF201" s="27" t="str">
        <f t="shared" si="56"/>
        <v>[x]</v>
      </c>
      <c r="AG201" s="27" t="str">
        <f t="shared" si="57"/>
        <v>[x]</v>
      </c>
    </row>
    <row r="202" spans="9:33" ht="16.5" x14ac:dyDescent="0.2">
      <c r="I202" s="32"/>
      <c r="P202" s="13">
        <v>146</v>
      </c>
      <c r="Q202" s="14">
        <f t="shared" si="42"/>
        <v>10</v>
      </c>
      <c r="R202" s="14">
        <f t="shared" si="43"/>
        <v>1606012</v>
      </c>
      <c r="S202" s="14" t="str">
        <f t="shared" si="47"/>
        <v>神器3碎片2等级5</v>
      </c>
      <c r="T202" s="29" t="s">
        <v>649</v>
      </c>
      <c r="U202" s="14">
        <f t="shared" si="44"/>
        <v>5</v>
      </c>
      <c r="V202" s="36">
        <f t="shared" si="48"/>
        <v>0.45</v>
      </c>
      <c r="W202" s="17">
        <f t="shared" si="45"/>
        <v>9.0000000000000011E-3</v>
      </c>
      <c r="X202" s="14">
        <f t="shared" si="49"/>
        <v>1</v>
      </c>
      <c r="Y202" s="14">
        <f t="shared" si="50"/>
        <v>3</v>
      </c>
      <c r="Z202" s="14">
        <f t="shared" si="51"/>
        <v>0</v>
      </c>
      <c r="AA202" s="14" t="str">
        <f t="shared" si="52"/>
        <v>AtkExt</v>
      </c>
      <c r="AB202" s="14">
        <f t="shared" si="46"/>
        <v>216</v>
      </c>
      <c r="AC202" s="14" t="str">
        <f t="shared" si="53"/>
        <v>HPExt</v>
      </c>
      <c r="AD202" s="14">
        <f t="shared" si="54"/>
        <v>1303</v>
      </c>
      <c r="AE202" s="14" t="str">
        <f t="shared" si="55"/>
        <v>[x]</v>
      </c>
      <c r="AF202" s="27" t="str">
        <f t="shared" si="56"/>
        <v>[x]</v>
      </c>
      <c r="AG202" s="27" t="str">
        <f t="shared" si="57"/>
        <v>[x]</v>
      </c>
    </row>
    <row r="203" spans="9:33" ht="16.5" x14ac:dyDescent="0.2">
      <c r="I203" s="32"/>
      <c r="P203" s="13">
        <v>147</v>
      </c>
      <c r="Q203" s="14">
        <f t="shared" si="42"/>
        <v>10</v>
      </c>
      <c r="R203" s="14">
        <f t="shared" si="43"/>
        <v>1606012</v>
      </c>
      <c r="S203" s="14" t="str">
        <f t="shared" si="47"/>
        <v>神器3碎片2等级6</v>
      </c>
      <c r="T203" s="29" t="s">
        <v>649</v>
      </c>
      <c r="U203" s="14">
        <f t="shared" si="44"/>
        <v>6</v>
      </c>
      <c r="V203" s="36">
        <f t="shared" si="48"/>
        <v>0.52200000000000002</v>
      </c>
      <c r="W203" s="17">
        <f t="shared" si="45"/>
        <v>1.0440000000000001E-2</v>
      </c>
      <c r="X203" s="14">
        <f t="shared" si="49"/>
        <v>1</v>
      </c>
      <c r="Y203" s="14">
        <f t="shared" si="50"/>
        <v>3</v>
      </c>
      <c r="Z203" s="14">
        <f t="shared" si="51"/>
        <v>0</v>
      </c>
      <c r="AA203" s="14" t="str">
        <f t="shared" si="52"/>
        <v>AtkExt</v>
      </c>
      <c r="AB203" s="14">
        <f t="shared" si="46"/>
        <v>251</v>
      </c>
      <c r="AC203" s="14" t="str">
        <f t="shared" si="53"/>
        <v>HPExt</v>
      </c>
      <c r="AD203" s="14">
        <f t="shared" si="54"/>
        <v>1512</v>
      </c>
      <c r="AE203" s="14" t="str">
        <f t="shared" si="55"/>
        <v>[x]</v>
      </c>
      <c r="AF203" s="27" t="str">
        <f t="shared" si="56"/>
        <v>[x]</v>
      </c>
      <c r="AG203" s="27" t="str">
        <f t="shared" si="57"/>
        <v>[x]</v>
      </c>
    </row>
    <row r="204" spans="9:33" ht="16.5" x14ac:dyDescent="0.2">
      <c r="I204" s="32"/>
      <c r="P204" s="13">
        <v>148</v>
      </c>
      <c r="Q204" s="14">
        <f t="shared" si="42"/>
        <v>10</v>
      </c>
      <c r="R204" s="14">
        <f t="shared" si="43"/>
        <v>1606012</v>
      </c>
      <c r="S204" s="14" t="str">
        <f t="shared" si="47"/>
        <v>神器3碎片2等级7</v>
      </c>
      <c r="T204" s="29" t="s">
        <v>649</v>
      </c>
      <c r="U204" s="14">
        <f t="shared" si="44"/>
        <v>7</v>
      </c>
      <c r="V204" s="36">
        <f t="shared" si="48"/>
        <v>0.59799999999999998</v>
      </c>
      <c r="W204" s="17">
        <f t="shared" si="45"/>
        <v>1.196E-2</v>
      </c>
      <c r="X204" s="14">
        <f t="shared" si="49"/>
        <v>1</v>
      </c>
      <c r="Y204" s="14">
        <f t="shared" si="50"/>
        <v>3</v>
      </c>
      <c r="Z204" s="14">
        <f t="shared" si="51"/>
        <v>0</v>
      </c>
      <c r="AA204" s="14" t="str">
        <f t="shared" si="52"/>
        <v>AtkExt</v>
      </c>
      <c r="AB204" s="14">
        <f t="shared" si="46"/>
        <v>288</v>
      </c>
      <c r="AC204" s="14" t="str">
        <f t="shared" si="53"/>
        <v>HPExt</v>
      </c>
      <c r="AD204" s="14">
        <f t="shared" si="54"/>
        <v>1732</v>
      </c>
      <c r="AE204" s="14" t="str">
        <f t="shared" si="55"/>
        <v>[x]</v>
      </c>
      <c r="AF204" s="27" t="str">
        <f t="shared" si="56"/>
        <v>[x]</v>
      </c>
      <c r="AG204" s="27" t="str">
        <f t="shared" si="57"/>
        <v>[x]</v>
      </c>
    </row>
    <row r="205" spans="9:33" ht="16.5" x14ac:dyDescent="0.2">
      <c r="I205" s="32"/>
      <c r="P205" s="13">
        <v>149</v>
      </c>
      <c r="Q205" s="14">
        <f t="shared" si="42"/>
        <v>10</v>
      </c>
      <c r="R205" s="14">
        <f t="shared" si="43"/>
        <v>1606012</v>
      </c>
      <c r="S205" s="14" t="str">
        <f t="shared" si="47"/>
        <v>神器3碎片2等级8</v>
      </c>
      <c r="T205" s="29" t="s">
        <v>649</v>
      </c>
      <c r="U205" s="14">
        <f t="shared" si="44"/>
        <v>8</v>
      </c>
      <c r="V205" s="36">
        <f t="shared" si="48"/>
        <v>0.67800000000000005</v>
      </c>
      <c r="W205" s="17">
        <f t="shared" si="45"/>
        <v>1.3560000000000001E-2</v>
      </c>
      <c r="X205" s="14">
        <f t="shared" si="49"/>
        <v>1</v>
      </c>
      <c r="Y205" s="14">
        <f t="shared" si="50"/>
        <v>3</v>
      </c>
      <c r="Z205" s="14">
        <f t="shared" si="51"/>
        <v>0</v>
      </c>
      <c r="AA205" s="14" t="str">
        <f t="shared" si="52"/>
        <v>AtkExt</v>
      </c>
      <c r="AB205" s="14">
        <f t="shared" si="46"/>
        <v>326</v>
      </c>
      <c r="AC205" s="14" t="str">
        <f t="shared" si="53"/>
        <v>HPExt</v>
      </c>
      <c r="AD205" s="14">
        <f t="shared" si="54"/>
        <v>1963</v>
      </c>
      <c r="AE205" s="14" t="str">
        <f t="shared" si="55"/>
        <v>[x]</v>
      </c>
      <c r="AF205" s="27" t="str">
        <f t="shared" si="56"/>
        <v>[x]</v>
      </c>
      <c r="AG205" s="27" t="str">
        <f t="shared" si="57"/>
        <v>[x]</v>
      </c>
    </row>
    <row r="206" spans="9:33" ht="16.5" x14ac:dyDescent="0.2">
      <c r="I206" s="32"/>
      <c r="P206" s="13">
        <v>150</v>
      </c>
      <c r="Q206" s="14">
        <f t="shared" si="42"/>
        <v>10</v>
      </c>
      <c r="R206" s="14">
        <f t="shared" si="43"/>
        <v>1606012</v>
      </c>
      <c r="S206" s="14" t="str">
        <f t="shared" si="47"/>
        <v>神器3碎片2等级9</v>
      </c>
      <c r="T206" s="29" t="s">
        <v>649</v>
      </c>
      <c r="U206" s="14">
        <f t="shared" si="44"/>
        <v>9</v>
      </c>
      <c r="V206" s="36">
        <f t="shared" si="48"/>
        <v>0.76200000000000001</v>
      </c>
      <c r="W206" s="17">
        <f t="shared" si="45"/>
        <v>1.524E-2</v>
      </c>
      <c r="X206" s="14">
        <f t="shared" si="49"/>
        <v>1</v>
      </c>
      <c r="Y206" s="14">
        <f t="shared" si="50"/>
        <v>3</v>
      </c>
      <c r="Z206" s="14">
        <f t="shared" si="51"/>
        <v>0</v>
      </c>
      <c r="AA206" s="14" t="str">
        <f t="shared" si="52"/>
        <v>AtkExt</v>
      </c>
      <c r="AB206" s="14">
        <f t="shared" si="46"/>
        <v>366</v>
      </c>
      <c r="AC206" s="14" t="str">
        <f t="shared" si="53"/>
        <v>HPExt</v>
      </c>
      <c r="AD206" s="14">
        <f t="shared" si="54"/>
        <v>2207</v>
      </c>
      <c r="AE206" s="14" t="str">
        <f t="shared" si="55"/>
        <v>[x]</v>
      </c>
      <c r="AF206" s="27" t="str">
        <f t="shared" si="56"/>
        <v>[x]</v>
      </c>
      <c r="AG206" s="27" t="str">
        <f t="shared" si="57"/>
        <v>[x]</v>
      </c>
    </row>
    <row r="207" spans="9:33" ht="16.5" x14ac:dyDescent="0.2">
      <c r="I207" s="32"/>
      <c r="P207" s="13">
        <v>151</v>
      </c>
      <c r="Q207" s="14">
        <f t="shared" si="42"/>
        <v>10</v>
      </c>
      <c r="R207" s="14">
        <f t="shared" si="43"/>
        <v>1606012</v>
      </c>
      <c r="S207" s="14" t="str">
        <f t="shared" si="47"/>
        <v>神器3碎片2等级10</v>
      </c>
      <c r="T207" s="29" t="s">
        <v>649</v>
      </c>
      <c r="U207" s="14">
        <f t="shared" si="44"/>
        <v>10</v>
      </c>
      <c r="V207" s="36">
        <f t="shared" si="48"/>
        <v>0.85000000000000009</v>
      </c>
      <c r="W207" s="17">
        <f t="shared" si="45"/>
        <v>1.7000000000000001E-2</v>
      </c>
      <c r="X207" s="14">
        <f t="shared" si="49"/>
        <v>1</v>
      </c>
      <c r="Y207" s="14">
        <f t="shared" si="50"/>
        <v>3</v>
      </c>
      <c r="Z207" s="14">
        <f t="shared" si="51"/>
        <v>0</v>
      </c>
      <c r="AA207" s="14" t="str">
        <f t="shared" si="52"/>
        <v>AtkExt</v>
      </c>
      <c r="AB207" s="14">
        <f t="shared" si="46"/>
        <v>409</v>
      </c>
      <c r="AC207" s="14" t="str">
        <f t="shared" si="53"/>
        <v>HPExt</v>
      </c>
      <c r="AD207" s="14">
        <f t="shared" si="54"/>
        <v>2462</v>
      </c>
      <c r="AE207" s="14" t="str">
        <f t="shared" si="55"/>
        <v>[x]</v>
      </c>
      <c r="AF207" s="27" t="str">
        <f t="shared" si="56"/>
        <v>[x]</v>
      </c>
      <c r="AG207" s="27" t="str">
        <f t="shared" si="57"/>
        <v>[x]</v>
      </c>
    </row>
    <row r="208" spans="9:33" ht="16.5" x14ac:dyDescent="0.2">
      <c r="I208" s="32"/>
      <c r="P208" s="13">
        <v>152</v>
      </c>
      <c r="Q208" s="14">
        <f t="shared" si="42"/>
        <v>10</v>
      </c>
      <c r="R208" s="14">
        <f t="shared" si="43"/>
        <v>1606012</v>
      </c>
      <c r="S208" s="14" t="str">
        <f t="shared" si="47"/>
        <v>神器3碎片2等级11</v>
      </c>
      <c r="T208" s="29" t="s">
        <v>649</v>
      </c>
      <c r="U208" s="14">
        <f t="shared" si="44"/>
        <v>11</v>
      </c>
      <c r="V208" s="36">
        <f t="shared" si="48"/>
        <v>0.94200000000000006</v>
      </c>
      <c r="W208" s="17">
        <f t="shared" si="45"/>
        <v>1.8840000000000003E-2</v>
      </c>
      <c r="X208" s="14">
        <f t="shared" si="49"/>
        <v>1</v>
      </c>
      <c r="Y208" s="14">
        <f t="shared" si="50"/>
        <v>3</v>
      </c>
      <c r="Z208" s="14">
        <f t="shared" si="51"/>
        <v>0</v>
      </c>
      <c r="AA208" s="14" t="str">
        <f t="shared" si="52"/>
        <v>AtkExt</v>
      </c>
      <c r="AB208" s="14">
        <f t="shared" si="46"/>
        <v>453</v>
      </c>
      <c r="AC208" s="14" t="str">
        <f t="shared" si="53"/>
        <v>HPExt</v>
      </c>
      <c r="AD208" s="14">
        <f t="shared" si="54"/>
        <v>2728</v>
      </c>
      <c r="AE208" s="14" t="str">
        <f t="shared" si="55"/>
        <v>[x]</v>
      </c>
      <c r="AF208" s="27" t="str">
        <f t="shared" si="56"/>
        <v>[x]</v>
      </c>
      <c r="AG208" s="27" t="str">
        <f t="shared" si="57"/>
        <v>[x]</v>
      </c>
    </row>
    <row r="209" spans="9:33" ht="16.5" x14ac:dyDescent="0.2">
      <c r="I209" s="32"/>
      <c r="P209" s="13">
        <v>153</v>
      </c>
      <c r="Q209" s="14">
        <f t="shared" si="42"/>
        <v>10</v>
      </c>
      <c r="R209" s="14">
        <f t="shared" si="43"/>
        <v>1606012</v>
      </c>
      <c r="S209" s="14" t="str">
        <f t="shared" si="47"/>
        <v>神器3碎片2等级12</v>
      </c>
      <c r="T209" s="29" t="s">
        <v>649</v>
      </c>
      <c r="U209" s="14">
        <f t="shared" si="44"/>
        <v>12</v>
      </c>
      <c r="V209" s="36">
        <f t="shared" si="48"/>
        <v>1.0380000000000003</v>
      </c>
      <c r="W209" s="17">
        <f t="shared" si="45"/>
        <v>2.0760000000000004E-2</v>
      </c>
      <c r="X209" s="14">
        <f t="shared" si="49"/>
        <v>1</v>
      </c>
      <c r="Y209" s="14">
        <f t="shared" si="50"/>
        <v>3</v>
      </c>
      <c r="Z209" s="14">
        <f t="shared" si="51"/>
        <v>0</v>
      </c>
      <c r="AA209" s="14" t="str">
        <f t="shared" si="52"/>
        <v>AtkExt</v>
      </c>
      <c r="AB209" s="14">
        <f t="shared" si="46"/>
        <v>499</v>
      </c>
      <c r="AC209" s="14" t="str">
        <f t="shared" si="53"/>
        <v>HPExt</v>
      </c>
      <c r="AD209" s="14">
        <f t="shared" si="54"/>
        <v>3006</v>
      </c>
      <c r="AE209" s="14" t="str">
        <f t="shared" si="55"/>
        <v>[x]</v>
      </c>
      <c r="AF209" s="27" t="str">
        <f t="shared" si="56"/>
        <v>[x]</v>
      </c>
      <c r="AG209" s="27" t="str">
        <f t="shared" si="57"/>
        <v>[x]</v>
      </c>
    </row>
    <row r="210" spans="9:33" ht="16.5" x14ac:dyDescent="0.2">
      <c r="I210" s="32"/>
      <c r="P210" s="13">
        <v>154</v>
      </c>
      <c r="Q210" s="14">
        <f t="shared" si="42"/>
        <v>10</v>
      </c>
      <c r="R210" s="14">
        <f t="shared" si="43"/>
        <v>1606012</v>
      </c>
      <c r="S210" s="14" t="str">
        <f t="shared" si="47"/>
        <v>神器3碎片2等级13</v>
      </c>
      <c r="T210" s="29" t="s">
        <v>649</v>
      </c>
      <c r="U210" s="14">
        <f t="shared" si="44"/>
        <v>13</v>
      </c>
      <c r="V210" s="36">
        <f t="shared" si="48"/>
        <v>1.1380000000000001</v>
      </c>
      <c r="W210" s="17">
        <f t="shared" si="45"/>
        <v>2.2760000000000002E-2</v>
      </c>
      <c r="X210" s="14">
        <f t="shared" si="49"/>
        <v>1</v>
      </c>
      <c r="Y210" s="14">
        <f t="shared" si="50"/>
        <v>3</v>
      </c>
      <c r="Z210" s="14">
        <f t="shared" si="51"/>
        <v>0</v>
      </c>
      <c r="AA210" s="14" t="str">
        <f t="shared" si="52"/>
        <v>AtkExt</v>
      </c>
      <c r="AB210" s="14">
        <f t="shared" si="46"/>
        <v>548</v>
      </c>
      <c r="AC210" s="14" t="str">
        <f t="shared" si="53"/>
        <v>HPExt</v>
      </c>
      <c r="AD210" s="14">
        <f t="shared" si="54"/>
        <v>3296</v>
      </c>
      <c r="AE210" s="14" t="str">
        <f t="shared" si="55"/>
        <v>[x]</v>
      </c>
      <c r="AF210" s="27" t="str">
        <f t="shared" si="56"/>
        <v>[x]</v>
      </c>
      <c r="AG210" s="27" t="str">
        <f t="shared" si="57"/>
        <v>[x]</v>
      </c>
    </row>
    <row r="211" spans="9:33" ht="16.5" x14ac:dyDescent="0.2">
      <c r="I211" s="32"/>
      <c r="P211" s="13">
        <v>155</v>
      </c>
      <c r="Q211" s="14">
        <f t="shared" si="42"/>
        <v>10</v>
      </c>
      <c r="R211" s="14">
        <f t="shared" si="43"/>
        <v>1606012</v>
      </c>
      <c r="S211" s="14" t="str">
        <f t="shared" si="47"/>
        <v>神器3碎片2等级14</v>
      </c>
      <c r="T211" s="29" t="s">
        <v>649</v>
      </c>
      <c r="U211" s="14">
        <f t="shared" si="44"/>
        <v>14</v>
      </c>
      <c r="V211" s="36">
        <f t="shared" si="48"/>
        <v>1.242</v>
      </c>
      <c r="W211" s="17">
        <f t="shared" si="45"/>
        <v>2.4840000000000001E-2</v>
      </c>
      <c r="X211" s="14">
        <f t="shared" si="49"/>
        <v>1</v>
      </c>
      <c r="Y211" s="14">
        <f t="shared" si="50"/>
        <v>3</v>
      </c>
      <c r="Z211" s="14">
        <f t="shared" si="51"/>
        <v>0</v>
      </c>
      <c r="AA211" s="14" t="str">
        <f t="shared" si="52"/>
        <v>AtkExt</v>
      </c>
      <c r="AB211" s="14">
        <f t="shared" si="46"/>
        <v>598</v>
      </c>
      <c r="AC211" s="14" t="str">
        <f t="shared" si="53"/>
        <v>HPExt</v>
      </c>
      <c r="AD211" s="14">
        <f t="shared" si="54"/>
        <v>3597</v>
      </c>
      <c r="AE211" s="14" t="str">
        <f t="shared" si="55"/>
        <v>[x]</v>
      </c>
      <c r="AF211" s="27" t="str">
        <f t="shared" si="56"/>
        <v>[x]</v>
      </c>
      <c r="AG211" s="27" t="str">
        <f t="shared" si="57"/>
        <v>[x]</v>
      </c>
    </row>
    <row r="212" spans="9:33" ht="16.5" x14ac:dyDescent="0.2">
      <c r="I212" s="32"/>
      <c r="P212" s="13">
        <v>156</v>
      </c>
      <c r="Q212" s="14">
        <f t="shared" si="42"/>
        <v>10</v>
      </c>
      <c r="R212" s="14">
        <f t="shared" si="43"/>
        <v>1606012</v>
      </c>
      <c r="S212" s="14" t="str">
        <f t="shared" si="47"/>
        <v>神器3碎片2等级15</v>
      </c>
      <c r="T212" s="29" t="s">
        <v>649</v>
      </c>
      <c r="U212" s="14">
        <f t="shared" si="44"/>
        <v>15</v>
      </c>
      <c r="V212" s="36">
        <f t="shared" si="48"/>
        <v>1.35</v>
      </c>
      <c r="W212" s="17">
        <f t="shared" si="45"/>
        <v>2.7000000000000003E-2</v>
      </c>
      <c r="X212" s="14">
        <f t="shared" si="49"/>
        <v>1</v>
      </c>
      <c r="Y212" s="14">
        <f t="shared" si="50"/>
        <v>3</v>
      </c>
      <c r="Z212" s="14">
        <f t="shared" si="51"/>
        <v>0</v>
      </c>
      <c r="AA212" s="14" t="str">
        <f t="shared" si="52"/>
        <v>AtkExt</v>
      </c>
      <c r="AB212" s="14">
        <f t="shared" si="46"/>
        <v>650</v>
      </c>
      <c r="AC212" s="14" t="str">
        <f t="shared" si="53"/>
        <v>HPExt</v>
      </c>
      <c r="AD212" s="14">
        <f t="shared" si="54"/>
        <v>3910</v>
      </c>
      <c r="AE212" s="14" t="str">
        <f t="shared" si="55"/>
        <v>[x]</v>
      </c>
      <c r="AF212" s="27" t="str">
        <f t="shared" si="56"/>
        <v>[x]</v>
      </c>
      <c r="AG212" s="27" t="str">
        <f t="shared" si="57"/>
        <v>[x]</v>
      </c>
    </row>
    <row r="213" spans="9:33" ht="16.5" x14ac:dyDescent="0.2">
      <c r="I213" s="32"/>
      <c r="P213" s="13">
        <v>157</v>
      </c>
      <c r="Q213" s="14">
        <f t="shared" si="42"/>
        <v>10</v>
      </c>
      <c r="R213" s="14">
        <f t="shared" si="43"/>
        <v>1606012</v>
      </c>
      <c r="S213" s="14" t="str">
        <f t="shared" si="47"/>
        <v>神器3碎片2等级16</v>
      </c>
      <c r="T213" s="29" t="s">
        <v>649</v>
      </c>
      <c r="U213" s="14">
        <f t="shared" si="44"/>
        <v>16</v>
      </c>
      <c r="V213" s="36">
        <f t="shared" si="48"/>
        <v>1.4620000000000002</v>
      </c>
      <c r="W213" s="17">
        <f t="shared" si="45"/>
        <v>2.9240000000000006E-2</v>
      </c>
      <c r="X213" s="14">
        <f t="shared" si="49"/>
        <v>1</v>
      </c>
      <c r="Y213" s="14">
        <f t="shared" si="50"/>
        <v>3</v>
      </c>
      <c r="Z213" s="14">
        <f t="shared" si="51"/>
        <v>0</v>
      </c>
      <c r="AA213" s="14" t="str">
        <f t="shared" si="52"/>
        <v>AtkExt</v>
      </c>
      <c r="AB213" s="14">
        <f t="shared" si="46"/>
        <v>704</v>
      </c>
      <c r="AC213" s="14" t="str">
        <f t="shared" si="53"/>
        <v>HPExt</v>
      </c>
      <c r="AD213" s="14">
        <f t="shared" si="54"/>
        <v>4235</v>
      </c>
      <c r="AE213" s="14" t="str">
        <f t="shared" si="55"/>
        <v>[x]</v>
      </c>
      <c r="AF213" s="27" t="str">
        <f t="shared" si="56"/>
        <v>[x]</v>
      </c>
      <c r="AG213" s="27" t="str">
        <f t="shared" si="57"/>
        <v>[x]</v>
      </c>
    </row>
    <row r="214" spans="9:33" ht="16.5" x14ac:dyDescent="0.2">
      <c r="I214" s="32"/>
      <c r="P214" s="13">
        <v>158</v>
      </c>
      <c r="Q214" s="14">
        <f t="shared" si="42"/>
        <v>10</v>
      </c>
      <c r="R214" s="14">
        <f t="shared" si="43"/>
        <v>1606012</v>
      </c>
      <c r="S214" s="14" t="str">
        <f t="shared" si="47"/>
        <v>神器3碎片2等级17</v>
      </c>
      <c r="T214" s="29" t="s">
        <v>649</v>
      </c>
      <c r="U214" s="14">
        <f t="shared" si="44"/>
        <v>17</v>
      </c>
      <c r="V214" s="36">
        <f t="shared" si="48"/>
        <v>1.5779999999999998</v>
      </c>
      <c r="W214" s="17">
        <f t="shared" si="45"/>
        <v>3.1559999999999998E-2</v>
      </c>
      <c r="X214" s="14">
        <f t="shared" si="49"/>
        <v>1</v>
      </c>
      <c r="Y214" s="14">
        <f t="shared" si="50"/>
        <v>3</v>
      </c>
      <c r="Z214" s="14">
        <f t="shared" si="51"/>
        <v>0</v>
      </c>
      <c r="AA214" s="14" t="str">
        <f t="shared" si="52"/>
        <v>AtkExt</v>
      </c>
      <c r="AB214" s="14">
        <f t="shared" si="46"/>
        <v>759</v>
      </c>
      <c r="AC214" s="14" t="str">
        <f t="shared" si="53"/>
        <v>HPExt</v>
      </c>
      <c r="AD214" s="14">
        <f t="shared" si="54"/>
        <v>4571</v>
      </c>
      <c r="AE214" s="14" t="str">
        <f t="shared" si="55"/>
        <v>[x]</v>
      </c>
      <c r="AF214" s="27" t="str">
        <f t="shared" si="56"/>
        <v>[x]</v>
      </c>
      <c r="AG214" s="27" t="str">
        <f t="shared" si="57"/>
        <v>[x]</v>
      </c>
    </row>
    <row r="215" spans="9:33" ht="16.5" x14ac:dyDescent="0.2">
      <c r="I215" s="32"/>
      <c r="P215" s="13">
        <v>159</v>
      </c>
      <c r="Q215" s="14">
        <f t="shared" si="42"/>
        <v>10</v>
      </c>
      <c r="R215" s="14">
        <f t="shared" si="43"/>
        <v>1606012</v>
      </c>
      <c r="S215" s="14" t="str">
        <f t="shared" si="47"/>
        <v>神器3碎片2等级18</v>
      </c>
      <c r="T215" s="29" t="s">
        <v>649</v>
      </c>
      <c r="U215" s="14">
        <f t="shared" si="44"/>
        <v>18</v>
      </c>
      <c r="V215" s="36">
        <f t="shared" si="48"/>
        <v>1.698</v>
      </c>
      <c r="W215" s="17">
        <f t="shared" si="45"/>
        <v>3.3959999999999997E-2</v>
      </c>
      <c r="X215" s="14">
        <f t="shared" si="49"/>
        <v>1</v>
      </c>
      <c r="Y215" s="14">
        <f t="shared" si="50"/>
        <v>3</v>
      </c>
      <c r="Z215" s="14">
        <f t="shared" si="51"/>
        <v>0</v>
      </c>
      <c r="AA215" s="14" t="str">
        <f t="shared" si="52"/>
        <v>AtkExt</v>
      </c>
      <c r="AB215" s="14">
        <f t="shared" si="46"/>
        <v>817</v>
      </c>
      <c r="AC215" s="14" t="str">
        <f t="shared" si="53"/>
        <v>HPExt</v>
      </c>
      <c r="AD215" s="14">
        <f t="shared" si="54"/>
        <v>4918</v>
      </c>
      <c r="AE215" s="14" t="str">
        <f t="shared" si="55"/>
        <v>[x]</v>
      </c>
      <c r="AF215" s="27" t="str">
        <f t="shared" si="56"/>
        <v>[x]</v>
      </c>
      <c r="AG215" s="27" t="str">
        <f t="shared" si="57"/>
        <v>[x]</v>
      </c>
    </row>
    <row r="216" spans="9:33" ht="16.5" x14ac:dyDescent="0.2">
      <c r="I216" s="32"/>
      <c r="P216" s="13">
        <v>160</v>
      </c>
      <c r="Q216" s="14">
        <f t="shared" si="42"/>
        <v>10</v>
      </c>
      <c r="R216" s="14">
        <f t="shared" si="43"/>
        <v>1606012</v>
      </c>
      <c r="S216" s="14" t="str">
        <f t="shared" si="47"/>
        <v>神器3碎片2等级19</v>
      </c>
      <c r="T216" s="29" t="s">
        <v>649</v>
      </c>
      <c r="U216" s="14">
        <f t="shared" si="44"/>
        <v>19</v>
      </c>
      <c r="V216" s="36">
        <f t="shared" si="48"/>
        <v>1.8220000000000001</v>
      </c>
      <c r="W216" s="17">
        <f t="shared" si="45"/>
        <v>3.644E-2</v>
      </c>
      <c r="X216" s="14">
        <f t="shared" si="49"/>
        <v>1</v>
      </c>
      <c r="Y216" s="14">
        <f t="shared" si="50"/>
        <v>3</v>
      </c>
      <c r="Z216" s="14">
        <f t="shared" si="51"/>
        <v>0</v>
      </c>
      <c r="AA216" s="14" t="str">
        <f t="shared" si="52"/>
        <v>AtkExt</v>
      </c>
      <c r="AB216" s="14">
        <f t="shared" si="46"/>
        <v>877</v>
      </c>
      <c r="AC216" s="14" t="str">
        <f t="shared" si="53"/>
        <v>HPExt</v>
      </c>
      <c r="AD216" s="14">
        <f t="shared" si="54"/>
        <v>5277</v>
      </c>
      <c r="AE216" s="14" t="str">
        <f t="shared" si="55"/>
        <v>[x]</v>
      </c>
      <c r="AF216" s="27" t="str">
        <f t="shared" si="56"/>
        <v>[x]</v>
      </c>
      <c r="AG216" s="27" t="str">
        <f t="shared" si="57"/>
        <v>[x]</v>
      </c>
    </row>
    <row r="217" spans="9:33" ht="16.5" x14ac:dyDescent="0.2">
      <c r="I217" s="32"/>
      <c r="P217" s="13">
        <v>161</v>
      </c>
      <c r="Q217" s="14">
        <f t="shared" si="42"/>
        <v>10</v>
      </c>
      <c r="R217" s="14">
        <f t="shared" si="43"/>
        <v>1606012</v>
      </c>
      <c r="S217" s="14" t="str">
        <f t="shared" si="47"/>
        <v>神器3碎片2等级20</v>
      </c>
      <c r="T217" s="29" t="s">
        <v>649</v>
      </c>
      <c r="U217" s="14">
        <f t="shared" si="44"/>
        <v>20</v>
      </c>
      <c r="V217" s="36">
        <f t="shared" si="48"/>
        <v>1.95</v>
      </c>
      <c r="W217" s="17">
        <f t="shared" si="45"/>
        <v>3.9E-2</v>
      </c>
      <c r="X217" s="14">
        <f t="shared" si="49"/>
        <v>1</v>
      </c>
      <c r="Y217" s="14">
        <f t="shared" si="50"/>
        <v>3</v>
      </c>
      <c r="Z217" s="14">
        <f t="shared" si="51"/>
        <v>0</v>
      </c>
      <c r="AA217" s="14" t="str">
        <f t="shared" si="52"/>
        <v>AtkExt</v>
      </c>
      <c r="AB217" s="14">
        <f t="shared" si="46"/>
        <v>939</v>
      </c>
      <c r="AC217" s="14" t="str">
        <f t="shared" si="53"/>
        <v>HPExt</v>
      </c>
      <c r="AD217" s="14">
        <f t="shared" si="54"/>
        <v>5648</v>
      </c>
      <c r="AE217" s="14" t="str">
        <f t="shared" si="55"/>
        <v>[x]</v>
      </c>
      <c r="AF217" s="27" t="str">
        <f t="shared" si="56"/>
        <v>[x]</v>
      </c>
      <c r="AG217" s="27" t="str">
        <f t="shared" si="57"/>
        <v>[x]</v>
      </c>
    </row>
    <row r="218" spans="9:33" ht="16.5" x14ac:dyDescent="0.2">
      <c r="I218" s="32"/>
      <c r="P218" s="13">
        <v>162</v>
      </c>
      <c r="Q218" s="14">
        <f t="shared" si="42"/>
        <v>10</v>
      </c>
      <c r="R218" s="14">
        <f t="shared" si="43"/>
        <v>1606012</v>
      </c>
      <c r="S218" s="14" t="str">
        <f t="shared" si="47"/>
        <v>神器3碎片2等级21</v>
      </c>
      <c r="T218" s="29" t="s">
        <v>649</v>
      </c>
      <c r="U218" s="14">
        <f t="shared" si="44"/>
        <v>21</v>
      </c>
      <c r="V218" s="36">
        <f t="shared" si="48"/>
        <v>2.0819999999999999</v>
      </c>
      <c r="W218" s="17">
        <f t="shared" si="45"/>
        <v>4.1639999999999996E-2</v>
      </c>
      <c r="X218" s="14">
        <f t="shared" si="49"/>
        <v>1</v>
      </c>
      <c r="Y218" s="14">
        <f t="shared" si="50"/>
        <v>3</v>
      </c>
      <c r="Z218" s="14">
        <f t="shared" si="51"/>
        <v>0</v>
      </c>
      <c r="AA218" s="14" t="str">
        <f t="shared" si="52"/>
        <v>AtkExt</v>
      </c>
      <c r="AB218" s="14">
        <f t="shared" si="46"/>
        <v>1002</v>
      </c>
      <c r="AC218" s="14" t="str">
        <f t="shared" si="53"/>
        <v>HPExt</v>
      </c>
      <c r="AD218" s="14">
        <f t="shared" si="54"/>
        <v>6030</v>
      </c>
      <c r="AE218" s="14" t="str">
        <f t="shared" si="55"/>
        <v>[x]</v>
      </c>
      <c r="AF218" s="27" t="str">
        <f t="shared" si="56"/>
        <v>[x]</v>
      </c>
      <c r="AG218" s="27" t="str">
        <f t="shared" si="57"/>
        <v>[x]</v>
      </c>
    </row>
    <row r="219" spans="9:33" ht="16.5" x14ac:dyDescent="0.2">
      <c r="I219" s="32"/>
      <c r="P219" s="13">
        <v>163</v>
      </c>
      <c r="Q219" s="14">
        <f t="shared" si="42"/>
        <v>11</v>
      </c>
      <c r="R219" s="14">
        <f t="shared" si="43"/>
        <v>1606013</v>
      </c>
      <c r="S219" s="14" t="str">
        <f t="shared" si="47"/>
        <v>神器3碎片3等级1</v>
      </c>
      <c r="T219" s="29" t="s">
        <v>649</v>
      </c>
      <c r="U219" s="14">
        <f t="shared" si="44"/>
        <v>1</v>
      </c>
      <c r="V219" s="36">
        <f t="shared" si="48"/>
        <v>0.20200000000000001</v>
      </c>
      <c r="W219" s="17">
        <f t="shared" si="45"/>
        <v>4.0400000000000002E-3</v>
      </c>
      <c r="X219" s="14">
        <f t="shared" si="49"/>
        <v>2</v>
      </c>
      <c r="Y219" s="14">
        <f t="shared" si="50"/>
        <v>3</v>
      </c>
      <c r="Z219" s="14">
        <f t="shared" si="51"/>
        <v>0</v>
      </c>
      <c r="AA219" s="14" t="str">
        <f t="shared" si="52"/>
        <v>DefExt</v>
      </c>
      <c r="AB219" s="14">
        <f t="shared" si="46"/>
        <v>48</v>
      </c>
      <c r="AC219" s="14" t="str">
        <f t="shared" si="53"/>
        <v>HPExt</v>
      </c>
      <c r="AD219" s="14">
        <f t="shared" si="54"/>
        <v>585</v>
      </c>
      <c r="AE219" s="14" t="str">
        <f t="shared" si="55"/>
        <v>[x]</v>
      </c>
      <c r="AF219" s="27" t="str">
        <f t="shared" si="56"/>
        <v>[x]</v>
      </c>
      <c r="AG219" s="27" t="str">
        <f t="shared" si="57"/>
        <v>[x]</v>
      </c>
    </row>
    <row r="220" spans="9:33" ht="16.5" x14ac:dyDescent="0.2">
      <c r="I220" s="32"/>
      <c r="P220" s="13">
        <v>164</v>
      </c>
      <c r="Q220" s="14">
        <f t="shared" si="42"/>
        <v>11</v>
      </c>
      <c r="R220" s="14">
        <f t="shared" si="43"/>
        <v>1606013</v>
      </c>
      <c r="S220" s="14" t="str">
        <f t="shared" si="47"/>
        <v>神器3碎片3等级2</v>
      </c>
      <c r="T220" s="29" t="s">
        <v>649</v>
      </c>
      <c r="U220" s="14">
        <f t="shared" si="44"/>
        <v>2</v>
      </c>
      <c r="V220" s="36">
        <f t="shared" si="48"/>
        <v>0.25800000000000001</v>
      </c>
      <c r="W220" s="17">
        <f t="shared" si="45"/>
        <v>5.1600000000000005E-3</v>
      </c>
      <c r="X220" s="14">
        <f t="shared" si="49"/>
        <v>2</v>
      </c>
      <c r="Y220" s="14">
        <f t="shared" si="50"/>
        <v>3</v>
      </c>
      <c r="Z220" s="14">
        <f t="shared" si="51"/>
        <v>0</v>
      </c>
      <c r="AA220" s="14" t="str">
        <f t="shared" si="52"/>
        <v>DefExt</v>
      </c>
      <c r="AB220" s="14">
        <f t="shared" si="46"/>
        <v>61</v>
      </c>
      <c r="AC220" s="14" t="str">
        <f t="shared" si="53"/>
        <v>HPExt</v>
      </c>
      <c r="AD220" s="14">
        <f t="shared" si="54"/>
        <v>747</v>
      </c>
      <c r="AE220" s="14" t="str">
        <f t="shared" si="55"/>
        <v>[x]</v>
      </c>
      <c r="AF220" s="27" t="str">
        <f t="shared" si="56"/>
        <v>[x]</v>
      </c>
      <c r="AG220" s="27" t="str">
        <f t="shared" si="57"/>
        <v>[x]</v>
      </c>
    </row>
    <row r="221" spans="9:33" ht="16.5" x14ac:dyDescent="0.2">
      <c r="I221" s="32"/>
      <c r="P221" s="13">
        <v>165</v>
      </c>
      <c r="Q221" s="14">
        <f t="shared" si="42"/>
        <v>11</v>
      </c>
      <c r="R221" s="14">
        <f t="shared" si="43"/>
        <v>1606013</v>
      </c>
      <c r="S221" s="14" t="str">
        <f t="shared" si="47"/>
        <v>神器3碎片3等级3</v>
      </c>
      <c r="T221" s="29" t="s">
        <v>649</v>
      </c>
      <c r="U221" s="14">
        <f t="shared" si="44"/>
        <v>3</v>
      </c>
      <c r="V221" s="36">
        <f t="shared" si="48"/>
        <v>0.31800000000000006</v>
      </c>
      <c r="W221" s="17">
        <f t="shared" si="45"/>
        <v>6.3600000000000011E-3</v>
      </c>
      <c r="X221" s="14">
        <f t="shared" si="49"/>
        <v>2</v>
      </c>
      <c r="Y221" s="14">
        <f t="shared" si="50"/>
        <v>3</v>
      </c>
      <c r="Z221" s="14">
        <f t="shared" si="51"/>
        <v>0</v>
      </c>
      <c r="AA221" s="14" t="str">
        <f t="shared" si="52"/>
        <v>DefExt</v>
      </c>
      <c r="AB221" s="14">
        <f t="shared" si="46"/>
        <v>76</v>
      </c>
      <c r="AC221" s="14" t="str">
        <f t="shared" si="53"/>
        <v>HPExt</v>
      </c>
      <c r="AD221" s="14">
        <f t="shared" si="54"/>
        <v>921</v>
      </c>
      <c r="AE221" s="14" t="str">
        <f t="shared" si="55"/>
        <v>[x]</v>
      </c>
      <c r="AF221" s="27" t="str">
        <f t="shared" si="56"/>
        <v>[x]</v>
      </c>
      <c r="AG221" s="27" t="str">
        <f t="shared" si="57"/>
        <v>[x]</v>
      </c>
    </row>
    <row r="222" spans="9:33" ht="16.5" x14ac:dyDescent="0.2">
      <c r="I222" s="32"/>
      <c r="P222" s="13">
        <v>166</v>
      </c>
      <c r="Q222" s="14">
        <f t="shared" si="42"/>
        <v>11</v>
      </c>
      <c r="R222" s="14">
        <f t="shared" si="43"/>
        <v>1606013</v>
      </c>
      <c r="S222" s="14" t="str">
        <f t="shared" si="47"/>
        <v>神器3碎片3等级4</v>
      </c>
      <c r="T222" s="29" t="s">
        <v>649</v>
      </c>
      <c r="U222" s="14">
        <f t="shared" si="44"/>
        <v>4</v>
      </c>
      <c r="V222" s="36">
        <f t="shared" si="48"/>
        <v>0.38200000000000001</v>
      </c>
      <c r="W222" s="17">
        <f t="shared" si="45"/>
        <v>7.6400000000000001E-3</v>
      </c>
      <c r="X222" s="14">
        <f t="shared" si="49"/>
        <v>2</v>
      </c>
      <c r="Y222" s="14">
        <f t="shared" si="50"/>
        <v>3</v>
      </c>
      <c r="Z222" s="14">
        <f t="shared" si="51"/>
        <v>0</v>
      </c>
      <c r="AA222" s="14" t="str">
        <f t="shared" si="52"/>
        <v>DefExt</v>
      </c>
      <c r="AB222" s="14">
        <f t="shared" si="46"/>
        <v>91</v>
      </c>
      <c r="AC222" s="14" t="str">
        <f t="shared" si="53"/>
        <v>HPExt</v>
      </c>
      <c r="AD222" s="14">
        <f t="shared" si="54"/>
        <v>1106</v>
      </c>
      <c r="AE222" s="14" t="str">
        <f t="shared" si="55"/>
        <v>[x]</v>
      </c>
      <c r="AF222" s="27" t="str">
        <f t="shared" si="56"/>
        <v>[x]</v>
      </c>
      <c r="AG222" s="27" t="str">
        <f t="shared" si="57"/>
        <v>[x]</v>
      </c>
    </row>
    <row r="223" spans="9:33" ht="16.5" x14ac:dyDescent="0.2">
      <c r="I223" s="32"/>
      <c r="P223" s="13">
        <v>167</v>
      </c>
      <c r="Q223" s="14">
        <f t="shared" si="42"/>
        <v>11</v>
      </c>
      <c r="R223" s="14">
        <f t="shared" si="43"/>
        <v>1606013</v>
      </c>
      <c r="S223" s="14" t="str">
        <f t="shared" si="47"/>
        <v>神器3碎片3等级5</v>
      </c>
      <c r="T223" s="29" t="s">
        <v>649</v>
      </c>
      <c r="U223" s="14">
        <f t="shared" si="44"/>
        <v>5</v>
      </c>
      <c r="V223" s="36">
        <f t="shared" si="48"/>
        <v>0.45</v>
      </c>
      <c r="W223" s="17">
        <f t="shared" si="45"/>
        <v>9.0000000000000011E-3</v>
      </c>
      <c r="X223" s="14">
        <f t="shared" si="49"/>
        <v>2</v>
      </c>
      <c r="Y223" s="14">
        <f t="shared" si="50"/>
        <v>3</v>
      </c>
      <c r="Z223" s="14">
        <f t="shared" si="51"/>
        <v>0</v>
      </c>
      <c r="AA223" s="14" t="str">
        <f t="shared" si="52"/>
        <v>DefExt</v>
      </c>
      <c r="AB223" s="14">
        <f t="shared" si="46"/>
        <v>108</v>
      </c>
      <c r="AC223" s="14" t="str">
        <f t="shared" si="53"/>
        <v>HPExt</v>
      </c>
      <c r="AD223" s="14">
        <f t="shared" si="54"/>
        <v>1303</v>
      </c>
      <c r="AE223" s="14" t="str">
        <f t="shared" si="55"/>
        <v>[x]</v>
      </c>
      <c r="AF223" s="27" t="str">
        <f t="shared" si="56"/>
        <v>[x]</v>
      </c>
      <c r="AG223" s="27" t="str">
        <f t="shared" si="57"/>
        <v>[x]</v>
      </c>
    </row>
    <row r="224" spans="9:33" ht="16.5" x14ac:dyDescent="0.2">
      <c r="I224" s="32"/>
      <c r="P224" s="13">
        <v>168</v>
      </c>
      <c r="Q224" s="14">
        <f t="shared" si="42"/>
        <v>11</v>
      </c>
      <c r="R224" s="14">
        <f t="shared" si="43"/>
        <v>1606013</v>
      </c>
      <c r="S224" s="14" t="str">
        <f t="shared" si="47"/>
        <v>神器3碎片3等级6</v>
      </c>
      <c r="T224" s="29" t="s">
        <v>649</v>
      </c>
      <c r="U224" s="14">
        <f t="shared" si="44"/>
        <v>6</v>
      </c>
      <c r="V224" s="36">
        <f t="shared" si="48"/>
        <v>0.52200000000000002</v>
      </c>
      <c r="W224" s="17">
        <f t="shared" si="45"/>
        <v>1.0440000000000001E-2</v>
      </c>
      <c r="X224" s="14">
        <f t="shared" si="49"/>
        <v>2</v>
      </c>
      <c r="Y224" s="14">
        <f t="shared" si="50"/>
        <v>3</v>
      </c>
      <c r="Z224" s="14">
        <f t="shared" si="51"/>
        <v>0</v>
      </c>
      <c r="AA224" s="14" t="str">
        <f t="shared" si="52"/>
        <v>DefExt</v>
      </c>
      <c r="AB224" s="14">
        <f t="shared" si="46"/>
        <v>125</v>
      </c>
      <c r="AC224" s="14" t="str">
        <f t="shared" si="53"/>
        <v>HPExt</v>
      </c>
      <c r="AD224" s="14">
        <f t="shared" si="54"/>
        <v>1512</v>
      </c>
      <c r="AE224" s="14" t="str">
        <f t="shared" si="55"/>
        <v>[x]</v>
      </c>
      <c r="AF224" s="27" t="str">
        <f t="shared" si="56"/>
        <v>[x]</v>
      </c>
      <c r="AG224" s="27" t="str">
        <f t="shared" si="57"/>
        <v>[x]</v>
      </c>
    </row>
    <row r="225" spans="9:33" ht="16.5" x14ac:dyDescent="0.2">
      <c r="I225" s="32"/>
      <c r="P225" s="13">
        <v>169</v>
      </c>
      <c r="Q225" s="14">
        <f t="shared" si="42"/>
        <v>11</v>
      </c>
      <c r="R225" s="14">
        <f t="shared" si="43"/>
        <v>1606013</v>
      </c>
      <c r="S225" s="14" t="str">
        <f t="shared" si="47"/>
        <v>神器3碎片3等级7</v>
      </c>
      <c r="T225" s="29" t="s">
        <v>649</v>
      </c>
      <c r="U225" s="14">
        <f t="shared" si="44"/>
        <v>7</v>
      </c>
      <c r="V225" s="36">
        <f t="shared" si="48"/>
        <v>0.59799999999999998</v>
      </c>
      <c r="W225" s="17">
        <f t="shared" si="45"/>
        <v>1.196E-2</v>
      </c>
      <c r="X225" s="14">
        <f t="shared" si="49"/>
        <v>2</v>
      </c>
      <c r="Y225" s="14">
        <f t="shared" si="50"/>
        <v>3</v>
      </c>
      <c r="Z225" s="14">
        <f t="shared" si="51"/>
        <v>0</v>
      </c>
      <c r="AA225" s="14" t="str">
        <f t="shared" si="52"/>
        <v>DefExt</v>
      </c>
      <c r="AB225" s="14">
        <f t="shared" si="46"/>
        <v>143</v>
      </c>
      <c r="AC225" s="14" t="str">
        <f t="shared" si="53"/>
        <v>HPExt</v>
      </c>
      <c r="AD225" s="14">
        <f t="shared" si="54"/>
        <v>1732</v>
      </c>
      <c r="AE225" s="14" t="str">
        <f t="shared" si="55"/>
        <v>[x]</v>
      </c>
      <c r="AF225" s="27" t="str">
        <f t="shared" si="56"/>
        <v>[x]</v>
      </c>
      <c r="AG225" s="27" t="str">
        <f t="shared" si="57"/>
        <v>[x]</v>
      </c>
    </row>
    <row r="226" spans="9:33" ht="16.5" x14ac:dyDescent="0.2">
      <c r="I226" s="32"/>
      <c r="P226" s="13">
        <v>170</v>
      </c>
      <c r="Q226" s="14">
        <f t="shared" si="42"/>
        <v>11</v>
      </c>
      <c r="R226" s="14">
        <f t="shared" si="43"/>
        <v>1606013</v>
      </c>
      <c r="S226" s="14" t="str">
        <f t="shared" si="47"/>
        <v>神器3碎片3等级8</v>
      </c>
      <c r="T226" s="29" t="s">
        <v>649</v>
      </c>
      <c r="U226" s="14">
        <f t="shared" si="44"/>
        <v>8</v>
      </c>
      <c r="V226" s="36">
        <f t="shared" si="48"/>
        <v>0.67800000000000005</v>
      </c>
      <c r="W226" s="17">
        <f t="shared" si="45"/>
        <v>1.3560000000000001E-2</v>
      </c>
      <c r="X226" s="14">
        <f t="shared" si="49"/>
        <v>2</v>
      </c>
      <c r="Y226" s="14">
        <f t="shared" si="50"/>
        <v>3</v>
      </c>
      <c r="Z226" s="14">
        <f t="shared" si="51"/>
        <v>0</v>
      </c>
      <c r="AA226" s="14" t="str">
        <f t="shared" si="52"/>
        <v>DefExt</v>
      </c>
      <c r="AB226" s="14">
        <f t="shared" si="46"/>
        <v>162</v>
      </c>
      <c r="AC226" s="14" t="str">
        <f t="shared" si="53"/>
        <v>HPExt</v>
      </c>
      <c r="AD226" s="14">
        <f t="shared" si="54"/>
        <v>1963</v>
      </c>
      <c r="AE226" s="14" t="str">
        <f t="shared" si="55"/>
        <v>[x]</v>
      </c>
      <c r="AF226" s="27" t="str">
        <f t="shared" si="56"/>
        <v>[x]</v>
      </c>
      <c r="AG226" s="27" t="str">
        <f t="shared" si="57"/>
        <v>[x]</v>
      </c>
    </row>
    <row r="227" spans="9:33" ht="16.5" x14ac:dyDescent="0.2">
      <c r="I227" s="32"/>
      <c r="P227" s="13">
        <v>171</v>
      </c>
      <c r="Q227" s="14">
        <f t="shared" si="42"/>
        <v>11</v>
      </c>
      <c r="R227" s="14">
        <f t="shared" si="43"/>
        <v>1606013</v>
      </c>
      <c r="S227" s="14" t="str">
        <f t="shared" si="47"/>
        <v>神器3碎片3等级9</v>
      </c>
      <c r="T227" s="29" t="s">
        <v>649</v>
      </c>
      <c r="U227" s="14">
        <f t="shared" si="44"/>
        <v>9</v>
      </c>
      <c r="V227" s="36">
        <f t="shared" si="48"/>
        <v>0.76200000000000001</v>
      </c>
      <c r="W227" s="17">
        <f t="shared" si="45"/>
        <v>1.524E-2</v>
      </c>
      <c r="X227" s="14">
        <f t="shared" si="49"/>
        <v>2</v>
      </c>
      <c r="Y227" s="14">
        <f t="shared" si="50"/>
        <v>3</v>
      </c>
      <c r="Z227" s="14">
        <f t="shared" si="51"/>
        <v>0</v>
      </c>
      <c r="AA227" s="14" t="str">
        <f t="shared" si="52"/>
        <v>DefExt</v>
      </c>
      <c r="AB227" s="14">
        <f t="shared" si="46"/>
        <v>183</v>
      </c>
      <c r="AC227" s="14" t="str">
        <f t="shared" si="53"/>
        <v>HPExt</v>
      </c>
      <c r="AD227" s="14">
        <f t="shared" si="54"/>
        <v>2207</v>
      </c>
      <c r="AE227" s="14" t="str">
        <f t="shared" si="55"/>
        <v>[x]</v>
      </c>
      <c r="AF227" s="27" t="str">
        <f t="shared" si="56"/>
        <v>[x]</v>
      </c>
      <c r="AG227" s="27" t="str">
        <f t="shared" si="57"/>
        <v>[x]</v>
      </c>
    </row>
    <row r="228" spans="9:33" ht="16.5" x14ac:dyDescent="0.2">
      <c r="I228" s="32"/>
      <c r="P228" s="13">
        <v>172</v>
      </c>
      <c r="Q228" s="14">
        <f t="shared" si="42"/>
        <v>11</v>
      </c>
      <c r="R228" s="14">
        <f t="shared" si="43"/>
        <v>1606013</v>
      </c>
      <c r="S228" s="14" t="str">
        <f t="shared" si="47"/>
        <v>神器3碎片3等级10</v>
      </c>
      <c r="T228" s="29" t="s">
        <v>649</v>
      </c>
      <c r="U228" s="14">
        <f t="shared" si="44"/>
        <v>10</v>
      </c>
      <c r="V228" s="36">
        <f t="shared" si="48"/>
        <v>0.85000000000000009</v>
      </c>
      <c r="W228" s="17">
        <f t="shared" si="45"/>
        <v>1.7000000000000001E-2</v>
      </c>
      <c r="X228" s="14">
        <f t="shared" si="49"/>
        <v>2</v>
      </c>
      <c r="Y228" s="14">
        <f t="shared" si="50"/>
        <v>3</v>
      </c>
      <c r="Z228" s="14">
        <f t="shared" si="51"/>
        <v>0</v>
      </c>
      <c r="AA228" s="14" t="str">
        <f t="shared" si="52"/>
        <v>DefExt</v>
      </c>
      <c r="AB228" s="14">
        <f t="shared" si="46"/>
        <v>204</v>
      </c>
      <c r="AC228" s="14" t="str">
        <f t="shared" si="53"/>
        <v>HPExt</v>
      </c>
      <c r="AD228" s="14">
        <f t="shared" si="54"/>
        <v>2462</v>
      </c>
      <c r="AE228" s="14" t="str">
        <f t="shared" si="55"/>
        <v>[x]</v>
      </c>
      <c r="AF228" s="27" t="str">
        <f t="shared" si="56"/>
        <v>[x]</v>
      </c>
      <c r="AG228" s="27" t="str">
        <f t="shared" si="57"/>
        <v>[x]</v>
      </c>
    </row>
    <row r="229" spans="9:33" ht="16.5" x14ac:dyDescent="0.2">
      <c r="I229" s="32"/>
      <c r="P229" s="13">
        <v>173</v>
      </c>
      <c r="Q229" s="14">
        <f t="shared" si="42"/>
        <v>11</v>
      </c>
      <c r="R229" s="14">
        <f t="shared" si="43"/>
        <v>1606013</v>
      </c>
      <c r="S229" s="14" t="str">
        <f t="shared" si="47"/>
        <v>神器3碎片3等级11</v>
      </c>
      <c r="T229" s="29" t="s">
        <v>649</v>
      </c>
      <c r="U229" s="14">
        <f t="shared" si="44"/>
        <v>11</v>
      </c>
      <c r="V229" s="36">
        <f t="shared" si="48"/>
        <v>0.94200000000000006</v>
      </c>
      <c r="W229" s="17">
        <f t="shared" si="45"/>
        <v>1.8840000000000003E-2</v>
      </c>
      <c r="X229" s="14">
        <f t="shared" si="49"/>
        <v>2</v>
      </c>
      <c r="Y229" s="14">
        <f t="shared" si="50"/>
        <v>3</v>
      </c>
      <c r="Z229" s="14">
        <f t="shared" si="51"/>
        <v>0</v>
      </c>
      <c r="AA229" s="14" t="str">
        <f t="shared" si="52"/>
        <v>DefExt</v>
      </c>
      <c r="AB229" s="14">
        <f t="shared" si="46"/>
        <v>226</v>
      </c>
      <c r="AC229" s="14" t="str">
        <f t="shared" si="53"/>
        <v>HPExt</v>
      </c>
      <c r="AD229" s="14">
        <f t="shared" si="54"/>
        <v>2728</v>
      </c>
      <c r="AE229" s="14" t="str">
        <f t="shared" si="55"/>
        <v>[x]</v>
      </c>
      <c r="AF229" s="27" t="str">
        <f t="shared" si="56"/>
        <v>[x]</v>
      </c>
      <c r="AG229" s="27" t="str">
        <f t="shared" si="57"/>
        <v>[x]</v>
      </c>
    </row>
    <row r="230" spans="9:33" ht="16.5" x14ac:dyDescent="0.2">
      <c r="I230" s="32"/>
      <c r="P230" s="13">
        <v>174</v>
      </c>
      <c r="Q230" s="14">
        <f t="shared" si="42"/>
        <v>11</v>
      </c>
      <c r="R230" s="14">
        <f t="shared" si="43"/>
        <v>1606013</v>
      </c>
      <c r="S230" s="14" t="str">
        <f t="shared" si="47"/>
        <v>神器3碎片3等级12</v>
      </c>
      <c r="T230" s="29" t="s">
        <v>649</v>
      </c>
      <c r="U230" s="14">
        <f t="shared" si="44"/>
        <v>12</v>
      </c>
      <c r="V230" s="36">
        <f t="shared" si="48"/>
        <v>1.0380000000000003</v>
      </c>
      <c r="W230" s="17">
        <f t="shared" si="45"/>
        <v>2.0760000000000004E-2</v>
      </c>
      <c r="X230" s="14">
        <f t="shared" si="49"/>
        <v>2</v>
      </c>
      <c r="Y230" s="14">
        <f t="shared" si="50"/>
        <v>3</v>
      </c>
      <c r="Z230" s="14">
        <f t="shared" si="51"/>
        <v>0</v>
      </c>
      <c r="AA230" s="14" t="str">
        <f t="shared" si="52"/>
        <v>DefExt</v>
      </c>
      <c r="AB230" s="14">
        <f t="shared" si="46"/>
        <v>249</v>
      </c>
      <c r="AC230" s="14" t="str">
        <f t="shared" si="53"/>
        <v>HPExt</v>
      </c>
      <c r="AD230" s="14">
        <f t="shared" si="54"/>
        <v>3006</v>
      </c>
      <c r="AE230" s="14" t="str">
        <f t="shared" si="55"/>
        <v>[x]</v>
      </c>
      <c r="AF230" s="27" t="str">
        <f t="shared" si="56"/>
        <v>[x]</v>
      </c>
      <c r="AG230" s="27" t="str">
        <f t="shared" si="57"/>
        <v>[x]</v>
      </c>
    </row>
    <row r="231" spans="9:33" ht="16.5" x14ac:dyDescent="0.2">
      <c r="I231" s="32"/>
      <c r="P231" s="13">
        <v>175</v>
      </c>
      <c r="Q231" s="14">
        <f t="shared" si="42"/>
        <v>11</v>
      </c>
      <c r="R231" s="14">
        <f t="shared" si="43"/>
        <v>1606013</v>
      </c>
      <c r="S231" s="14" t="str">
        <f t="shared" si="47"/>
        <v>神器3碎片3等级13</v>
      </c>
      <c r="T231" s="29" t="s">
        <v>649</v>
      </c>
      <c r="U231" s="14">
        <f t="shared" si="44"/>
        <v>13</v>
      </c>
      <c r="V231" s="36">
        <f t="shared" si="48"/>
        <v>1.1380000000000001</v>
      </c>
      <c r="W231" s="17">
        <f t="shared" si="45"/>
        <v>2.2760000000000002E-2</v>
      </c>
      <c r="X231" s="14">
        <f t="shared" si="49"/>
        <v>2</v>
      </c>
      <c r="Y231" s="14">
        <f t="shared" si="50"/>
        <v>3</v>
      </c>
      <c r="Z231" s="14">
        <f t="shared" si="51"/>
        <v>0</v>
      </c>
      <c r="AA231" s="14" t="str">
        <f t="shared" si="52"/>
        <v>DefExt</v>
      </c>
      <c r="AB231" s="14">
        <f t="shared" si="46"/>
        <v>273</v>
      </c>
      <c r="AC231" s="14" t="str">
        <f t="shared" si="53"/>
        <v>HPExt</v>
      </c>
      <c r="AD231" s="14">
        <f t="shared" si="54"/>
        <v>3296</v>
      </c>
      <c r="AE231" s="14" t="str">
        <f t="shared" si="55"/>
        <v>[x]</v>
      </c>
      <c r="AF231" s="27" t="str">
        <f t="shared" si="56"/>
        <v>[x]</v>
      </c>
      <c r="AG231" s="27" t="str">
        <f t="shared" si="57"/>
        <v>[x]</v>
      </c>
    </row>
    <row r="232" spans="9:33" ht="16.5" x14ac:dyDescent="0.2">
      <c r="I232" s="32"/>
      <c r="P232" s="13">
        <v>176</v>
      </c>
      <c r="Q232" s="14">
        <f t="shared" si="42"/>
        <v>11</v>
      </c>
      <c r="R232" s="14">
        <f t="shared" si="43"/>
        <v>1606013</v>
      </c>
      <c r="S232" s="14" t="str">
        <f t="shared" si="47"/>
        <v>神器3碎片3等级14</v>
      </c>
      <c r="T232" s="29" t="s">
        <v>649</v>
      </c>
      <c r="U232" s="14">
        <f t="shared" si="44"/>
        <v>14</v>
      </c>
      <c r="V232" s="36">
        <f t="shared" si="48"/>
        <v>1.242</v>
      </c>
      <c r="W232" s="17">
        <f t="shared" si="45"/>
        <v>2.4840000000000001E-2</v>
      </c>
      <c r="X232" s="14">
        <f t="shared" si="49"/>
        <v>2</v>
      </c>
      <c r="Y232" s="14">
        <f t="shared" si="50"/>
        <v>3</v>
      </c>
      <c r="Z232" s="14">
        <f t="shared" si="51"/>
        <v>0</v>
      </c>
      <c r="AA232" s="14" t="str">
        <f t="shared" si="52"/>
        <v>DefExt</v>
      </c>
      <c r="AB232" s="14">
        <f t="shared" si="46"/>
        <v>298</v>
      </c>
      <c r="AC232" s="14" t="str">
        <f t="shared" si="53"/>
        <v>HPExt</v>
      </c>
      <c r="AD232" s="14">
        <f t="shared" si="54"/>
        <v>3597</v>
      </c>
      <c r="AE232" s="14" t="str">
        <f t="shared" si="55"/>
        <v>[x]</v>
      </c>
      <c r="AF232" s="27" t="str">
        <f t="shared" si="56"/>
        <v>[x]</v>
      </c>
      <c r="AG232" s="27" t="str">
        <f t="shared" si="57"/>
        <v>[x]</v>
      </c>
    </row>
    <row r="233" spans="9:33" ht="16.5" x14ac:dyDescent="0.2">
      <c r="I233" s="32"/>
      <c r="P233" s="13">
        <v>177</v>
      </c>
      <c r="Q233" s="14">
        <f t="shared" si="42"/>
        <v>11</v>
      </c>
      <c r="R233" s="14">
        <f t="shared" si="43"/>
        <v>1606013</v>
      </c>
      <c r="S233" s="14" t="str">
        <f t="shared" si="47"/>
        <v>神器3碎片3等级15</v>
      </c>
      <c r="T233" s="29" t="s">
        <v>649</v>
      </c>
      <c r="U233" s="14">
        <f t="shared" si="44"/>
        <v>15</v>
      </c>
      <c r="V233" s="36">
        <f t="shared" si="48"/>
        <v>1.35</v>
      </c>
      <c r="W233" s="17">
        <f t="shared" si="45"/>
        <v>2.7000000000000003E-2</v>
      </c>
      <c r="X233" s="14">
        <f t="shared" si="49"/>
        <v>2</v>
      </c>
      <c r="Y233" s="14">
        <f t="shared" si="50"/>
        <v>3</v>
      </c>
      <c r="Z233" s="14">
        <f t="shared" si="51"/>
        <v>0</v>
      </c>
      <c r="AA233" s="14" t="str">
        <f t="shared" si="52"/>
        <v>DefExt</v>
      </c>
      <c r="AB233" s="14">
        <f t="shared" si="46"/>
        <v>324</v>
      </c>
      <c r="AC233" s="14" t="str">
        <f t="shared" si="53"/>
        <v>HPExt</v>
      </c>
      <c r="AD233" s="14">
        <f t="shared" si="54"/>
        <v>3910</v>
      </c>
      <c r="AE233" s="14" t="str">
        <f t="shared" si="55"/>
        <v>[x]</v>
      </c>
      <c r="AF233" s="27" t="str">
        <f t="shared" si="56"/>
        <v>[x]</v>
      </c>
      <c r="AG233" s="27" t="str">
        <f t="shared" si="57"/>
        <v>[x]</v>
      </c>
    </row>
    <row r="234" spans="9:33" ht="16.5" x14ac:dyDescent="0.2">
      <c r="I234" s="32"/>
      <c r="P234" s="13">
        <v>178</v>
      </c>
      <c r="Q234" s="14">
        <f t="shared" si="42"/>
        <v>11</v>
      </c>
      <c r="R234" s="14">
        <f t="shared" si="43"/>
        <v>1606013</v>
      </c>
      <c r="S234" s="14" t="str">
        <f t="shared" si="47"/>
        <v>神器3碎片3等级16</v>
      </c>
      <c r="T234" s="29" t="s">
        <v>649</v>
      </c>
      <c r="U234" s="14">
        <f t="shared" si="44"/>
        <v>16</v>
      </c>
      <c r="V234" s="36">
        <f t="shared" si="48"/>
        <v>1.4620000000000002</v>
      </c>
      <c r="W234" s="17">
        <f t="shared" si="45"/>
        <v>2.9240000000000006E-2</v>
      </c>
      <c r="X234" s="14">
        <f t="shared" si="49"/>
        <v>2</v>
      </c>
      <c r="Y234" s="14">
        <f t="shared" si="50"/>
        <v>3</v>
      </c>
      <c r="Z234" s="14">
        <f t="shared" si="51"/>
        <v>0</v>
      </c>
      <c r="AA234" s="14" t="str">
        <f t="shared" si="52"/>
        <v>DefExt</v>
      </c>
      <c r="AB234" s="14">
        <f t="shared" si="46"/>
        <v>351</v>
      </c>
      <c r="AC234" s="14" t="str">
        <f t="shared" si="53"/>
        <v>HPExt</v>
      </c>
      <c r="AD234" s="14">
        <f t="shared" si="54"/>
        <v>4235</v>
      </c>
      <c r="AE234" s="14" t="str">
        <f t="shared" si="55"/>
        <v>[x]</v>
      </c>
      <c r="AF234" s="27" t="str">
        <f t="shared" si="56"/>
        <v>[x]</v>
      </c>
      <c r="AG234" s="27" t="str">
        <f t="shared" si="57"/>
        <v>[x]</v>
      </c>
    </row>
    <row r="235" spans="9:33" ht="16.5" x14ac:dyDescent="0.2">
      <c r="I235" s="32"/>
      <c r="P235" s="13">
        <v>179</v>
      </c>
      <c r="Q235" s="14">
        <f t="shared" si="42"/>
        <v>11</v>
      </c>
      <c r="R235" s="14">
        <f t="shared" si="43"/>
        <v>1606013</v>
      </c>
      <c r="S235" s="14" t="str">
        <f t="shared" si="47"/>
        <v>神器3碎片3等级17</v>
      </c>
      <c r="T235" s="29" t="s">
        <v>649</v>
      </c>
      <c r="U235" s="14">
        <f t="shared" si="44"/>
        <v>17</v>
      </c>
      <c r="V235" s="36">
        <f t="shared" si="48"/>
        <v>1.5779999999999998</v>
      </c>
      <c r="W235" s="17">
        <f t="shared" si="45"/>
        <v>3.1559999999999998E-2</v>
      </c>
      <c r="X235" s="14">
        <f t="shared" si="49"/>
        <v>2</v>
      </c>
      <c r="Y235" s="14">
        <f t="shared" si="50"/>
        <v>3</v>
      </c>
      <c r="Z235" s="14">
        <f t="shared" si="51"/>
        <v>0</v>
      </c>
      <c r="AA235" s="14" t="str">
        <f t="shared" si="52"/>
        <v>DefExt</v>
      </c>
      <c r="AB235" s="14">
        <f t="shared" si="46"/>
        <v>378</v>
      </c>
      <c r="AC235" s="14" t="str">
        <f t="shared" si="53"/>
        <v>HPExt</v>
      </c>
      <c r="AD235" s="14">
        <f t="shared" si="54"/>
        <v>4571</v>
      </c>
      <c r="AE235" s="14" t="str">
        <f t="shared" si="55"/>
        <v>[x]</v>
      </c>
      <c r="AF235" s="27" t="str">
        <f t="shared" si="56"/>
        <v>[x]</v>
      </c>
      <c r="AG235" s="27" t="str">
        <f t="shared" si="57"/>
        <v>[x]</v>
      </c>
    </row>
    <row r="236" spans="9:33" ht="16.5" x14ac:dyDescent="0.2">
      <c r="I236" s="32"/>
      <c r="P236" s="13">
        <v>180</v>
      </c>
      <c r="Q236" s="14">
        <f t="shared" si="42"/>
        <v>11</v>
      </c>
      <c r="R236" s="14">
        <f t="shared" si="43"/>
        <v>1606013</v>
      </c>
      <c r="S236" s="14" t="str">
        <f t="shared" si="47"/>
        <v>神器3碎片3等级18</v>
      </c>
      <c r="T236" s="29" t="s">
        <v>649</v>
      </c>
      <c r="U236" s="14">
        <f t="shared" si="44"/>
        <v>18</v>
      </c>
      <c r="V236" s="36">
        <f t="shared" si="48"/>
        <v>1.698</v>
      </c>
      <c r="W236" s="17">
        <f t="shared" si="45"/>
        <v>3.3959999999999997E-2</v>
      </c>
      <c r="X236" s="14">
        <f t="shared" si="49"/>
        <v>2</v>
      </c>
      <c r="Y236" s="14">
        <f t="shared" si="50"/>
        <v>3</v>
      </c>
      <c r="Z236" s="14">
        <f t="shared" si="51"/>
        <v>0</v>
      </c>
      <c r="AA236" s="14" t="str">
        <f t="shared" si="52"/>
        <v>DefExt</v>
      </c>
      <c r="AB236" s="14">
        <f t="shared" si="46"/>
        <v>407</v>
      </c>
      <c r="AC236" s="14" t="str">
        <f t="shared" si="53"/>
        <v>HPExt</v>
      </c>
      <c r="AD236" s="14">
        <f t="shared" si="54"/>
        <v>4918</v>
      </c>
      <c r="AE236" s="14" t="str">
        <f t="shared" si="55"/>
        <v>[x]</v>
      </c>
      <c r="AF236" s="27" t="str">
        <f t="shared" si="56"/>
        <v>[x]</v>
      </c>
      <c r="AG236" s="27" t="str">
        <f t="shared" si="57"/>
        <v>[x]</v>
      </c>
    </row>
    <row r="237" spans="9:33" ht="16.5" x14ac:dyDescent="0.2">
      <c r="P237" s="13">
        <v>181</v>
      </c>
      <c r="Q237" s="14">
        <f t="shared" si="42"/>
        <v>11</v>
      </c>
      <c r="R237" s="14">
        <f t="shared" si="43"/>
        <v>1606013</v>
      </c>
      <c r="S237" s="14" t="str">
        <f t="shared" si="47"/>
        <v>神器3碎片3等级19</v>
      </c>
      <c r="T237" s="29" t="s">
        <v>649</v>
      </c>
      <c r="U237" s="14">
        <f t="shared" si="44"/>
        <v>19</v>
      </c>
      <c r="V237" s="36">
        <f t="shared" si="48"/>
        <v>1.8220000000000001</v>
      </c>
      <c r="W237" s="17">
        <f t="shared" si="45"/>
        <v>3.644E-2</v>
      </c>
      <c r="X237" s="14">
        <f t="shared" si="49"/>
        <v>2</v>
      </c>
      <c r="Y237" s="14">
        <f t="shared" si="50"/>
        <v>3</v>
      </c>
      <c r="Z237" s="14">
        <f t="shared" si="51"/>
        <v>0</v>
      </c>
      <c r="AA237" s="14" t="str">
        <f t="shared" si="52"/>
        <v>DefExt</v>
      </c>
      <c r="AB237" s="14">
        <f t="shared" si="46"/>
        <v>437</v>
      </c>
      <c r="AC237" s="14" t="str">
        <f t="shared" si="53"/>
        <v>HPExt</v>
      </c>
      <c r="AD237" s="14">
        <f t="shared" si="54"/>
        <v>5277</v>
      </c>
      <c r="AE237" s="14" t="str">
        <f t="shared" si="55"/>
        <v>[x]</v>
      </c>
      <c r="AF237" s="27" t="str">
        <f t="shared" si="56"/>
        <v>[x]</v>
      </c>
      <c r="AG237" s="27" t="str">
        <f t="shared" si="57"/>
        <v>[x]</v>
      </c>
    </row>
    <row r="238" spans="9:33" ht="16.5" x14ac:dyDescent="0.2">
      <c r="P238" s="13">
        <v>182</v>
      </c>
      <c r="Q238" s="14">
        <f t="shared" si="42"/>
        <v>11</v>
      </c>
      <c r="R238" s="14">
        <f t="shared" si="43"/>
        <v>1606013</v>
      </c>
      <c r="S238" s="14" t="str">
        <f t="shared" si="47"/>
        <v>神器3碎片3等级20</v>
      </c>
      <c r="T238" s="29" t="s">
        <v>649</v>
      </c>
      <c r="U238" s="14">
        <f t="shared" si="44"/>
        <v>20</v>
      </c>
      <c r="V238" s="36">
        <f t="shared" si="48"/>
        <v>1.95</v>
      </c>
      <c r="W238" s="17">
        <f t="shared" si="45"/>
        <v>3.9E-2</v>
      </c>
      <c r="X238" s="14">
        <f t="shared" si="49"/>
        <v>2</v>
      </c>
      <c r="Y238" s="14">
        <f t="shared" si="50"/>
        <v>3</v>
      </c>
      <c r="Z238" s="14">
        <f t="shared" si="51"/>
        <v>0</v>
      </c>
      <c r="AA238" s="14" t="str">
        <f t="shared" si="52"/>
        <v>DefExt</v>
      </c>
      <c r="AB238" s="14">
        <f t="shared" si="46"/>
        <v>468</v>
      </c>
      <c r="AC238" s="14" t="str">
        <f t="shared" si="53"/>
        <v>HPExt</v>
      </c>
      <c r="AD238" s="14">
        <f t="shared" si="54"/>
        <v>5648</v>
      </c>
      <c r="AE238" s="14" t="str">
        <f t="shared" si="55"/>
        <v>[x]</v>
      </c>
      <c r="AF238" s="27" t="str">
        <f t="shared" si="56"/>
        <v>[x]</v>
      </c>
      <c r="AG238" s="27" t="str">
        <f t="shared" si="57"/>
        <v>[x]</v>
      </c>
    </row>
    <row r="239" spans="9:33" ht="16.5" x14ac:dyDescent="0.2">
      <c r="P239" s="13">
        <v>183</v>
      </c>
      <c r="Q239" s="14">
        <f t="shared" si="42"/>
        <v>11</v>
      </c>
      <c r="R239" s="14">
        <f t="shared" si="43"/>
        <v>1606013</v>
      </c>
      <c r="S239" s="14" t="str">
        <f t="shared" si="47"/>
        <v>神器3碎片3等级21</v>
      </c>
      <c r="T239" s="29" t="s">
        <v>649</v>
      </c>
      <c r="U239" s="14">
        <f t="shared" si="44"/>
        <v>21</v>
      </c>
      <c r="V239" s="36">
        <f t="shared" si="48"/>
        <v>2.0819999999999999</v>
      </c>
      <c r="W239" s="17">
        <f t="shared" si="45"/>
        <v>4.1639999999999996E-2</v>
      </c>
      <c r="X239" s="14">
        <f t="shared" si="49"/>
        <v>2</v>
      </c>
      <c r="Y239" s="14">
        <f t="shared" si="50"/>
        <v>3</v>
      </c>
      <c r="Z239" s="14">
        <f t="shared" si="51"/>
        <v>0</v>
      </c>
      <c r="AA239" s="14" t="str">
        <f t="shared" si="52"/>
        <v>DefExt</v>
      </c>
      <c r="AB239" s="14">
        <f t="shared" si="46"/>
        <v>500</v>
      </c>
      <c r="AC239" s="14" t="str">
        <f t="shared" si="53"/>
        <v>HPExt</v>
      </c>
      <c r="AD239" s="14">
        <f t="shared" si="54"/>
        <v>6030</v>
      </c>
      <c r="AE239" s="14" t="str">
        <f t="shared" si="55"/>
        <v>[x]</v>
      </c>
      <c r="AF239" s="27" t="str">
        <f t="shared" si="56"/>
        <v>[x]</v>
      </c>
      <c r="AG239" s="27" t="str">
        <f t="shared" si="57"/>
        <v>[x]</v>
      </c>
    </row>
    <row r="240" spans="9:33" ht="16.5" x14ac:dyDescent="0.2">
      <c r="P240" s="13">
        <v>184</v>
      </c>
      <c r="Q240" s="14">
        <f t="shared" si="42"/>
        <v>12</v>
      </c>
      <c r="R240" s="14">
        <f t="shared" si="43"/>
        <v>1606014</v>
      </c>
      <c r="S240" s="14" t="str">
        <f t="shared" si="47"/>
        <v>神器3碎片4等级1</v>
      </c>
      <c r="T240" s="29" t="s">
        <v>649</v>
      </c>
      <c r="U240" s="14">
        <f t="shared" si="44"/>
        <v>1</v>
      </c>
      <c r="V240" s="36">
        <f t="shared" si="48"/>
        <v>0.20200000000000001</v>
      </c>
      <c r="W240" s="17">
        <f t="shared" si="45"/>
        <v>6.0600000000000003E-3</v>
      </c>
      <c r="X240" s="14">
        <f t="shared" si="49"/>
        <v>2</v>
      </c>
      <c r="Y240" s="14">
        <f t="shared" si="50"/>
        <v>3</v>
      </c>
      <c r="Z240" s="14">
        <f t="shared" si="51"/>
        <v>0</v>
      </c>
      <c r="AA240" s="14" t="str">
        <f t="shared" si="52"/>
        <v>DefExt</v>
      </c>
      <c r="AB240" s="14">
        <f t="shared" si="46"/>
        <v>72</v>
      </c>
      <c r="AC240" s="14" t="str">
        <f t="shared" si="53"/>
        <v>HPExt</v>
      </c>
      <c r="AD240" s="14">
        <f t="shared" si="54"/>
        <v>877</v>
      </c>
      <c r="AE240" s="14" t="str">
        <f t="shared" si="55"/>
        <v>[x]</v>
      </c>
      <c r="AF240" s="27" t="str">
        <f t="shared" si="56"/>
        <v>[x]</v>
      </c>
      <c r="AG240" s="27" t="str">
        <f t="shared" si="57"/>
        <v>[x]</v>
      </c>
    </row>
    <row r="241" spans="16:33" ht="16.5" x14ac:dyDescent="0.2">
      <c r="P241" s="13">
        <v>185</v>
      </c>
      <c r="Q241" s="14">
        <f t="shared" si="42"/>
        <v>12</v>
      </c>
      <c r="R241" s="14">
        <f t="shared" si="43"/>
        <v>1606014</v>
      </c>
      <c r="S241" s="14" t="str">
        <f t="shared" si="47"/>
        <v>神器3碎片4等级2</v>
      </c>
      <c r="T241" s="29" t="s">
        <v>649</v>
      </c>
      <c r="U241" s="14">
        <f t="shared" si="44"/>
        <v>2</v>
      </c>
      <c r="V241" s="36">
        <f t="shared" si="48"/>
        <v>0.25800000000000001</v>
      </c>
      <c r="W241" s="17">
        <f t="shared" si="45"/>
        <v>7.7400000000000004E-3</v>
      </c>
      <c r="X241" s="14">
        <f t="shared" si="49"/>
        <v>2</v>
      </c>
      <c r="Y241" s="14">
        <f t="shared" si="50"/>
        <v>3</v>
      </c>
      <c r="Z241" s="14">
        <f t="shared" si="51"/>
        <v>0</v>
      </c>
      <c r="AA241" s="14" t="str">
        <f t="shared" si="52"/>
        <v>DefExt</v>
      </c>
      <c r="AB241" s="14">
        <f t="shared" si="46"/>
        <v>92</v>
      </c>
      <c r="AC241" s="14" t="str">
        <f t="shared" si="53"/>
        <v>HPExt</v>
      </c>
      <c r="AD241" s="14">
        <f t="shared" si="54"/>
        <v>1121</v>
      </c>
      <c r="AE241" s="14" t="str">
        <f t="shared" si="55"/>
        <v>[x]</v>
      </c>
      <c r="AF241" s="27" t="str">
        <f t="shared" si="56"/>
        <v>[x]</v>
      </c>
      <c r="AG241" s="27" t="str">
        <f t="shared" si="57"/>
        <v>[x]</v>
      </c>
    </row>
    <row r="242" spans="16:33" ht="16.5" x14ac:dyDescent="0.2">
      <c r="P242" s="13">
        <v>186</v>
      </c>
      <c r="Q242" s="14">
        <f t="shared" si="42"/>
        <v>12</v>
      </c>
      <c r="R242" s="14">
        <f t="shared" si="43"/>
        <v>1606014</v>
      </c>
      <c r="S242" s="14" t="str">
        <f t="shared" si="47"/>
        <v>神器3碎片4等级3</v>
      </c>
      <c r="T242" s="29" t="s">
        <v>649</v>
      </c>
      <c r="U242" s="14">
        <f t="shared" si="44"/>
        <v>3</v>
      </c>
      <c r="V242" s="36">
        <f t="shared" si="48"/>
        <v>0.31800000000000006</v>
      </c>
      <c r="W242" s="17">
        <f t="shared" si="45"/>
        <v>9.5400000000000016E-3</v>
      </c>
      <c r="X242" s="14">
        <f t="shared" si="49"/>
        <v>2</v>
      </c>
      <c r="Y242" s="14">
        <f t="shared" si="50"/>
        <v>3</v>
      </c>
      <c r="Z242" s="14">
        <f t="shared" si="51"/>
        <v>0</v>
      </c>
      <c r="AA242" s="14" t="str">
        <f t="shared" si="52"/>
        <v>DefExt</v>
      </c>
      <c r="AB242" s="14">
        <f t="shared" si="46"/>
        <v>114</v>
      </c>
      <c r="AC242" s="14" t="str">
        <f t="shared" si="53"/>
        <v>HPExt</v>
      </c>
      <c r="AD242" s="14">
        <f t="shared" si="54"/>
        <v>1381</v>
      </c>
      <c r="AE242" s="14" t="str">
        <f t="shared" si="55"/>
        <v>[x]</v>
      </c>
      <c r="AF242" s="27" t="str">
        <f t="shared" si="56"/>
        <v>[x]</v>
      </c>
      <c r="AG242" s="27" t="str">
        <f t="shared" si="57"/>
        <v>[x]</v>
      </c>
    </row>
    <row r="243" spans="16:33" ht="16.5" x14ac:dyDescent="0.2">
      <c r="P243" s="13">
        <v>187</v>
      </c>
      <c r="Q243" s="14">
        <f t="shared" si="42"/>
        <v>12</v>
      </c>
      <c r="R243" s="14">
        <f t="shared" si="43"/>
        <v>1606014</v>
      </c>
      <c r="S243" s="14" t="str">
        <f t="shared" si="47"/>
        <v>神器3碎片4等级4</v>
      </c>
      <c r="T243" s="29" t="s">
        <v>649</v>
      </c>
      <c r="U243" s="14">
        <f t="shared" si="44"/>
        <v>4</v>
      </c>
      <c r="V243" s="36">
        <f t="shared" si="48"/>
        <v>0.38200000000000001</v>
      </c>
      <c r="W243" s="17">
        <f t="shared" si="45"/>
        <v>1.146E-2</v>
      </c>
      <c r="X243" s="14">
        <f t="shared" si="49"/>
        <v>2</v>
      </c>
      <c r="Y243" s="14">
        <f t="shared" si="50"/>
        <v>3</v>
      </c>
      <c r="Z243" s="14">
        <f t="shared" si="51"/>
        <v>0</v>
      </c>
      <c r="AA243" s="14" t="str">
        <f t="shared" si="52"/>
        <v>DefExt</v>
      </c>
      <c r="AB243" s="14">
        <f t="shared" si="46"/>
        <v>137</v>
      </c>
      <c r="AC243" s="14" t="str">
        <f t="shared" si="53"/>
        <v>HPExt</v>
      </c>
      <c r="AD243" s="14">
        <f t="shared" si="54"/>
        <v>1659</v>
      </c>
      <c r="AE243" s="14" t="str">
        <f t="shared" si="55"/>
        <v>[x]</v>
      </c>
      <c r="AF243" s="27" t="str">
        <f t="shared" si="56"/>
        <v>[x]</v>
      </c>
      <c r="AG243" s="27" t="str">
        <f t="shared" si="57"/>
        <v>[x]</v>
      </c>
    </row>
    <row r="244" spans="16:33" ht="16.5" x14ac:dyDescent="0.2">
      <c r="P244" s="13">
        <v>188</v>
      </c>
      <c r="Q244" s="14">
        <f t="shared" si="42"/>
        <v>12</v>
      </c>
      <c r="R244" s="14">
        <f t="shared" si="43"/>
        <v>1606014</v>
      </c>
      <c r="S244" s="14" t="str">
        <f t="shared" si="47"/>
        <v>神器3碎片4等级5</v>
      </c>
      <c r="T244" s="29" t="s">
        <v>649</v>
      </c>
      <c r="U244" s="14">
        <f t="shared" si="44"/>
        <v>5</v>
      </c>
      <c r="V244" s="36">
        <f t="shared" si="48"/>
        <v>0.45</v>
      </c>
      <c r="W244" s="17">
        <f t="shared" si="45"/>
        <v>1.35E-2</v>
      </c>
      <c r="X244" s="14">
        <f t="shared" si="49"/>
        <v>2</v>
      </c>
      <c r="Y244" s="14">
        <f t="shared" si="50"/>
        <v>3</v>
      </c>
      <c r="Z244" s="14">
        <f t="shared" si="51"/>
        <v>0</v>
      </c>
      <c r="AA244" s="14" t="str">
        <f t="shared" si="52"/>
        <v>DefExt</v>
      </c>
      <c r="AB244" s="14">
        <f t="shared" si="46"/>
        <v>162</v>
      </c>
      <c r="AC244" s="14" t="str">
        <f t="shared" si="53"/>
        <v>HPExt</v>
      </c>
      <c r="AD244" s="14">
        <f t="shared" si="54"/>
        <v>1955</v>
      </c>
      <c r="AE244" s="14" t="str">
        <f t="shared" si="55"/>
        <v>[x]</v>
      </c>
      <c r="AF244" s="27" t="str">
        <f t="shared" si="56"/>
        <v>[x]</v>
      </c>
      <c r="AG244" s="27" t="str">
        <f t="shared" si="57"/>
        <v>[x]</v>
      </c>
    </row>
    <row r="245" spans="16:33" ht="16.5" x14ac:dyDescent="0.2">
      <c r="P245" s="13">
        <v>189</v>
      </c>
      <c r="Q245" s="14">
        <f t="shared" si="42"/>
        <v>12</v>
      </c>
      <c r="R245" s="14">
        <f t="shared" si="43"/>
        <v>1606014</v>
      </c>
      <c r="S245" s="14" t="str">
        <f t="shared" si="47"/>
        <v>神器3碎片4等级6</v>
      </c>
      <c r="T245" s="29" t="s">
        <v>649</v>
      </c>
      <c r="U245" s="14">
        <f t="shared" si="44"/>
        <v>6</v>
      </c>
      <c r="V245" s="36">
        <f t="shared" si="48"/>
        <v>0.52200000000000002</v>
      </c>
      <c r="W245" s="17">
        <f t="shared" si="45"/>
        <v>1.566E-2</v>
      </c>
      <c r="X245" s="14">
        <f t="shared" si="49"/>
        <v>2</v>
      </c>
      <c r="Y245" s="14">
        <f t="shared" si="50"/>
        <v>3</v>
      </c>
      <c r="Z245" s="14">
        <f t="shared" si="51"/>
        <v>0</v>
      </c>
      <c r="AA245" s="14" t="str">
        <f t="shared" si="52"/>
        <v>DefExt</v>
      </c>
      <c r="AB245" s="14">
        <f t="shared" si="46"/>
        <v>188</v>
      </c>
      <c r="AC245" s="14" t="str">
        <f t="shared" si="53"/>
        <v>HPExt</v>
      </c>
      <c r="AD245" s="14">
        <f t="shared" si="54"/>
        <v>2268</v>
      </c>
      <c r="AE245" s="14" t="str">
        <f t="shared" si="55"/>
        <v>[x]</v>
      </c>
      <c r="AF245" s="27" t="str">
        <f t="shared" si="56"/>
        <v>[x]</v>
      </c>
      <c r="AG245" s="27" t="str">
        <f t="shared" si="57"/>
        <v>[x]</v>
      </c>
    </row>
    <row r="246" spans="16:33" ht="16.5" x14ac:dyDescent="0.2">
      <c r="P246" s="13">
        <v>190</v>
      </c>
      <c r="Q246" s="14">
        <f t="shared" si="42"/>
        <v>12</v>
      </c>
      <c r="R246" s="14">
        <f t="shared" si="43"/>
        <v>1606014</v>
      </c>
      <c r="S246" s="14" t="str">
        <f t="shared" si="47"/>
        <v>神器3碎片4等级7</v>
      </c>
      <c r="T246" s="29" t="s">
        <v>649</v>
      </c>
      <c r="U246" s="14">
        <f t="shared" si="44"/>
        <v>7</v>
      </c>
      <c r="V246" s="36">
        <f t="shared" si="48"/>
        <v>0.59799999999999998</v>
      </c>
      <c r="W246" s="17">
        <f t="shared" si="45"/>
        <v>1.7939999999999998E-2</v>
      </c>
      <c r="X246" s="14">
        <f t="shared" si="49"/>
        <v>2</v>
      </c>
      <c r="Y246" s="14">
        <f t="shared" si="50"/>
        <v>3</v>
      </c>
      <c r="Z246" s="14">
        <f t="shared" si="51"/>
        <v>0</v>
      </c>
      <c r="AA246" s="14" t="str">
        <f t="shared" si="52"/>
        <v>DefExt</v>
      </c>
      <c r="AB246" s="14">
        <f t="shared" si="46"/>
        <v>215</v>
      </c>
      <c r="AC246" s="14" t="str">
        <f t="shared" si="53"/>
        <v>HPExt</v>
      </c>
      <c r="AD246" s="14">
        <f t="shared" si="54"/>
        <v>2598</v>
      </c>
      <c r="AE246" s="14" t="str">
        <f t="shared" si="55"/>
        <v>[x]</v>
      </c>
      <c r="AF246" s="27" t="str">
        <f t="shared" si="56"/>
        <v>[x]</v>
      </c>
      <c r="AG246" s="27" t="str">
        <f t="shared" si="57"/>
        <v>[x]</v>
      </c>
    </row>
    <row r="247" spans="16:33" ht="16.5" x14ac:dyDescent="0.2">
      <c r="P247" s="13">
        <v>191</v>
      </c>
      <c r="Q247" s="14">
        <f t="shared" si="42"/>
        <v>12</v>
      </c>
      <c r="R247" s="14">
        <f t="shared" si="43"/>
        <v>1606014</v>
      </c>
      <c r="S247" s="14" t="str">
        <f t="shared" si="47"/>
        <v>神器3碎片4等级8</v>
      </c>
      <c r="T247" s="29" t="s">
        <v>649</v>
      </c>
      <c r="U247" s="14">
        <f t="shared" si="44"/>
        <v>8</v>
      </c>
      <c r="V247" s="36">
        <f t="shared" si="48"/>
        <v>0.67800000000000005</v>
      </c>
      <c r="W247" s="17">
        <f t="shared" si="45"/>
        <v>2.034E-2</v>
      </c>
      <c r="X247" s="14">
        <f t="shared" si="49"/>
        <v>2</v>
      </c>
      <c r="Y247" s="14">
        <f t="shared" si="50"/>
        <v>3</v>
      </c>
      <c r="Z247" s="14">
        <f t="shared" si="51"/>
        <v>0</v>
      </c>
      <c r="AA247" s="14" t="str">
        <f t="shared" si="52"/>
        <v>DefExt</v>
      </c>
      <c r="AB247" s="14">
        <f t="shared" si="46"/>
        <v>244</v>
      </c>
      <c r="AC247" s="14" t="str">
        <f t="shared" si="53"/>
        <v>HPExt</v>
      </c>
      <c r="AD247" s="14">
        <f t="shared" si="54"/>
        <v>2945</v>
      </c>
      <c r="AE247" s="14" t="str">
        <f t="shared" si="55"/>
        <v>[x]</v>
      </c>
      <c r="AF247" s="27" t="str">
        <f t="shared" si="56"/>
        <v>[x]</v>
      </c>
      <c r="AG247" s="27" t="str">
        <f t="shared" si="57"/>
        <v>[x]</v>
      </c>
    </row>
    <row r="248" spans="16:33" ht="16.5" x14ac:dyDescent="0.2">
      <c r="P248" s="13">
        <v>192</v>
      </c>
      <c r="Q248" s="14">
        <f t="shared" si="42"/>
        <v>12</v>
      </c>
      <c r="R248" s="14">
        <f t="shared" si="43"/>
        <v>1606014</v>
      </c>
      <c r="S248" s="14" t="str">
        <f t="shared" si="47"/>
        <v>神器3碎片4等级9</v>
      </c>
      <c r="T248" s="29" t="s">
        <v>649</v>
      </c>
      <c r="U248" s="14">
        <f t="shared" si="44"/>
        <v>9</v>
      </c>
      <c r="V248" s="36">
        <f t="shared" si="48"/>
        <v>0.76200000000000001</v>
      </c>
      <c r="W248" s="17">
        <f t="shared" si="45"/>
        <v>2.2859999999999998E-2</v>
      </c>
      <c r="X248" s="14">
        <f t="shared" si="49"/>
        <v>2</v>
      </c>
      <c r="Y248" s="14">
        <f t="shared" si="50"/>
        <v>3</v>
      </c>
      <c r="Z248" s="14">
        <f t="shared" si="51"/>
        <v>0</v>
      </c>
      <c r="AA248" s="14" t="str">
        <f t="shared" si="52"/>
        <v>DefExt</v>
      </c>
      <c r="AB248" s="14">
        <f t="shared" si="46"/>
        <v>274</v>
      </c>
      <c r="AC248" s="14" t="str">
        <f t="shared" si="53"/>
        <v>HPExt</v>
      </c>
      <c r="AD248" s="14">
        <f t="shared" si="54"/>
        <v>3310</v>
      </c>
      <c r="AE248" s="14" t="str">
        <f t="shared" si="55"/>
        <v>[x]</v>
      </c>
      <c r="AF248" s="27" t="str">
        <f t="shared" si="56"/>
        <v>[x]</v>
      </c>
      <c r="AG248" s="27" t="str">
        <f t="shared" si="57"/>
        <v>[x]</v>
      </c>
    </row>
    <row r="249" spans="16:33" ht="16.5" x14ac:dyDescent="0.2">
      <c r="P249" s="13">
        <v>193</v>
      </c>
      <c r="Q249" s="14">
        <f t="shared" ref="Q249:Q312" si="58">MATCH(P249-1,$X$4:$X$46,1)</f>
        <v>12</v>
      </c>
      <c r="R249" s="14">
        <f t="shared" ref="R249:R312" si="59">INDEX($S$5:$S$46,Q249)</f>
        <v>1606014</v>
      </c>
      <c r="S249" s="14" t="str">
        <f t="shared" si="47"/>
        <v>神器3碎片4等级10</v>
      </c>
      <c r="T249" s="29" t="s">
        <v>649</v>
      </c>
      <c r="U249" s="14">
        <f t="shared" ref="U249:U312" si="60">P249-INDEX($X$4:$X$46,Q249)</f>
        <v>10</v>
      </c>
      <c r="V249" s="36">
        <f t="shared" si="48"/>
        <v>0.85000000000000009</v>
      </c>
      <c r="W249" s="17">
        <f t="shared" ref="W249:W312" si="61">INDEX($V$5:$V$46,Q249)*V249</f>
        <v>2.5500000000000002E-2</v>
      </c>
      <c r="X249" s="14">
        <f t="shared" si="49"/>
        <v>2</v>
      </c>
      <c r="Y249" s="14">
        <f t="shared" si="50"/>
        <v>3</v>
      </c>
      <c r="Z249" s="14">
        <f t="shared" si="51"/>
        <v>0</v>
      </c>
      <c r="AA249" s="14" t="str">
        <f t="shared" si="52"/>
        <v>DefExt</v>
      </c>
      <c r="AB249" s="14">
        <f t="shared" ref="AB249:AB312" si="62">INT(INDEX($E$4:$G$4,X249)*W249*INDEX($Y$5:$AA$46,Q249,X249))</f>
        <v>306</v>
      </c>
      <c r="AC249" s="14" t="str">
        <f t="shared" si="53"/>
        <v>HPExt</v>
      </c>
      <c r="AD249" s="14">
        <f t="shared" si="54"/>
        <v>3693</v>
      </c>
      <c r="AE249" s="14" t="str">
        <f t="shared" si="55"/>
        <v>[x]</v>
      </c>
      <c r="AF249" s="27" t="str">
        <f t="shared" si="56"/>
        <v>[x]</v>
      </c>
      <c r="AG249" s="27" t="str">
        <f t="shared" si="57"/>
        <v>[x]</v>
      </c>
    </row>
    <row r="250" spans="16:33" ht="16.5" x14ac:dyDescent="0.2">
      <c r="P250" s="13">
        <v>194</v>
      </c>
      <c r="Q250" s="14">
        <f t="shared" si="58"/>
        <v>12</v>
      </c>
      <c r="R250" s="14">
        <f t="shared" si="59"/>
        <v>1606014</v>
      </c>
      <c r="S250" s="14" t="str">
        <f t="shared" ref="S250:S313" si="63">INDEX($P$5:$P$46,Q250)&amp;"碎片"&amp;INDEX($R$5:$R$46,Q250)&amp;"等级"&amp;U250</f>
        <v>神器3碎片4等级11</v>
      </c>
      <c r="T250" s="29" t="s">
        <v>649</v>
      </c>
      <c r="U250" s="14">
        <f t="shared" si="60"/>
        <v>11</v>
      </c>
      <c r="V250" s="36">
        <f t="shared" ref="V250:V313" si="64">15%+U250*5%+U250*U250*0.2%</f>
        <v>0.94200000000000006</v>
      </c>
      <c r="W250" s="17">
        <f t="shared" si="61"/>
        <v>2.826E-2</v>
      </c>
      <c r="X250" s="14">
        <f t="shared" ref="X250:X313" si="65">INDEX($AB$5:$AB$46,Q250)</f>
        <v>2</v>
      </c>
      <c r="Y250" s="14">
        <f t="shared" ref="Y250:Y313" si="66">INDEX(AC$5:AC$46,$Q250)</f>
        <v>3</v>
      </c>
      <c r="Z250" s="14">
        <f t="shared" ref="Z250:Z313" si="67">INDEX(AD$5:AD$46,$Q250)</f>
        <v>0</v>
      </c>
      <c r="AA250" s="14" t="str">
        <f t="shared" ref="AA250:AA313" si="68">INDEX($Y$3:$AA$3,X250)</f>
        <v>DefExt</v>
      </c>
      <c r="AB250" s="14">
        <f t="shared" si="62"/>
        <v>339</v>
      </c>
      <c r="AC250" s="14" t="str">
        <f t="shared" ref="AC250:AC313" si="69">IF(Y250&gt;0,INDEX($Y$3:$AA$3,Y250),"[x]")</f>
        <v>HPExt</v>
      </c>
      <c r="AD250" s="14">
        <f t="shared" ref="AD250:AD313" si="70">IF(Y250&gt;0,INT(INDEX($E$4:$G$4,Y250)*W250*INDEX($Y$5:$AA$46,Q250,Y250)),"[x]")</f>
        <v>4093</v>
      </c>
      <c r="AE250" s="14" t="str">
        <f t="shared" ref="AE250:AE313" si="71">IF(Z250&gt;0,INDEX($Y$3:$AA$3,Z250),"[x]")</f>
        <v>[x]</v>
      </c>
      <c r="AF250" s="27" t="str">
        <f t="shared" ref="AF250:AF313" si="72">IF(Z250&gt;0,INT(INDEX($E$4:$G$4,Z250)*W250*INDEX($Y$5:$AA$46,Q250,Z250)),"[x]")</f>
        <v>[x]</v>
      </c>
      <c r="AG250" s="27" t="str">
        <f t="shared" ref="AG250:AG313" si="73">IF(INDEX($AE$5:$AE$46,Q250)&gt;0,INDEX($AE$5:$AE$46,Q250)*U250,"[x]")</f>
        <v>[x]</v>
      </c>
    </row>
    <row r="251" spans="16:33" ht="16.5" x14ac:dyDescent="0.2">
      <c r="P251" s="13">
        <v>195</v>
      </c>
      <c r="Q251" s="14">
        <f t="shared" si="58"/>
        <v>12</v>
      </c>
      <c r="R251" s="14">
        <f t="shared" si="59"/>
        <v>1606014</v>
      </c>
      <c r="S251" s="14" t="str">
        <f t="shared" si="63"/>
        <v>神器3碎片4等级12</v>
      </c>
      <c r="T251" s="29" t="s">
        <v>649</v>
      </c>
      <c r="U251" s="14">
        <f t="shared" si="60"/>
        <v>12</v>
      </c>
      <c r="V251" s="36">
        <f t="shared" si="64"/>
        <v>1.0380000000000003</v>
      </c>
      <c r="W251" s="17">
        <f t="shared" si="61"/>
        <v>3.1140000000000008E-2</v>
      </c>
      <c r="X251" s="14">
        <f t="shared" si="65"/>
        <v>2</v>
      </c>
      <c r="Y251" s="14">
        <f t="shared" si="66"/>
        <v>3</v>
      </c>
      <c r="Z251" s="14">
        <f t="shared" si="67"/>
        <v>0</v>
      </c>
      <c r="AA251" s="14" t="str">
        <f t="shared" si="68"/>
        <v>DefExt</v>
      </c>
      <c r="AB251" s="14">
        <f t="shared" si="62"/>
        <v>373</v>
      </c>
      <c r="AC251" s="14" t="str">
        <f t="shared" si="69"/>
        <v>HPExt</v>
      </c>
      <c r="AD251" s="14">
        <f t="shared" si="70"/>
        <v>4510</v>
      </c>
      <c r="AE251" s="14" t="str">
        <f t="shared" si="71"/>
        <v>[x]</v>
      </c>
      <c r="AF251" s="27" t="str">
        <f t="shared" si="72"/>
        <v>[x]</v>
      </c>
      <c r="AG251" s="27" t="str">
        <f t="shared" si="73"/>
        <v>[x]</v>
      </c>
    </row>
    <row r="252" spans="16:33" ht="16.5" x14ac:dyDescent="0.2">
      <c r="P252" s="13">
        <v>196</v>
      </c>
      <c r="Q252" s="14">
        <f t="shared" si="58"/>
        <v>12</v>
      </c>
      <c r="R252" s="14">
        <f t="shared" si="59"/>
        <v>1606014</v>
      </c>
      <c r="S252" s="14" t="str">
        <f t="shared" si="63"/>
        <v>神器3碎片4等级13</v>
      </c>
      <c r="T252" s="29" t="s">
        <v>649</v>
      </c>
      <c r="U252" s="14">
        <f t="shared" si="60"/>
        <v>13</v>
      </c>
      <c r="V252" s="36">
        <f t="shared" si="64"/>
        <v>1.1380000000000001</v>
      </c>
      <c r="W252" s="17">
        <f t="shared" si="61"/>
        <v>3.4140000000000004E-2</v>
      </c>
      <c r="X252" s="14">
        <f t="shared" si="65"/>
        <v>2</v>
      </c>
      <c r="Y252" s="14">
        <f t="shared" si="66"/>
        <v>3</v>
      </c>
      <c r="Z252" s="14">
        <f t="shared" si="67"/>
        <v>0</v>
      </c>
      <c r="AA252" s="14" t="str">
        <f t="shared" si="68"/>
        <v>DefExt</v>
      </c>
      <c r="AB252" s="14">
        <f t="shared" si="62"/>
        <v>409</v>
      </c>
      <c r="AC252" s="14" t="str">
        <f t="shared" si="69"/>
        <v>HPExt</v>
      </c>
      <c r="AD252" s="14">
        <f t="shared" si="70"/>
        <v>4944</v>
      </c>
      <c r="AE252" s="14" t="str">
        <f t="shared" si="71"/>
        <v>[x]</v>
      </c>
      <c r="AF252" s="27" t="str">
        <f t="shared" si="72"/>
        <v>[x]</v>
      </c>
      <c r="AG252" s="27" t="str">
        <f t="shared" si="73"/>
        <v>[x]</v>
      </c>
    </row>
    <row r="253" spans="16:33" ht="16.5" x14ac:dyDescent="0.2">
      <c r="P253" s="13">
        <v>197</v>
      </c>
      <c r="Q253" s="14">
        <f t="shared" si="58"/>
        <v>12</v>
      </c>
      <c r="R253" s="14">
        <f t="shared" si="59"/>
        <v>1606014</v>
      </c>
      <c r="S253" s="14" t="str">
        <f t="shared" si="63"/>
        <v>神器3碎片4等级14</v>
      </c>
      <c r="T253" s="29" t="s">
        <v>649</v>
      </c>
      <c r="U253" s="14">
        <f t="shared" si="60"/>
        <v>14</v>
      </c>
      <c r="V253" s="36">
        <f t="shared" si="64"/>
        <v>1.242</v>
      </c>
      <c r="W253" s="17">
        <f t="shared" si="61"/>
        <v>3.7260000000000001E-2</v>
      </c>
      <c r="X253" s="14">
        <f t="shared" si="65"/>
        <v>2</v>
      </c>
      <c r="Y253" s="14">
        <f t="shared" si="66"/>
        <v>3</v>
      </c>
      <c r="Z253" s="14">
        <f t="shared" si="67"/>
        <v>0</v>
      </c>
      <c r="AA253" s="14" t="str">
        <f t="shared" si="68"/>
        <v>DefExt</v>
      </c>
      <c r="AB253" s="14">
        <f t="shared" si="62"/>
        <v>447</v>
      </c>
      <c r="AC253" s="14" t="str">
        <f t="shared" si="69"/>
        <v>HPExt</v>
      </c>
      <c r="AD253" s="14">
        <f t="shared" si="70"/>
        <v>5396</v>
      </c>
      <c r="AE253" s="14" t="str">
        <f t="shared" si="71"/>
        <v>[x]</v>
      </c>
      <c r="AF253" s="27" t="str">
        <f t="shared" si="72"/>
        <v>[x]</v>
      </c>
      <c r="AG253" s="27" t="str">
        <f t="shared" si="73"/>
        <v>[x]</v>
      </c>
    </row>
    <row r="254" spans="16:33" ht="16.5" x14ac:dyDescent="0.2">
      <c r="P254" s="13">
        <v>198</v>
      </c>
      <c r="Q254" s="14">
        <f t="shared" si="58"/>
        <v>12</v>
      </c>
      <c r="R254" s="14">
        <f t="shared" si="59"/>
        <v>1606014</v>
      </c>
      <c r="S254" s="14" t="str">
        <f t="shared" si="63"/>
        <v>神器3碎片4等级15</v>
      </c>
      <c r="T254" s="29" t="s">
        <v>649</v>
      </c>
      <c r="U254" s="14">
        <f t="shared" si="60"/>
        <v>15</v>
      </c>
      <c r="V254" s="36">
        <f t="shared" si="64"/>
        <v>1.35</v>
      </c>
      <c r="W254" s="17">
        <f t="shared" si="61"/>
        <v>4.0500000000000001E-2</v>
      </c>
      <c r="X254" s="14">
        <f t="shared" si="65"/>
        <v>2</v>
      </c>
      <c r="Y254" s="14">
        <f t="shared" si="66"/>
        <v>3</v>
      </c>
      <c r="Z254" s="14">
        <f t="shared" si="67"/>
        <v>0</v>
      </c>
      <c r="AA254" s="14" t="str">
        <f t="shared" si="68"/>
        <v>DefExt</v>
      </c>
      <c r="AB254" s="14">
        <f t="shared" si="62"/>
        <v>486</v>
      </c>
      <c r="AC254" s="14" t="str">
        <f t="shared" si="69"/>
        <v>HPExt</v>
      </c>
      <c r="AD254" s="14">
        <f t="shared" si="70"/>
        <v>5865</v>
      </c>
      <c r="AE254" s="14" t="str">
        <f t="shared" si="71"/>
        <v>[x]</v>
      </c>
      <c r="AF254" s="27" t="str">
        <f t="shared" si="72"/>
        <v>[x]</v>
      </c>
      <c r="AG254" s="27" t="str">
        <f t="shared" si="73"/>
        <v>[x]</v>
      </c>
    </row>
    <row r="255" spans="16:33" ht="16.5" x14ac:dyDescent="0.2">
      <c r="P255" s="13">
        <v>199</v>
      </c>
      <c r="Q255" s="14">
        <f t="shared" si="58"/>
        <v>12</v>
      </c>
      <c r="R255" s="14">
        <f t="shared" si="59"/>
        <v>1606014</v>
      </c>
      <c r="S255" s="14" t="str">
        <f t="shared" si="63"/>
        <v>神器3碎片4等级16</v>
      </c>
      <c r="T255" s="29" t="s">
        <v>649</v>
      </c>
      <c r="U255" s="14">
        <f t="shared" si="60"/>
        <v>16</v>
      </c>
      <c r="V255" s="36">
        <f t="shared" si="64"/>
        <v>1.4620000000000002</v>
      </c>
      <c r="W255" s="17">
        <f t="shared" si="61"/>
        <v>4.3860000000000003E-2</v>
      </c>
      <c r="X255" s="14">
        <f t="shared" si="65"/>
        <v>2</v>
      </c>
      <c r="Y255" s="14">
        <f t="shared" si="66"/>
        <v>3</v>
      </c>
      <c r="Z255" s="14">
        <f t="shared" si="67"/>
        <v>0</v>
      </c>
      <c r="AA255" s="14" t="str">
        <f t="shared" si="68"/>
        <v>DefExt</v>
      </c>
      <c r="AB255" s="14">
        <f t="shared" si="62"/>
        <v>526</v>
      </c>
      <c r="AC255" s="14" t="str">
        <f t="shared" si="69"/>
        <v>HPExt</v>
      </c>
      <c r="AD255" s="14">
        <f t="shared" si="70"/>
        <v>6352</v>
      </c>
      <c r="AE255" s="14" t="str">
        <f t="shared" si="71"/>
        <v>[x]</v>
      </c>
      <c r="AF255" s="27" t="str">
        <f t="shared" si="72"/>
        <v>[x]</v>
      </c>
      <c r="AG255" s="27" t="str">
        <f t="shared" si="73"/>
        <v>[x]</v>
      </c>
    </row>
    <row r="256" spans="16:33" ht="16.5" x14ac:dyDescent="0.2">
      <c r="P256" s="13">
        <v>200</v>
      </c>
      <c r="Q256" s="14">
        <f t="shared" si="58"/>
        <v>12</v>
      </c>
      <c r="R256" s="14">
        <f t="shared" si="59"/>
        <v>1606014</v>
      </c>
      <c r="S256" s="14" t="str">
        <f t="shared" si="63"/>
        <v>神器3碎片4等级17</v>
      </c>
      <c r="T256" s="29" t="s">
        <v>649</v>
      </c>
      <c r="U256" s="14">
        <f t="shared" si="60"/>
        <v>17</v>
      </c>
      <c r="V256" s="36">
        <f t="shared" si="64"/>
        <v>1.5779999999999998</v>
      </c>
      <c r="W256" s="17">
        <f t="shared" si="61"/>
        <v>4.7339999999999993E-2</v>
      </c>
      <c r="X256" s="14">
        <f t="shared" si="65"/>
        <v>2</v>
      </c>
      <c r="Y256" s="14">
        <f t="shared" si="66"/>
        <v>3</v>
      </c>
      <c r="Z256" s="14">
        <f t="shared" si="67"/>
        <v>0</v>
      </c>
      <c r="AA256" s="14" t="str">
        <f t="shared" si="68"/>
        <v>DefExt</v>
      </c>
      <c r="AB256" s="14">
        <f t="shared" si="62"/>
        <v>568</v>
      </c>
      <c r="AC256" s="14" t="str">
        <f t="shared" si="69"/>
        <v>HPExt</v>
      </c>
      <c r="AD256" s="14">
        <f t="shared" si="70"/>
        <v>6856</v>
      </c>
      <c r="AE256" s="14" t="str">
        <f t="shared" si="71"/>
        <v>[x]</v>
      </c>
      <c r="AF256" s="27" t="str">
        <f t="shared" si="72"/>
        <v>[x]</v>
      </c>
      <c r="AG256" s="27" t="str">
        <f t="shared" si="73"/>
        <v>[x]</v>
      </c>
    </row>
    <row r="257" spans="16:33" ht="16.5" x14ac:dyDescent="0.2">
      <c r="P257" s="13">
        <v>201</v>
      </c>
      <c r="Q257" s="14">
        <f t="shared" si="58"/>
        <v>12</v>
      </c>
      <c r="R257" s="14">
        <f t="shared" si="59"/>
        <v>1606014</v>
      </c>
      <c r="S257" s="14" t="str">
        <f t="shared" si="63"/>
        <v>神器3碎片4等级18</v>
      </c>
      <c r="T257" s="29" t="s">
        <v>649</v>
      </c>
      <c r="U257" s="14">
        <f t="shared" si="60"/>
        <v>18</v>
      </c>
      <c r="V257" s="36">
        <f t="shared" si="64"/>
        <v>1.698</v>
      </c>
      <c r="W257" s="17">
        <f t="shared" si="61"/>
        <v>5.0939999999999999E-2</v>
      </c>
      <c r="X257" s="14">
        <f t="shared" si="65"/>
        <v>2</v>
      </c>
      <c r="Y257" s="14">
        <f t="shared" si="66"/>
        <v>3</v>
      </c>
      <c r="Z257" s="14">
        <f t="shared" si="67"/>
        <v>0</v>
      </c>
      <c r="AA257" s="14" t="str">
        <f t="shared" si="68"/>
        <v>DefExt</v>
      </c>
      <c r="AB257" s="14">
        <f t="shared" si="62"/>
        <v>611</v>
      </c>
      <c r="AC257" s="14" t="str">
        <f t="shared" si="69"/>
        <v>HPExt</v>
      </c>
      <c r="AD257" s="14">
        <f t="shared" si="70"/>
        <v>7377</v>
      </c>
      <c r="AE257" s="14" t="str">
        <f t="shared" si="71"/>
        <v>[x]</v>
      </c>
      <c r="AF257" s="27" t="str">
        <f t="shared" si="72"/>
        <v>[x]</v>
      </c>
      <c r="AG257" s="27" t="str">
        <f t="shared" si="73"/>
        <v>[x]</v>
      </c>
    </row>
    <row r="258" spans="16:33" ht="16.5" x14ac:dyDescent="0.2">
      <c r="P258" s="13">
        <v>202</v>
      </c>
      <c r="Q258" s="14">
        <f t="shared" si="58"/>
        <v>12</v>
      </c>
      <c r="R258" s="14">
        <f t="shared" si="59"/>
        <v>1606014</v>
      </c>
      <c r="S258" s="14" t="str">
        <f t="shared" si="63"/>
        <v>神器3碎片4等级19</v>
      </c>
      <c r="T258" s="29" t="s">
        <v>649</v>
      </c>
      <c r="U258" s="14">
        <f t="shared" si="60"/>
        <v>19</v>
      </c>
      <c r="V258" s="36">
        <f t="shared" si="64"/>
        <v>1.8220000000000001</v>
      </c>
      <c r="W258" s="17">
        <f t="shared" si="61"/>
        <v>5.466E-2</v>
      </c>
      <c r="X258" s="14">
        <f t="shared" si="65"/>
        <v>2</v>
      </c>
      <c r="Y258" s="14">
        <f t="shared" si="66"/>
        <v>3</v>
      </c>
      <c r="Z258" s="14">
        <f t="shared" si="67"/>
        <v>0</v>
      </c>
      <c r="AA258" s="14" t="str">
        <f t="shared" si="68"/>
        <v>DefExt</v>
      </c>
      <c r="AB258" s="14">
        <f t="shared" si="62"/>
        <v>656</v>
      </c>
      <c r="AC258" s="14" t="str">
        <f t="shared" si="69"/>
        <v>HPExt</v>
      </c>
      <c r="AD258" s="14">
        <f t="shared" si="70"/>
        <v>7916</v>
      </c>
      <c r="AE258" s="14" t="str">
        <f t="shared" si="71"/>
        <v>[x]</v>
      </c>
      <c r="AF258" s="27" t="str">
        <f t="shared" si="72"/>
        <v>[x]</v>
      </c>
      <c r="AG258" s="27" t="str">
        <f t="shared" si="73"/>
        <v>[x]</v>
      </c>
    </row>
    <row r="259" spans="16:33" ht="16.5" x14ac:dyDescent="0.2">
      <c r="P259" s="13">
        <v>203</v>
      </c>
      <c r="Q259" s="14">
        <f t="shared" si="58"/>
        <v>12</v>
      </c>
      <c r="R259" s="14">
        <f t="shared" si="59"/>
        <v>1606014</v>
      </c>
      <c r="S259" s="14" t="str">
        <f t="shared" si="63"/>
        <v>神器3碎片4等级20</v>
      </c>
      <c r="T259" s="29" t="s">
        <v>649</v>
      </c>
      <c r="U259" s="14">
        <f t="shared" si="60"/>
        <v>20</v>
      </c>
      <c r="V259" s="36">
        <f t="shared" si="64"/>
        <v>1.95</v>
      </c>
      <c r="W259" s="17">
        <f t="shared" si="61"/>
        <v>5.8499999999999996E-2</v>
      </c>
      <c r="X259" s="14">
        <f t="shared" si="65"/>
        <v>2</v>
      </c>
      <c r="Y259" s="14">
        <f t="shared" si="66"/>
        <v>3</v>
      </c>
      <c r="Z259" s="14">
        <f t="shared" si="67"/>
        <v>0</v>
      </c>
      <c r="AA259" s="14" t="str">
        <f t="shared" si="68"/>
        <v>DefExt</v>
      </c>
      <c r="AB259" s="14">
        <f t="shared" si="62"/>
        <v>702</v>
      </c>
      <c r="AC259" s="14" t="str">
        <f t="shared" si="69"/>
        <v>HPExt</v>
      </c>
      <c r="AD259" s="14">
        <f t="shared" si="70"/>
        <v>8472</v>
      </c>
      <c r="AE259" s="14" t="str">
        <f t="shared" si="71"/>
        <v>[x]</v>
      </c>
      <c r="AF259" s="27" t="str">
        <f t="shared" si="72"/>
        <v>[x]</v>
      </c>
      <c r="AG259" s="27" t="str">
        <f t="shared" si="73"/>
        <v>[x]</v>
      </c>
    </row>
    <row r="260" spans="16:33" ht="16.5" x14ac:dyDescent="0.2">
      <c r="P260" s="13">
        <v>204</v>
      </c>
      <c r="Q260" s="14">
        <f t="shared" si="58"/>
        <v>12</v>
      </c>
      <c r="R260" s="14">
        <f t="shared" si="59"/>
        <v>1606014</v>
      </c>
      <c r="S260" s="14" t="str">
        <f t="shared" si="63"/>
        <v>神器3碎片4等级21</v>
      </c>
      <c r="T260" s="29" t="s">
        <v>649</v>
      </c>
      <c r="U260" s="14">
        <f t="shared" si="60"/>
        <v>21</v>
      </c>
      <c r="V260" s="36">
        <f t="shared" si="64"/>
        <v>2.0819999999999999</v>
      </c>
      <c r="W260" s="17">
        <f t="shared" si="61"/>
        <v>6.2459999999999995E-2</v>
      </c>
      <c r="X260" s="14">
        <f t="shared" si="65"/>
        <v>2</v>
      </c>
      <c r="Y260" s="14">
        <f t="shared" si="66"/>
        <v>3</v>
      </c>
      <c r="Z260" s="14">
        <f t="shared" si="67"/>
        <v>0</v>
      </c>
      <c r="AA260" s="14" t="str">
        <f t="shared" si="68"/>
        <v>DefExt</v>
      </c>
      <c r="AB260" s="14">
        <f t="shared" si="62"/>
        <v>750</v>
      </c>
      <c r="AC260" s="14" t="str">
        <f t="shared" si="69"/>
        <v>HPExt</v>
      </c>
      <c r="AD260" s="14">
        <f t="shared" si="70"/>
        <v>9046</v>
      </c>
      <c r="AE260" s="14" t="str">
        <f t="shared" si="71"/>
        <v>[x]</v>
      </c>
      <c r="AF260" s="27" t="str">
        <f t="shared" si="72"/>
        <v>[x]</v>
      </c>
      <c r="AG260" s="27" t="str">
        <f t="shared" si="73"/>
        <v>[x]</v>
      </c>
    </row>
    <row r="261" spans="16:33" ht="16.5" x14ac:dyDescent="0.2">
      <c r="P261" s="13">
        <v>205</v>
      </c>
      <c r="Q261" s="14">
        <f t="shared" si="58"/>
        <v>13</v>
      </c>
      <c r="R261" s="14">
        <f t="shared" si="59"/>
        <v>1606015</v>
      </c>
      <c r="S261" s="14" t="str">
        <f t="shared" si="63"/>
        <v>神器3碎片5等级1</v>
      </c>
      <c r="T261" s="29" t="s">
        <v>649</v>
      </c>
      <c r="U261" s="14">
        <f t="shared" si="60"/>
        <v>1</v>
      </c>
      <c r="V261" s="36">
        <f t="shared" si="64"/>
        <v>0.20200000000000001</v>
      </c>
      <c r="W261" s="17">
        <f t="shared" si="61"/>
        <v>6.0600000000000003E-3</v>
      </c>
      <c r="X261" s="14">
        <f t="shared" si="65"/>
        <v>1</v>
      </c>
      <c r="Y261" s="14">
        <f t="shared" si="66"/>
        <v>3</v>
      </c>
      <c r="Z261" s="14">
        <f t="shared" si="67"/>
        <v>0</v>
      </c>
      <c r="AA261" s="14" t="str">
        <f t="shared" si="68"/>
        <v>AtkExt</v>
      </c>
      <c r="AB261" s="14">
        <f t="shared" si="62"/>
        <v>145</v>
      </c>
      <c r="AC261" s="14" t="str">
        <f t="shared" si="69"/>
        <v>HPExt</v>
      </c>
      <c r="AD261" s="14">
        <f t="shared" si="70"/>
        <v>877</v>
      </c>
      <c r="AE261" s="14" t="str">
        <f t="shared" si="71"/>
        <v>[x]</v>
      </c>
      <c r="AF261" s="27" t="str">
        <f t="shared" si="72"/>
        <v>[x]</v>
      </c>
      <c r="AG261" s="27" t="str">
        <f t="shared" si="73"/>
        <v>[x]</v>
      </c>
    </row>
    <row r="262" spans="16:33" ht="16.5" x14ac:dyDescent="0.2">
      <c r="P262" s="13">
        <v>206</v>
      </c>
      <c r="Q262" s="14">
        <f t="shared" si="58"/>
        <v>13</v>
      </c>
      <c r="R262" s="14">
        <f t="shared" si="59"/>
        <v>1606015</v>
      </c>
      <c r="S262" s="14" t="str">
        <f t="shared" si="63"/>
        <v>神器3碎片5等级2</v>
      </c>
      <c r="T262" s="29" t="s">
        <v>649</v>
      </c>
      <c r="U262" s="14">
        <f t="shared" si="60"/>
        <v>2</v>
      </c>
      <c r="V262" s="36">
        <f t="shared" si="64"/>
        <v>0.25800000000000001</v>
      </c>
      <c r="W262" s="17">
        <f t="shared" si="61"/>
        <v>7.7400000000000004E-3</v>
      </c>
      <c r="X262" s="14">
        <f t="shared" si="65"/>
        <v>1</v>
      </c>
      <c r="Y262" s="14">
        <f t="shared" si="66"/>
        <v>3</v>
      </c>
      <c r="Z262" s="14">
        <f t="shared" si="67"/>
        <v>0</v>
      </c>
      <c r="AA262" s="14" t="str">
        <f t="shared" si="68"/>
        <v>AtkExt</v>
      </c>
      <c r="AB262" s="14">
        <f t="shared" si="62"/>
        <v>186</v>
      </c>
      <c r="AC262" s="14" t="str">
        <f t="shared" si="69"/>
        <v>HPExt</v>
      </c>
      <c r="AD262" s="14">
        <f t="shared" si="70"/>
        <v>1121</v>
      </c>
      <c r="AE262" s="14" t="str">
        <f t="shared" si="71"/>
        <v>[x]</v>
      </c>
      <c r="AF262" s="27" t="str">
        <f t="shared" si="72"/>
        <v>[x]</v>
      </c>
      <c r="AG262" s="27" t="str">
        <f t="shared" si="73"/>
        <v>[x]</v>
      </c>
    </row>
    <row r="263" spans="16:33" ht="16.5" x14ac:dyDescent="0.2">
      <c r="P263" s="13">
        <v>207</v>
      </c>
      <c r="Q263" s="14">
        <f t="shared" si="58"/>
        <v>13</v>
      </c>
      <c r="R263" s="14">
        <f t="shared" si="59"/>
        <v>1606015</v>
      </c>
      <c r="S263" s="14" t="str">
        <f t="shared" si="63"/>
        <v>神器3碎片5等级3</v>
      </c>
      <c r="T263" s="29" t="s">
        <v>649</v>
      </c>
      <c r="U263" s="14">
        <f t="shared" si="60"/>
        <v>3</v>
      </c>
      <c r="V263" s="36">
        <f t="shared" si="64"/>
        <v>0.31800000000000006</v>
      </c>
      <c r="W263" s="17">
        <f t="shared" si="61"/>
        <v>9.5400000000000016E-3</v>
      </c>
      <c r="X263" s="14">
        <f t="shared" si="65"/>
        <v>1</v>
      </c>
      <c r="Y263" s="14">
        <f t="shared" si="66"/>
        <v>3</v>
      </c>
      <c r="Z263" s="14">
        <f t="shared" si="67"/>
        <v>0</v>
      </c>
      <c r="AA263" s="14" t="str">
        <f t="shared" si="68"/>
        <v>AtkExt</v>
      </c>
      <c r="AB263" s="14">
        <f t="shared" si="62"/>
        <v>229</v>
      </c>
      <c r="AC263" s="14" t="str">
        <f t="shared" si="69"/>
        <v>HPExt</v>
      </c>
      <c r="AD263" s="14">
        <f t="shared" si="70"/>
        <v>1381</v>
      </c>
      <c r="AE263" s="14" t="str">
        <f t="shared" si="71"/>
        <v>[x]</v>
      </c>
      <c r="AF263" s="27" t="str">
        <f t="shared" si="72"/>
        <v>[x]</v>
      </c>
      <c r="AG263" s="27" t="str">
        <f t="shared" si="73"/>
        <v>[x]</v>
      </c>
    </row>
    <row r="264" spans="16:33" ht="16.5" x14ac:dyDescent="0.2">
      <c r="P264" s="13">
        <v>208</v>
      </c>
      <c r="Q264" s="14">
        <f t="shared" si="58"/>
        <v>13</v>
      </c>
      <c r="R264" s="14">
        <f t="shared" si="59"/>
        <v>1606015</v>
      </c>
      <c r="S264" s="14" t="str">
        <f t="shared" si="63"/>
        <v>神器3碎片5等级4</v>
      </c>
      <c r="T264" s="29" t="s">
        <v>649</v>
      </c>
      <c r="U264" s="14">
        <f t="shared" si="60"/>
        <v>4</v>
      </c>
      <c r="V264" s="36">
        <f t="shared" si="64"/>
        <v>0.38200000000000001</v>
      </c>
      <c r="W264" s="17">
        <f t="shared" si="61"/>
        <v>1.146E-2</v>
      </c>
      <c r="X264" s="14">
        <f t="shared" si="65"/>
        <v>1</v>
      </c>
      <c r="Y264" s="14">
        <f t="shared" si="66"/>
        <v>3</v>
      </c>
      <c r="Z264" s="14">
        <f t="shared" si="67"/>
        <v>0</v>
      </c>
      <c r="AA264" s="14" t="str">
        <f t="shared" si="68"/>
        <v>AtkExt</v>
      </c>
      <c r="AB264" s="14">
        <f t="shared" si="62"/>
        <v>275</v>
      </c>
      <c r="AC264" s="14" t="str">
        <f t="shared" si="69"/>
        <v>HPExt</v>
      </c>
      <c r="AD264" s="14">
        <f t="shared" si="70"/>
        <v>1659</v>
      </c>
      <c r="AE264" s="14" t="str">
        <f t="shared" si="71"/>
        <v>[x]</v>
      </c>
      <c r="AF264" s="27" t="str">
        <f t="shared" si="72"/>
        <v>[x]</v>
      </c>
      <c r="AG264" s="27" t="str">
        <f t="shared" si="73"/>
        <v>[x]</v>
      </c>
    </row>
    <row r="265" spans="16:33" ht="16.5" x14ac:dyDescent="0.2">
      <c r="P265" s="13">
        <v>209</v>
      </c>
      <c r="Q265" s="14">
        <f t="shared" si="58"/>
        <v>13</v>
      </c>
      <c r="R265" s="14">
        <f t="shared" si="59"/>
        <v>1606015</v>
      </c>
      <c r="S265" s="14" t="str">
        <f t="shared" si="63"/>
        <v>神器3碎片5等级5</v>
      </c>
      <c r="T265" s="29" t="s">
        <v>649</v>
      </c>
      <c r="U265" s="14">
        <f t="shared" si="60"/>
        <v>5</v>
      </c>
      <c r="V265" s="36">
        <f t="shared" si="64"/>
        <v>0.45</v>
      </c>
      <c r="W265" s="17">
        <f t="shared" si="61"/>
        <v>1.35E-2</v>
      </c>
      <c r="X265" s="14">
        <f t="shared" si="65"/>
        <v>1</v>
      </c>
      <c r="Y265" s="14">
        <f t="shared" si="66"/>
        <v>3</v>
      </c>
      <c r="Z265" s="14">
        <f t="shared" si="67"/>
        <v>0</v>
      </c>
      <c r="AA265" s="14" t="str">
        <f t="shared" si="68"/>
        <v>AtkExt</v>
      </c>
      <c r="AB265" s="14">
        <f t="shared" si="62"/>
        <v>325</v>
      </c>
      <c r="AC265" s="14" t="str">
        <f t="shared" si="69"/>
        <v>HPExt</v>
      </c>
      <c r="AD265" s="14">
        <f t="shared" si="70"/>
        <v>1955</v>
      </c>
      <c r="AE265" s="14" t="str">
        <f t="shared" si="71"/>
        <v>[x]</v>
      </c>
      <c r="AF265" s="27" t="str">
        <f t="shared" si="72"/>
        <v>[x]</v>
      </c>
      <c r="AG265" s="27" t="str">
        <f t="shared" si="73"/>
        <v>[x]</v>
      </c>
    </row>
    <row r="266" spans="16:33" ht="16.5" x14ac:dyDescent="0.2">
      <c r="P266" s="13">
        <v>210</v>
      </c>
      <c r="Q266" s="14">
        <f t="shared" si="58"/>
        <v>13</v>
      </c>
      <c r="R266" s="14">
        <f t="shared" si="59"/>
        <v>1606015</v>
      </c>
      <c r="S266" s="14" t="str">
        <f t="shared" si="63"/>
        <v>神器3碎片5等级6</v>
      </c>
      <c r="T266" s="29" t="s">
        <v>649</v>
      </c>
      <c r="U266" s="14">
        <f t="shared" si="60"/>
        <v>6</v>
      </c>
      <c r="V266" s="36">
        <f t="shared" si="64"/>
        <v>0.52200000000000002</v>
      </c>
      <c r="W266" s="17">
        <f t="shared" si="61"/>
        <v>1.566E-2</v>
      </c>
      <c r="X266" s="14">
        <f t="shared" si="65"/>
        <v>1</v>
      </c>
      <c r="Y266" s="14">
        <f t="shared" si="66"/>
        <v>3</v>
      </c>
      <c r="Z266" s="14">
        <f t="shared" si="67"/>
        <v>0</v>
      </c>
      <c r="AA266" s="14" t="str">
        <f t="shared" si="68"/>
        <v>AtkExt</v>
      </c>
      <c r="AB266" s="14">
        <f t="shared" si="62"/>
        <v>377</v>
      </c>
      <c r="AC266" s="14" t="str">
        <f t="shared" si="69"/>
        <v>HPExt</v>
      </c>
      <c r="AD266" s="14">
        <f t="shared" si="70"/>
        <v>2268</v>
      </c>
      <c r="AE266" s="14" t="str">
        <f t="shared" si="71"/>
        <v>[x]</v>
      </c>
      <c r="AF266" s="27" t="str">
        <f t="shared" si="72"/>
        <v>[x]</v>
      </c>
      <c r="AG266" s="27" t="str">
        <f t="shared" si="73"/>
        <v>[x]</v>
      </c>
    </row>
    <row r="267" spans="16:33" ht="16.5" x14ac:dyDescent="0.2">
      <c r="P267" s="13">
        <v>211</v>
      </c>
      <c r="Q267" s="14">
        <f t="shared" si="58"/>
        <v>13</v>
      </c>
      <c r="R267" s="14">
        <f t="shared" si="59"/>
        <v>1606015</v>
      </c>
      <c r="S267" s="14" t="str">
        <f t="shared" si="63"/>
        <v>神器3碎片5等级7</v>
      </c>
      <c r="T267" s="29" t="s">
        <v>649</v>
      </c>
      <c r="U267" s="14">
        <f t="shared" si="60"/>
        <v>7</v>
      </c>
      <c r="V267" s="36">
        <f t="shared" si="64"/>
        <v>0.59799999999999998</v>
      </c>
      <c r="W267" s="17">
        <f t="shared" si="61"/>
        <v>1.7939999999999998E-2</v>
      </c>
      <c r="X267" s="14">
        <f t="shared" si="65"/>
        <v>1</v>
      </c>
      <c r="Y267" s="14">
        <f t="shared" si="66"/>
        <v>3</v>
      </c>
      <c r="Z267" s="14">
        <f t="shared" si="67"/>
        <v>0</v>
      </c>
      <c r="AA267" s="14" t="str">
        <f t="shared" si="68"/>
        <v>AtkExt</v>
      </c>
      <c r="AB267" s="14">
        <f t="shared" si="62"/>
        <v>432</v>
      </c>
      <c r="AC267" s="14" t="str">
        <f t="shared" si="69"/>
        <v>HPExt</v>
      </c>
      <c r="AD267" s="14">
        <f t="shared" si="70"/>
        <v>2598</v>
      </c>
      <c r="AE267" s="14" t="str">
        <f t="shared" si="71"/>
        <v>[x]</v>
      </c>
      <c r="AF267" s="27" t="str">
        <f t="shared" si="72"/>
        <v>[x]</v>
      </c>
      <c r="AG267" s="27" t="str">
        <f t="shared" si="73"/>
        <v>[x]</v>
      </c>
    </row>
    <row r="268" spans="16:33" ht="16.5" x14ac:dyDescent="0.2">
      <c r="P268" s="13">
        <v>212</v>
      </c>
      <c r="Q268" s="14">
        <f t="shared" si="58"/>
        <v>13</v>
      </c>
      <c r="R268" s="14">
        <f t="shared" si="59"/>
        <v>1606015</v>
      </c>
      <c r="S268" s="14" t="str">
        <f t="shared" si="63"/>
        <v>神器3碎片5等级8</v>
      </c>
      <c r="T268" s="29" t="s">
        <v>649</v>
      </c>
      <c r="U268" s="14">
        <f t="shared" si="60"/>
        <v>8</v>
      </c>
      <c r="V268" s="36">
        <f t="shared" si="64"/>
        <v>0.67800000000000005</v>
      </c>
      <c r="W268" s="17">
        <f t="shared" si="61"/>
        <v>2.034E-2</v>
      </c>
      <c r="X268" s="14">
        <f t="shared" si="65"/>
        <v>1</v>
      </c>
      <c r="Y268" s="14">
        <f t="shared" si="66"/>
        <v>3</v>
      </c>
      <c r="Z268" s="14">
        <f t="shared" si="67"/>
        <v>0</v>
      </c>
      <c r="AA268" s="14" t="str">
        <f t="shared" si="68"/>
        <v>AtkExt</v>
      </c>
      <c r="AB268" s="14">
        <f t="shared" si="62"/>
        <v>489</v>
      </c>
      <c r="AC268" s="14" t="str">
        <f t="shared" si="69"/>
        <v>HPExt</v>
      </c>
      <c r="AD268" s="14">
        <f t="shared" si="70"/>
        <v>2945</v>
      </c>
      <c r="AE268" s="14" t="str">
        <f t="shared" si="71"/>
        <v>[x]</v>
      </c>
      <c r="AF268" s="27" t="str">
        <f t="shared" si="72"/>
        <v>[x]</v>
      </c>
      <c r="AG268" s="27" t="str">
        <f t="shared" si="73"/>
        <v>[x]</v>
      </c>
    </row>
    <row r="269" spans="16:33" ht="16.5" x14ac:dyDescent="0.2">
      <c r="P269" s="13">
        <v>213</v>
      </c>
      <c r="Q269" s="14">
        <f t="shared" si="58"/>
        <v>13</v>
      </c>
      <c r="R269" s="14">
        <f t="shared" si="59"/>
        <v>1606015</v>
      </c>
      <c r="S269" s="14" t="str">
        <f t="shared" si="63"/>
        <v>神器3碎片5等级9</v>
      </c>
      <c r="T269" s="29" t="s">
        <v>649</v>
      </c>
      <c r="U269" s="14">
        <f t="shared" si="60"/>
        <v>9</v>
      </c>
      <c r="V269" s="36">
        <f t="shared" si="64"/>
        <v>0.76200000000000001</v>
      </c>
      <c r="W269" s="17">
        <f t="shared" si="61"/>
        <v>2.2859999999999998E-2</v>
      </c>
      <c r="X269" s="14">
        <f t="shared" si="65"/>
        <v>1</v>
      </c>
      <c r="Y269" s="14">
        <f t="shared" si="66"/>
        <v>3</v>
      </c>
      <c r="Z269" s="14">
        <f t="shared" si="67"/>
        <v>0</v>
      </c>
      <c r="AA269" s="14" t="str">
        <f t="shared" si="68"/>
        <v>AtkExt</v>
      </c>
      <c r="AB269" s="14">
        <f t="shared" si="62"/>
        <v>550</v>
      </c>
      <c r="AC269" s="14" t="str">
        <f t="shared" si="69"/>
        <v>HPExt</v>
      </c>
      <c r="AD269" s="14">
        <f t="shared" si="70"/>
        <v>3310</v>
      </c>
      <c r="AE269" s="14" t="str">
        <f t="shared" si="71"/>
        <v>[x]</v>
      </c>
      <c r="AF269" s="27" t="str">
        <f t="shared" si="72"/>
        <v>[x]</v>
      </c>
      <c r="AG269" s="27" t="str">
        <f t="shared" si="73"/>
        <v>[x]</v>
      </c>
    </row>
    <row r="270" spans="16:33" ht="16.5" x14ac:dyDescent="0.2">
      <c r="P270" s="13">
        <v>214</v>
      </c>
      <c r="Q270" s="14">
        <f t="shared" si="58"/>
        <v>13</v>
      </c>
      <c r="R270" s="14">
        <f t="shared" si="59"/>
        <v>1606015</v>
      </c>
      <c r="S270" s="14" t="str">
        <f t="shared" si="63"/>
        <v>神器3碎片5等级10</v>
      </c>
      <c r="T270" s="29" t="s">
        <v>649</v>
      </c>
      <c r="U270" s="14">
        <f t="shared" si="60"/>
        <v>10</v>
      </c>
      <c r="V270" s="36">
        <f t="shared" si="64"/>
        <v>0.85000000000000009</v>
      </c>
      <c r="W270" s="17">
        <f t="shared" si="61"/>
        <v>2.5500000000000002E-2</v>
      </c>
      <c r="X270" s="14">
        <f t="shared" si="65"/>
        <v>1</v>
      </c>
      <c r="Y270" s="14">
        <f t="shared" si="66"/>
        <v>3</v>
      </c>
      <c r="Z270" s="14">
        <f t="shared" si="67"/>
        <v>0</v>
      </c>
      <c r="AA270" s="14" t="str">
        <f t="shared" si="68"/>
        <v>AtkExt</v>
      </c>
      <c r="AB270" s="14">
        <f t="shared" si="62"/>
        <v>614</v>
      </c>
      <c r="AC270" s="14" t="str">
        <f t="shared" si="69"/>
        <v>HPExt</v>
      </c>
      <c r="AD270" s="14">
        <f t="shared" si="70"/>
        <v>3693</v>
      </c>
      <c r="AE270" s="14" t="str">
        <f t="shared" si="71"/>
        <v>[x]</v>
      </c>
      <c r="AF270" s="27" t="str">
        <f t="shared" si="72"/>
        <v>[x]</v>
      </c>
      <c r="AG270" s="27" t="str">
        <f t="shared" si="73"/>
        <v>[x]</v>
      </c>
    </row>
    <row r="271" spans="16:33" ht="16.5" x14ac:dyDescent="0.2">
      <c r="P271" s="13">
        <v>215</v>
      </c>
      <c r="Q271" s="14">
        <f t="shared" si="58"/>
        <v>13</v>
      </c>
      <c r="R271" s="14">
        <f t="shared" si="59"/>
        <v>1606015</v>
      </c>
      <c r="S271" s="14" t="str">
        <f t="shared" si="63"/>
        <v>神器3碎片5等级11</v>
      </c>
      <c r="T271" s="29" t="s">
        <v>649</v>
      </c>
      <c r="U271" s="14">
        <f t="shared" si="60"/>
        <v>11</v>
      </c>
      <c r="V271" s="36">
        <f t="shared" si="64"/>
        <v>0.94200000000000006</v>
      </c>
      <c r="W271" s="17">
        <f t="shared" si="61"/>
        <v>2.826E-2</v>
      </c>
      <c r="X271" s="14">
        <f t="shared" si="65"/>
        <v>1</v>
      </c>
      <c r="Y271" s="14">
        <f t="shared" si="66"/>
        <v>3</v>
      </c>
      <c r="Z271" s="14">
        <f t="shared" si="67"/>
        <v>0</v>
      </c>
      <c r="AA271" s="14" t="str">
        <f t="shared" si="68"/>
        <v>AtkExt</v>
      </c>
      <c r="AB271" s="14">
        <f t="shared" si="62"/>
        <v>680</v>
      </c>
      <c r="AC271" s="14" t="str">
        <f t="shared" si="69"/>
        <v>HPExt</v>
      </c>
      <c r="AD271" s="14">
        <f t="shared" si="70"/>
        <v>4093</v>
      </c>
      <c r="AE271" s="14" t="str">
        <f t="shared" si="71"/>
        <v>[x]</v>
      </c>
      <c r="AF271" s="27" t="str">
        <f t="shared" si="72"/>
        <v>[x]</v>
      </c>
      <c r="AG271" s="27" t="str">
        <f t="shared" si="73"/>
        <v>[x]</v>
      </c>
    </row>
    <row r="272" spans="16:33" ht="16.5" x14ac:dyDescent="0.2">
      <c r="P272" s="13">
        <v>216</v>
      </c>
      <c r="Q272" s="14">
        <f t="shared" si="58"/>
        <v>13</v>
      </c>
      <c r="R272" s="14">
        <f t="shared" si="59"/>
        <v>1606015</v>
      </c>
      <c r="S272" s="14" t="str">
        <f t="shared" si="63"/>
        <v>神器3碎片5等级12</v>
      </c>
      <c r="T272" s="29" t="s">
        <v>649</v>
      </c>
      <c r="U272" s="14">
        <f t="shared" si="60"/>
        <v>12</v>
      </c>
      <c r="V272" s="36">
        <f t="shared" si="64"/>
        <v>1.0380000000000003</v>
      </c>
      <c r="W272" s="17">
        <f t="shared" si="61"/>
        <v>3.1140000000000008E-2</v>
      </c>
      <c r="X272" s="14">
        <f t="shared" si="65"/>
        <v>1</v>
      </c>
      <c r="Y272" s="14">
        <f t="shared" si="66"/>
        <v>3</v>
      </c>
      <c r="Z272" s="14">
        <f t="shared" si="67"/>
        <v>0</v>
      </c>
      <c r="AA272" s="14" t="str">
        <f t="shared" si="68"/>
        <v>AtkExt</v>
      </c>
      <c r="AB272" s="14">
        <f t="shared" si="62"/>
        <v>749</v>
      </c>
      <c r="AC272" s="14" t="str">
        <f t="shared" si="69"/>
        <v>HPExt</v>
      </c>
      <c r="AD272" s="14">
        <f t="shared" si="70"/>
        <v>4510</v>
      </c>
      <c r="AE272" s="14" t="str">
        <f t="shared" si="71"/>
        <v>[x]</v>
      </c>
      <c r="AF272" s="27" t="str">
        <f t="shared" si="72"/>
        <v>[x]</v>
      </c>
      <c r="AG272" s="27" t="str">
        <f t="shared" si="73"/>
        <v>[x]</v>
      </c>
    </row>
    <row r="273" spans="16:33" ht="16.5" x14ac:dyDescent="0.2">
      <c r="P273" s="13">
        <v>217</v>
      </c>
      <c r="Q273" s="14">
        <f t="shared" si="58"/>
        <v>13</v>
      </c>
      <c r="R273" s="14">
        <f t="shared" si="59"/>
        <v>1606015</v>
      </c>
      <c r="S273" s="14" t="str">
        <f t="shared" si="63"/>
        <v>神器3碎片5等级13</v>
      </c>
      <c r="T273" s="29" t="s">
        <v>649</v>
      </c>
      <c r="U273" s="14">
        <f t="shared" si="60"/>
        <v>13</v>
      </c>
      <c r="V273" s="36">
        <f t="shared" si="64"/>
        <v>1.1380000000000001</v>
      </c>
      <c r="W273" s="17">
        <f t="shared" si="61"/>
        <v>3.4140000000000004E-2</v>
      </c>
      <c r="X273" s="14">
        <f t="shared" si="65"/>
        <v>1</v>
      </c>
      <c r="Y273" s="14">
        <f t="shared" si="66"/>
        <v>3</v>
      </c>
      <c r="Z273" s="14">
        <f t="shared" si="67"/>
        <v>0</v>
      </c>
      <c r="AA273" s="14" t="str">
        <f t="shared" si="68"/>
        <v>AtkExt</v>
      </c>
      <c r="AB273" s="14">
        <f t="shared" si="62"/>
        <v>822</v>
      </c>
      <c r="AC273" s="14" t="str">
        <f t="shared" si="69"/>
        <v>HPExt</v>
      </c>
      <c r="AD273" s="14">
        <f t="shared" si="70"/>
        <v>4944</v>
      </c>
      <c r="AE273" s="14" t="str">
        <f t="shared" si="71"/>
        <v>[x]</v>
      </c>
      <c r="AF273" s="27" t="str">
        <f t="shared" si="72"/>
        <v>[x]</v>
      </c>
      <c r="AG273" s="27" t="str">
        <f t="shared" si="73"/>
        <v>[x]</v>
      </c>
    </row>
    <row r="274" spans="16:33" ht="16.5" x14ac:dyDescent="0.2">
      <c r="P274" s="13">
        <v>218</v>
      </c>
      <c r="Q274" s="14">
        <f t="shared" si="58"/>
        <v>13</v>
      </c>
      <c r="R274" s="14">
        <f t="shared" si="59"/>
        <v>1606015</v>
      </c>
      <c r="S274" s="14" t="str">
        <f t="shared" si="63"/>
        <v>神器3碎片5等级14</v>
      </c>
      <c r="T274" s="29" t="s">
        <v>649</v>
      </c>
      <c r="U274" s="14">
        <f t="shared" si="60"/>
        <v>14</v>
      </c>
      <c r="V274" s="36">
        <f t="shared" si="64"/>
        <v>1.242</v>
      </c>
      <c r="W274" s="17">
        <f t="shared" si="61"/>
        <v>3.7260000000000001E-2</v>
      </c>
      <c r="X274" s="14">
        <f t="shared" si="65"/>
        <v>1</v>
      </c>
      <c r="Y274" s="14">
        <f t="shared" si="66"/>
        <v>3</v>
      </c>
      <c r="Z274" s="14">
        <f t="shared" si="67"/>
        <v>0</v>
      </c>
      <c r="AA274" s="14" t="str">
        <f t="shared" si="68"/>
        <v>AtkExt</v>
      </c>
      <c r="AB274" s="14">
        <f t="shared" si="62"/>
        <v>897</v>
      </c>
      <c r="AC274" s="14" t="str">
        <f t="shared" si="69"/>
        <v>HPExt</v>
      </c>
      <c r="AD274" s="14">
        <f t="shared" si="70"/>
        <v>5396</v>
      </c>
      <c r="AE274" s="14" t="str">
        <f t="shared" si="71"/>
        <v>[x]</v>
      </c>
      <c r="AF274" s="27" t="str">
        <f t="shared" si="72"/>
        <v>[x]</v>
      </c>
      <c r="AG274" s="27" t="str">
        <f t="shared" si="73"/>
        <v>[x]</v>
      </c>
    </row>
    <row r="275" spans="16:33" ht="16.5" x14ac:dyDescent="0.2">
      <c r="P275" s="13">
        <v>219</v>
      </c>
      <c r="Q275" s="14">
        <f t="shared" si="58"/>
        <v>13</v>
      </c>
      <c r="R275" s="14">
        <f t="shared" si="59"/>
        <v>1606015</v>
      </c>
      <c r="S275" s="14" t="str">
        <f t="shared" si="63"/>
        <v>神器3碎片5等级15</v>
      </c>
      <c r="T275" s="29" t="s">
        <v>649</v>
      </c>
      <c r="U275" s="14">
        <f t="shared" si="60"/>
        <v>15</v>
      </c>
      <c r="V275" s="36">
        <f t="shared" si="64"/>
        <v>1.35</v>
      </c>
      <c r="W275" s="17">
        <f t="shared" si="61"/>
        <v>4.0500000000000001E-2</v>
      </c>
      <c r="X275" s="14">
        <f t="shared" si="65"/>
        <v>1</v>
      </c>
      <c r="Y275" s="14">
        <f t="shared" si="66"/>
        <v>3</v>
      </c>
      <c r="Z275" s="14">
        <f t="shared" si="67"/>
        <v>0</v>
      </c>
      <c r="AA275" s="14" t="str">
        <f t="shared" si="68"/>
        <v>AtkExt</v>
      </c>
      <c r="AB275" s="14">
        <f t="shared" si="62"/>
        <v>975</v>
      </c>
      <c r="AC275" s="14" t="str">
        <f t="shared" si="69"/>
        <v>HPExt</v>
      </c>
      <c r="AD275" s="14">
        <f t="shared" si="70"/>
        <v>5865</v>
      </c>
      <c r="AE275" s="14" t="str">
        <f t="shared" si="71"/>
        <v>[x]</v>
      </c>
      <c r="AF275" s="27" t="str">
        <f t="shared" si="72"/>
        <v>[x]</v>
      </c>
      <c r="AG275" s="27" t="str">
        <f t="shared" si="73"/>
        <v>[x]</v>
      </c>
    </row>
    <row r="276" spans="16:33" ht="16.5" x14ac:dyDescent="0.2">
      <c r="P276" s="13">
        <v>220</v>
      </c>
      <c r="Q276" s="14">
        <f t="shared" si="58"/>
        <v>13</v>
      </c>
      <c r="R276" s="14">
        <f t="shared" si="59"/>
        <v>1606015</v>
      </c>
      <c r="S276" s="14" t="str">
        <f t="shared" si="63"/>
        <v>神器3碎片5等级16</v>
      </c>
      <c r="T276" s="29" t="s">
        <v>649</v>
      </c>
      <c r="U276" s="14">
        <f t="shared" si="60"/>
        <v>16</v>
      </c>
      <c r="V276" s="36">
        <f t="shared" si="64"/>
        <v>1.4620000000000002</v>
      </c>
      <c r="W276" s="17">
        <f t="shared" si="61"/>
        <v>4.3860000000000003E-2</v>
      </c>
      <c r="X276" s="14">
        <f t="shared" si="65"/>
        <v>1</v>
      </c>
      <c r="Y276" s="14">
        <f t="shared" si="66"/>
        <v>3</v>
      </c>
      <c r="Z276" s="14">
        <f t="shared" si="67"/>
        <v>0</v>
      </c>
      <c r="AA276" s="14" t="str">
        <f t="shared" si="68"/>
        <v>AtkExt</v>
      </c>
      <c r="AB276" s="14">
        <f t="shared" si="62"/>
        <v>1056</v>
      </c>
      <c r="AC276" s="14" t="str">
        <f t="shared" si="69"/>
        <v>HPExt</v>
      </c>
      <c r="AD276" s="14">
        <f t="shared" si="70"/>
        <v>6352</v>
      </c>
      <c r="AE276" s="14" t="str">
        <f t="shared" si="71"/>
        <v>[x]</v>
      </c>
      <c r="AF276" s="27" t="str">
        <f t="shared" si="72"/>
        <v>[x]</v>
      </c>
      <c r="AG276" s="27" t="str">
        <f t="shared" si="73"/>
        <v>[x]</v>
      </c>
    </row>
    <row r="277" spans="16:33" ht="16.5" x14ac:dyDescent="0.2">
      <c r="P277" s="13">
        <v>221</v>
      </c>
      <c r="Q277" s="14">
        <f t="shared" si="58"/>
        <v>13</v>
      </c>
      <c r="R277" s="14">
        <f t="shared" si="59"/>
        <v>1606015</v>
      </c>
      <c r="S277" s="14" t="str">
        <f t="shared" si="63"/>
        <v>神器3碎片5等级17</v>
      </c>
      <c r="T277" s="29" t="s">
        <v>649</v>
      </c>
      <c r="U277" s="14">
        <f t="shared" si="60"/>
        <v>17</v>
      </c>
      <c r="V277" s="36">
        <f t="shared" si="64"/>
        <v>1.5779999999999998</v>
      </c>
      <c r="W277" s="17">
        <f t="shared" si="61"/>
        <v>4.7339999999999993E-2</v>
      </c>
      <c r="X277" s="14">
        <f t="shared" si="65"/>
        <v>1</v>
      </c>
      <c r="Y277" s="14">
        <f t="shared" si="66"/>
        <v>3</v>
      </c>
      <c r="Z277" s="14">
        <f t="shared" si="67"/>
        <v>0</v>
      </c>
      <c r="AA277" s="14" t="str">
        <f t="shared" si="68"/>
        <v>AtkExt</v>
      </c>
      <c r="AB277" s="14">
        <f t="shared" si="62"/>
        <v>1139</v>
      </c>
      <c r="AC277" s="14" t="str">
        <f t="shared" si="69"/>
        <v>HPExt</v>
      </c>
      <c r="AD277" s="14">
        <f t="shared" si="70"/>
        <v>6856</v>
      </c>
      <c r="AE277" s="14" t="str">
        <f t="shared" si="71"/>
        <v>[x]</v>
      </c>
      <c r="AF277" s="27" t="str">
        <f t="shared" si="72"/>
        <v>[x]</v>
      </c>
      <c r="AG277" s="27" t="str">
        <f t="shared" si="73"/>
        <v>[x]</v>
      </c>
    </row>
    <row r="278" spans="16:33" ht="16.5" x14ac:dyDescent="0.2">
      <c r="P278" s="13">
        <v>222</v>
      </c>
      <c r="Q278" s="14">
        <f t="shared" si="58"/>
        <v>13</v>
      </c>
      <c r="R278" s="14">
        <f t="shared" si="59"/>
        <v>1606015</v>
      </c>
      <c r="S278" s="14" t="str">
        <f t="shared" si="63"/>
        <v>神器3碎片5等级18</v>
      </c>
      <c r="T278" s="29" t="s">
        <v>649</v>
      </c>
      <c r="U278" s="14">
        <f t="shared" si="60"/>
        <v>18</v>
      </c>
      <c r="V278" s="36">
        <f t="shared" si="64"/>
        <v>1.698</v>
      </c>
      <c r="W278" s="17">
        <f t="shared" si="61"/>
        <v>5.0939999999999999E-2</v>
      </c>
      <c r="X278" s="14">
        <f t="shared" si="65"/>
        <v>1</v>
      </c>
      <c r="Y278" s="14">
        <f t="shared" si="66"/>
        <v>3</v>
      </c>
      <c r="Z278" s="14">
        <f t="shared" si="67"/>
        <v>0</v>
      </c>
      <c r="AA278" s="14" t="str">
        <f t="shared" si="68"/>
        <v>AtkExt</v>
      </c>
      <c r="AB278" s="14">
        <f t="shared" si="62"/>
        <v>1226</v>
      </c>
      <c r="AC278" s="14" t="str">
        <f t="shared" si="69"/>
        <v>HPExt</v>
      </c>
      <c r="AD278" s="14">
        <f t="shared" si="70"/>
        <v>7377</v>
      </c>
      <c r="AE278" s="14" t="str">
        <f t="shared" si="71"/>
        <v>[x]</v>
      </c>
      <c r="AF278" s="27" t="str">
        <f t="shared" si="72"/>
        <v>[x]</v>
      </c>
      <c r="AG278" s="27" t="str">
        <f t="shared" si="73"/>
        <v>[x]</v>
      </c>
    </row>
    <row r="279" spans="16:33" ht="16.5" x14ac:dyDescent="0.2">
      <c r="P279" s="13">
        <v>223</v>
      </c>
      <c r="Q279" s="14">
        <f t="shared" si="58"/>
        <v>13</v>
      </c>
      <c r="R279" s="14">
        <f t="shared" si="59"/>
        <v>1606015</v>
      </c>
      <c r="S279" s="14" t="str">
        <f t="shared" si="63"/>
        <v>神器3碎片5等级19</v>
      </c>
      <c r="T279" s="29" t="s">
        <v>649</v>
      </c>
      <c r="U279" s="14">
        <f t="shared" si="60"/>
        <v>19</v>
      </c>
      <c r="V279" s="36">
        <f t="shared" si="64"/>
        <v>1.8220000000000001</v>
      </c>
      <c r="W279" s="17">
        <f t="shared" si="61"/>
        <v>5.466E-2</v>
      </c>
      <c r="X279" s="14">
        <f t="shared" si="65"/>
        <v>1</v>
      </c>
      <c r="Y279" s="14">
        <f t="shared" si="66"/>
        <v>3</v>
      </c>
      <c r="Z279" s="14">
        <f t="shared" si="67"/>
        <v>0</v>
      </c>
      <c r="AA279" s="14" t="str">
        <f t="shared" si="68"/>
        <v>AtkExt</v>
      </c>
      <c r="AB279" s="14">
        <f t="shared" si="62"/>
        <v>1316</v>
      </c>
      <c r="AC279" s="14" t="str">
        <f t="shared" si="69"/>
        <v>HPExt</v>
      </c>
      <c r="AD279" s="14">
        <f t="shared" si="70"/>
        <v>7916</v>
      </c>
      <c r="AE279" s="14" t="str">
        <f t="shared" si="71"/>
        <v>[x]</v>
      </c>
      <c r="AF279" s="27" t="str">
        <f t="shared" si="72"/>
        <v>[x]</v>
      </c>
      <c r="AG279" s="27" t="str">
        <f t="shared" si="73"/>
        <v>[x]</v>
      </c>
    </row>
    <row r="280" spans="16:33" ht="16.5" x14ac:dyDescent="0.2">
      <c r="P280" s="13">
        <v>224</v>
      </c>
      <c r="Q280" s="14">
        <f t="shared" si="58"/>
        <v>13</v>
      </c>
      <c r="R280" s="14">
        <f t="shared" si="59"/>
        <v>1606015</v>
      </c>
      <c r="S280" s="14" t="str">
        <f t="shared" si="63"/>
        <v>神器3碎片5等级20</v>
      </c>
      <c r="T280" s="29" t="s">
        <v>649</v>
      </c>
      <c r="U280" s="14">
        <f t="shared" si="60"/>
        <v>20</v>
      </c>
      <c r="V280" s="36">
        <f t="shared" si="64"/>
        <v>1.95</v>
      </c>
      <c r="W280" s="17">
        <f t="shared" si="61"/>
        <v>5.8499999999999996E-2</v>
      </c>
      <c r="X280" s="14">
        <f t="shared" si="65"/>
        <v>1</v>
      </c>
      <c r="Y280" s="14">
        <f t="shared" si="66"/>
        <v>3</v>
      </c>
      <c r="Z280" s="14">
        <f t="shared" si="67"/>
        <v>0</v>
      </c>
      <c r="AA280" s="14" t="str">
        <f t="shared" si="68"/>
        <v>AtkExt</v>
      </c>
      <c r="AB280" s="14">
        <f t="shared" si="62"/>
        <v>1408</v>
      </c>
      <c r="AC280" s="14" t="str">
        <f t="shared" si="69"/>
        <v>HPExt</v>
      </c>
      <c r="AD280" s="14">
        <f t="shared" si="70"/>
        <v>8472</v>
      </c>
      <c r="AE280" s="14" t="str">
        <f t="shared" si="71"/>
        <v>[x]</v>
      </c>
      <c r="AF280" s="27" t="str">
        <f t="shared" si="72"/>
        <v>[x]</v>
      </c>
      <c r="AG280" s="27" t="str">
        <f t="shared" si="73"/>
        <v>[x]</v>
      </c>
    </row>
    <row r="281" spans="16:33" ht="16.5" x14ac:dyDescent="0.2">
      <c r="P281" s="13">
        <v>225</v>
      </c>
      <c r="Q281" s="14">
        <f t="shared" si="58"/>
        <v>13</v>
      </c>
      <c r="R281" s="14">
        <f t="shared" si="59"/>
        <v>1606015</v>
      </c>
      <c r="S281" s="14" t="str">
        <f t="shared" si="63"/>
        <v>神器3碎片5等级21</v>
      </c>
      <c r="T281" s="29" t="s">
        <v>649</v>
      </c>
      <c r="U281" s="14">
        <f t="shared" si="60"/>
        <v>21</v>
      </c>
      <c r="V281" s="36">
        <f t="shared" si="64"/>
        <v>2.0819999999999999</v>
      </c>
      <c r="W281" s="17">
        <f t="shared" si="61"/>
        <v>6.2459999999999995E-2</v>
      </c>
      <c r="X281" s="14">
        <f t="shared" si="65"/>
        <v>1</v>
      </c>
      <c r="Y281" s="14">
        <f t="shared" si="66"/>
        <v>3</v>
      </c>
      <c r="Z281" s="14">
        <f t="shared" si="67"/>
        <v>0</v>
      </c>
      <c r="AA281" s="14" t="str">
        <f t="shared" si="68"/>
        <v>AtkExt</v>
      </c>
      <c r="AB281" s="14">
        <f t="shared" si="62"/>
        <v>1504</v>
      </c>
      <c r="AC281" s="14" t="str">
        <f t="shared" si="69"/>
        <v>HPExt</v>
      </c>
      <c r="AD281" s="14">
        <f t="shared" si="70"/>
        <v>9046</v>
      </c>
      <c r="AE281" s="14" t="str">
        <f t="shared" si="71"/>
        <v>[x]</v>
      </c>
      <c r="AF281" s="27" t="str">
        <f t="shared" si="72"/>
        <v>[x]</v>
      </c>
      <c r="AG281" s="27" t="str">
        <f t="shared" si="73"/>
        <v>[x]</v>
      </c>
    </row>
    <row r="282" spans="16:33" ht="16.5" x14ac:dyDescent="0.2">
      <c r="P282" s="13">
        <v>226</v>
      </c>
      <c r="Q282" s="14">
        <f t="shared" si="58"/>
        <v>14</v>
      </c>
      <c r="R282" s="14">
        <f t="shared" si="59"/>
        <v>1606016</v>
      </c>
      <c r="S282" s="14" t="str">
        <f t="shared" si="63"/>
        <v>神器3碎片6等级1</v>
      </c>
      <c r="T282" s="29" t="s">
        <v>649</v>
      </c>
      <c r="U282" s="14">
        <f t="shared" si="60"/>
        <v>1</v>
      </c>
      <c r="V282" s="36">
        <f t="shared" si="64"/>
        <v>0.20200000000000001</v>
      </c>
      <c r="W282" s="17">
        <f t="shared" si="61"/>
        <v>1.0100000000000001E-2</v>
      </c>
      <c r="X282" s="14">
        <f t="shared" si="65"/>
        <v>1</v>
      </c>
      <c r="Y282" s="14">
        <f t="shared" si="66"/>
        <v>0</v>
      </c>
      <c r="Z282" s="14">
        <f t="shared" si="67"/>
        <v>0</v>
      </c>
      <c r="AA282" s="14" t="str">
        <f t="shared" si="68"/>
        <v>AtkExt</v>
      </c>
      <c r="AB282" s="14">
        <f t="shared" si="62"/>
        <v>729</v>
      </c>
      <c r="AC282" s="14" t="str">
        <f t="shared" si="69"/>
        <v>[x]</v>
      </c>
      <c r="AD282" s="14" t="str">
        <f t="shared" si="70"/>
        <v>[x]</v>
      </c>
      <c r="AE282" s="14" t="str">
        <f t="shared" si="71"/>
        <v>[x]</v>
      </c>
      <c r="AF282" s="27" t="str">
        <f t="shared" si="72"/>
        <v>[x]</v>
      </c>
      <c r="AG282" s="27">
        <f t="shared" si="73"/>
        <v>2</v>
      </c>
    </row>
    <row r="283" spans="16:33" ht="16.5" x14ac:dyDescent="0.2">
      <c r="P283" s="13">
        <v>227</v>
      </c>
      <c r="Q283" s="14">
        <f t="shared" si="58"/>
        <v>14</v>
      </c>
      <c r="R283" s="14">
        <f t="shared" si="59"/>
        <v>1606016</v>
      </c>
      <c r="S283" s="14" t="str">
        <f t="shared" si="63"/>
        <v>神器3碎片6等级2</v>
      </c>
      <c r="T283" s="29" t="s">
        <v>649</v>
      </c>
      <c r="U283" s="14">
        <f t="shared" si="60"/>
        <v>2</v>
      </c>
      <c r="V283" s="36">
        <f t="shared" si="64"/>
        <v>0.25800000000000001</v>
      </c>
      <c r="W283" s="17">
        <f t="shared" si="61"/>
        <v>1.2900000000000002E-2</v>
      </c>
      <c r="X283" s="14">
        <f t="shared" si="65"/>
        <v>1</v>
      </c>
      <c r="Y283" s="14">
        <f t="shared" si="66"/>
        <v>0</v>
      </c>
      <c r="Z283" s="14">
        <f t="shared" si="67"/>
        <v>0</v>
      </c>
      <c r="AA283" s="14" t="str">
        <f t="shared" si="68"/>
        <v>AtkExt</v>
      </c>
      <c r="AB283" s="14">
        <f t="shared" si="62"/>
        <v>931</v>
      </c>
      <c r="AC283" s="14" t="str">
        <f t="shared" si="69"/>
        <v>[x]</v>
      </c>
      <c r="AD283" s="14" t="str">
        <f t="shared" si="70"/>
        <v>[x]</v>
      </c>
      <c r="AE283" s="14" t="str">
        <f t="shared" si="71"/>
        <v>[x]</v>
      </c>
      <c r="AF283" s="27" t="str">
        <f t="shared" si="72"/>
        <v>[x]</v>
      </c>
      <c r="AG283" s="27">
        <f t="shared" si="73"/>
        <v>4</v>
      </c>
    </row>
    <row r="284" spans="16:33" ht="16.5" x14ac:dyDescent="0.2">
      <c r="P284" s="13">
        <v>228</v>
      </c>
      <c r="Q284" s="14">
        <f t="shared" si="58"/>
        <v>14</v>
      </c>
      <c r="R284" s="14">
        <f t="shared" si="59"/>
        <v>1606016</v>
      </c>
      <c r="S284" s="14" t="str">
        <f t="shared" si="63"/>
        <v>神器3碎片6等级3</v>
      </c>
      <c r="T284" s="29" t="s">
        <v>649</v>
      </c>
      <c r="U284" s="14">
        <f t="shared" si="60"/>
        <v>3</v>
      </c>
      <c r="V284" s="36">
        <f t="shared" si="64"/>
        <v>0.31800000000000006</v>
      </c>
      <c r="W284" s="17">
        <f t="shared" si="61"/>
        <v>1.5900000000000004E-2</v>
      </c>
      <c r="X284" s="14">
        <f t="shared" si="65"/>
        <v>1</v>
      </c>
      <c r="Y284" s="14">
        <f t="shared" si="66"/>
        <v>0</v>
      </c>
      <c r="Z284" s="14">
        <f t="shared" si="67"/>
        <v>0</v>
      </c>
      <c r="AA284" s="14" t="str">
        <f t="shared" si="68"/>
        <v>AtkExt</v>
      </c>
      <c r="AB284" s="14">
        <f t="shared" si="62"/>
        <v>1148</v>
      </c>
      <c r="AC284" s="14" t="str">
        <f t="shared" si="69"/>
        <v>[x]</v>
      </c>
      <c r="AD284" s="14" t="str">
        <f t="shared" si="70"/>
        <v>[x]</v>
      </c>
      <c r="AE284" s="14" t="str">
        <f t="shared" si="71"/>
        <v>[x]</v>
      </c>
      <c r="AF284" s="27" t="str">
        <f t="shared" si="72"/>
        <v>[x]</v>
      </c>
      <c r="AG284" s="27">
        <f t="shared" si="73"/>
        <v>6</v>
      </c>
    </row>
    <row r="285" spans="16:33" ht="16.5" x14ac:dyDescent="0.2">
      <c r="P285" s="13">
        <v>229</v>
      </c>
      <c r="Q285" s="14">
        <f t="shared" si="58"/>
        <v>14</v>
      </c>
      <c r="R285" s="14">
        <f t="shared" si="59"/>
        <v>1606016</v>
      </c>
      <c r="S285" s="14" t="str">
        <f t="shared" si="63"/>
        <v>神器3碎片6等级4</v>
      </c>
      <c r="T285" s="29" t="s">
        <v>649</v>
      </c>
      <c r="U285" s="14">
        <f t="shared" si="60"/>
        <v>4</v>
      </c>
      <c r="V285" s="36">
        <f t="shared" si="64"/>
        <v>0.38200000000000001</v>
      </c>
      <c r="W285" s="17">
        <f t="shared" si="61"/>
        <v>1.9100000000000002E-2</v>
      </c>
      <c r="X285" s="14">
        <f t="shared" si="65"/>
        <v>1</v>
      </c>
      <c r="Y285" s="14">
        <f t="shared" si="66"/>
        <v>0</v>
      </c>
      <c r="Z285" s="14">
        <f t="shared" si="67"/>
        <v>0</v>
      </c>
      <c r="AA285" s="14" t="str">
        <f t="shared" si="68"/>
        <v>AtkExt</v>
      </c>
      <c r="AB285" s="14">
        <f t="shared" si="62"/>
        <v>1379</v>
      </c>
      <c r="AC285" s="14" t="str">
        <f t="shared" si="69"/>
        <v>[x]</v>
      </c>
      <c r="AD285" s="14" t="str">
        <f t="shared" si="70"/>
        <v>[x]</v>
      </c>
      <c r="AE285" s="14" t="str">
        <f t="shared" si="71"/>
        <v>[x]</v>
      </c>
      <c r="AF285" s="27" t="str">
        <f t="shared" si="72"/>
        <v>[x]</v>
      </c>
      <c r="AG285" s="27">
        <f t="shared" si="73"/>
        <v>8</v>
      </c>
    </row>
    <row r="286" spans="16:33" ht="16.5" x14ac:dyDescent="0.2">
      <c r="P286" s="13">
        <v>230</v>
      </c>
      <c r="Q286" s="14">
        <f t="shared" si="58"/>
        <v>14</v>
      </c>
      <c r="R286" s="14">
        <f t="shared" si="59"/>
        <v>1606016</v>
      </c>
      <c r="S286" s="14" t="str">
        <f t="shared" si="63"/>
        <v>神器3碎片6等级5</v>
      </c>
      <c r="T286" s="29" t="s">
        <v>649</v>
      </c>
      <c r="U286" s="14">
        <f t="shared" si="60"/>
        <v>5</v>
      </c>
      <c r="V286" s="36">
        <f t="shared" si="64"/>
        <v>0.45</v>
      </c>
      <c r="W286" s="17">
        <f t="shared" si="61"/>
        <v>2.2500000000000003E-2</v>
      </c>
      <c r="X286" s="14">
        <f t="shared" si="65"/>
        <v>1</v>
      </c>
      <c r="Y286" s="14">
        <f t="shared" si="66"/>
        <v>0</v>
      </c>
      <c r="Z286" s="14">
        <f t="shared" si="67"/>
        <v>0</v>
      </c>
      <c r="AA286" s="14" t="str">
        <f t="shared" si="68"/>
        <v>AtkExt</v>
      </c>
      <c r="AB286" s="14">
        <f t="shared" si="62"/>
        <v>1625</v>
      </c>
      <c r="AC286" s="14" t="str">
        <f t="shared" si="69"/>
        <v>[x]</v>
      </c>
      <c r="AD286" s="14" t="str">
        <f t="shared" si="70"/>
        <v>[x]</v>
      </c>
      <c r="AE286" s="14" t="str">
        <f t="shared" si="71"/>
        <v>[x]</v>
      </c>
      <c r="AF286" s="27" t="str">
        <f t="shared" si="72"/>
        <v>[x]</v>
      </c>
      <c r="AG286" s="27">
        <f t="shared" si="73"/>
        <v>10</v>
      </c>
    </row>
    <row r="287" spans="16:33" ht="16.5" x14ac:dyDescent="0.2">
      <c r="P287" s="13">
        <v>231</v>
      </c>
      <c r="Q287" s="14">
        <f t="shared" si="58"/>
        <v>14</v>
      </c>
      <c r="R287" s="14">
        <f t="shared" si="59"/>
        <v>1606016</v>
      </c>
      <c r="S287" s="14" t="str">
        <f t="shared" si="63"/>
        <v>神器3碎片6等级6</v>
      </c>
      <c r="T287" s="29" t="s">
        <v>649</v>
      </c>
      <c r="U287" s="14">
        <f t="shared" si="60"/>
        <v>6</v>
      </c>
      <c r="V287" s="36">
        <f t="shared" si="64"/>
        <v>0.52200000000000002</v>
      </c>
      <c r="W287" s="17">
        <f t="shared" si="61"/>
        <v>2.6100000000000002E-2</v>
      </c>
      <c r="X287" s="14">
        <f t="shared" si="65"/>
        <v>1</v>
      </c>
      <c r="Y287" s="14">
        <f t="shared" si="66"/>
        <v>0</v>
      </c>
      <c r="Z287" s="14">
        <f t="shared" si="67"/>
        <v>0</v>
      </c>
      <c r="AA287" s="14" t="str">
        <f t="shared" si="68"/>
        <v>AtkExt</v>
      </c>
      <c r="AB287" s="14">
        <f t="shared" si="62"/>
        <v>1885</v>
      </c>
      <c r="AC287" s="14" t="str">
        <f t="shared" si="69"/>
        <v>[x]</v>
      </c>
      <c r="AD287" s="14" t="str">
        <f t="shared" si="70"/>
        <v>[x]</v>
      </c>
      <c r="AE287" s="14" t="str">
        <f t="shared" si="71"/>
        <v>[x]</v>
      </c>
      <c r="AF287" s="27" t="str">
        <f t="shared" si="72"/>
        <v>[x]</v>
      </c>
      <c r="AG287" s="27">
        <f t="shared" si="73"/>
        <v>12</v>
      </c>
    </row>
    <row r="288" spans="16:33" ht="16.5" x14ac:dyDescent="0.2">
      <c r="P288" s="13">
        <v>232</v>
      </c>
      <c r="Q288" s="14">
        <f t="shared" si="58"/>
        <v>14</v>
      </c>
      <c r="R288" s="14">
        <f t="shared" si="59"/>
        <v>1606016</v>
      </c>
      <c r="S288" s="14" t="str">
        <f t="shared" si="63"/>
        <v>神器3碎片6等级7</v>
      </c>
      <c r="T288" s="29" t="s">
        <v>649</v>
      </c>
      <c r="U288" s="14">
        <f t="shared" si="60"/>
        <v>7</v>
      </c>
      <c r="V288" s="36">
        <f t="shared" si="64"/>
        <v>0.59799999999999998</v>
      </c>
      <c r="W288" s="17">
        <f t="shared" si="61"/>
        <v>2.9899999999999999E-2</v>
      </c>
      <c r="X288" s="14">
        <f t="shared" si="65"/>
        <v>1</v>
      </c>
      <c r="Y288" s="14">
        <f t="shared" si="66"/>
        <v>0</v>
      </c>
      <c r="Z288" s="14">
        <f t="shared" si="67"/>
        <v>0</v>
      </c>
      <c r="AA288" s="14" t="str">
        <f t="shared" si="68"/>
        <v>AtkExt</v>
      </c>
      <c r="AB288" s="14">
        <f t="shared" si="62"/>
        <v>2160</v>
      </c>
      <c r="AC288" s="14" t="str">
        <f t="shared" si="69"/>
        <v>[x]</v>
      </c>
      <c r="AD288" s="14" t="str">
        <f t="shared" si="70"/>
        <v>[x]</v>
      </c>
      <c r="AE288" s="14" t="str">
        <f t="shared" si="71"/>
        <v>[x]</v>
      </c>
      <c r="AF288" s="27" t="str">
        <f t="shared" si="72"/>
        <v>[x]</v>
      </c>
      <c r="AG288" s="27">
        <f t="shared" si="73"/>
        <v>14</v>
      </c>
    </row>
    <row r="289" spans="16:33" ht="16.5" x14ac:dyDescent="0.2">
      <c r="P289" s="13">
        <v>233</v>
      </c>
      <c r="Q289" s="14">
        <f t="shared" si="58"/>
        <v>14</v>
      </c>
      <c r="R289" s="14">
        <f t="shared" si="59"/>
        <v>1606016</v>
      </c>
      <c r="S289" s="14" t="str">
        <f t="shared" si="63"/>
        <v>神器3碎片6等级8</v>
      </c>
      <c r="T289" s="29" t="s">
        <v>649</v>
      </c>
      <c r="U289" s="14">
        <f t="shared" si="60"/>
        <v>8</v>
      </c>
      <c r="V289" s="36">
        <f t="shared" si="64"/>
        <v>0.67800000000000005</v>
      </c>
      <c r="W289" s="17">
        <f t="shared" si="61"/>
        <v>3.3900000000000007E-2</v>
      </c>
      <c r="X289" s="14">
        <f t="shared" si="65"/>
        <v>1</v>
      </c>
      <c r="Y289" s="14">
        <f t="shared" si="66"/>
        <v>0</v>
      </c>
      <c r="Z289" s="14">
        <f t="shared" si="67"/>
        <v>0</v>
      </c>
      <c r="AA289" s="14" t="str">
        <f t="shared" si="68"/>
        <v>AtkExt</v>
      </c>
      <c r="AB289" s="14">
        <f t="shared" si="62"/>
        <v>2449</v>
      </c>
      <c r="AC289" s="14" t="str">
        <f t="shared" si="69"/>
        <v>[x]</v>
      </c>
      <c r="AD289" s="14" t="str">
        <f t="shared" si="70"/>
        <v>[x]</v>
      </c>
      <c r="AE289" s="14" t="str">
        <f t="shared" si="71"/>
        <v>[x]</v>
      </c>
      <c r="AF289" s="27" t="str">
        <f t="shared" si="72"/>
        <v>[x]</v>
      </c>
      <c r="AG289" s="27">
        <f t="shared" si="73"/>
        <v>16</v>
      </c>
    </row>
    <row r="290" spans="16:33" ht="16.5" x14ac:dyDescent="0.2">
      <c r="P290" s="13">
        <v>234</v>
      </c>
      <c r="Q290" s="14">
        <f t="shared" si="58"/>
        <v>14</v>
      </c>
      <c r="R290" s="14">
        <f t="shared" si="59"/>
        <v>1606016</v>
      </c>
      <c r="S290" s="14" t="str">
        <f t="shared" si="63"/>
        <v>神器3碎片6等级9</v>
      </c>
      <c r="T290" s="29" t="s">
        <v>649</v>
      </c>
      <c r="U290" s="14">
        <f t="shared" si="60"/>
        <v>9</v>
      </c>
      <c r="V290" s="36">
        <f t="shared" si="64"/>
        <v>0.76200000000000001</v>
      </c>
      <c r="W290" s="17">
        <f t="shared" si="61"/>
        <v>3.8100000000000002E-2</v>
      </c>
      <c r="X290" s="14">
        <f t="shared" si="65"/>
        <v>1</v>
      </c>
      <c r="Y290" s="14">
        <f t="shared" si="66"/>
        <v>0</v>
      </c>
      <c r="Z290" s="14">
        <f t="shared" si="67"/>
        <v>0</v>
      </c>
      <c r="AA290" s="14" t="str">
        <f t="shared" si="68"/>
        <v>AtkExt</v>
      </c>
      <c r="AB290" s="14">
        <f t="shared" si="62"/>
        <v>2752</v>
      </c>
      <c r="AC290" s="14" t="str">
        <f t="shared" si="69"/>
        <v>[x]</v>
      </c>
      <c r="AD290" s="14" t="str">
        <f t="shared" si="70"/>
        <v>[x]</v>
      </c>
      <c r="AE290" s="14" t="str">
        <f t="shared" si="71"/>
        <v>[x]</v>
      </c>
      <c r="AF290" s="27" t="str">
        <f t="shared" si="72"/>
        <v>[x]</v>
      </c>
      <c r="AG290" s="27">
        <f t="shared" si="73"/>
        <v>18</v>
      </c>
    </row>
    <row r="291" spans="16:33" ht="16.5" x14ac:dyDescent="0.2">
      <c r="P291" s="13">
        <v>235</v>
      </c>
      <c r="Q291" s="14">
        <f t="shared" si="58"/>
        <v>14</v>
      </c>
      <c r="R291" s="14">
        <f t="shared" si="59"/>
        <v>1606016</v>
      </c>
      <c r="S291" s="14" t="str">
        <f t="shared" si="63"/>
        <v>神器3碎片6等级10</v>
      </c>
      <c r="T291" s="29" t="s">
        <v>649</v>
      </c>
      <c r="U291" s="14">
        <f t="shared" si="60"/>
        <v>10</v>
      </c>
      <c r="V291" s="36">
        <f t="shared" si="64"/>
        <v>0.85000000000000009</v>
      </c>
      <c r="W291" s="17">
        <f t="shared" si="61"/>
        <v>4.250000000000001E-2</v>
      </c>
      <c r="X291" s="14">
        <f t="shared" si="65"/>
        <v>1</v>
      </c>
      <c r="Y291" s="14">
        <f t="shared" si="66"/>
        <v>0</v>
      </c>
      <c r="Z291" s="14">
        <f t="shared" si="67"/>
        <v>0</v>
      </c>
      <c r="AA291" s="14" t="str">
        <f t="shared" si="68"/>
        <v>AtkExt</v>
      </c>
      <c r="AB291" s="14">
        <f t="shared" si="62"/>
        <v>3070</v>
      </c>
      <c r="AC291" s="14" t="str">
        <f t="shared" si="69"/>
        <v>[x]</v>
      </c>
      <c r="AD291" s="14" t="str">
        <f t="shared" si="70"/>
        <v>[x]</v>
      </c>
      <c r="AE291" s="14" t="str">
        <f t="shared" si="71"/>
        <v>[x]</v>
      </c>
      <c r="AF291" s="27" t="str">
        <f t="shared" si="72"/>
        <v>[x]</v>
      </c>
      <c r="AG291" s="27">
        <f t="shared" si="73"/>
        <v>20</v>
      </c>
    </row>
    <row r="292" spans="16:33" ht="16.5" x14ac:dyDescent="0.2">
      <c r="P292" s="13">
        <v>236</v>
      </c>
      <c r="Q292" s="14">
        <f t="shared" si="58"/>
        <v>14</v>
      </c>
      <c r="R292" s="14">
        <f t="shared" si="59"/>
        <v>1606016</v>
      </c>
      <c r="S292" s="14" t="str">
        <f t="shared" si="63"/>
        <v>神器3碎片6等级11</v>
      </c>
      <c r="T292" s="29" t="s">
        <v>649</v>
      </c>
      <c r="U292" s="14">
        <f t="shared" si="60"/>
        <v>11</v>
      </c>
      <c r="V292" s="36">
        <f t="shared" si="64"/>
        <v>0.94200000000000006</v>
      </c>
      <c r="W292" s="17">
        <f t="shared" si="61"/>
        <v>4.7100000000000003E-2</v>
      </c>
      <c r="X292" s="14">
        <f t="shared" si="65"/>
        <v>1</v>
      </c>
      <c r="Y292" s="14">
        <f t="shared" si="66"/>
        <v>0</v>
      </c>
      <c r="Z292" s="14">
        <f t="shared" si="67"/>
        <v>0</v>
      </c>
      <c r="AA292" s="14" t="str">
        <f t="shared" si="68"/>
        <v>AtkExt</v>
      </c>
      <c r="AB292" s="14">
        <f t="shared" si="62"/>
        <v>3402</v>
      </c>
      <c r="AC292" s="14" t="str">
        <f t="shared" si="69"/>
        <v>[x]</v>
      </c>
      <c r="AD292" s="14" t="str">
        <f t="shared" si="70"/>
        <v>[x]</v>
      </c>
      <c r="AE292" s="14" t="str">
        <f t="shared" si="71"/>
        <v>[x]</v>
      </c>
      <c r="AF292" s="27" t="str">
        <f t="shared" si="72"/>
        <v>[x]</v>
      </c>
      <c r="AG292" s="27">
        <f t="shared" si="73"/>
        <v>22</v>
      </c>
    </row>
    <row r="293" spans="16:33" ht="16.5" x14ac:dyDescent="0.2">
      <c r="P293" s="13">
        <v>237</v>
      </c>
      <c r="Q293" s="14">
        <f t="shared" si="58"/>
        <v>14</v>
      </c>
      <c r="R293" s="14">
        <f t="shared" si="59"/>
        <v>1606016</v>
      </c>
      <c r="S293" s="14" t="str">
        <f t="shared" si="63"/>
        <v>神器3碎片6等级12</v>
      </c>
      <c r="T293" s="29" t="s">
        <v>649</v>
      </c>
      <c r="U293" s="14">
        <f t="shared" si="60"/>
        <v>12</v>
      </c>
      <c r="V293" s="36">
        <f t="shared" si="64"/>
        <v>1.0380000000000003</v>
      </c>
      <c r="W293" s="17">
        <f t="shared" si="61"/>
        <v>5.1900000000000016E-2</v>
      </c>
      <c r="X293" s="14">
        <f t="shared" si="65"/>
        <v>1</v>
      </c>
      <c r="Y293" s="14">
        <f t="shared" si="66"/>
        <v>0</v>
      </c>
      <c r="Z293" s="14">
        <f t="shared" si="67"/>
        <v>0</v>
      </c>
      <c r="AA293" s="14" t="str">
        <f t="shared" si="68"/>
        <v>AtkExt</v>
      </c>
      <c r="AB293" s="14">
        <f t="shared" si="62"/>
        <v>3749</v>
      </c>
      <c r="AC293" s="14" t="str">
        <f t="shared" si="69"/>
        <v>[x]</v>
      </c>
      <c r="AD293" s="14" t="str">
        <f t="shared" si="70"/>
        <v>[x]</v>
      </c>
      <c r="AE293" s="14" t="str">
        <f t="shared" si="71"/>
        <v>[x]</v>
      </c>
      <c r="AF293" s="27" t="str">
        <f t="shared" si="72"/>
        <v>[x]</v>
      </c>
      <c r="AG293" s="27">
        <f t="shared" si="73"/>
        <v>24</v>
      </c>
    </row>
    <row r="294" spans="16:33" ht="16.5" x14ac:dyDescent="0.2">
      <c r="P294" s="13">
        <v>238</v>
      </c>
      <c r="Q294" s="14">
        <f t="shared" si="58"/>
        <v>14</v>
      </c>
      <c r="R294" s="14">
        <f t="shared" si="59"/>
        <v>1606016</v>
      </c>
      <c r="S294" s="14" t="str">
        <f t="shared" si="63"/>
        <v>神器3碎片6等级13</v>
      </c>
      <c r="T294" s="29" t="s">
        <v>649</v>
      </c>
      <c r="U294" s="14">
        <f t="shared" si="60"/>
        <v>13</v>
      </c>
      <c r="V294" s="36">
        <f t="shared" si="64"/>
        <v>1.1380000000000001</v>
      </c>
      <c r="W294" s="17">
        <f t="shared" si="61"/>
        <v>5.6900000000000006E-2</v>
      </c>
      <c r="X294" s="14">
        <f t="shared" si="65"/>
        <v>1</v>
      </c>
      <c r="Y294" s="14">
        <f t="shared" si="66"/>
        <v>0</v>
      </c>
      <c r="Z294" s="14">
        <f t="shared" si="67"/>
        <v>0</v>
      </c>
      <c r="AA294" s="14" t="str">
        <f t="shared" si="68"/>
        <v>AtkExt</v>
      </c>
      <c r="AB294" s="14">
        <f t="shared" si="62"/>
        <v>4110</v>
      </c>
      <c r="AC294" s="14" t="str">
        <f t="shared" si="69"/>
        <v>[x]</v>
      </c>
      <c r="AD294" s="14" t="str">
        <f t="shared" si="70"/>
        <v>[x]</v>
      </c>
      <c r="AE294" s="14" t="str">
        <f t="shared" si="71"/>
        <v>[x]</v>
      </c>
      <c r="AF294" s="27" t="str">
        <f t="shared" si="72"/>
        <v>[x]</v>
      </c>
      <c r="AG294" s="27">
        <f t="shared" si="73"/>
        <v>26</v>
      </c>
    </row>
    <row r="295" spans="16:33" ht="16.5" x14ac:dyDescent="0.2">
      <c r="P295" s="13">
        <v>239</v>
      </c>
      <c r="Q295" s="14">
        <f t="shared" si="58"/>
        <v>14</v>
      </c>
      <c r="R295" s="14">
        <f t="shared" si="59"/>
        <v>1606016</v>
      </c>
      <c r="S295" s="14" t="str">
        <f t="shared" si="63"/>
        <v>神器3碎片6等级14</v>
      </c>
      <c r="T295" s="29" t="s">
        <v>649</v>
      </c>
      <c r="U295" s="14">
        <f t="shared" si="60"/>
        <v>14</v>
      </c>
      <c r="V295" s="36">
        <f t="shared" si="64"/>
        <v>1.242</v>
      </c>
      <c r="W295" s="17">
        <f t="shared" si="61"/>
        <v>6.2100000000000002E-2</v>
      </c>
      <c r="X295" s="14">
        <f t="shared" si="65"/>
        <v>1</v>
      </c>
      <c r="Y295" s="14">
        <f t="shared" si="66"/>
        <v>0</v>
      </c>
      <c r="Z295" s="14">
        <f t="shared" si="67"/>
        <v>0</v>
      </c>
      <c r="AA295" s="14" t="str">
        <f t="shared" si="68"/>
        <v>AtkExt</v>
      </c>
      <c r="AB295" s="14">
        <f t="shared" si="62"/>
        <v>4486</v>
      </c>
      <c r="AC295" s="14" t="str">
        <f t="shared" si="69"/>
        <v>[x]</v>
      </c>
      <c r="AD295" s="14" t="str">
        <f t="shared" si="70"/>
        <v>[x]</v>
      </c>
      <c r="AE295" s="14" t="str">
        <f t="shared" si="71"/>
        <v>[x]</v>
      </c>
      <c r="AF295" s="27" t="str">
        <f t="shared" si="72"/>
        <v>[x]</v>
      </c>
      <c r="AG295" s="27">
        <f t="shared" si="73"/>
        <v>28</v>
      </c>
    </row>
    <row r="296" spans="16:33" ht="16.5" x14ac:dyDescent="0.2">
      <c r="P296" s="13">
        <v>240</v>
      </c>
      <c r="Q296" s="14">
        <f t="shared" si="58"/>
        <v>14</v>
      </c>
      <c r="R296" s="14">
        <f t="shared" si="59"/>
        <v>1606016</v>
      </c>
      <c r="S296" s="14" t="str">
        <f t="shared" si="63"/>
        <v>神器3碎片6等级15</v>
      </c>
      <c r="T296" s="29" t="s">
        <v>649</v>
      </c>
      <c r="U296" s="14">
        <f t="shared" si="60"/>
        <v>15</v>
      </c>
      <c r="V296" s="36">
        <f t="shared" si="64"/>
        <v>1.35</v>
      </c>
      <c r="W296" s="17">
        <f t="shared" si="61"/>
        <v>6.7500000000000004E-2</v>
      </c>
      <c r="X296" s="14">
        <f t="shared" si="65"/>
        <v>1</v>
      </c>
      <c r="Y296" s="14">
        <f t="shared" si="66"/>
        <v>0</v>
      </c>
      <c r="Z296" s="14">
        <f t="shared" si="67"/>
        <v>0</v>
      </c>
      <c r="AA296" s="14" t="str">
        <f t="shared" si="68"/>
        <v>AtkExt</v>
      </c>
      <c r="AB296" s="14">
        <f t="shared" si="62"/>
        <v>4876</v>
      </c>
      <c r="AC296" s="14" t="str">
        <f t="shared" si="69"/>
        <v>[x]</v>
      </c>
      <c r="AD296" s="14" t="str">
        <f t="shared" si="70"/>
        <v>[x]</v>
      </c>
      <c r="AE296" s="14" t="str">
        <f t="shared" si="71"/>
        <v>[x]</v>
      </c>
      <c r="AF296" s="27" t="str">
        <f t="shared" si="72"/>
        <v>[x]</v>
      </c>
      <c r="AG296" s="27">
        <f t="shared" si="73"/>
        <v>30</v>
      </c>
    </row>
    <row r="297" spans="16:33" ht="16.5" x14ac:dyDescent="0.2">
      <c r="P297" s="13">
        <v>241</v>
      </c>
      <c r="Q297" s="14">
        <f t="shared" si="58"/>
        <v>14</v>
      </c>
      <c r="R297" s="14">
        <f t="shared" si="59"/>
        <v>1606016</v>
      </c>
      <c r="S297" s="14" t="str">
        <f t="shared" si="63"/>
        <v>神器3碎片6等级16</v>
      </c>
      <c r="T297" s="29" t="s">
        <v>649</v>
      </c>
      <c r="U297" s="14">
        <f t="shared" si="60"/>
        <v>16</v>
      </c>
      <c r="V297" s="36">
        <f t="shared" si="64"/>
        <v>1.4620000000000002</v>
      </c>
      <c r="W297" s="17">
        <f t="shared" si="61"/>
        <v>7.3100000000000012E-2</v>
      </c>
      <c r="X297" s="14">
        <f t="shared" si="65"/>
        <v>1</v>
      </c>
      <c r="Y297" s="14">
        <f t="shared" si="66"/>
        <v>0</v>
      </c>
      <c r="Z297" s="14">
        <f t="shared" si="67"/>
        <v>0</v>
      </c>
      <c r="AA297" s="14" t="str">
        <f t="shared" si="68"/>
        <v>AtkExt</v>
      </c>
      <c r="AB297" s="14">
        <f t="shared" si="62"/>
        <v>5280</v>
      </c>
      <c r="AC297" s="14" t="str">
        <f t="shared" si="69"/>
        <v>[x]</v>
      </c>
      <c r="AD297" s="14" t="str">
        <f t="shared" si="70"/>
        <v>[x]</v>
      </c>
      <c r="AE297" s="14" t="str">
        <f t="shared" si="71"/>
        <v>[x]</v>
      </c>
      <c r="AF297" s="27" t="str">
        <f t="shared" si="72"/>
        <v>[x]</v>
      </c>
      <c r="AG297" s="27">
        <f t="shared" si="73"/>
        <v>32</v>
      </c>
    </row>
    <row r="298" spans="16:33" ht="16.5" x14ac:dyDescent="0.2">
      <c r="P298" s="13">
        <v>242</v>
      </c>
      <c r="Q298" s="14">
        <f t="shared" si="58"/>
        <v>14</v>
      </c>
      <c r="R298" s="14">
        <f t="shared" si="59"/>
        <v>1606016</v>
      </c>
      <c r="S298" s="14" t="str">
        <f t="shared" si="63"/>
        <v>神器3碎片6等级17</v>
      </c>
      <c r="T298" s="29" t="s">
        <v>649</v>
      </c>
      <c r="U298" s="14">
        <f t="shared" si="60"/>
        <v>17</v>
      </c>
      <c r="V298" s="36">
        <f t="shared" si="64"/>
        <v>1.5779999999999998</v>
      </c>
      <c r="W298" s="17">
        <f t="shared" si="61"/>
        <v>7.8899999999999998E-2</v>
      </c>
      <c r="X298" s="14">
        <f t="shared" si="65"/>
        <v>1</v>
      </c>
      <c r="Y298" s="14">
        <f t="shared" si="66"/>
        <v>0</v>
      </c>
      <c r="Z298" s="14">
        <f t="shared" si="67"/>
        <v>0</v>
      </c>
      <c r="AA298" s="14" t="str">
        <f t="shared" si="68"/>
        <v>AtkExt</v>
      </c>
      <c r="AB298" s="14">
        <f t="shared" si="62"/>
        <v>5699</v>
      </c>
      <c r="AC298" s="14" t="str">
        <f t="shared" si="69"/>
        <v>[x]</v>
      </c>
      <c r="AD298" s="14" t="str">
        <f t="shared" si="70"/>
        <v>[x]</v>
      </c>
      <c r="AE298" s="14" t="str">
        <f t="shared" si="71"/>
        <v>[x]</v>
      </c>
      <c r="AF298" s="27" t="str">
        <f t="shared" si="72"/>
        <v>[x]</v>
      </c>
      <c r="AG298" s="27">
        <f t="shared" si="73"/>
        <v>34</v>
      </c>
    </row>
    <row r="299" spans="16:33" ht="16.5" x14ac:dyDescent="0.2">
      <c r="P299" s="13">
        <v>243</v>
      </c>
      <c r="Q299" s="14">
        <f t="shared" si="58"/>
        <v>14</v>
      </c>
      <c r="R299" s="14">
        <f t="shared" si="59"/>
        <v>1606016</v>
      </c>
      <c r="S299" s="14" t="str">
        <f t="shared" si="63"/>
        <v>神器3碎片6等级18</v>
      </c>
      <c r="T299" s="29" t="s">
        <v>649</v>
      </c>
      <c r="U299" s="14">
        <f t="shared" si="60"/>
        <v>18</v>
      </c>
      <c r="V299" s="36">
        <f t="shared" si="64"/>
        <v>1.698</v>
      </c>
      <c r="W299" s="17">
        <f t="shared" si="61"/>
        <v>8.4900000000000003E-2</v>
      </c>
      <c r="X299" s="14">
        <f t="shared" si="65"/>
        <v>1</v>
      </c>
      <c r="Y299" s="14">
        <f t="shared" si="66"/>
        <v>0</v>
      </c>
      <c r="Z299" s="14">
        <f t="shared" si="67"/>
        <v>0</v>
      </c>
      <c r="AA299" s="14" t="str">
        <f t="shared" si="68"/>
        <v>AtkExt</v>
      </c>
      <c r="AB299" s="14">
        <f t="shared" si="62"/>
        <v>6133</v>
      </c>
      <c r="AC299" s="14" t="str">
        <f t="shared" si="69"/>
        <v>[x]</v>
      </c>
      <c r="AD299" s="14" t="str">
        <f t="shared" si="70"/>
        <v>[x]</v>
      </c>
      <c r="AE299" s="14" t="str">
        <f t="shared" si="71"/>
        <v>[x]</v>
      </c>
      <c r="AF299" s="27" t="str">
        <f t="shared" si="72"/>
        <v>[x]</v>
      </c>
      <c r="AG299" s="27">
        <f t="shared" si="73"/>
        <v>36</v>
      </c>
    </row>
    <row r="300" spans="16:33" ht="16.5" x14ac:dyDescent="0.2">
      <c r="P300" s="13">
        <v>244</v>
      </c>
      <c r="Q300" s="14">
        <f t="shared" si="58"/>
        <v>14</v>
      </c>
      <c r="R300" s="14">
        <f t="shared" si="59"/>
        <v>1606016</v>
      </c>
      <c r="S300" s="14" t="str">
        <f t="shared" si="63"/>
        <v>神器3碎片6等级19</v>
      </c>
      <c r="T300" s="29" t="s">
        <v>649</v>
      </c>
      <c r="U300" s="14">
        <f t="shared" si="60"/>
        <v>19</v>
      </c>
      <c r="V300" s="36">
        <f t="shared" si="64"/>
        <v>1.8220000000000001</v>
      </c>
      <c r="W300" s="17">
        <f t="shared" si="61"/>
        <v>9.1100000000000014E-2</v>
      </c>
      <c r="X300" s="14">
        <f t="shared" si="65"/>
        <v>1</v>
      </c>
      <c r="Y300" s="14">
        <f t="shared" si="66"/>
        <v>0</v>
      </c>
      <c r="Z300" s="14">
        <f t="shared" si="67"/>
        <v>0</v>
      </c>
      <c r="AA300" s="14" t="str">
        <f t="shared" si="68"/>
        <v>AtkExt</v>
      </c>
      <c r="AB300" s="14">
        <f t="shared" si="62"/>
        <v>6581</v>
      </c>
      <c r="AC300" s="14" t="str">
        <f t="shared" si="69"/>
        <v>[x]</v>
      </c>
      <c r="AD300" s="14" t="str">
        <f t="shared" si="70"/>
        <v>[x]</v>
      </c>
      <c r="AE300" s="14" t="str">
        <f t="shared" si="71"/>
        <v>[x]</v>
      </c>
      <c r="AF300" s="27" t="str">
        <f t="shared" si="72"/>
        <v>[x]</v>
      </c>
      <c r="AG300" s="27">
        <f t="shared" si="73"/>
        <v>38</v>
      </c>
    </row>
    <row r="301" spans="16:33" ht="16.5" x14ac:dyDescent="0.2">
      <c r="P301" s="13">
        <v>245</v>
      </c>
      <c r="Q301" s="14">
        <f t="shared" si="58"/>
        <v>14</v>
      </c>
      <c r="R301" s="14">
        <f t="shared" si="59"/>
        <v>1606016</v>
      </c>
      <c r="S301" s="14" t="str">
        <f t="shared" si="63"/>
        <v>神器3碎片6等级20</v>
      </c>
      <c r="T301" s="29" t="s">
        <v>649</v>
      </c>
      <c r="U301" s="14">
        <f t="shared" si="60"/>
        <v>20</v>
      </c>
      <c r="V301" s="36">
        <f t="shared" si="64"/>
        <v>1.95</v>
      </c>
      <c r="W301" s="17">
        <f t="shared" si="61"/>
        <v>9.7500000000000003E-2</v>
      </c>
      <c r="X301" s="14">
        <f t="shared" si="65"/>
        <v>1</v>
      </c>
      <c r="Y301" s="14">
        <f t="shared" si="66"/>
        <v>0</v>
      </c>
      <c r="Z301" s="14">
        <f t="shared" si="67"/>
        <v>0</v>
      </c>
      <c r="AA301" s="14" t="str">
        <f t="shared" si="68"/>
        <v>AtkExt</v>
      </c>
      <c r="AB301" s="14">
        <f t="shared" si="62"/>
        <v>7043</v>
      </c>
      <c r="AC301" s="14" t="str">
        <f t="shared" si="69"/>
        <v>[x]</v>
      </c>
      <c r="AD301" s="14" t="str">
        <f t="shared" si="70"/>
        <v>[x]</v>
      </c>
      <c r="AE301" s="14" t="str">
        <f t="shared" si="71"/>
        <v>[x]</v>
      </c>
      <c r="AF301" s="27" t="str">
        <f t="shared" si="72"/>
        <v>[x]</v>
      </c>
      <c r="AG301" s="27">
        <f t="shared" si="73"/>
        <v>40</v>
      </c>
    </row>
    <row r="302" spans="16:33" ht="16.5" x14ac:dyDescent="0.2">
      <c r="P302" s="13">
        <v>246</v>
      </c>
      <c r="Q302" s="14">
        <f t="shared" si="58"/>
        <v>14</v>
      </c>
      <c r="R302" s="14">
        <f t="shared" si="59"/>
        <v>1606016</v>
      </c>
      <c r="S302" s="14" t="str">
        <f t="shared" si="63"/>
        <v>神器3碎片6等级21</v>
      </c>
      <c r="T302" s="29" t="s">
        <v>649</v>
      </c>
      <c r="U302" s="14">
        <f t="shared" si="60"/>
        <v>21</v>
      </c>
      <c r="V302" s="36">
        <f t="shared" si="64"/>
        <v>2.0819999999999999</v>
      </c>
      <c r="W302" s="17">
        <f t="shared" si="61"/>
        <v>0.1041</v>
      </c>
      <c r="X302" s="14">
        <f t="shared" si="65"/>
        <v>1</v>
      </c>
      <c r="Y302" s="14">
        <f t="shared" si="66"/>
        <v>0</v>
      </c>
      <c r="Z302" s="14">
        <f t="shared" si="67"/>
        <v>0</v>
      </c>
      <c r="AA302" s="14" t="str">
        <f t="shared" si="68"/>
        <v>AtkExt</v>
      </c>
      <c r="AB302" s="14">
        <f t="shared" si="62"/>
        <v>7520</v>
      </c>
      <c r="AC302" s="14" t="str">
        <f t="shared" si="69"/>
        <v>[x]</v>
      </c>
      <c r="AD302" s="14" t="str">
        <f t="shared" si="70"/>
        <v>[x]</v>
      </c>
      <c r="AE302" s="14" t="str">
        <f t="shared" si="71"/>
        <v>[x]</v>
      </c>
      <c r="AF302" s="27" t="str">
        <f t="shared" si="72"/>
        <v>[x]</v>
      </c>
      <c r="AG302" s="27">
        <f t="shared" si="73"/>
        <v>42</v>
      </c>
    </row>
    <row r="303" spans="16:33" ht="16.5" x14ac:dyDescent="0.2">
      <c r="P303" s="13">
        <v>247</v>
      </c>
      <c r="Q303" s="14">
        <f t="shared" si="58"/>
        <v>15</v>
      </c>
      <c r="R303" s="14">
        <f t="shared" si="59"/>
        <v>1606019</v>
      </c>
      <c r="S303" s="14" t="str">
        <f t="shared" si="63"/>
        <v>神器4碎片1等级1</v>
      </c>
      <c r="T303" s="29" t="s">
        <v>649</v>
      </c>
      <c r="U303" s="14">
        <f t="shared" si="60"/>
        <v>1</v>
      </c>
      <c r="V303" s="36">
        <f t="shared" si="64"/>
        <v>0.20200000000000001</v>
      </c>
      <c r="W303" s="17">
        <f t="shared" si="61"/>
        <v>2.0200000000000001E-3</v>
      </c>
      <c r="X303" s="14">
        <f t="shared" si="65"/>
        <v>1</v>
      </c>
      <c r="Y303" s="14">
        <f t="shared" si="66"/>
        <v>3</v>
      </c>
      <c r="Z303" s="14">
        <f t="shared" si="67"/>
        <v>0</v>
      </c>
      <c r="AA303" s="14" t="str">
        <f t="shared" si="68"/>
        <v>AtkExt</v>
      </c>
      <c r="AB303" s="14">
        <f t="shared" si="62"/>
        <v>97</v>
      </c>
      <c r="AC303" s="14" t="str">
        <f t="shared" si="69"/>
        <v>HPExt</v>
      </c>
      <c r="AD303" s="14">
        <f t="shared" si="70"/>
        <v>146</v>
      </c>
      <c r="AE303" s="14" t="str">
        <f t="shared" si="71"/>
        <v>[x]</v>
      </c>
      <c r="AF303" s="27" t="str">
        <f t="shared" si="72"/>
        <v>[x]</v>
      </c>
      <c r="AG303" s="27" t="str">
        <f t="shared" si="73"/>
        <v>[x]</v>
      </c>
    </row>
    <row r="304" spans="16:33" ht="16.5" x14ac:dyDescent="0.2">
      <c r="P304" s="13">
        <v>248</v>
      </c>
      <c r="Q304" s="14">
        <f t="shared" si="58"/>
        <v>15</v>
      </c>
      <c r="R304" s="14">
        <f t="shared" si="59"/>
        <v>1606019</v>
      </c>
      <c r="S304" s="14" t="str">
        <f t="shared" si="63"/>
        <v>神器4碎片1等级2</v>
      </c>
      <c r="T304" s="29" t="s">
        <v>649</v>
      </c>
      <c r="U304" s="14">
        <f t="shared" si="60"/>
        <v>2</v>
      </c>
      <c r="V304" s="36">
        <f t="shared" si="64"/>
        <v>0.25800000000000001</v>
      </c>
      <c r="W304" s="17">
        <f t="shared" si="61"/>
        <v>2.5800000000000003E-3</v>
      </c>
      <c r="X304" s="14">
        <f t="shared" si="65"/>
        <v>1</v>
      </c>
      <c r="Y304" s="14">
        <f t="shared" si="66"/>
        <v>3</v>
      </c>
      <c r="Z304" s="14">
        <f t="shared" si="67"/>
        <v>0</v>
      </c>
      <c r="AA304" s="14" t="str">
        <f t="shared" si="68"/>
        <v>AtkExt</v>
      </c>
      <c r="AB304" s="14">
        <f t="shared" si="62"/>
        <v>124</v>
      </c>
      <c r="AC304" s="14" t="str">
        <f t="shared" si="69"/>
        <v>HPExt</v>
      </c>
      <c r="AD304" s="14">
        <f t="shared" si="70"/>
        <v>186</v>
      </c>
      <c r="AE304" s="14" t="str">
        <f t="shared" si="71"/>
        <v>[x]</v>
      </c>
      <c r="AF304" s="27" t="str">
        <f t="shared" si="72"/>
        <v>[x]</v>
      </c>
      <c r="AG304" s="27" t="str">
        <f t="shared" si="73"/>
        <v>[x]</v>
      </c>
    </row>
    <row r="305" spans="16:33" ht="16.5" x14ac:dyDescent="0.2">
      <c r="P305" s="13">
        <v>249</v>
      </c>
      <c r="Q305" s="14">
        <f t="shared" si="58"/>
        <v>15</v>
      </c>
      <c r="R305" s="14">
        <f t="shared" si="59"/>
        <v>1606019</v>
      </c>
      <c r="S305" s="14" t="str">
        <f t="shared" si="63"/>
        <v>神器4碎片1等级3</v>
      </c>
      <c r="T305" s="29" t="s">
        <v>649</v>
      </c>
      <c r="U305" s="14">
        <f t="shared" si="60"/>
        <v>3</v>
      </c>
      <c r="V305" s="36">
        <f t="shared" si="64"/>
        <v>0.31800000000000006</v>
      </c>
      <c r="W305" s="17">
        <f t="shared" si="61"/>
        <v>3.1800000000000005E-3</v>
      </c>
      <c r="X305" s="14">
        <f t="shared" si="65"/>
        <v>1</v>
      </c>
      <c r="Y305" s="14">
        <f t="shared" si="66"/>
        <v>3</v>
      </c>
      <c r="Z305" s="14">
        <f t="shared" si="67"/>
        <v>0</v>
      </c>
      <c r="AA305" s="14" t="str">
        <f t="shared" si="68"/>
        <v>AtkExt</v>
      </c>
      <c r="AB305" s="14">
        <f t="shared" si="62"/>
        <v>153</v>
      </c>
      <c r="AC305" s="14" t="str">
        <f t="shared" si="69"/>
        <v>HPExt</v>
      </c>
      <c r="AD305" s="14">
        <f t="shared" si="70"/>
        <v>230</v>
      </c>
      <c r="AE305" s="14" t="str">
        <f t="shared" si="71"/>
        <v>[x]</v>
      </c>
      <c r="AF305" s="27" t="str">
        <f t="shared" si="72"/>
        <v>[x]</v>
      </c>
      <c r="AG305" s="27" t="str">
        <f t="shared" si="73"/>
        <v>[x]</v>
      </c>
    </row>
    <row r="306" spans="16:33" ht="16.5" x14ac:dyDescent="0.2">
      <c r="P306" s="13">
        <v>250</v>
      </c>
      <c r="Q306" s="14">
        <f t="shared" si="58"/>
        <v>15</v>
      </c>
      <c r="R306" s="14">
        <f t="shared" si="59"/>
        <v>1606019</v>
      </c>
      <c r="S306" s="14" t="str">
        <f t="shared" si="63"/>
        <v>神器4碎片1等级4</v>
      </c>
      <c r="T306" s="29" t="s">
        <v>649</v>
      </c>
      <c r="U306" s="14">
        <f t="shared" si="60"/>
        <v>4</v>
      </c>
      <c r="V306" s="36">
        <f t="shared" si="64"/>
        <v>0.38200000000000001</v>
      </c>
      <c r="W306" s="17">
        <f t="shared" si="61"/>
        <v>3.82E-3</v>
      </c>
      <c r="X306" s="14">
        <f t="shared" si="65"/>
        <v>1</v>
      </c>
      <c r="Y306" s="14">
        <f t="shared" si="66"/>
        <v>3</v>
      </c>
      <c r="Z306" s="14">
        <f t="shared" si="67"/>
        <v>0</v>
      </c>
      <c r="AA306" s="14" t="str">
        <f t="shared" si="68"/>
        <v>AtkExt</v>
      </c>
      <c r="AB306" s="14">
        <f t="shared" si="62"/>
        <v>183</v>
      </c>
      <c r="AC306" s="14" t="str">
        <f t="shared" si="69"/>
        <v>HPExt</v>
      </c>
      <c r="AD306" s="14">
        <f t="shared" si="70"/>
        <v>276</v>
      </c>
      <c r="AE306" s="14" t="str">
        <f t="shared" si="71"/>
        <v>[x]</v>
      </c>
      <c r="AF306" s="27" t="str">
        <f t="shared" si="72"/>
        <v>[x]</v>
      </c>
      <c r="AG306" s="27" t="str">
        <f t="shared" si="73"/>
        <v>[x]</v>
      </c>
    </row>
    <row r="307" spans="16:33" ht="16.5" x14ac:dyDescent="0.2">
      <c r="P307" s="13">
        <v>251</v>
      </c>
      <c r="Q307" s="14">
        <f t="shared" si="58"/>
        <v>15</v>
      </c>
      <c r="R307" s="14">
        <f t="shared" si="59"/>
        <v>1606019</v>
      </c>
      <c r="S307" s="14" t="str">
        <f t="shared" si="63"/>
        <v>神器4碎片1等级5</v>
      </c>
      <c r="T307" s="29" t="s">
        <v>649</v>
      </c>
      <c r="U307" s="14">
        <f t="shared" si="60"/>
        <v>5</v>
      </c>
      <c r="V307" s="36">
        <f t="shared" si="64"/>
        <v>0.45</v>
      </c>
      <c r="W307" s="17">
        <f t="shared" si="61"/>
        <v>4.5000000000000005E-3</v>
      </c>
      <c r="X307" s="14">
        <f t="shared" si="65"/>
        <v>1</v>
      </c>
      <c r="Y307" s="14">
        <f t="shared" si="66"/>
        <v>3</v>
      </c>
      <c r="Z307" s="14">
        <f t="shared" si="67"/>
        <v>0</v>
      </c>
      <c r="AA307" s="14" t="str">
        <f t="shared" si="68"/>
        <v>AtkExt</v>
      </c>
      <c r="AB307" s="14">
        <f t="shared" si="62"/>
        <v>216</v>
      </c>
      <c r="AC307" s="14" t="str">
        <f t="shared" si="69"/>
        <v>HPExt</v>
      </c>
      <c r="AD307" s="14">
        <f t="shared" si="70"/>
        <v>325</v>
      </c>
      <c r="AE307" s="14" t="str">
        <f t="shared" si="71"/>
        <v>[x]</v>
      </c>
      <c r="AF307" s="27" t="str">
        <f t="shared" si="72"/>
        <v>[x]</v>
      </c>
      <c r="AG307" s="27" t="str">
        <f t="shared" si="73"/>
        <v>[x]</v>
      </c>
    </row>
    <row r="308" spans="16:33" ht="16.5" x14ac:dyDescent="0.2">
      <c r="P308" s="13">
        <v>252</v>
      </c>
      <c r="Q308" s="14">
        <f t="shared" si="58"/>
        <v>15</v>
      </c>
      <c r="R308" s="14">
        <f t="shared" si="59"/>
        <v>1606019</v>
      </c>
      <c r="S308" s="14" t="str">
        <f t="shared" si="63"/>
        <v>神器4碎片1等级6</v>
      </c>
      <c r="T308" s="29" t="s">
        <v>649</v>
      </c>
      <c r="U308" s="14">
        <f t="shared" si="60"/>
        <v>6</v>
      </c>
      <c r="V308" s="36">
        <f t="shared" si="64"/>
        <v>0.52200000000000002</v>
      </c>
      <c r="W308" s="17">
        <f t="shared" si="61"/>
        <v>5.2200000000000007E-3</v>
      </c>
      <c r="X308" s="14">
        <f t="shared" si="65"/>
        <v>1</v>
      </c>
      <c r="Y308" s="14">
        <f t="shared" si="66"/>
        <v>3</v>
      </c>
      <c r="Z308" s="14">
        <f t="shared" si="67"/>
        <v>0</v>
      </c>
      <c r="AA308" s="14" t="str">
        <f t="shared" si="68"/>
        <v>AtkExt</v>
      </c>
      <c r="AB308" s="14">
        <f t="shared" si="62"/>
        <v>251</v>
      </c>
      <c r="AC308" s="14" t="str">
        <f t="shared" si="69"/>
        <v>HPExt</v>
      </c>
      <c r="AD308" s="14">
        <f t="shared" si="70"/>
        <v>378</v>
      </c>
      <c r="AE308" s="14" t="str">
        <f t="shared" si="71"/>
        <v>[x]</v>
      </c>
      <c r="AF308" s="27" t="str">
        <f t="shared" si="72"/>
        <v>[x]</v>
      </c>
      <c r="AG308" s="27" t="str">
        <f t="shared" si="73"/>
        <v>[x]</v>
      </c>
    </row>
    <row r="309" spans="16:33" ht="16.5" x14ac:dyDescent="0.2">
      <c r="P309" s="13">
        <v>253</v>
      </c>
      <c r="Q309" s="14">
        <f t="shared" si="58"/>
        <v>15</v>
      </c>
      <c r="R309" s="14">
        <f t="shared" si="59"/>
        <v>1606019</v>
      </c>
      <c r="S309" s="14" t="str">
        <f t="shared" si="63"/>
        <v>神器4碎片1等级7</v>
      </c>
      <c r="T309" s="29" t="s">
        <v>649</v>
      </c>
      <c r="U309" s="14">
        <f t="shared" si="60"/>
        <v>7</v>
      </c>
      <c r="V309" s="36">
        <f t="shared" si="64"/>
        <v>0.59799999999999998</v>
      </c>
      <c r="W309" s="17">
        <f t="shared" si="61"/>
        <v>5.9800000000000001E-3</v>
      </c>
      <c r="X309" s="14">
        <f t="shared" si="65"/>
        <v>1</v>
      </c>
      <c r="Y309" s="14">
        <f t="shared" si="66"/>
        <v>3</v>
      </c>
      <c r="Z309" s="14">
        <f t="shared" si="67"/>
        <v>0</v>
      </c>
      <c r="AA309" s="14" t="str">
        <f t="shared" si="68"/>
        <v>AtkExt</v>
      </c>
      <c r="AB309" s="14">
        <f t="shared" si="62"/>
        <v>288</v>
      </c>
      <c r="AC309" s="14" t="str">
        <f t="shared" si="69"/>
        <v>HPExt</v>
      </c>
      <c r="AD309" s="14">
        <f t="shared" si="70"/>
        <v>433</v>
      </c>
      <c r="AE309" s="14" t="str">
        <f t="shared" si="71"/>
        <v>[x]</v>
      </c>
      <c r="AF309" s="27" t="str">
        <f t="shared" si="72"/>
        <v>[x]</v>
      </c>
      <c r="AG309" s="27" t="str">
        <f t="shared" si="73"/>
        <v>[x]</v>
      </c>
    </row>
    <row r="310" spans="16:33" ht="16.5" x14ac:dyDescent="0.2">
      <c r="P310" s="13">
        <v>254</v>
      </c>
      <c r="Q310" s="14">
        <f t="shared" si="58"/>
        <v>15</v>
      </c>
      <c r="R310" s="14">
        <f t="shared" si="59"/>
        <v>1606019</v>
      </c>
      <c r="S310" s="14" t="str">
        <f t="shared" si="63"/>
        <v>神器4碎片1等级8</v>
      </c>
      <c r="T310" s="29" t="s">
        <v>649</v>
      </c>
      <c r="U310" s="14">
        <f t="shared" si="60"/>
        <v>8</v>
      </c>
      <c r="V310" s="36">
        <f t="shared" si="64"/>
        <v>0.67800000000000005</v>
      </c>
      <c r="W310" s="17">
        <f t="shared" si="61"/>
        <v>6.7800000000000004E-3</v>
      </c>
      <c r="X310" s="14">
        <f t="shared" si="65"/>
        <v>1</v>
      </c>
      <c r="Y310" s="14">
        <f t="shared" si="66"/>
        <v>3</v>
      </c>
      <c r="Z310" s="14">
        <f t="shared" si="67"/>
        <v>0</v>
      </c>
      <c r="AA310" s="14" t="str">
        <f t="shared" si="68"/>
        <v>AtkExt</v>
      </c>
      <c r="AB310" s="14">
        <f t="shared" si="62"/>
        <v>326</v>
      </c>
      <c r="AC310" s="14" t="str">
        <f t="shared" si="69"/>
        <v>HPExt</v>
      </c>
      <c r="AD310" s="14">
        <f t="shared" si="70"/>
        <v>490</v>
      </c>
      <c r="AE310" s="14" t="str">
        <f t="shared" si="71"/>
        <v>[x]</v>
      </c>
      <c r="AF310" s="27" t="str">
        <f t="shared" si="72"/>
        <v>[x]</v>
      </c>
      <c r="AG310" s="27" t="str">
        <f t="shared" si="73"/>
        <v>[x]</v>
      </c>
    </row>
    <row r="311" spans="16:33" ht="16.5" x14ac:dyDescent="0.2">
      <c r="P311" s="13">
        <v>255</v>
      </c>
      <c r="Q311" s="14">
        <f t="shared" si="58"/>
        <v>15</v>
      </c>
      <c r="R311" s="14">
        <f t="shared" si="59"/>
        <v>1606019</v>
      </c>
      <c r="S311" s="14" t="str">
        <f t="shared" si="63"/>
        <v>神器4碎片1等级9</v>
      </c>
      <c r="T311" s="29" t="s">
        <v>649</v>
      </c>
      <c r="U311" s="14">
        <f t="shared" si="60"/>
        <v>9</v>
      </c>
      <c r="V311" s="36">
        <f t="shared" si="64"/>
        <v>0.76200000000000001</v>
      </c>
      <c r="W311" s="17">
        <f t="shared" si="61"/>
        <v>7.62E-3</v>
      </c>
      <c r="X311" s="14">
        <f t="shared" si="65"/>
        <v>1</v>
      </c>
      <c r="Y311" s="14">
        <f t="shared" si="66"/>
        <v>3</v>
      </c>
      <c r="Z311" s="14">
        <f t="shared" si="67"/>
        <v>0</v>
      </c>
      <c r="AA311" s="14" t="str">
        <f t="shared" si="68"/>
        <v>AtkExt</v>
      </c>
      <c r="AB311" s="14">
        <f t="shared" si="62"/>
        <v>366</v>
      </c>
      <c r="AC311" s="14" t="str">
        <f t="shared" si="69"/>
        <v>HPExt</v>
      </c>
      <c r="AD311" s="14">
        <f t="shared" si="70"/>
        <v>551</v>
      </c>
      <c r="AE311" s="14" t="str">
        <f t="shared" si="71"/>
        <v>[x]</v>
      </c>
      <c r="AF311" s="27" t="str">
        <f t="shared" si="72"/>
        <v>[x]</v>
      </c>
      <c r="AG311" s="27" t="str">
        <f t="shared" si="73"/>
        <v>[x]</v>
      </c>
    </row>
    <row r="312" spans="16:33" ht="16.5" x14ac:dyDescent="0.2">
      <c r="P312" s="13">
        <v>256</v>
      </c>
      <c r="Q312" s="14">
        <f t="shared" si="58"/>
        <v>15</v>
      </c>
      <c r="R312" s="14">
        <f t="shared" si="59"/>
        <v>1606019</v>
      </c>
      <c r="S312" s="14" t="str">
        <f t="shared" si="63"/>
        <v>神器4碎片1等级10</v>
      </c>
      <c r="T312" s="29" t="s">
        <v>649</v>
      </c>
      <c r="U312" s="14">
        <f t="shared" si="60"/>
        <v>10</v>
      </c>
      <c r="V312" s="36">
        <f t="shared" si="64"/>
        <v>0.85000000000000009</v>
      </c>
      <c r="W312" s="17">
        <f t="shared" si="61"/>
        <v>8.5000000000000006E-3</v>
      </c>
      <c r="X312" s="14">
        <f t="shared" si="65"/>
        <v>1</v>
      </c>
      <c r="Y312" s="14">
        <f t="shared" si="66"/>
        <v>3</v>
      </c>
      <c r="Z312" s="14">
        <f t="shared" si="67"/>
        <v>0</v>
      </c>
      <c r="AA312" s="14" t="str">
        <f t="shared" si="68"/>
        <v>AtkExt</v>
      </c>
      <c r="AB312" s="14">
        <f t="shared" si="62"/>
        <v>409</v>
      </c>
      <c r="AC312" s="14" t="str">
        <f t="shared" si="69"/>
        <v>HPExt</v>
      </c>
      <c r="AD312" s="14">
        <f t="shared" si="70"/>
        <v>615</v>
      </c>
      <c r="AE312" s="14" t="str">
        <f t="shared" si="71"/>
        <v>[x]</v>
      </c>
      <c r="AF312" s="27" t="str">
        <f t="shared" si="72"/>
        <v>[x]</v>
      </c>
      <c r="AG312" s="27" t="str">
        <f t="shared" si="73"/>
        <v>[x]</v>
      </c>
    </row>
    <row r="313" spans="16:33" ht="16.5" x14ac:dyDescent="0.2">
      <c r="P313" s="13">
        <v>257</v>
      </c>
      <c r="Q313" s="14">
        <f t="shared" ref="Q313:Q376" si="74">MATCH(P313-1,$X$4:$X$46,1)</f>
        <v>15</v>
      </c>
      <c r="R313" s="14">
        <f t="shared" ref="R313:R376" si="75">INDEX($S$5:$S$46,Q313)</f>
        <v>1606019</v>
      </c>
      <c r="S313" s="14" t="str">
        <f t="shared" si="63"/>
        <v>神器4碎片1等级11</v>
      </c>
      <c r="T313" s="29" t="s">
        <v>649</v>
      </c>
      <c r="U313" s="14">
        <f t="shared" ref="U313:U376" si="76">P313-INDEX($X$4:$X$46,Q313)</f>
        <v>11</v>
      </c>
      <c r="V313" s="36">
        <f t="shared" si="64"/>
        <v>0.94200000000000006</v>
      </c>
      <c r="W313" s="17">
        <f t="shared" ref="W313:W376" si="77">INDEX($V$5:$V$46,Q313)*V313</f>
        <v>9.4200000000000013E-3</v>
      </c>
      <c r="X313" s="14">
        <f t="shared" si="65"/>
        <v>1</v>
      </c>
      <c r="Y313" s="14">
        <f t="shared" si="66"/>
        <v>3</v>
      </c>
      <c r="Z313" s="14">
        <f t="shared" si="67"/>
        <v>0</v>
      </c>
      <c r="AA313" s="14" t="str">
        <f t="shared" si="68"/>
        <v>AtkExt</v>
      </c>
      <c r="AB313" s="14">
        <f t="shared" ref="AB313:AB376" si="78">INT(INDEX($E$4:$G$4,X313)*W313*INDEX($Y$5:$AA$46,Q313,X313))</f>
        <v>453</v>
      </c>
      <c r="AC313" s="14" t="str">
        <f t="shared" si="69"/>
        <v>HPExt</v>
      </c>
      <c r="AD313" s="14">
        <f t="shared" si="70"/>
        <v>682</v>
      </c>
      <c r="AE313" s="14" t="str">
        <f t="shared" si="71"/>
        <v>[x]</v>
      </c>
      <c r="AF313" s="27" t="str">
        <f t="shared" si="72"/>
        <v>[x]</v>
      </c>
      <c r="AG313" s="27" t="str">
        <f t="shared" si="73"/>
        <v>[x]</v>
      </c>
    </row>
    <row r="314" spans="16:33" ht="16.5" x14ac:dyDescent="0.2">
      <c r="P314" s="13">
        <v>258</v>
      </c>
      <c r="Q314" s="14">
        <f t="shared" si="74"/>
        <v>15</v>
      </c>
      <c r="R314" s="14">
        <f t="shared" si="75"/>
        <v>1606019</v>
      </c>
      <c r="S314" s="14" t="str">
        <f t="shared" ref="S314:S377" si="79">INDEX($P$5:$P$46,Q314)&amp;"碎片"&amp;INDEX($R$5:$R$46,Q314)&amp;"等级"&amp;U314</f>
        <v>神器4碎片1等级12</v>
      </c>
      <c r="T314" s="29" t="s">
        <v>649</v>
      </c>
      <c r="U314" s="14">
        <f t="shared" si="76"/>
        <v>12</v>
      </c>
      <c r="V314" s="36">
        <f t="shared" ref="V314:V377" si="80">15%+U314*5%+U314*U314*0.2%</f>
        <v>1.0380000000000003</v>
      </c>
      <c r="W314" s="17">
        <f t="shared" si="77"/>
        <v>1.0380000000000002E-2</v>
      </c>
      <c r="X314" s="14">
        <f t="shared" ref="X314:X377" si="81">INDEX($AB$5:$AB$46,Q314)</f>
        <v>1</v>
      </c>
      <c r="Y314" s="14">
        <f t="shared" ref="Y314:Y377" si="82">INDEX(AC$5:AC$46,$Q314)</f>
        <v>3</v>
      </c>
      <c r="Z314" s="14">
        <f t="shared" ref="Z314:Z377" si="83">INDEX(AD$5:AD$46,$Q314)</f>
        <v>0</v>
      </c>
      <c r="AA314" s="14" t="str">
        <f t="shared" ref="AA314:AA377" si="84">INDEX($Y$3:$AA$3,X314)</f>
        <v>AtkExt</v>
      </c>
      <c r="AB314" s="14">
        <f t="shared" si="78"/>
        <v>499</v>
      </c>
      <c r="AC314" s="14" t="str">
        <f t="shared" ref="AC314:AC377" si="85">IF(Y314&gt;0,INDEX($Y$3:$AA$3,Y314),"[x]")</f>
        <v>HPExt</v>
      </c>
      <c r="AD314" s="14">
        <f t="shared" ref="AD314:AD377" si="86">IF(Y314&gt;0,INT(INDEX($E$4:$G$4,Y314)*W314*INDEX($Y$5:$AA$46,Q314,Y314)),"[x]")</f>
        <v>751</v>
      </c>
      <c r="AE314" s="14" t="str">
        <f t="shared" ref="AE314:AE377" si="87">IF(Z314&gt;0,INDEX($Y$3:$AA$3,Z314),"[x]")</f>
        <v>[x]</v>
      </c>
      <c r="AF314" s="27" t="str">
        <f t="shared" ref="AF314:AF377" si="88">IF(Z314&gt;0,INT(INDEX($E$4:$G$4,Z314)*W314*INDEX($Y$5:$AA$46,Q314,Z314)),"[x]")</f>
        <v>[x]</v>
      </c>
      <c r="AG314" s="27" t="str">
        <f t="shared" ref="AG314:AG377" si="89">IF(INDEX($AE$5:$AE$46,Q314)&gt;0,INDEX($AE$5:$AE$46,Q314)*U314,"[x]")</f>
        <v>[x]</v>
      </c>
    </row>
    <row r="315" spans="16:33" ht="16.5" x14ac:dyDescent="0.2">
      <c r="P315" s="13">
        <v>259</v>
      </c>
      <c r="Q315" s="14">
        <f t="shared" si="74"/>
        <v>15</v>
      </c>
      <c r="R315" s="14">
        <f t="shared" si="75"/>
        <v>1606019</v>
      </c>
      <c r="S315" s="14" t="str">
        <f t="shared" si="79"/>
        <v>神器4碎片1等级13</v>
      </c>
      <c r="T315" s="29" t="s">
        <v>649</v>
      </c>
      <c r="U315" s="14">
        <f t="shared" si="76"/>
        <v>13</v>
      </c>
      <c r="V315" s="36">
        <f t="shared" si="80"/>
        <v>1.1380000000000001</v>
      </c>
      <c r="W315" s="17">
        <f t="shared" si="77"/>
        <v>1.1380000000000001E-2</v>
      </c>
      <c r="X315" s="14">
        <f t="shared" si="81"/>
        <v>1</v>
      </c>
      <c r="Y315" s="14">
        <f t="shared" si="82"/>
        <v>3</v>
      </c>
      <c r="Z315" s="14">
        <f t="shared" si="83"/>
        <v>0</v>
      </c>
      <c r="AA315" s="14" t="str">
        <f t="shared" si="84"/>
        <v>AtkExt</v>
      </c>
      <c r="AB315" s="14">
        <f t="shared" si="78"/>
        <v>548</v>
      </c>
      <c r="AC315" s="14" t="str">
        <f t="shared" si="85"/>
        <v>HPExt</v>
      </c>
      <c r="AD315" s="14">
        <f t="shared" si="86"/>
        <v>824</v>
      </c>
      <c r="AE315" s="14" t="str">
        <f t="shared" si="87"/>
        <v>[x]</v>
      </c>
      <c r="AF315" s="27" t="str">
        <f t="shared" si="88"/>
        <v>[x]</v>
      </c>
      <c r="AG315" s="27" t="str">
        <f t="shared" si="89"/>
        <v>[x]</v>
      </c>
    </row>
    <row r="316" spans="16:33" ht="16.5" x14ac:dyDescent="0.2">
      <c r="P316" s="13">
        <v>260</v>
      </c>
      <c r="Q316" s="14">
        <f t="shared" si="74"/>
        <v>15</v>
      </c>
      <c r="R316" s="14">
        <f t="shared" si="75"/>
        <v>1606019</v>
      </c>
      <c r="S316" s="14" t="str">
        <f t="shared" si="79"/>
        <v>神器4碎片1等级14</v>
      </c>
      <c r="T316" s="29" t="s">
        <v>649</v>
      </c>
      <c r="U316" s="14">
        <f t="shared" si="76"/>
        <v>14</v>
      </c>
      <c r="V316" s="36">
        <f t="shared" si="80"/>
        <v>1.242</v>
      </c>
      <c r="W316" s="17">
        <f t="shared" si="77"/>
        <v>1.242E-2</v>
      </c>
      <c r="X316" s="14">
        <f t="shared" si="81"/>
        <v>1</v>
      </c>
      <c r="Y316" s="14">
        <f t="shared" si="82"/>
        <v>3</v>
      </c>
      <c r="Z316" s="14">
        <f t="shared" si="83"/>
        <v>0</v>
      </c>
      <c r="AA316" s="14" t="str">
        <f t="shared" si="84"/>
        <v>AtkExt</v>
      </c>
      <c r="AB316" s="14">
        <f t="shared" si="78"/>
        <v>598</v>
      </c>
      <c r="AC316" s="14" t="str">
        <f t="shared" si="85"/>
        <v>HPExt</v>
      </c>
      <c r="AD316" s="14">
        <f t="shared" si="86"/>
        <v>899</v>
      </c>
      <c r="AE316" s="14" t="str">
        <f t="shared" si="87"/>
        <v>[x]</v>
      </c>
      <c r="AF316" s="27" t="str">
        <f t="shared" si="88"/>
        <v>[x]</v>
      </c>
      <c r="AG316" s="27" t="str">
        <f t="shared" si="89"/>
        <v>[x]</v>
      </c>
    </row>
    <row r="317" spans="16:33" ht="16.5" x14ac:dyDescent="0.2">
      <c r="P317" s="13">
        <v>261</v>
      </c>
      <c r="Q317" s="14">
        <f t="shared" si="74"/>
        <v>15</v>
      </c>
      <c r="R317" s="14">
        <f t="shared" si="75"/>
        <v>1606019</v>
      </c>
      <c r="S317" s="14" t="str">
        <f t="shared" si="79"/>
        <v>神器4碎片1等级15</v>
      </c>
      <c r="T317" s="29" t="s">
        <v>649</v>
      </c>
      <c r="U317" s="14">
        <f t="shared" si="76"/>
        <v>15</v>
      </c>
      <c r="V317" s="36">
        <f t="shared" si="80"/>
        <v>1.35</v>
      </c>
      <c r="W317" s="17">
        <f t="shared" si="77"/>
        <v>1.3500000000000002E-2</v>
      </c>
      <c r="X317" s="14">
        <f t="shared" si="81"/>
        <v>1</v>
      </c>
      <c r="Y317" s="14">
        <f t="shared" si="82"/>
        <v>3</v>
      </c>
      <c r="Z317" s="14">
        <f t="shared" si="83"/>
        <v>0</v>
      </c>
      <c r="AA317" s="14" t="str">
        <f t="shared" si="84"/>
        <v>AtkExt</v>
      </c>
      <c r="AB317" s="14">
        <f t="shared" si="78"/>
        <v>650</v>
      </c>
      <c r="AC317" s="14" t="str">
        <f t="shared" si="85"/>
        <v>HPExt</v>
      </c>
      <c r="AD317" s="14">
        <f t="shared" si="86"/>
        <v>977</v>
      </c>
      <c r="AE317" s="14" t="str">
        <f t="shared" si="87"/>
        <v>[x]</v>
      </c>
      <c r="AF317" s="27" t="str">
        <f t="shared" si="88"/>
        <v>[x]</v>
      </c>
      <c r="AG317" s="27" t="str">
        <f t="shared" si="89"/>
        <v>[x]</v>
      </c>
    </row>
    <row r="318" spans="16:33" ht="16.5" x14ac:dyDescent="0.2">
      <c r="P318" s="13">
        <v>262</v>
      </c>
      <c r="Q318" s="14">
        <f t="shared" si="74"/>
        <v>15</v>
      </c>
      <c r="R318" s="14">
        <f t="shared" si="75"/>
        <v>1606019</v>
      </c>
      <c r="S318" s="14" t="str">
        <f t="shared" si="79"/>
        <v>神器4碎片1等级16</v>
      </c>
      <c r="T318" s="29" t="s">
        <v>649</v>
      </c>
      <c r="U318" s="14">
        <f t="shared" si="76"/>
        <v>16</v>
      </c>
      <c r="V318" s="36">
        <f t="shared" si="80"/>
        <v>1.4620000000000002</v>
      </c>
      <c r="W318" s="17">
        <f t="shared" si="77"/>
        <v>1.4620000000000003E-2</v>
      </c>
      <c r="X318" s="14">
        <f t="shared" si="81"/>
        <v>1</v>
      </c>
      <c r="Y318" s="14">
        <f t="shared" si="82"/>
        <v>3</v>
      </c>
      <c r="Z318" s="14">
        <f t="shared" si="83"/>
        <v>0</v>
      </c>
      <c r="AA318" s="14" t="str">
        <f t="shared" si="84"/>
        <v>AtkExt</v>
      </c>
      <c r="AB318" s="14">
        <f t="shared" si="78"/>
        <v>704</v>
      </c>
      <c r="AC318" s="14" t="str">
        <f t="shared" si="85"/>
        <v>HPExt</v>
      </c>
      <c r="AD318" s="14">
        <f t="shared" si="86"/>
        <v>1058</v>
      </c>
      <c r="AE318" s="14" t="str">
        <f t="shared" si="87"/>
        <v>[x]</v>
      </c>
      <c r="AF318" s="27" t="str">
        <f t="shared" si="88"/>
        <v>[x]</v>
      </c>
      <c r="AG318" s="27" t="str">
        <f t="shared" si="89"/>
        <v>[x]</v>
      </c>
    </row>
    <row r="319" spans="16:33" ht="16.5" x14ac:dyDescent="0.2">
      <c r="P319" s="13">
        <v>263</v>
      </c>
      <c r="Q319" s="14">
        <f t="shared" si="74"/>
        <v>15</v>
      </c>
      <c r="R319" s="14">
        <f t="shared" si="75"/>
        <v>1606019</v>
      </c>
      <c r="S319" s="14" t="str">
        <f t="shared" si="79"/>
        <v>神器4碎片1等级17</v>
      </c>
      <c r="T319" s="29" t="s">
        <v>649</v>
      </c>
      <c r="U319" s="14">
        <f t="shared" si="76"/>
        <v>17</v>
      </c>
      <c r="V319" s="36">
        <f t="shared" si="80"/>
        <v>1.5779999999999998</v>
      </c>
      <c r="W319" s="17">
        <f t="shared" si="77"/>
        <v>1.5779999999999999E-2</v>
      </c>
      <c r="X319" s="14">
        <f t="shared" si="81"/>
        <v>1</v>
      </c>
      <c r="Y319" s="14">
        <f t="shared" si="82"/>
        <v>3</v>
      </c>
      <c r="Z319" s="14">
        <f t="shared" si="83"/>
        <v>0</v>
      </c>
      <c r="AA319" s="14" t="str">
        <f t="shared" si="84"/>
        <v>AtkExt</v>
      </c>
      <c r="AB319" s="14">
        <f t="shared" si="78"/>
        <v>759</v>
      </c>
      <c r="AC319" s="14" t="str">
        <f t="shared" si="85"/>
        <v>HPExt</v>
      </c>
      <c r="AD319" s="14">
        <f t="shared" si="86"/>
        <v>1142</v>
      </c>
      <c r="AE319" s="14" t="str">
        <f t="shared" si="87"/>
        <v>[x]</v>
      </c>
      <c r="AF319" s="27" t="str">
        <f t="shared" si="88"/>
        <v>[x]</v>
      </c>
      <c r="AG319" s="27" t="str">
        <f t="shared" si="89"/>
        <v>[x]</v>
      </c>
    </row>
    <row r="320" spans="16:33" ht="16.5" x14ac:dyDescent="0.2">
      <c r="P320" s="13">
        <v>264</v>
      </c>
      <c r="Q320" s="14">
        <f t="shared" si="74"/>
        <v>15</v>
      </c>
      <c r="R320" s="14">
        <f t="shared" si="75"/>
        <v>1606019</v>
      </c>
      <c r="S320" s="14" t="str">
        <f t="shared" si="79"/>
        <v>神器4碎片1等级18</v>
      </c>
      <c r="T320" s="29" t="s">
        <v>649</v>
      </c>
      <c r="U320" s="14">
        <f t="shared" si="76"/>
        <v>18</v>
      </c>
      <c r="V320" s="36">
        <f t="shared" si="80"/>
        <v>1.698</v>
      </c>
      <c r="W320" s="17">
        <f t="shared" si="77"/>
        <v>1.6979999999999999E-2</v>
      </c>
      <c r="X320" s="14">
        <f t="shared" si="81"/>
        <v>1</v>
      </c>
      <c r="Y320" s="14">
        <f t="shared" si="82"/>
        <v>3</v>
      </c>
      <c r="Z320" s="14">
        <f t="shared" si="83"/>
        <v>0</v>
      </c>
      <c r="AA320" s="14" t="str">
        <f t="shared" si="84"/>
        <v>AtkExt</v>
      </c>
      <c r="AB320" s="14">
        <f t="shared" si="78"/>
        <v>817</v>
      </c>
      <c r="AC320" s="14" t="str">
        <f t="shared" si="85"/>
        <v>HPExt</v>
      </c>
      <c r="AD320" s="14">
        <f t="shared" si="86"/>
        <v>1229</v>
      </c>
      <c r="AE320" s="14" t="str">
        <f t="shared" si="87"/>
        <v>[x]</v>
      </c>
      <c r="AF320" s="27" t="str">
        <f t="shared" si="88"/>
        <v>[x]</v>
      </c>
      <c r="AG320" s="27" t="str">
        <f t="shared" si="89"/>
        <v>[x]</v>
      </c>
    </row>
    <row r="321" spans="16:33" ht="16.5" x14ac:dyDescent="0.2">
      <c r="P321" s="13">
        <v>265</v>
      </c>
      <c r="Q321" s="14">
        <f t="shared" si="74"/>
        <v>15</v>
      </c>
      <c r="R321" s="14">
        <f t="shared" si="75"/>
        <v>1606019</v>
      </c>
      <c r="S321" s="14" t="str">
        <f t="shared" si="79"/>
        <v>神器4碎片1等级19</v>
      </c>
      <c r="T321" s="29" t="s">
        <v>649</v>
      </c>
      <c r="U321" s="14">
        <f t="shared" si="76"/>
        <v>19</v>
      </c>
      <c r="V321" s="36">
        <f t="shared" si="80"/>
        <v>1.8220000000000001</v>
      </c>
      <c r="W321" s="17">
        <f t="shared" si="77"/>
        <v>1.822E-2</v>
      </c>
      <c r="X321" s="14">
        <f t="shared" si="81"/>
        <v>1</v>
      </c>
      <c r="Y321" s="14">
        <f t="shared" si="82"/>
        <v>3</v>
      </c>
      <c r="Z321" s="14">
        <f t="shared" si="83"/>
        <v>0</v>
      </c>
      <c r="AA321" s="14" t="str">
        <f t="shared" si="84"/>
        <v>AtkExt</v>
      </c>
      <c r="AB321" s="14">
        <f t="shared" si="78"/>
        <v>877</v>
      </c>
      <c r="AC321" s="14" t="str">
        <f t="shared" si="85"/>
        <v>HPExt</v>
      </c>
      <c r="AD321" s="14">
        <f t="shared" si="86"/>
        <v>1319</v>
      </c>
      <c r="AE321" s="14" t="str">
        <f t="shared" si="87"/>
        <v>[x]</v>
      </c>
      <c r="AF321" s="27" t="str">
        <f t="shared" si="88"/>
        <v>[x]</v>
      </c>
      <c r="AG321" s="27" t="str">
        <f t="shared" si="89"/>
        <v>[x]</v>
      </c>
    </row>
    <row r="322" spans="16:33" ht="16.5" x14ac:dyDescent="0.2">
      <c r="P322" s="13">
        <v>266</v>
      </c>
      <c r="Q322" s="14">
        <f t="shared" si="74"/>
        <v>15</v>
      </c>
      <c r="R322" s="14">
        <f t="shared" si="75"/>
        <v>1606019</v>
      </c>
      <c r="S322" s="14" t="str">
        <f t="shared" si="79"/>
        <v>神器4碎片1等级20</v>
      </c>
      <c r="T322" s="29" t="s">
        <v>649</v>
      </c>
      <c r="U322" s="14">
        <f t="shared" si="76"/>
        <v>20</v>
      </c>
      <c r="V322" s="36">
        <f t="shared" si="80"/>
        <v>1.95</v>
      </c>
      <c r="W322" s="17">
        <f t="shared" si="77"/>
        <v>1.95E-2</v>
      </c>
      <c r="X322" s="14">
        <f t="shared" si="81"/>
        <v>1</v>
      </c>
      <c r="Y322" s="14">
        <f t="shared" si="82"/>
        <v>3</v>
      </c>
      <c r="Z322" s="14">
        <f t="shared" si="83"/>
        <v>0</v>
      </c>
      <c r="AA322" s="14" t="str">
        <f t="shared" si="84"/>
        <v>AtkExt</v>
      </c>
      <c r="AB322" s="14">
        <f t="shared" si="78"/>
        <v>939</v>
      </c>
      <c r="AC322" s="14" t="str">
        <f t="shared" si="85"/>
        <v>HPExt</v>
      </c>
      <c r="AD322" s="14">
        <f t="shared" si="86"/>
        <v>1412</v>
      </c>
      <c r="AE322" s="14" t="str">
        <f t="shared" si="87"/>
        <v>[x]</v>
      </c>
      <c r="AF322" s="27" t="str">
        <f t="shared" si="88"/>
        <v>[x]</v>
      </c>
      <c r="AG322" s="27" t="str">
        <f t="shared" si="89"/>
        <v>[x]</v>
      </c>
    </row>
    <row r="323" spans="16:33" ht="16.5" x14ac:dyDescent="0.2">
      <c r="P323" s="13">
        <v>267</v>
      </c>
      <c r="Q323" s="14">
        <f t="shared" si="74"/>
        <v>15</v>
      </c>
      <c r="R323" s="14">
        <f t="shared" si="75"/>
        <v>1606019</v>
      </c>
      <c r="S323" s="14" t="str">
        <f t="shared" si="79"/>
        <v>神器4碎片1等级21</v>
      </c>
      <c r="T323" s="29" t="s">
        <v>649</v>
      </c>
      <c r="U323" s="14">
        <f t="shared" si="76"/>
        <v>21</v>
      </c>
      <c r="V323" s="36">
        <f t="shared" si="80"/>
        <v>2.0819999999999999</v>
      </c>
      <c r="W323" s="17">
        <f t="shared" si="77"/>
        <v>2.0819999999999998E-2</v>
      </c>
      <c r="X323" s="14">
        <f t="shared" si="81"/>
        <v>1</v>
      </c>
      <c r="Y323" s="14">
        <f t="shared" si="82"/>
        <v>3</v>
      </c>
      <c r="Z323" s="14">
        <f t="shared" si="83"/>
        <v>0</v>
      </c>
      <c r="AA323" s="14" t="str">
        <f t="shared" si="84"/>
        <v>AtkExt</v>
      </c>
      <c r="AB323" s="14">
        <f t="shared" si="78"/>
        <v>1002</v>
      </c>
      <c r="AC323" s="14" t="str">
        <f t="shared" si="85"/>
        <v>HPExt</v>
      </c>
      <c r="AD323" s="14">
        <f t="shared" si="86"/>
        <v>1507</v>
      </c>
      <c r="AE323" s="14" t="str">
        <f t="shared" si="87"/>
        <v>[x]</v>
      </c>
      <c r="AF323" s="27" t="str">
        <f t="shared" si="88"/>
        <v>[x]</v>
      </c>
      <c r="AG323" s="27" t="str">
        <f t="shared" si="89"/>
        <v>[x]</v>
      </c>
    </row>
    <row r="324" spans="16:33" ht="16.5" x14ac:dyDescent="0.2">
      <c r="P324" s="13">
        <v>268</v>
      </c>
      <c r="Q324" s="14">
        <f t="shared" si="74"/>
        <v>16</v>
      </c>
      <c r="R324" s="14">
        <f t="shared" si="75"/>
        <v>1606020</v>
      </c>
      <c r="S324" s="14" t="str">
        <f t="shared" si="79"/>
        <v>神器4碎片2等级1</v>
      </c>
      <c r="T324" s="29" t="s">
        <v>649</v>
      </c>
      <c r="U324" s="14">
        <f t="shared" si="76"/>
        <v>1</v>
      </c>
      <c r="V324" s="36">
        <f t="shared" si="80"/>
        <v>0.20200000000000001</v>
      </c>
      <c r="W324" s="17">
        <f t="shared" si="77"/>
        <v>2.0200000000000001E-3</v>
      </c>
      <c r="X324" s="14">
        <f t="shared" si="81"/>
        <v>1</v>
      </c>
      <c r="Y324" s="14">
        <f t="shared" si="82"/>
        <v>2</v>
      </c>
      <c r="Z324" s="14">
        <f t="shared" si="83"/>
        <v>0</v>
      </c>
      <c r="AA324" s="14" t="str">
        <f t="shared" si="84"/>
        <v>AtkExt</v>
      </c>
      <c r="AB324" s="14">
        <f t="shared" si="78"/>
        <v>97</v>
      </c>
      <c r="AC324" s="14" t="str">
        <f t="shared" si="85"/>
        <v>DefExt</v>
      </c>
      <c r="AD324" s="14">
        <f t="shared" si="86"/>
        <v>24</v>
      </c>
      <c r="AE324" s="14" t="str">
        <f t="shared" si="87"/>
        <v>[x]</v>
      </c>
      <c r="AF324" s="27" t="str">
        <f t="shared" si="88"/>
        <v>[x]</v>
      </c>
      <c r="AG324" s="27" t="str">
        <f t="shared" si="89"/>
        <v>[x]</v>
      </c>
    </row>
    <row r="325" spans="16:33" ht="16.5" x14ac:dyDescent="0.2">
      <c r="P325" s="13">
        <v>269</v>
      </c>
      <c r="Q325" s="14">
        <f t="shared" si="74"/>
        <v>16</v>
      </c>
      <c r="R325" s="14">
        <f t="shared" si="75"/>
        <v>1606020</v>
      </c>
      <c r="S325" s="14" t="str">
        <f t="shared" si="79"/>
        <v>神器4碎片2等级2</v>
      </c>
      <c r="T325" s="29" t="s">
        <v>649</v>
      </c>
      <c r="U325" s="14">
        <f t="shared" si="76"/>
        <v>2</v>
      </c>
      <c r="V325" s="36">
        <f t="shared" si="80"/>
        <v>0.25800000000000001</v>
      </c>
      <c r="W325" s="17">
        <f t="shared" si="77"/>
        <v>2.5800000000000003E-3</v>
      </c>
      <c r="X325" s="14">
        <f t="shared" si="81"/>
        <v>1</v>
      </c>
      <c r="Y325" s="14">
        <f t="shared" si="82"/>
        <v>2</v>
      </c>
      <c r="Z325" s="14">
        <f t="shared" si="83"/>
        <v>0</v>
      </c>
      <c r="AA325" s="14" t="str">
        <f t="shared" si="84"/>
        <v>AtkExt</v>
      </c>
      <c r="AB325" s="14">
        <f t="shared" si="78"/>
        <v>124</v>
      </c>
      <c r="AC325" s="14" t="str">
        <f t="shared" si="85"/>
        <v>DefExt</v>
      </c>
      <c r="AD325" s="14">
        <f t="shared" si="86"/>
        <v>30</v>
      </c>
      <c r="AE325" s="14" t="str">
        <f t="shared" si="87"/>
        <v>[x]</v>
      </c>
      <c r="AF325" s="27" t="str">
        <f t="shared" si="88"/>
        <v>[x]</v>
      </c>
      <c r="AG325" s="27" t="str">
        <f t="shared" si="89"/>
        <v>[x]</v>
      </c>
    </row>
    <row r="326" spans="16:33" ht="16.5" x14ac:dyDescent="0.2">
      <c r="P326" s="13">
        <v>270</v>
      </c>
      <c r="Q326" s="14">
        <f t="shared" si="74"/>
        <v>16</v>
      </c>
      <c r="R326" s="14">
        <f t="shared" si="75"/>
        <v>1606020</v>
      </c>
      <c r="S326" s="14" t="str">
        <f t="shared" si="79"/>
        <v>神器4碎片2等级3</v>
      </c>
      <c r="T326" s="29" t="s">
        <v>649</v>
      </c>
      <c r="U326" s="14">
        <f t="shared" si="76"/>
        <v>3</v>
      </c>
      <c r="V326" s="36">
        <f t="shared" si="80"/>
        <v>0.31800000000000006</v>
      </c>
      <c r="W326" s="17">
        <f t="shared" si="77"/>
        <v>3.1800000000000005E-3</v>
      </c>
      <c r="X326" s="14">
        <f t="shared" si="81"/>
        <v>1</v>
      </c>
      <c r="Y326" s="14">
        <f t="shared" si="82"/>
        <v>2</v>
      </c>
      <c r="Z326" s="14">
        <f t="shared" si="83"/>
        <v>0</v>
      </c>
      <c r="AA326" s="14" t="str">
        <f t="shared" si="84"/>
        <v>AtkExt</v>
      </c>
      <c r="AB326" s="14">
        <f t="shared" si="78"/>
        <v>153</v>
      </c>
      <c r="AC326" s="14" t="str">
        <f t="shared" si="85"/>
        <v>DefExt</v>
      </c>
      <c r="AD326" s="14">
        <f t="shared" si="86"/>
        <v>38</v>
      </c>
      <c r="AE326" s="14" t="str">
        <f t="shared" si="87"/>
        <v>[x]</v>
      </c>
      <c r="AF326" s="27" t="str">
        <f t="shared" si="88"/>
        <v>[x]</v>
      </c>
      <c r="AG326" s="27" t="str">
        <f t="shared" si="89"/>
        <v>[x]</v>
      </c>
    </row>
    <row r="327" spans="16:33" ht="16.5" x14ac:dyDescent="0.2">
      <c r="P327" s="13">
        <v>271</v>
      </c>
      <c r="Q327" s="14">
        <f t="shared" si="74"/>
        <v>16</v>
      </c>
      <c r="R327" s="14">
        <f t="shared" si="75"/>
        <v>1606020</v>
      </c>
      <c r="S327" s="14" t="str">
        <f t="shared" si="79"/>
        <v>神器4碎片2等级4</v>
      </c>
      <c r="T327" s="29" t="s">
        <v>649</v>
      </c>
      <c r="U327" s="14">
        <f t="shared" si="76"/>
        <v>4</v>
      </c>
      <c r="V327" s="36">
        <f t="shared" si="80"/>
        <v>0.38200000000000001</v>
      </c>
      <c r="W327" s="17">
        <f t="shared" si="77"/>
        <v>3.82E-3</v>
      </c>
      <c r="X327" s="14">
        <f t="shared" si="81"/>
        <v>1</v>
      </c>
      <c r="Y327" s="14">
        <f t="shared" si="82"/>
        <v>2</v>
      </c>
      <c r="Z327" s="14">
        <f t="shared" si="83"/>
        <v>0</v>
      </c>
      <c r="AA327" s="14" t="str">
        <f t="shared" si="84"/>
        <v>AtkExt</v>
      </c>
      <c r="AB327" s="14">
        <f t="shared" si="78"/>
        <v>183</v>
      </c>
      <c r="AC327" s="14" t="str">
        <f t="shared" si="85"/>
        <v>DefExt</v>
      </c>
      <c r="AD327" s="14">
        <f t="shared" si="86"/>
        <v>45</v>
      </c>
      <c r="AE327" s="14" t="str">
        <f t="shared" si="87"/>
        <v>[x]</v>
      </c>
      <c r="AF327" s="27" t="str">
        <f t="shared" si="88"/>
        <v>[x]</v>
      </c>
      <c r="AG327" s="27" t="str">
        <f t="shared" si="89"/>
        <v>[x]</v>
      </c>
    </row>
    <row r="328" spans="16:33" ht="16.5" x14ac:dyDescent="0.2">
      <c r="P328" s="13">
        <v>272</v>
      </c>
      <c r="Q328" s="14">
        <f t="shared" si="74"/>
        <v>16</v>
      </c>
      <c r="R328" s="14">
        <f t="shared" si="75"/>
        <v>1606020</v>
      </c>
      <c r="S328" s="14" t="str">
        <f t="shared" si="79"/>
        <v>神器4碎片2等级5</v>
      </c>
      <c r="T328" s="29" t="s">
        <v>649</v>
      </c>
      <c r="U328" s="14">
        <f t="shared" si="76"/>
        <v>5</v>
      </c>
      <c r="V328" s="36">
        <f t="shared" si="80"/>
        <v>0.45</v>
      </c>
      <c r="W328" s="17">
        <f t="shared" si="77"/>
        <v>4.5000000000000005E-3</v>
      </c>
      <c r="X328" s="14">
        <f t="shared" si="81"/>
        <v>1</v>
      </c>
      <c r="Y328" s="14">
        <f t="shared" si="82"/>
        <v>2</v>
      </c>
      <c r="Z328" s="14">
        <f t="shared" si="83"/>
        <v>0</v>
      </c>
      <c r="AA328" s="14" t="str">
        <f t="shared" si="84"/>
        <v>AtkExt</v>
      </c>
      <c r="AB328" s="14">
        <f t="shared" si="78"/>
        <v>216</v>
      </c>
      <c r="AC328" s="14" t="str">
        <f t="shared" si="85"/>
        <v>DefExt</v>
      </c>
      <c r="AD328" s="14">
        <f t="shared" si="86"/>
        <v>54</v>
      </c>
      <c r="AE328" s="14" t="str">
        <f t="shared" si="87"/>
        <v>[x]</v>
      </c>
      <c r="AF328" s="27" t="str">
        <f t="shared" si="88"/>
        <v>[x]</v>
      </c>
      <c r="AG328" s="27" t="str">
        <f t="shared" si="89"/>
        <v>[x]</v>
      </c>
    </row>
    <row r="329" spans="16:33" ht="16.5" x14ac:dyDescent="0.2">
      <c r="P329" s="13">
        <v>273</v>
      </c>
      <c r="Q329" s="14">
        <f t="shared" si="74"/>
        <v>16</v>
      </c>
      <c r="R329" s="14">
        <f t="shared" si="75"/>
        <v>1606020</v>
      </c>
      <c r="S329" s="14" t="str">
        <f t="shared" si="79"/>
        <v>神器4碎片2等级6</v>
      </c>
      <c r="T329" s="29" t="s">
        <v>649</v>
      </c>
      <c r="U329" s="14">
        <f t="shared" si="76"/>
        <v>6</v>
      </c>
      <c r="V329" s="36">
        <f t="shared" si="80"/>
        <v>0.52200000000000002</v>
      </c>
      <c r="W329" s="17">
        <f t="shared" si="77"/>
        <v>5.2200000000000007E-3</v>
      </c>
      <c r="X329" s="14">
        <f t="shared" si="81"/>
        <v>1</v>
      </c>
      <c r="Y329" s="14">
        <f t="shared" si="82"/>
        <v>2</v>
      </c>
      <c r="Z329" s="14">
        <f t="shared" si="83"/>
        <v>0</v>
      </c>
      <c r="AA329" s="14" t="str">
        <f t="shared" si="84"/>
        <v>AtkExt</v>
      </c>
      <c r="AB329" s="14">
        <f t="shared" si="78"/>
        <v>251</v>
      </c>
      <c r="AC329" s="14" t="str">
        <f t="shared" si="85"/>
        <v>DefExt</v>
      </c>
      <c r="AD329" s="14">
        <f t="shared" si="86"/>
        <v>62</v>
      </c>
      <c r="AE329" s="14" t="str">
        <f t="shared" si="87"/>
        <v>[x]</v>
      </c>
      <c r="AF329" s="27" t="str">
        <f t="shared" si="88"/>
        <v>[x]</v>
      </c>
      <c r="AG329" s="27" t="str">
        <f t="shared" si="89"/>
        <v>[x]</v>
      </c>
    </row>
    <row r="330" spans="16:33" ht="16.5" x14ac:dyDescent="0.2">
      <c r="P330" s="13">
        <v>274</v>
      </c>
      <c r="Q330" s="14">
        <f t="shared" si="74"/>
        <v>16</v>
      </c>
      <c r="R330" s="14">
        <f t="shared" si="75"/>
        <v>1606020</v>
      </c>
      <c r="S330" s="14" t="str">
        <f t="shared" si="79"/>
        <v>神器4碎片2等级7</v>
      </c>
      <c r="T330" s="29" t="s">
        <v>649</v>
      </c>
      <c r="U330" s="14">
        <f t="shared" si="76"/>
        <v>7</v>
      </c>
      <c r="V330" s="36">
        <f t="shared" si="80"/>
        <v>0.59799999999999998</v>
      </c>
      <c r="W330" s="17">
        <f t="shared" si="77"/>
        <v>5.9800000000000001E-3</v>
      </c>
      <c r="X330" s="14">
        <f t="shared" si="81"/>
        <v>1</v>
      </c>
      <c r="Y330" s="14">
        <f t="shared" si="82"/>
        <v>2</v>
      </c>
      <c r="Z330" s="14">
        <f t="shared" si="83"/>
        <v>0</v>
      </c>
      <c r="AA330" s="14" t="str">
        <f t="shared" si="84"/>
        <v>AtkExt</v>
      </c>
      <c r="AB330" s="14">
        <f t="shared" si="78"/>
        <v>288</v>
      </c>
      <c r="AC330" s="14" t="str">
        <f t="shared" si="85"/>
        <v>DefExt</v>
      </c>
      <c r="AD330" s="14">
        <f t="shared" si="86"/>
        <v>71</v>
      </c>
      <c r="AE330" s="14" t="str">
        <f t="shared" si="87"/>
        <v>[x]</v>
      </c>
      <c r="AF330" s="27" t="str">
        <f t="shared" si="88"/>
        <v>[x]</v>
      </c>
      <c r="AG330" s="27" t="str">
        <f t="shared" si="89"/>
        <v>[x]</v>
      </c>
    </row>
    <row r="331" spans="16:33" ht="16.5" x14ac:dyDescent="0.2">
      <c r="P331" s="13">
        <v>275</v>
      </c>
      <c r="Q331" s="14">
        <f t="shared" si="74"/>
        <v>16</v>
      </c>
      <c r="R331" s="14">
        <f t="shared" si="75"/>
        <v>1606020</v>
      </c>
      <c r="S331" s="14" t="str">
        <f t="shared" si="79"/>
        <v>神器4碎片2等级8</v>
      </c>
      <c r="T331" s="29" t="s">
        <v>649</v>
      </c>
      <c r="U331" s="14">
        <f t="shared" si="76"/>
        <v>8</v>
      </c>
      <c r="V331" s="36">
        <f t="shared" si="80"/>
        <v>0.67800000000000005</v>
      </c>
      <c r="W331" s="17">
        <f t="shared" si="77"/>
        <v>6.7800000000000004E-3</v>
      </c>
      <c r="X331" s="14">
        <f t="shared" si="81"/>
        <v>1</v>
      </c>
      <c r="Y331" s="14">
        <f t="shared" si="82"/>
        <v>2</v>
      </c>
      <c r="Z331" s="14">
        <f t="shared" si="83"/>
        <v>0</v>
      </c>
      <c r="AA331" s="14" t="str">
        <f t="shared" si="84"/>
        <v>AtkExt</v>
      </c>
      <c r="AB331" s="14">
        <f t="shared" si="78"/>
        <v>326</v>
      </c>
      <c r="AC331" s="14" t="str">
        <f t="shared" si="85"/>
        <v>DefExt</v>
      </c>
      <c r="AD331" s="14">
        <f t="shared" si="86"/>
        <v>81</v>
      </c>
      <c r="AE331" s="14" t="str">
        <f t="shared" si="87"/>
        <v>[x]</v>
      </c>
      <c r="AF331" s="27" t="str">
        <f t="shared" si="88"/>
        <v>[x]</v>
      </c>
      <c r="AG331" s="27" t="str">
        <f t="shared" si="89"/>
        <v>[x]</v>
      </c>
    </row>
    <row r="332" spans="16:33" ht="16.5" x14ac:dyDescent="0.2">
      <c r="P332" s="13">
        <v>276</v>
      </c>
      <c r="Q332" s="14">
        <f t="shared" si="74"/>
        <v>16</v>
      </c>
      <c r="R332" s="14">
        <f t="shared" si="75"/>
        <v>1606020</v>
      </c>
      <c r="S332" s="14" t="str">
        <f t="shared" si="79"/>
        <v>神器4碎片2等级9</v>
      </c>
      <c r="T332" s="29" t="s">
        <v>649</v>
      </c>
      <c r="U332" s="14">
        <f t="shared" si="76"/>
        <v>9</v>
      </c>
      <c r="V332" s="36">
        <f t="shared" si="80"/>
        <v>0.76200000000000001</v>
      </c>
      <c r="W332" s="17">
        <f t="shared" si="77"/>
        <v>7.62E-3</v>
      </c>
      <c r="X332" s="14">
        <f t="shared" si="81"/>
        <v>1</v>
      </c>
      <c r="Y332" s="14">
        <f t="shared" si="82"/>
        <v>2</v>
      </c>
      <c r="Z332" s="14">
        <f t="shared" si="83"/>
        <v>0</v>
      </c>
      <c r="AA332" s="14" t="str">
        <f t="shared" si="84"/>
        <v>AtkExt</v>
      </c>
      <c r="AB332" s="14">
        <f t="shared" si="78"/>
        <v>366</v>
      </c>
      <c r="AC332" s="14" t="str">
        <f t="shared" si="85"/>
        <v>DefExt</v>
      </c>
      <c r="AD332" s="14">
        <f t="shared" si="86"/>
        <v>91</v>
      </c>
      <c r="AE332" s="14" t="str">
        <f t="shared" si="87"/>
        <v>[x]</v>
      </c>
      <c r="AF332" s="27" t="str">
        <f t="shared" si="88"/>
        <v>[x]</v>
      </c>
      <c r="AG332" s="27" t="str">
        <f t="shared" si="89"/>
        <v>[x]</v>
      </c>
    </row>
    <row r="333" spans="16:33" ht="16.5" x14ac:dyDescent="0.2">
      <c r="P333" s="13">
        <v>277</v>
      </c>
      <c r="Q333" s="14">
        <f t="shared" si="74"/>
        <v>16</v>
      </c>
      <c r="R333" s="14">
        <f t="shared" si="75"/>
        <v>1606020</v>
      </c>
      <c r="S333" s="14" t="str">
        <f t="shared" si="79"/>
        <v>神器4碎片2等级10</v>
      </c>
      <c r="T333" s="29" t="s">
        <v>649</v>
      </c>
      <c r="U333" s="14">
        <f t="shared" si="76"/>
        <v>10</v>
      </c>
      <c r="V333" s="36">
        <f t="shared" si="80"/>
        <v>0.85000000000000009</v>
      </c>
      <c r="W333" s="17">
        <f t="shared" si="77"/>
        <v>8.5000000000000006E-3</v>
      </c>
      <c r="X333" s="14">
        <f t="shared" si="81"/>
        <v>1</v>
      </c>
      <c r="Y333" s="14">
        <f t="shared" si="82"/>
        <v>2</v>
      </c>
      <c r="Z333" s="14">
        <f t="shared" si="83"/>
        <v>0</v>
      </c>
      <c r="AA333" s="14" t="str">
        <f t="shared" si="84"/>
        <v>AtkExt</v>
      </c>
      <c r="AB333" s="14">
        <f t="shared" si="78"/>
        <v>409</v>
      </c>
      <c r="AC333" s="14" t="str">
        <f t="shared" si="85"/>
        <v>DefExt</v>
      </c>
      <c r="AD333" s="14">
        <f t="shared" si="86"/>
        <v>102</v>
      </c>
      <c r="AE333" s="14" t="str">
        <f t="shared" si="87"/>
        <v>[x]</v>
      </c>
      <c r="AF333" s="27" t="str">
        <f t="shared" si="88"/>
        <v>[x]</v>
      </c>
      <c r="AG333" s="27" t="str">
        <f t="shared" si="89"/>
        <v>[x]</v>
      </c>
    </row>
    <row r="334" spans="16:33" ht="16.5" x14ac:dyDescent="0.2">
      <c r="P334" s="13">
        <v>278</v>
      </c>
      <c r="Q334" s="14">
        <f t="shared" si="74"/>
        <v>16</v>
      </c>
      <c r="R334" s="14">
        <f t="shared" si="75"/>
        <v>1606020</v>
      </c>
      <c r="S334" s="14" t="str">
        <f t="shared" si="79"/>
        <v>神器4碎片2等级11</v>
      </c>
      <c r="T334" s="29" t="s">
        <v>649</v>
      </c>
      <c r="U334" s="14">
        <f t="shared" si="76"/>
        <v>11</v>
      </c>
      <c r="V334" s="36">
        <f t="shared" si="80"/>
        <v>0.94200000000000006</v>
      </c>
      <c r="W334" s="17">
        <f t="shared" si="77"/>
        <v>9.4200000000000013E-3</v>
      </c>
      <c r="X334" s="14">
        <f t="shared" si="81"/>
        <v>1</v>
      </c>
      <c r="Y334" s="14">
        <f t="shared" si="82"/>
        <v>2</v>
      </c>
      <c r="Z334" s="14">
        <f t="shared" si="83"/>
        <v>0</v>
      </c>
      <c r="AA334" s="14" t="str">
        <f t="shared" si="84"/>
        <v>AtkExt</v>
      </c>
      <c r="AB334" s="14">
        <f t="shared" si="78"/>
        <v>453</v>
      </c>
      <c r="AC334" s="14" t="str">
        <f t="shared" si="85"/>
        <v>DefExt</v>
      </c>
      <c r="AD334" s="14">
        <f t="shared" si="86"/>
        <v>113</v>
      </c>
      <c r="AE334" s="14" t="str">
        <f t="shared" si="87"/>
        <v>[x]</v>
      </c>
      <c r="AF334" s="27" t="str">
        <f t="shared" si="88"/>
        <v>[x]</v>
      </c>
      <c r="AG334" s="27" t="str">
        <f t="shared" si="89"/>
        <v>[x]</v>
      </c>
    </row>
    <row r="335" spans="16:33" ht="16.5" x14ac:dyDescent="0.2">
      <c r="P335" s="13">
        <v>279</v>
      </c>
      <c r="Q335" s="14">
        <f t="shared" si="74"/>
        <v>16</v>
      </c>
      <c r="R335" s="14">
        <f t="shared" si="75"/>
        <v>1606020</v>
      </c>
      <c r="S335" s="14" t="str">
        <f t="shared" si="79"/>
        <v>神器4碎片2等级12</v>
      </c>
      <c r="T335" s="29" t="s">
        <v>649</v>
      </c>
      <c r="U335" s="14">
        <f t="shared" si="76"/>
        <v>12</v>
      </c>
      <c r="V335" s="36">
        <f t="shared" si="80"/>
        <v>1.0380000000000003</v>
      </c>
      <c r="W335" s="17">
        <f t="shared" si="77"/>
        <v>1.0380000000000002E-2</v>
      </c>
      <c r="X335" s="14">
        <f t="shared" si="81"/>
        <v>1</v>
      </c>
      <c r="Y335" s="14">
        <f t="shared" si="82"/>
        <v>2</v>
      </c>
      <c r="Z335" s="14">
        <f t="shared" si="83"/>
        <v>0</v>
      </c>
      <c r="AA335" s="14" t="str">
        <f t="shared" si="84"/>
        <v>AtkExt</v>
      </c>
      <c r="AB335" s="14">
        <f t="shared" si="78"/>
        <v>499</v>
      </c>
      <c r="AC335" s="14" t="str">
        <f t="shared" si="85"/>
        <v>DefExt</v>
      </c>
      <c r="AD335" s="14">
        <f t="shared" si="86"/>
        <v>124</v>
      </c>
      <c r="AE335" s="14" t="str">
        <f t="shared" si="87"/>
        <v>[x]</v>
      </c>
      <c r="AF335" s="27" t="str">
        <f t="shared" si="88"/>
        <v>[x]</v>
      </c>
      <c r="AG335" s="27" t="str">
        <f t="shared" si="89"/>
        <v>[x]</v>
      </c>
    </row>
    <row r="336" spans="16:33" ht="16.5" x14ac:dyDescent="0.2">
      <c r="P336" s="13">
        <v>280</v>
      </c>
      <c r="Q336" s="14">
        <f t="shared" si="74"/>
        <v>16</v>
      </c>
      <c r="R336" s="14">
        <f t="shared" si="75"/>
        <v>1606020</v>
      </c>
      <c r="S336" s="14" t="str">
        <f t="shared" si="79"/>
        <v>神器4碎片2等级13</v>
      </c>
      <c r="T336" s="29" t="s">
        <v>649</v>
      </c>
      <c r="U336" s="14">
        <f t="shared" si="76"/>
        <v>13</v>
      </c>
      <c r="V336" s="36">
        <f t="shared" si="80"/>
        <v>1.1380000000000001</v>
      </c>
      <c r="W336" s="17">
        <f t="shared" si="77"/>
        <v>1.1380000000000001E-2</v>
      </c>
      <c r="X336" s="14">
        <f t="shared" si="81"/>
        <v>1</v>
      </c>
      <c r="Y336" s="14">
        <f t="shared" si="82"/>
        <v>2</v>
      </c>
      <c r="Z336" s="14">
        <f t="shared" si="83"/>
        <v>0</v>
      </c>
      <c r="AA336" s="14" t="str">
        <f t="shared" si="84"/>
        <v>AtkExt</v>
      </c>
      <c r="AB336" s="14">
        <f t="shared" si="78"/>
        <v>548</v>
      </c>
      <c r="AC336" s="14" t="str">
        <f t="shared" si="85"/>
        <v>DefExt</v>
      </c>
      <c r="AD336" s="14">
        <f t="shared" si="86"/>
        <v>136</v>
      </c>
      <c r="AE336" s="14" t="str">
        <f t="shared" si="87"/>
        <v>[x]</v>
      </c>
      <c r="AF336" s="27" t="str">
        <f t="shared" si="88"/>
        <v>[x]</v>
      </c>
      <c r="AG336" s="27" t="str">
        <f t="shared" si="89"/>
        <v>[x]</v>
      </c>
    </row>
    <row r="337" spans="16:33" ht="16.5" x14ac:dyDescent="0.2">
      <c r="P337" s="13">
        <v>281</v>
      </c>
      <c r="Q337" s="14">
        <f t="shared" si="74"/>
        <v>16</v>
      </c>
      <c r="R337" s="14">
        <f t="shared" si="75"/>
        <v>1606020</v>
      </c>
      <c r="S337" s="14" t="str">
        <f t="shared" si="79"/>
        <v>神器4碎片2等级14</v>
      </c>
      <c r="T337" s="29" t="s">
        <v>649</v>
      </c>
      <c r="U337" s="14">
        <f t="shared" si="76"/>
        <v>14</v>
      </c>
      <c r="V337" s="36">
        <f t="shared" si="80"/>
        <v>1.242</v>
      </c>
      <c r="W337" s="17">
        <f t="shared" si="77"/>
        <v>1.242E-2</v>
      </c>
      <c r="X337" s="14">
        <f t="shared" si="81"/>
        <v>1</v>
      </c>
      <c r="Y337" s="14">
        <f t="shared" si="82"/>
        <v>2</v>
      </c>
      <c r="Z337" s="14">
        <f t="shared" si="83"/>
        <v>0</v>
      </c>
      <c r="AA337" s="14" t="str">
        <f t="shared" si="84"/>
        <v>AtkExt</v>
      </c>
      <c r="AB337" s="14">
        <f t="shared" si="78"/>
        <v>598</v>
      </c>
      <c r="AC337" s="14" t="str">
        <f t="shared" si="85"/>
        <v>DefExt</v>
      </c>
      <c r="AD337" s="14">
        <f t="shared" si="86"/>
        <v>149</v>
      </c>
      <c r="AE337" s="14" t="str">
        <f t="shared" si="87"/>
        <v>[x]</v>
      </c>
      <c r="AF337" s="27" t="str">
        <f t="shared" si="88"/>
        <v>[x]</v>
      </c>
      <c r="AG337" s="27" t="str">
        <f t="shared" si="89"/>
        <v>[x]</v>
      </c>
    </row>
    <row r="338" spans="16:33" ht="16.5" x14ac:dyDescent="0.2">
      <c r="P338" s="13">
        <v>282</v>
      </c>
      <c r="Q338" s="14">
        <f t="shared" si="74"/>
        <v>16</v>
      </c>
      <c r="R338" s="14">
        <f t="shared" si="75"/>
        <v>1606020</v>
      </c>
      <c r="S338" s="14" t="str">
        <f t="shared" si="79"/>
        <v>神器4碎片2等级15</v>
      </c>
      <c r="T338" s="29" t="s">
        <v>649</v>
      </c>
      <c r="U338" s="14">
        <f t="shared" si="76"/>
        <v>15</v>
      </c>
      <c r="V338" s="36">
        <f t="shared" si="80"/>
        <v>1.35</v>
      </c>
      <c r="W338" s="17">
        <f t="shared" si="77"/>
        <v>1.3500000000000002E-2</v>
      </c>
      <c r="X338" s="14">
        <f t="shared" si="81"/>
        <v>1</v>
      </c>
      <c r="Y338" s="14">
        <f t="shared" si="82"/>
        <v>2</v>
      </c>
      <c r="Z338" s="14">
        <f t="shared" si="83"/>
        <v>0</v>
      </c>
      <c r="AA338" s="14" t="str">
        <f t="shared" si="84"/>
        <v>AtkExt</v>
      </c>
      <c r="AB338" s="14">
        <f t="shared" si="78"/>
        <v>650</v>
      </c>
      <c r="AC338" s="14" t="str">
        <f t="shared" si="85"/>
        <v>DefExt</v>
      </c>
      <c r="AD338" s="14">
        <f t="shared" si="86"/>
        <v>162</v>
      </c>
      <c r="AE338" s="14" t="str">
        <f t="shared" si="87"/>
        <v>[x]</v>
      </c>
      <c r="AF338" s="27" t="str">
        <f t="shared" si="88"/>
        <v>[x]</v>
      </c>
      <c r="AG338" s="27" t="str">
        <f t="shared" si="89"/>
        <v>[x]</v>
      </c>
    </row>
    <row r="339" spans="16:33" ht="16.5" x14ac:dyDescent="0.2">
      <c r="P339" s="13">
        <v>283</v>
      </c>
      <c r="Q339" s="14">
        <f t="shared" si="74"/>
        <v>16</v>
      </c>
      <c r="R339" s="14">
        <f t="shared" si="75"/>
        <v>1606020</v>
      </c>
      <c r="S339" s="14" t="str">
        <f t="shared" si="79"/>
        <v>神器4碎片2等级16</v>
      </c>
      <c r="T339" s="29" t="s">
        <v>649</v>
      </c>
      <c r="U339" s="14">
        <f t="shared" si="76"/>
        <v>16</v>
      </c>
      <c r="V339" s="36">
        <f t="shared" si="80"/>
        <v>1.4620000000000002</v>
      </c>
      <c r="W339" s="17">
        <f t="shared" si="77"/>
        <v>1.4620000000000003E-2</v>
      </c>
      <c r="X339" s="14">
        <f t="shared" si="81"/>
        <v>1</v>
      </c>
      <c r="Y339" s="14">
        <f t="shared" si="82"/>
        <v>2</v>
      </c>
      <c r="Z339" s="14">
        <f t="shared" si="83"/>
        <v>0</v>
      </c>
      <c r="AA339" s="14" t="str">
        <f t="shared" si="84"/>
        <v>AtkExt</v>
      </c>
      <c r="AB339" s="14">
        <f t="shared" si="78"/>
        <v>704</v>
      </c>
      <c r="AC339" s="14" t="str">
        <f t="shared" si="85"/>
        <v>DefExt</v>
      </c>
      <c r="AD339" s="14">
        <f t="shared" si="86"/>
        <v>175</v>
      </c>
      <c r="AE339" s="14" t="str">
        <f t="shared" si="87"/>
        <v>[x]</v>
      </c>
      <c r="AF339" s="27" t="str">
        <f t="shared" si="88"/>
        <v>[x]</v>
      </c>
      <c r="AG339" s="27" t="str">
        <f t="shared" si="89"/>
        <v>[x]</v>
      </c>
    </row>
    <row r="340" spans="16:33" ht="16.5" x14ac:dyDescent="0.2">
      <c r="P340" s="13">
        <v>284</v>
      </c>
      <c r="Q340" s="14">
        <f t="shared" si="74"/>
        <v>16</v>
      </c>
      <c r="R340" s="14">
        <f t="shared" si="75"/>
        <v>1606020</v>
      </c>
      <c r="S340" s="14" t="str">
        <f t="shared" si="79"/>
        <v>神器4碎片2等级17</v>
      </c>
      <c r="T340" s="29" t="s">
        <v>649</v>
      </c>
      <c r="U340" s="14">
        <f t="shared" si="76"/>
        <v>17</v>
      </c>
      <c r="V340" s="36">
        <f t="shared" si="80"/>
        <v>1.5779999999999998</v>
      </c>
      <c r="W340" s="17">
        <f t="shared" si="77"/>
        <v>1.5779999999999999E-2</v>
      </c>
      <c r="X340" s="14">
        <f t="shared" si="81"/>
        <v>1</v>
      </c>
      <c r="Y340" s="14">
        <f t="shared" si="82"/>
        <v>2</v>
      </c>
      <c r="Z340" s="14">
        <f t="shared" si="83"/>
        <v>0</v>
      </c>
      <c r="AA340" s="14" t="str">
        <f t="shared" si="84"/>
        <v>AtkExt</v>
      </c>
      <c r="AB340" s="14">
        <f t="shared" si="78"/>
        <v>759</v>
      </c>
      <c r="AC340" s="14" t="str">
        <f t="shared" si="85"/>
        <v>DefExt</v>
      </c>
      <c r="AD340" s="14">
        <f t="shared" si="86"/>
        <v>189</v>
      </c>
      <c r="AE340" s="14" t="str">
        <f t="shared" si="87"/>
        <v>[x]</v>
      </c>
      <c r="AF340" s="27" t="str">
        <f t="shared" si="88"/>
        <v>[x]</v>
      </c>
      <c r="AG340" s="27" t="str">
        <f t="shared" si="89"/>
        <v>[x]</v>
      </c>
    </row>
    <row r="341" spans="16:33" ht="16.5" x14ac:dyDescent="0.2">
      <c r="P341" s="13">
        <v>285</v>
      </c>
      <c r="Q341" s="14">
        <f t="shared" si="74"/>
        <v>16</v>
      </c>
      <c r="R341" s="14">
        <f t="shared" si="75"/>
        <v>1606020</v>
      </c>
      <c r="S341" s="14" t="str">
        <f t="shared" si="79"/>
        <v>神器4碎片2等级18</v>
      </c>
      <c r="T341" s="29" t="s">
        <v>649</v>
      </c>
      <c r="U341" s="14">
        <f t="shared" si="76"/>
        <v>18</v>
      </c>
      <c r="V341" s="36">
        <f t="shared" si="80"/>
        <v>1.698</v>
      </c>
      <c r="W341" s="17">
        <f t="shared" si="77"/>
        <v>1.6979999999999999E-2</v>
      </c>
      <c r="X341" s="14">
        <f t="shared" si="81"/>
        <v>1</v>
      </c>
      <c r="Y341" s="14">
        <f t="shared" si="82"/>
        <v>2</v>
      </c>
      <c r="Z341" s="14">
        <f t="shared" si="83"/>
        <v>0</v>
      </c>
      <c r="AA341" s="14" t="str">
        <f t="shared" si="84"/>
        <v>AtkExt</v>
      </c>
      <c r="AB341" s="14">
        <f t="shared" si="78"/>
        <v>817</v>
      </c>
      <c r="AC341" s="14" t="str">
        <f t="shared" si="85"/>
        <v>DefExt</v>
      </c>
      <c r="AD341" s="14">
        <f t="shared" si="86"/>
        <v>203</v>
      </c>
      <c r="AE341" s="14" t="str">
        <f t="shared" si="87"/>
        <v>[x]</v>
      </c>
      <c r="AF341" s="27" t="str">
        <f t="shared" si="88"/>
        <v>[x]</v>
      </c>
      <c r="AG341" s="27" t="str">
        <f t="shared" si="89"/>
        <v>[x]</v>
      </c>
    </row>
    <row r="342" spans="16:33" ht="16.5" x14ac:dyDescent="0.2">
      <c r="P342" s="13">
        <v>286</v>
      </c>
      <c r="Q342" s="14">
        <f t="shared" si="74"/>
        <v>16</v>
      </c>
      <c r="R342" s="14">
        <f t="shared" si="75"/>
        <v>1606020</v>
      </c>
      <c r="S342" s="14" t="str">
        <f t="shared" si="79"/>
        <v>神器4碎片2等级19</v>
      </c>
      <c r="T342" s="29" t="s">
        <v>649</v>
      </c>
      <c r="U342" s="14">
        <f t="shared" si="76"/>
        <v>19</v>
      </c>
      <c r="V342" s="36">
        <f t="shared" si="80"/>
        <v>1.8220000000000001</v>
      </c>
      <c r="W342" s="17">
        <f t="shared" si="77"/>
        <v>1.822E-2</v>
      </c>
      <c r="X342" s="14">
        <f t="shared" si="81"/>
        <v>1</v>
      </c>
      <c r="Y342" s="14">
        <f t="shared" si="82"/>
        <v>2</v>
      </c>
      <c r="Z342" s="14">
        <f t="shared" si="83"/>
        <v>0</v>
      </c>
      <c r="AA342" s="14" t="str">
        <f t="shared" si="84"/>
        <v>AtkExt</v>
      </c>
      <c r="AB342" s="14">
        <f t="shared" si="78"/>
        <v>877</v>
      </c>
      <c r="AC342" s="14" t="str">
        <f t="shared" si="85"/>
        <v>DefExt</v>
      </c>
      <c r="AD342" s="14">
        <f t="shared" si="86"/>
        <v>218</v>
      </c>
      <c r="AE342" s="14" t="str">
        <f t="shared" si="87"/>
        <v>[x]</v>
      </c>
      <c r="AF342" s="27" t="str">
        <f t="shared" si="88"/>
        <v>[x]</v>
      </c>
      <c r="AG342" s="27" t="str">
        <f t="shared" si="89"/>
        <v>[x]</v>
      </c>
    </row>
    <row r="343" spans="16:33" ht="16.5" x14ac:dyDescent="0.2">
      <c r="P343" s="13">
        <v>287</v>
      </c>
      <c r="Q343" s="14">
        <f t="shared" si="74"/>
        <v>16</v>
      </c>
      <c r="R343" s="14">
        <f t="shared" si="75"/>
        <v>1606020</v>
      </c>
      <c r="S343" s="14" t="str">
        <f t="shared" si="79"/>
        <v>神器4碎片2等级20</v>
      </c>
      <c r="T343" s="29" t="s">
        <v>649</v>
      </c>
      <c r="U343" s="14">
        <f t="shared" si="76"/>
        <v>20</v>
      </c>
      <c r="V343" s="36">
        <f t="shared" si="80"/>
        <v>1.95</v>
      </c>
      <c r="W343" s="17">
        <f t="shared" si="77"/>
        <v>1.95E-2</v>
      </c>
      <c r="X343" s="14">
        <f t="shared" si="81"/>
        <v>1</v>
      </c>
      <c r="Y343" s="14">
        <f t="shared" si="82"/>
        <v>2</v>
      </c>
      <c r="Z343" s="14">
        <f t="shared" si="83"/>
        <v>0</v>
      </c>
      <c r="AA343" s="14" t="str">
        <f t="shared" si="84"/>
        <v>AtkExt</v>
      </c>
      <c r="AB343" s="14">
        <f t="shared" si="78"/>
        <v>939</v>
      </c>
      <c r="AC343" s="14" t="str">
        <f t="shared" si="85"/>
        <v>DefExt</v>
      </c>
      <c r="AD343" s="14">
        <f t="shared" si="86"/>
        <v>234</v>
      </c>
      <c r="AE343" s="14" t="str">
        <f t="shared" si="87"/>
        <v>[x]</v>
      </c>
      <c r="AF343" s="27" t="str">
        <f t="shared" si="88"/>
        <v>[x]</v>
      </c>
      <c r="AG343" s="27" t="str">
        <f t="shared" si="89"/>
        <v>[x]</v>
      </c>
    </row>
    <row r="344" spans="16:33" ht="16.5" x14ac:dyDescent="0.2">
      <c r="P344" s="13">
        <v>288</v>
      </c>
      <c r="Q344" s="14">
        <f t="shared" si="74"/>
        <v>16</v>
      </c>
      <c r="R344" s="14">
        <f t="shared" si="75"/>
        <v>1606020</v>
      </c>
      <c r="S344" s="14" t="str">
        <f t="shared" si="79"/>
        <v>神器4碎片2等级21</v>
      </c>
      <c r="T344" s="29" t="s">
        <v>649</v>
      </c>
      <c r="U344" s="14">
        <f t="shared" si="76"/>
        <v>21</v>
      </c>
      <c r="V344" s="36">
        <f t="shared" si="80"/>
        <v>2.0819999999999999</v>
      </c>
      <c r="W344" s="17">
        <f t="shared" si="77"/>
        <v>2.0819999999999998E-2</v>
      </c>
      <c r="X344" s="14">
        <f t="shared" si="81"/>
        <v>1</v>
      </c>
      <c r="Y344" s="14">
        <f t="shared" si="82"/>
        <v>2</v>
      </c>
      <c r="Z344" s="14">
        <f t="shared" si="83"/>
        <v>0</v>
      </c>
      <c r="AA344" s="14" t="str">
        <f t="shared" si="84"/>
        <v>AtkExt</v>
      </c>
      <c r="AB344" s="14">
        <f t="shared" si="78"/>
        <v>1002</v>
      </c>
      <c r="AC344" s="14" t="str">
        <f t="shared" si="85"/>
        <v>DefExt</v>
      </c>
      <c r="AD344" s="14">
        <f t="shared" si="86"/>
        <v>250</v>
      </c>
      <c r="AE344" s="14" t="str">
        <f t="shared" si="87"/>
        <v>[x]</v>
      </c>
      <c r="AF344" s="27" t="str">
        <f t="shared" si="88"/>
        <v>[x]</v>
      </c>
      <c r="AG344" s="27" t="str">
        <f t="shared" si="89"/>
        <v>[x]</v>
      </c>
    </row>
    <row r="345" spans="16:33" ht="16.5" x14ac:dyDescent="0.2">
      <c r="P345" s="13">
        <v>289</v>
      </c>
      <c r="Q345" s="14">
        <f t="shared" si="74"/>
        <v>17</v>
      </c>
      <c r="R345" s="14">
        <f t="shared" si="75"/>
        <v>1606021</v>
      </c>
      <c r="S345" s="14" t="str">
        <f t="shared" si="79"/>
        <v>神器4碎片3等级1</v>
      </c>
      <c r="T345" s="29" t="s">
        <v>649</v>
      </c>
      <c r="U345" s="14">
        <f t="shared" si="76"/>
        <v>1</v>
      </c>
      <c r="V345" s="36">
        <f t="shared" si="80"/>
        <v>0.20200000000000001</v>
      </c>
      <c r="W345" s="17">
        <f t="shared" si="77"/>
        <v>4.0400000000000002E-3</v>
      </c>
      <c r="X345" s="14">
        <f t="shared" si="81"/>
        <v>1</v>
      </c>
      <c r="Y345" s="14">
        <f t="shared" si="82"/>
        <v>3</v>
      </c>
      <c r="Z345" s="14">
        <f t="shared" si="83"/>
        <v>0</v>
      </c>
      <c r="AA345" s="14" t="str">
        <f t="shared" si="84"/>
        <v>AtkExt</v>
      </c>
      <c r="AB345" s="14">
        <f t="shared" si="78"/>
        <v>194</v>
      </c>
      <c r="AC345" s="14" t="str">
        <f t="shared" si="85"/>
        <v>HPExt</v>
      </c>
      <c r="AD345" s="14">
        <f t="shared" si="86"/>
        <v>292</v>
      </c>
      <c r="AE345" s="14" t="str">
        <f t="shared" si="87"/>
        <v>[x]</v>
      </c>
      <c r="AF345" s="27" t="str">
        <f t="shared" si="88"/>
        <v>[x]</v>
      </c>
      <c r="AG345" s="27" t="str">
        <f t="shared" si="89"/>
        <v>[x]</v>
      </c>
    </row>
    <row r="346" spans="16:33" ht="16.5" x14ac:dyDescent="0.2">
      <c r="P346" s="13">
        <v>290</v>
      </c>
      <c r="Q346" s="14">
        <f t="shared" si="74"/>
        <v>17</v>
      </c>
      <c r="R346" s="14">
        <f t="shared" si="75"/>
        <v>1606021</v>
      </c>
      <c r="S346" s="14" t="str">
        <f t="shared" si="79"/>
        <v>神器4碎片3等级2</v>
      </c>
      <c r="T346" s="29" t="s">
        <v>649</v>
      </c>
      <c r="U346" s="14">
        <f t="shared" si="76"/>
        <v>2</v>
      </c>
      <c r="V346" s="36">
        <f t="shared" si="80"/>
        <v>0.25800000000000001</v>
      </c>
      <c r="W346" s="17">
        <f t="shared" si="77"/>
        <v>5.1600000000000005E-3</v>
      </c>
      <c r="X346" s="14">
        <f t="shared" si="81"/>
        <v>1</v>
      </c>
      <c r="Y346" s="14">
        <f t="shared" si="82"/>
        <v>3</v>
      </c>
      <c r="Z346" s="14">
        <f t="shared" si="83"/>
        <v>0</v>
      </c>
      <c r="AA346" s="14" t="str">
        <f t="shared" si="84"/>
        <v>AtkExt</v>
      </c>
      <c r="AB346" s="14">
        <f t="shared" si="78"/>
        <v>248</v>
      </c>
      <c r="AC346" s="14" t="str">
        <f t="shared" si="85"/>
        <v>HPExt</v>
      </c>
      <c r="AD346" s="14">
        <f t="shared" si="86"/>
        <v>373</v>
      </c>
      <c r="AE346" s="14" t="str">
        <f t="shared" si="87"/>
        <v>[x]</v>
      </c>
      <c r="AF346" s="27" t="str">
        <f t="shared" si="88"/>
        <v>[x]</v>
      </c>
      <c r="AG346" s="27" t="str">
        <f t="shared" si="89"/>
        <v>[x]</v>
      </c>
    </row>
    <row r="347" spans="16:33" ht="16.5" x14ac:dyDescent="0.2">
      <c r="P347" s="13">
        <v>291</v>
      </c>
      <c r="Q347" s="14">
        <f t="shared" si="74"/>
        <v>17</v>
      </c>
      <c r="R347" s="14">
        <f t="shared" si="75"/>
        <v>1606021</v>
      </c>
      <c r="S347" s="14" t="str">
        <f t="shared" si="79"/>
        <v>神器4碎片3等级3</v>
      </c>
      <c r="T347" s="29" t="s">
        <v>649</v>
      </c>
      <c r="U347" s="14">
        <f t="shared" si="76"/>
        <v>3</v>
      </c>
      <c r="V347" s="36">
        <f t="shared" si="80"/>
        <v>0.31800000000000006</v>
      </c>
      <c r="W347" s="17">
        <f t="shared" si="77"/>
        <v>6.3600000000000011E-3</v>
      </c>
      <c r="X347" s="14">
        <f t="shared" si="81"/>
        <v>1</v>
      </c>
      <c r="Y347" s="14">
        <f t="shared" si="82"/>
        <v>3</v>
      </c>
      <c r="Z347" s="14">
        <f t="shared" si="83"/>
        <v>0</v>
      </c>
      <c r="AA347" s="14" t="str">
        <f t="shared" si="84"/>
        <v>AtkExt</v>
      </c>
      <c r="AB347" s="14">
        <f t="shared" si="78"/>
        <v>306</v>
      </c>
      <c r="AC347" s="14" t="str">
        <f t="shared" si="85"/>
        <v>HPExt</v>
      </c>
      <c r="AD347" s="14">
        <f t="shared" si="86"/>
        <v>460</v>
      </c>
      <c r="AE347" s="14" t="str">
        <f t="shared" si="87"/>
        <v>[x]</v>
      </c>
      <c r="AF347" s="27" t="str">
        <f t="shared" si="88"/>
        <v>[x]</v>
      </c>
      <c r="AG347" s="27" t="str">
        <f t="shared" si="89"/>
        <v>[x]</v>
      </c>
    </row>
    <row r="348" spans="16:33" ht="16.5" x14ac:dyDescent="0.2">
      <c r="P348" s="13">
        <v>292</v>
      </c>
      <c r="Q348" s="14">
        <f t="shared" si="74"/>
        <v>17</v>
      </c>
      <c r="R348" s="14">
        <f t="shared" si="75"/>
        <v>1606021</v>
      </c>
      <c r="S348" s="14" t="str">
        <f t="shared" si="79"/>
        <v>神器4碎片3等级4</v>
      </c>
      <c r="T348" s="29" t="s">
        <v>649</v>
      </c>
      <c r="U348" s="14">
        <f t="shared" si="76"/>
        <v>4</v>
      </c>
      <c r="V348" s="36">
        <f t="shared" si="80"/>
        <v>0.38200000000000001</v>
      </c>
      <c r="W348" s="17">
        <f t="shared" si="77"/>
        <v>7.6400000000000001E-3</v>
      </c>
      <c r="X348" s="14">
        <f t="shared" si="81"/>
        <v>1</v>
      </c>
      <c r="Y348" s="14">
        <f t="shared" si="82"/>
        <v>3</v>
      </c>
      <c r="Z348" s="14">
        <f t="shared" si="83"/>
        <v>0</v>
      </c>
      <c r="AA348" s="14" t="str">
        <f t="shared" si="84"/>
        <v>AtkExt</v>
      </c>
      <c r="AB348" s="14">
        <f t="shared" si="78"/>
        <v>367</v>
      </c>
      <c r="AC348" s="14" t="str">
        <f t="shared" si="85"/>
        <v>HPExt</v>
      </c>
      <c r="AD348" s="14">
        <f t="shared" si="86"/>
        <v>553</v>
      </c>
      <c r="AE348" s="14" t="str">
        <f t="shared" si="87"/>
        <v>[x]</v>
      </c>
      <c r="AF348" s="27" t="str">
        <f t="shared" si="88"/>
        <v>[x]</v>
      </c>
      <c r="AG348" s="27" t="str">
        <f t="shared" si="89"/>
        <v>[x]</v>
      </c>
    </row>
    <row r="349" spans="16:33" ht="16.5" x14ac:dyDescent="0.2">
      <c r="P349" s="13">
        <v>293</v>
      </c>
      <c r="Q349" s="14">
        <f t="shared" si="74"/>
        <v>17</v>
      </c>
      <c r="R349" s="14">
        <f t="shared" si="75"/>
        <v>1606021</v>
      </c>
      <c r="S349" s="14" t="str">
        <f t="shared" si="79"/>
        <v>神器4碎片3等级5</v>
      </c>
      <c r="T349" s="29" t="s">
        <v>649</v>
      </c>
      <c r="U349" s="14">
        <f t="shared" si="76"/>
        <v>5</v>
      </c>
      <c r="V349" s="36">
        <f t="shared" si="80"/>
        <v>0.45</v>
      </c>
      <c r="W349" s="17">
        <f t="shared" si="77"/>
        <v>9.0000000000000011E-3</v>
      </c>
      <c r="X349" s="14">
        <f t="shared" si="81"/>
        <v>1</v>
      </c>
      <c r="Y349" s="14">
        <f t="shared" si="82"/>
        <v>3</v>
      </c>
      <c r="Z349" s="14">
        <f t="shared" si="83"/>
        <v>0</v>
      </c>
      <c r="AA349" s="14" t="str">
        <f t="shared" si="84"/>
        <v>AtkExt</v>
      </c>
      <c r="AB349" s="14">
        <f t="shared" si="78"/>
        <v>433</v>
      </c>
      <c r="AC349" s="14" t="str">
        <f t="shared" si="85"/>
        <v>HPExt</v>
      </c>
      <c r="AD349" s="14">
        <f t="shared" si="86"/>
        <v>651</v>
      </c>
      <c r="AE349" s="14" t="str">
        <f t="shared" si="87"/>
        <v>[x]</v>
      </c>
      <c r="AF349" s="27" t="str">
        <f t="shared" si="88"/>
        <v>[x]</v>
      </c>
      <c r="AG349" s="27" t="str">
        <f t="shared" si="89"/>
        <v>[x]</v>
      </c>
    </row>
    <row r="350" spans="16:33" ht="16.5" x14ac:dyDescent="0.2">
      <c r="P350" s="13">
        <v>294</v>
      </c>
      <c r="Q350" s="14">
        <f t="shared" si="74"/>
        <v>17</v>
      </c>
      <c r="R350" s="14">
        <f t="shared" si="75"/>
        <v>1606021</v>
      </c>
      <c r="S350" s="14" t="str">
        <f t="shared" si="79"/>
        <v>神器4碎片3等级6</v>
      </c>
      <c r="T350" s="29" t="s">
        <v>649</v>
      </c>
      <c r="U350" s="14">
        <f t="shared" si="76"/>
        <v>6</v>
      </c>
      <c r="V350" s="36">
        <f t="shared" si="80"/>
        <v>0.52200000000000002</v>
      </c>
      <c r="W350" s="17">
        <f t="shared" si="77"/>
        <v>1.0440000000000001E-2</v>
      </c>
      <c r="X350" s="14">
        <f t="shared" si="81"/>
        <v>1</v>
      </c>
      <c r="Y350" s="14">
        <f t="shared" si="82"/>
        <v>3</v>
      </c>
      <c r="Z350" s="14">
        <f t="shared" si="83"/>
        <v>0</v>
      </c>
      <c r="AA350" s="14" t="str">
        <f t="shared" si="84"/>
        <v>AtkExt</v>
      </c>
      <c r="AB350" s="14">
        <f t="shared" si="78"/>
        <v>502</v>
      </c>
      <c r="AC350" s="14" t="str">
        <f t="shared" si="85"/>
        <v>HPExt</v>
      </c>
      <c r="AD350" s="14">
        <f t="shared" si="86"/>
        <v>756</v>
      </c>
      <c r="AE350" s="14" t="str">
        <f t="shared" si="87"/>
        <v>[x]</v>
      </c>
      <c r="AF350" s="27" t="str">
        <f t="shared" si="88"/>
        <v>[x]</v>
      </c>
      <c r="AG350" s="27" t="str">
        <f t="shared" si="89"/>
        <v>[x]</v>
      </c>
    </row>
    <row r="351" spans="16:33" ht="16.5" x14ac:dyDescent="0.2">
      <c r="P351" s="13">
        <v>295</v>
      </c>
      <c r="Q351" s="14">
        <f t="shared" si="74"/>
        <v>17</v>
      </c>
      <c r="R351" s="14">
        <f t="shared" si="75"/>
        <v>1606021</v>
      </c>
      <c r="S351" s="14" t="str">
        <f t="shared" si="79"/>
        <v>神器4碎片3等级7</v>
      </c>
      <c r="T351" s="29" t="s">
        <v>649</v>
      </c>
      <c r="U351" s="14">
        <f t="shared" si="76"/>
        <v>7</v>
      </c>
      <c r="V351" s="36">
        <f t="shared" si="80"/>
        <v>0.59799999999999998</v>
      </c>
      <c r="W351" s="17">
        <f t="shared" si="77"/>
        <v>1.196E-2</v>
      </c>
      <c r="X351" s="14">
        <f t="shared" si="81"/>
        <v>1</v>
      </c>
      <c r="Y351" s="14">
        <f t="shared" si="82"/>
        <v>3</v>
      </c>
      <c r="Z351" s="14">
        <f t="shared" si="83"/>
        <v>0</v>
      </c>
      <c r="AA351" s="14" t="str">
        <f t="shared" si="84"/>
        <v>AtkExt</v>
      </c>
      <c r="AB351" s="14">
        <f t="shared" si="78"/>
        <v>576</v>
      </c>
      <c r="AC351" s="14" t="str">
        <f t="shared" si="85"/>
        <v>HPExt</v>
      </c>
      <c r="AD351" s="14">
        <f t="shared" si="86"/>
        <v>866</v>
      </c>
      <c r="AE351" s="14" t="str">
        <f t="shared" si="87"/>
        <v>[x]</v>
      </c>
      <c r="AF351" s="27" t="str">
        <f t="shared" si="88"/>
        <v>[x]</v>
      </c>
      <c r="AG351" s="27" t="str">
        <f t="shared" si="89"/>
        <v>[x]</v>
      </c>
    </row>
    <row r="352" spans="16:33" ht="16.5" x14ac:dyDescent="0.2">
      <c r="P352" s="13">
        <v>296</v>
      </c>
      <c r="Q352" s="14">
        <f t="shared" si="74"/>
        <v>17</v>
      </c>
      <c r="R352" s="14">
        <f t="shared" si="75"/>
        <v>1606021</v>
      </c>
      <c r="S352" s="14" t="str">
        <f t="shared" si="79"/>
        <v>神器4碎片3等级8</v>
      </c>
      <c r="T352" s="29" t="s">
        <v>649</v>
      </c>
      <c r="U352" s="14">
        <f t="shared" si="76"/>
        <v>8</v>
      </c>
      <c r="V352" s="36">
        <f t="shared" si="80"/>
        <v>0.67800000000000005</v>
      </c>
      <c r="W352" s="17">
        <f t="shared" si="77"/>
        <v>1.3560000000000001E-2</v>
      </c>
      <c r="X352" s="14">
        <f t="shared" si="81"/>
        <v>1</v>
      </c>
      <c r="Y352" s="14">
        <f t="shared" si="82"/>
        <v>3</v>
      </c>
      <c r="Z352" s="14">
        <f t="shared" si="83"/>
        <v>0</v>
      </c>
      <c r="AA352" s="14" t="str">
        <f t="shared" si="84"/>
        <v>AtkExt</v>
      </c>
      <c r="AB352" s="14">
        <f t="shared" si="78"/>
        <v>653</v>
      </c>
      <c r="AC352" s="14" t="str">
        <f t="shared" si="85"/>
        <v>HPExt</v>
      </c>
      <c r="AD352" s="14">
        <f t="shared" si="86"/>
        <v>981</v>
      </c>
      <c r="AE352" s="14" t="str">
        <f t="shared" si="87"/>
        <v>[x]</v>
      </c>
      <c r="AF352" s="27" t="str">
        <f t="shared" si="88"/>
        <v>[x]</v>
      </c>
      <c r="AG352" s="27" t="str">
        <f t="shared" si="89"/>
        <v>[x]</v>
      </c>
    </row>
    <row r="353" spans="16:33" ht="16.5" x14ac:dyDescent="0.2">
      <c r="P353" s="13">
        <v>297</v>
      </c>
      <c r="Q353" s="14">
        <f t="shared" si="74"/>
        <v>17</v>
      </c>
      <c r="R353" s="14">
        <f t="shared" si="75"/>
        <v>1606021</v>
      </c>
      <c r="S353" s="14" t="str">
        <f t="shared" si="79"/>
        <v>神器4碎片3等级9</v>
      </c>
      <c r="T353" s="29" t="s">
        <v>649</v>
      </c>
      <c r="U353" s="14">
        <f t="shared" si="76"/>
        <v>9</v>
      </c>
      <c r="V353" s="36">
        <f t="shared" si="80"/>
        <v>0.76200000000000001</v>
      </c>
      <c r="W353" s="17">
        <f t="shared" si="77"/>
        <v>1.524E-2</v>
      </c>
      <c r="X353" s="14">
        <f t="shared" si="81"/>
        <v>1</v>
      </c>
      <c r="Y353" s="14">
        <f t="shared" si="82"/>
        <v>3</v>
      </c>
      <c r="Z353" s="14">
        <f t="shared" si="83"/>
        <v>0</v>
      </c>
      <c r="AA353" s="14" t="str">
        <f t="shared" si="84"/>
        <v>AtkExt</v>
      </c>
      <c r="AB353" s="14">
        <f t="shared" si="78"/>
        <v>733</v>
      </c>
      <c r="AC353" s="14" t="str">
        <f t="shared" si="85"/>
        <v>HPExt</v>
      </c>
      <c r="AD353" s="14">
        <f t="shared" si="86"/>
        <v>1103</v>
      </c>
      <c r="AE353" s="14" t="str">
        <f t="shared" si="87"/>
        <v>[x]</v>
      </c>
      <c r="AF353" s="27" t="str">
        <f t="shared" si="88"/>
        <v>[x]</v>
      </c>
      <c r="AG353" s="27" t="str">
        <f t="shared" si="89"/>
        <v>[x]</v>
      </c>
    </row>
    <row r="354" spans="16:33" ht="16.5" x14ac:dyDescent="0.2">
      <c r="P354" s="13">
        <v>298</v>
      </c>
      <c r="Q354" s="14">
        <f t="shared" si="74"/>
        <v>17</v>
      </c>
      <c r="R354" s="14">
        <f t="shared" si="75"/>
        <v>1606021</v>
      </c>
      <c r="S354" s="14" t="str">
        <f t="shared" si="79"/>
        <v>神器4碎片3等级10</v>
      </c>
      <c r="T354" s="29" t="s">
        <v>649</v>
      </c>
      <c r="U354" s="14">
        <f t="shared" si="76"/>
        <v>10</v>
      </c>
      <c r="V354" s="36">
        <f t="shared" si="80"/>
        <v>0.85000000000000009</v>
      </c>
      <c r="W354" s="17">
        <f t="shared" si="77"/>
        <v>1.7000000000000001E-2</v>
      </c>
      <c r="X354" s="14">
        <f t="shared" si="81"/>
        <v>1</v>
      </c>
      <c r="Y354" s="14">
        <f t="shared" si="82"/>
        <v>3</v>
      </c>
      <c r="Z354" s="14">
        <f t="shared" si="83"/>
        <v>0</v>
      </c>
      <c r="AA354" s="14" t="str">
        <f t="shared" si="84"/>
        <v>AtkExt</v>
      </c>
      <c r="AB354" s="14">
        <f t="shared" si="78"/>
        <v>818</v>
      </c>
      <c r="AC354" s="14" t="str">
        <f t="shared" si="85"/>
        <v>HPExt</v>
      </c>
      <c r="AD354" s="14">
        <f t="shared" si="86"/>
        <v>1231</v>
      </c>
      <c r="AE354" s="14" t="str">
        <f t="shared" si="87"/>
        <v>[x]</v>
      </c>
      <c r="AF354" s="27" t="str">
        <f t="shared" si="88"/>
        <v>[x]</v>
      </c>
      <c r="AG354" s="27" t="str">
        <f t="shared" si="89"/>
        <v>[x]</v>
      </c>
    </row>
    <row r="355" spans="16:33" ht="16.5" x14ac:dyDescent="0.2">
      <c r="P355" s="13">
        <v>299</v>
      </c>
      <c r="Q355" s="14">
        <f t="shared" si="74"/>
        <v>17</v>
      </c>
      <c r="R355" s="14">
        <f t="shared" si="75"/>
        <v>1606021</v>
      </c>
      <c r="S355" s="14" t="str">
        <f t="shared" si="79"/>
        <v>神器4碎片3等级11</v>
      </c>
      <c r="T355" s="29" t="s">
        <v>649</v>
      </c>
      <c r="U355" s="14">
        <f t="shared" si="76"/>
        <v>11</v>
      </c>
      <c r="V355" s="36">
        <f t="shared" si="80"/>
        <v>0.94200000000000006</v>
      </c>
      <c r="W355" s="17">
        <f t="shared" si="77"/>
        <v>1.8840000000000003E-2</v>
      </c>
      <c r="X355" s="14">
        <f t="shared" si="81"/>
        <v>1</v>
      </c>
      <c r="Y355" s="14">
        <f t="shared" si="82"/>
        <v>3</v>
      </c>
      <c r="Z355" s="14">
        <f t="shared" si="83"/>
        <v>0</v>
      </c>
      <c r="AA355" s="14" t="str">
        <f t="shared" si="84"/>
        <v>AtkExt</v>
      </c>
      <c r="AB355" s="14">
        <f t="shared" si="78"/>
        <v>907</v>
      </c>
      <c r="AC355" s="14" t="str">
        <f t="shared" si="85"/>
        <v>HPExt</v>
      </c>
      <c r="AD355" s="14">
        <f t="shared" si="86"/>
        <v>1364</v>
      </c>
      <c r="AE355" s="14" t="str">
        <f t="shared" si="87"/>
        <v>[x]</v>
      </c>
      <c r="AF355" s="27" t="str">
        <f t="shared" si="88"/>
        <v>[x]</v>
      </c>
      <c r="AG355" s="27" t="str">
        <f t="shared" si="89"/>
        <v>[x]</v>
      </c>
    </row>
    <row r="356" spans="16:33" ht="16.5" x14ac:dyDescent="0.2">
      <c r="P356" s="13">
        <v>300</v>
      </c>
      <c r="Q356" s="14">
        <f t="shared" si="74"/>
        <v>17</v>
      </c>
      <c r="R356" s="14">
        <f t="shared" si="75"/>
        <v>1606021</v>
      </c>
      <c r="S356" s="14" t="str">
        <f t="shared" si="79"/>
        <v>神器4碎片3等级12</v>
      </c>
      <c r="T356" s="29" t="s">
        <v>649</v>
      </c>
      <c r="U356" s="14">
        <f t="shared" si="76"/>
        <v>12</v>
      </c>
      <c r="V356" s="36">
        <f t="shared" si="80"/>
        <v>1.0380000000000003</v>
      </c>
      <c r="W356" s="17">
        <f t="shared" si="77"/>
        <v>2.0760000000000004E-2</v>
      </c>
      <c r="X356" s="14">
        <f t="shared" si="81"/>
        <v>1</v>
      </c>
      <c r="Y356" s="14">
        <f t="shared" si="82"/>
        <v>3</v>
      </c>
      <c r="Z356" s="14">
        <f t="shared" si="83"/>
        <v>0</v>
      </c>
      <c r="AA356" s="14" t="str">
        <f t="shared" si="84"/>
        <v>AtkExt</v>
      </c>
      <c r="AB356" s="14">
        <f t="shared" si="78"/>
        <v>999</v>
      </c>
      <c r="AC356" s="14" t="str">
        <f t="shared" si="85"/>
        <v>HPExt</v>
      </c>
      <c r="AD356" s="14">
        <f t="shared" si="86"/>
        <v>1503</v>
      </c>
      <c r="AE356" s="14" t="str">
        <f t="shared" si="87"/>
        <v>[x]</v>
      </c>
      <c r="AF356" s="27" t="str">
        <f t="shared" si="88"/>
        <v>[x]</v>
      </c>
      <c r="AG356" s="27" t="str">
        <f t="shared" si="89"/>
        <v>[x]</v>
      </c>
    </row>
    <row r="357" spans="16:33" ht="16.5" x14ac:dyDescent="0.2">
      <c r="P357" s="13">
        <v>301</v>
      </c>
      <c r="Q357" s="14">
        <f t="shared" si="74"/>
        <v>17</v>
      </c>
      <c r="R357" s="14">
        <f t="shared" si="75"/>
        <v>1606021</v>
      </c>
      <c r="S357" s="14" t="str">
        <f t="shared" si="79"/>
        <v>神器4碎片3等级13</v>
      </c>
      <c r="T357" s="29" t="s">
        <v>649</v>
      </c>
      <c r="U357" s="14">
        <f t="shared" si="76"/>
        <v>13</v>
      </c>
      <c r="V357" s="36">
        <f t="shared" si="80"/>
        <v>1.1380000000000001</v>
      </c>
      <c r="W357" s="17">
        <f t="shared" si="77"/>
        <v>2.2760000000000002E-2</v>
      </c>
      <c r="X357" s="14">
        <f t="shared" si="81"/>
        <v>1</v>
      </c>
      <c r="Y357" s="14">
        <f t="shared" si="82"/>
        <v>3</v>
      </c>
      <c r="Z357" s="14">
        <f t="shared" si="83"/>
        <v>0</v>
      </c>
      <c r="AA357" s="14" t="str">
        <f t="shared" si="84"/>
        <v>AtkExt</v>
      </c>
      <c r="AB357" s="14">
        <f t="shared" si="78"/>
        <v>1096</v>
      </c>
      <c r="AC357" s="14" t="str">
        <f t="shared" si="85"/>
        <v>HPExt</v>
      </c>
      <c r="AD357" s="14">
        <f t="shared" si="86"/>
        <v>1648</v>
      </c>
      <c r="AE357" s="14" t="str">
        <f t="shared" si="87"/>
        <v>[x]</v>
      </c>
      <c r="AF357" s="27" t="str">
        <f t="shared" si="88"/>
        <v>[x]</v>
      </c>
      <c r="AG357" s="27" t="str">
        <f t="shared" si="89"/>
        <v>[x]</v>
      </c>
    </row>
    <row r="358" spans="16:33" ht="16.5" x14ac:dyDescent="0.2">
      <c r="P358" s="13">
        <v>302</v>
      </c>
      <c r="Q358" s="14">
        <f t="shared" si="74"/>
        <v>17</v>
      </c>
      <c r="R358" s="14">
        <f t="shared" si="75"/>
        <v>1606021</v>
      </c>
      <c r="S358" s="14" t="str">
        <f t="shared" si="79"/>
        <v>神器4碎片3等级14</v>
      </c>
      <c r="T358" s="29" t="s">
        <v>649</v>
      </c>
      <c r="U358" s="14">
        <f t="shared" si="76"/>
        <v>14</v>
      </c>
      <c r="V358" s="36">
        <f t="shared" si="80"/>
        <v>1.242</v>
      </c>
      <c r="W358" s="17">
        <f t="shared" si="77"/>
        <v>2.4840000000000001E-2</v>
      </c>
      <c r="X358" s="14">
        <f t="shared" si="81"/>
        <v>1</v>
      </c>
      <c r="Y358" s="14">
        <f t="shared" si="82"/>
        <v>3</v>
      </c>
      <c r="Z358" s="14">
        <f t="shared" si="83"/>
        <v>0</v>
      </c>
      <c r="AA358" s="14" t="str">
        <f t="shared" si="84"/>
        <v>AtkExt</v>
      </c>
      <c r="AB358" s="14">
        <f t="shared" si="78"/>
        <v>1196</v>
      </c>
      <c r="AC358" s="14" t="str">
        <f t="shared" si="85"/>
        <v>HPExt</v>
      </c>
      <c r="AD358" s="14">
        <f t="shared" si="86"/>
        <v>1798</v>
      </c>
      <c r="AE358" s="14" t="str">
        <f t="shared" si="87"/>
        <v>[x]</v>
      </c>
      <c r="AF358" s="27" t="str">
        <f t="shared" si="88"/>
        <v>[x]</v>
      </c>
      <c r="AG358" s="27" t="str">
        <f t="shared" si="89"/>
        <v>[x]</v>
      </c>
    </row>
    <row r="359" spans="16:33" ht="16.5" x14ac:dyDescent="0.2">
      <c r="P359" s="13">
        <v>303</v>
      </c>
      <c r="Q359" s="14">
        <f t="shared" si="74"/>
        <v>17</v>
      </c>
      <c r="R359" s="14">
        <f t="shared" si="75"/>
        <v>1606021</v>
      </c>
      <c r="S359" s="14" t="str">
        <f t="shared" si="79"/>
        <v>神器4碎片3等级15</v>
      </c>
      <c r="T359" s="29" t="s">
        <v>649</v>
      </c>
      <c r="U359" s="14">
        <f t="shared" si="76"/>
        <v>15</v>
      </c>
      <c r="V359" s="36">
        <f t="shared" si="80"/>
        <v>1.35</v>
      </c>
      <c r="W359" s="17">
        <f t="shared" si="77"/>
        <v>2.7000000000000003E-2</v>
      </c>
      <c r="X359" s="14">
        <f t="shared" si="81"/>
        <v>1</v>
      </c>
      <c r="Y359" s="14">
        <f t="shared" si="82"/>
        <v>3</v>
      </c>
      <c r="Z359" s="14">
        <f t="shared" si="83"/>
        <v>0</v>
      </c>
      <c r="AA359" s="14" t="str">
        <f t="shared" si="84"/>
        <v>AtkExt</v>
      </c>
      <c r="AB359" s="14">
        <f t="shared" si="78"/>
        <v>1300</v>
      </c>
      <c r="AC359" s="14" t="str">
        <f t="shared" si="85"/>
        <v>HPExt</v>
      </c>
      <c r="AD359" s="14">
        <f t="shared" si="86"/>
        <v>1955</v>
      </c>
      <c r="AE359" s="14" t="str">
        <f t="shared" si="87"/>
        <v>[x]</v>
      </c>
      <c r="AF359" s="27" t="str">
        <f t="shared" si="88"/>
        <v>[x]</v>
      </c>
      <c r="AG359" s="27" t="str">
        <f t="shared" si="89"/>
        <v>[x]</v>
      </c>
    </row>
    <row r="360" spans="16:33" ht="16.5" x14ac:dyDescent="0.2">
      <c r="P360" s="13">
        <v>304</v>
      </c>
      <c r="Q360" s="14">
        <f t="shared" si="74"/>
        <v>17</v>
      </c>
      <c r="R360" s="14">
        <f t="shared" si="75"/>
        <v>1606021</v>
      </c>
      <c r="S360" s="14" t="str">
        <f t="shared" si="79"/>
        <v>神器4碎片3等级16</v>
      </c>
      <c r="T360" s="29" t="s">
        <v>649</v>
      </c>
      <c r="U360" s="14">
        <f t="shared" si="76"/>
        <v>16</v>
      </c>
      <c r="V360" s="36">
        <f t="shared" si="80"/>
        <v>1.4620000000000002</v>
      </c>
      <c r="W360" s="17">
        <f t="shared" si="77"/>
        <v>2.9240000000000006E-2</v>
      </c>
      <c r="X360" s="14">
        <f t="shared" si="81"/>
        <v>1</v>
      </c>
      <c r="Y360" s="14">
        <f t="shared" si="82"/>
        <v>3</v>
      </c>
      <c r="Z360" s="14">
        <f t="shared" si="83"/>
        <v>0</v>
      </c>
      <c r="AA360" s="14" t="str">
        <f t="shared" si="84"/>
        <v>AtkExt</v>
      </c>
      <c r="AB360" s="14">
        <f t="shared" si="78"/>
        <v>1408</v>
      </c>
      <c r="AC360" s="14" t="str">
        <f t="shared" si="85"/>
        <v>HPExt</v>
      </c>
      <c r="AD360" s="14">
        <f t="shared" si="86"/>
        <v>2117</v>
      </c>
      <c r="AE360" s="14" t="str">
        <f t="shared" si="87"/>
        <v>[x]</v>
      </c>
      <c r="AF360" s="27" t="str">
        <f t="shared" si="88"/>
        <v>[x]</v>
      </c>
      <c r="AG360" s="27" t="str">
        <f t="shared" si="89"/>
        <v>[x]</v>
      </c>
    </row>
    <row r="361" spans="16:33" ht="16.5" x14ac:dyDescent="0.2">
      <c r="P361" s="13">
        <v>305</v>
      </c>
      <c r="Q361" s="14">
        <f t="shared" si="74"/>
        <v>17</v>
      </c>
      <c r="R361" s="14">
        <f t="shared" si="75"/>
        <v>1606021</v>
      </c>
      <c r="S361" s="14" t="str">
        <f t="shared" si="79"/>
        <v>神器4碎片3等级17</v>
      </c>
      <c r="T361" s="29" t="s">
        <v>649</v>
      </c>
      <c r="U361" s="14">
        <f t="shared" si="76"/>
        <v>17</v>
      </c>
      <c r="V361" s="36">
        <f t="shared" si="80"/>
        <v>1.5779999999999998</v>
      </c>
      <c r="W361" s="17">
        <f t="shared" si="77"/>
        <v>3.1559999999999998E-2</v>
      </c>
      <c r="X361" s="14">
        <f t="shared" si="81"/>
        <v>1</v>
      </c>
      <c r="Y361" s="14">
        <f t="shared" si="82"/>
        <v>3</v>
      </c>
      <c r="Z361" s="14">
        <f t="shared" si="83"/>
        <v>0</v>
      </c>
      <c r="AA361" s="14" t="str">
        <f t="shared" si="84"/>
        <v>AtkExt</v>
      </c>
      <c r="AB361" s="14">
        <f t="shared" si="78"/>
        <v>1519</v>
      </c>
      <c r="AC361" s="14" t="str">
        <f t="shared" si="85"/>
        <v>HPExt</v>
      </c>
      <c r="AD361" s="14">
        <f t="shared" si="86"/>
        <v>2285</v>
      </c>
      <c r="AE361" s="14" t="str">
        <f t="shared" si="87"/>
        <v>[x]</v>
      </c>
      <c r="AF361" s="27" t="str">
        <f t="shared" si="88"/>
        <v>[x]</v>
      </c>
      <c r="AG361" s="27" t="str">
        <f t="shared" si="89"/>
        <v>[x]</v>
      </c>
    </row>
    <row r="362" spans="16:33" ht="16.5" x14ac:dyDescent="0.2">
      <c r="P362" s="13">
        <v>306</v>
      </c>
      <c r="Q362" s="14">
        <f t="shared" si="74"/>
        <v>17</v>
      </c>
      <c r="R362" s="14">
        <f t="shared" si="75"/>
        <v>1606021</v>
      </c>
      <c r="S362" s="14" t="str">
        <f t="shared" si="79"/>
        <v>神器4碎片3等级18</v>
      </c>
      <c r="T362" s="29" t="s">
        <v>649</v>
      </c>
      <c r="U362" s="14">
        <f t="shared" si="76"/>
        <v>18</v>
      </c>
      <c r="V362" s="36">
        <f t="shared" si="80"/>
        <v>1.698</v>
      </c>
      <c r="W362" s="17">
        <f t="shared" si="77"/>
        <v>3.3959999999999997E-2</v>
      </c>
      <c r="X362" s="14">
        <f t="shared" si="81"/>
        <v>1</v>
      </c>
      <c r="Y362" s="14">
        <f t="shared" si="82"/>
        <v>3</v>
      </c>
      <c r="Z362" s="14">
        <f t="shared" si="83"/>
        <v>0</v>
      </c>
      <c r="AA362" s="14" t="str">
        <f t="shared" si="84"/>
        <v>AtkExt</v>
      </c>
      <c r="AB362" s="14">
        <f t="shared" si="78"/>
        <v>1635</v>
      </c>
      <c r="AC362" s="14" t="str">
        <f t="shared" si="85"/>
        <v>HPExt</v>
      </c>
      <c r="AD362" s="14">
        <f t="shared" si="86"/>
        <v>2459</v>
      </c>
      <c r="AE362" s="14" t="str">
        <f t="shared" si="87"/>
        <v>[x]</v>
      </c>
      <c r="AF362" s="27" t="str">
        <f t="shared" si="88"/>
        <v>[x]</v>
      </c>
      <c r="AG362" s="27" t="str">
        <f t="shared" si="89"/>
        <v>[x]</v>
      </c>
    </row>
    <row r="363" spans="16:33" ht="16.5" x14ac:dyDescent="0.2">
      <c r="P363" s="13">
        <v>307</v>
      </c>
      <c r="Q363" s="14">
        <f t="shared" si="74"/>
        <v>17</v>
      </c>
      <c r="R363" s="14">
        <f t="shared" si="75"/>
        <v>1606021</v>
      </c>
      <c r="S363" s="14" t="str">
        <f t="shared" si="79"/>
        <v>神器4碎片3等级19</v>
      </c>
      <c r="T363" s="29" t="s">
        <v>649</v>
      </c>
      <c r="U363" s="14">
        <f t="shared" si="76"/>
        <v>19</v>
      </c>
      <c r="V363" s="36">
        <f t="shared" si="80"/>
        <v>1.8220000000000001</v>
      </c>
      <c r="W363" s="17">
        <f t="shared" si="77"/>
        <v>3.644E-2</v>
      </c>
      <c r="X363" s="14">
        <f t="shared" si="81"/>
        <v>1</v>
      </c>
      <c r="Y363" s="14">
        <f t="shared" si="82"/>
        <v>3</v>
      </c>
      <c r="Z363" s="14">
        <f t="shared" si="83"/>
        <v>0</v>
      </c>
      <c r="AA363" s="14" t="str">
        <f t="shared" si="84"/>
        <v>AtkExt</v>
      </c>
      <c r="AB363" s="14">
        <f t="shared" si="78"/>
        <v>1755</v>
      </c>
      <c r="AC363" s="14" t="str">
        <f t="shared" si="85"/>
        <v>HPExt</v>
      </c>
      <c r="AD363" s="14">
        <f t="shared" si="86"/>
        <v>2638</v>
      </c>
      <c r="AE363" s="14" t="str">
        <f t="shared" si="87"/>
        <v>[x]</v>
      </c>
      <c r="AF363" s="27" t="str">
        <f t="shared" si="88"/>
        <v>[x]</v>
      </c>
      <c r="AG363" s="27" t="str">
        <f t="shared" si="89"/>
        <v>[x]</v>
      </c>
    </row>
    <row r="364" spans="16:33" ht="16.5" x14ac:dyDescent="0.2">
      <c r="P364" s="13">
        <v>308</v>
      </c>
      <c r="Q364" s="14">
        <f t="shared" si="74"/>
        <v>17</v>
      </c>
      <c r="R364" s="14">
        <f t="shared" si="75"/>
        <v>1606021</v>
      </c>
      <c r="S364" s="14" t="str">
        <f t="shared" si="79"/>
        <v>神器4碎片3等级20</v>
      </c>
      <c r="T364" s="29" t="s">
        <v>649</v>
      </c>
      <c r="U364" s="14">
        <f t="shared" si="76"/>
        <v>20</v>
      </c>
      <c r="V364" s="36">
        <f t="shared" si="80"/>
        <v>1.95</v>
      </c>
      <c r="W364" s="17">
        <f t="shared" si="77"/>
        <v>3.9E-2</v>
      </c>
      <c r="X364" s="14">
        <f t="shared" si="81"/>
        <v>1</v>
      </c>
      <c r="Y364" s="14">
        <f t="shared" si="82"/>
        <v>3</v>
      </c>
      <c r="Z364" s="14">
        <f t="shared" si="83"/>
        <v>0</v>
      </c>
      <c r="AA364" s="14" t="str">
        <f t="shared" si="84"/>
        <v>AtkExt</v>
      </c>
      <c r="AB364" s="14">
        <f t="shared" si="78"/>
        <v>1878</v>
      </c>
      <c r="AC364" s="14" t="str">
        <f t="shared" si="85"/>
        <v>HPExt</v>
      </c>
      <c r="AD364" s="14">
        <f t="shared" si="86"/>
        <v>2824</v>
      </c>
      <c r="AE364" s="14" t="str">
        <f t="shared" si="87"/>
        <v>[x]</v>
      </c>
      <c r="AF364" s="27" t="str">
        <f t="shared" si="88"/>
        <v>[x]</v>
      </c>
      <c r="AG364" s="27" t="str">
        <f t="shared" si="89"/>
        <v>[x]</v>
      </c>
    </row>
    <row r="365" spans="16:33" ht="16.5" x14ac:dyDescent="0.2">
      <c r="P365" s="13">
        <v>309</v>
      </c>
      <c r="Q365" s="14">
        <f t="shared" si="74"/>
        <v>17</v>
      </c>
      <c r="R365" s="14">
        <f t="shared" si="75"/>
        <v>1606021</v>
      </c>
      <c r="S365" s="14" t="str">
        <f t="shared" si="79"/>
        <v>神器4碎片3等级21</v>
      </c>
      <c r="T365" s="29" t="s">
        <v>649</v>
      </c>
      <c r="U365" s="14">
        <f t="shared" si="76"/>
        <v>21</v>
      </c>
      <c r="V365" s="36">
        <f t="shared" si="80"/>
        <v>2.0819999999999999</v>
      </c>
      <c r="W365" s="17">
        <f t="shared" si="77"/>
        <v>4.1639999999999996E-2</v>
      </c>
      <c r="X365" s="14">
        <f t="shared" si="81"/>
        <v>1</v>
      </c>
      <c r="Y365" s="14">
        <f t="shared" si="82"/>
        <v>3</v>
      </c>
      <c r="Z365" s="14">
        <f t="shared" si="83"/>
        <v>0</v>
      </c>
      <c r="AA365" s="14" t="str">
        <f t="shared" si="84"/>
        <v>AtkExt</v>
      </c>
      <c r="AB365" s="14">
        <f t="shared" si="78"/>
        <v>2005</v>
      </c>
      <c r="AC365" s="14" t="str">
        <f t="shared" si="85"/>
        <v>HPExt</v>
      </c>
      <c r="AD365" s="14">
        <f t="shared" si="86"/>
        <v>3015</v>
      </c>
      <c r="AE365" s="14" t="str">
        <f t="shared" si="87"/>
        <v>[x]</v>
      </c>
      <c r="AF365" s="27" t="str">
        <f t="shared" si="88"/>
        <v>[x]</v>
      </c>
      <c r="AG365" s="27" t="str">
        <f t="shared" si="89"/>
        <v>[x]</v>
      </c>
    </row>
    <row r="366" spans="16:33" ht="16.5" x14ac:dyDescent="0.2">
      <c r="P366" s="13">
        <v>310</v>
      </c>
      <c r="Q366" s="14">
        <f t="shared" si="74"/>
        <v>18</v>
      </c>
      <c r="R366" s="14">
        <f t="shared" si="75"/>
        <v>1606022</v>
      </c>
      <c r="S366" s="14" t="str">
        <f t="shared" si="79"/>
        <v>神器4碎片4等级1</v>
      </c>
      <c r="T366" s="29" t="s">
        <v>649</v>
      </c>
      <c r="U366" s="14">
        <f t="shared" si="76"/>
        <v>1</v>
      </c>
      <c r="V366" s="36">
        <f t="shared" si="80"/>
        <v>0.20200000000000001</v>
      </c>
      <c r="W366" s="17">
        <f t="shared" si="77"/>
        <v>4.0400000000000002E-3</v>
      </c>
      <c r="X366" s="14">
        <f t="shared" si="81"/>
        <v>1</v>
      </c>
      <c r="Y366" s="14">
        <f t="shared" si="82"/>
        <v>3</v>
      </c>
      <c r="Z366" s="14">
        <f t="shared" si="83"/>
        <v>0</v>
      </c>
      <c r="AA366" s="14" t="str">
        <f t="shared" si="84"/>
        <v>AtkExt</v>
      </c>
      <c r="AB366" s="14">
        <f t="shared" si="78"/>
        <v>194</v>
      </c>
      <c r="AC366" s="14" t="str">
        <f t="shared" si="85"/>
        <v>HPExt</v>
      </c>
      <c r="AD366" s="14">
        <f t="shared" si="86"/>
        <v>292</v>
      </c>
      <c r="AE366" s="14" t="str">
        <f t="shared" si="87"/>
        <v>[x]</v>
      </c>
      <c r="AF366" s="27" t="str">
        <f t="shared" si="88"/>
        <v>[x]</v>
      </c>
      <c r="AG366" s="27" t="str">
        <f t="shared" si="89"/>
        <v>[x]</v>
      </c>
    </row>
    <row r="367" spans="16:33" ht="16.5" x14ac:dyDescent="0.2">
      <c r="P367" s="13">
        <v>311</v>
      </c>
      <c r="Q367" s="14">
        <f t="shared" si="74"/>
        <v>18</v>
      </c>
      <c r="R367" s="14">
        <f t="shared" si="75"/>
        <v>1606022</v>
      </c>
      <c r="S367" s="14" t="str">
        <f t="shared" si="79"/>
        <v>神器4碎片4等级2</v>
      </c>
      <c r="T367" s="29" t="s">
        <v>649</v>
      </c>
      <c r="U367" s="14">
        <f t="shared" si="76"/>
        <v>2</v>
      </c>
      <c r="V367" s="36">
        <f t="shared" si="80"/>
        <v>0.25800000000000001</v>
      </c>
      <c r="W367" s="17">
        <f t="shared" si="77"/>
        <v>5.1600000000000005E-3</v>
      </c>
      <c r="X367" s="14">
        <f t="shared" si="81"/>
        <v>1</v>
      </c>
      <c r="Y367" s="14">
        <f t="shared" si="82"/>
        <v>3</v>
      </c>
      <c r="Z367" s="14">
        <f t="shared" si="83"/>
        <v>0</v>
      </c>
      <c r="AA367" s="14" t="str">
        <f t="shared" si="84"/>
        <v>AtkExt</v>
      </c>
      <c r="AB367" s="14">
        <f t="shared" si="78"/>
        <v>248</v>
      </c>
      <c r="AC367" s="14" t="str">
        <f t="shared" si="85"/>
        <v>HPExt</v>
      </c>
      <c r="AD367" s="14">
        <f t="shared" si="86"/>
        <v>373</v>
      </c>
      <c r="AE367" s="14" t="str">
        <f t="shared" si="87"/>
        <v>[x]</v>
      </c>
      <c r="AF367" s="27" t="str">
        <f t="shared" si="88"/>
        <v>[x]</v>
      </c>
      <c r="AG367" s="27" t="str">
        <f t="shared" si="89"/>
        <v>[x]</v>
      </c>
    </row>
    <row r="368" spans="16:33" ht="16.5" x14ac:dyDescent="0.2">
      <c r="P368" s="13">
        <v>312</v>
      </c>
      <c r="Q368" s="14">
        <f t="shared" si="74"/>
        <v>18</v>
      </c>
      <c r="R368" s="14">
        <f t="shared" si="75"/>
        <v>1606022</v>
      </c>
      <c r="S368" s="14" t="str">
        <f t="shared" si="79"/>
        <v>神器4碎片4等级3</v>
      </c>
      <c r="T368" s="29" t="s">
        <v>649</v>
      </c>
      <c r="U368" s="14">
        <f t="shared" si="76"/>
        <v>3</v>
      </c>
      <c r="V368" s="36">
        <f t="shared" si="80"/>
        <v>0.31800000000000006</v>
      </c>
      <c r="W368" s="17">
        <f t="shared" si="77"/>
        <v>6.3600000000000011E-3</v>
      </c>
      <c r="X368" s="14">
        <f t="shared" si="81"/>
        <v>1</v>
      </c>
      <c r="Y368" s="14">
        <f t="shared" si="82"/>
        <v>3</v>
      </c>
      <c r="Z368" s="14">
        <f t="shared" si="83"/>
        <v>0</v>
      </c>
      <c r="AA368" s="14" t="str">
        <f t="shared" si="84"/>
        <v>AtkExt</v>
      </c>
      <c r="AB368" s="14">
        <f t="shared" si="78"/>
        <v>306</v>
      </c>
      <c r="AC368" s="14" t="str">
        <f t="shared" si="85"/>
        <v>HPExt</v>
      </c>
      <c r="AD368" s="14">
        <f t="shared" si="86"/>
        <v>460</v>
      </c>
      <c r="AE368" s="14" t="str">
        <f t="shared" si="87"/>
        <v>[x]</v>
      </c>
      <c r="AF368" s="27" t="str">
        <f t="shared" si="88"/>
        <v>[x]</v>
      </c>
      <c r="AG368" s="27" t="str">
        <f t="shared" si="89"/>
        <v>[x]</v>
      </c>
    </row>
    <row r="369" spans="16:33" ht="16.5" x14ac:dyDescent="0.2">
      <c r="P369" s="13">
        <v>313</v>
      </c>
      <c r="Q369" s="14">
        <f t="shared" si="74"/>
        <v>18</v>
      </c>
      <c r="R369" s="14">
        <f t="shared" si="75"/>
        <v>1606022</v>
      </c>
      <c r="S369" s="14" t="str">
        <f t="shared" si="79"/>
        <v>神器4碎片4等级4</v>
      </c>
      <c r="T369" s="29" t="s">
        <v>649</v>
      </c>
      <c r="U369" s="14">
        <f t="shared" si="76"/>
        <v>4</v>
      </c>
      <c r="V369" s="36">
        <f t="shared" si="80"/>
        <v>0.38200000000000001</v>
      </c>
      <c r="W369" s="17">
        <f t="shared" si="77"/>
        <v>7.6400000000000001E-3</v>
      </c>
      <c r="X369" s="14">
        <f t="shared" si="81"/>
        <v>1</v>
      </c>
      <c r="Y369" s="14">
        <f t="shared" si="82"/>
        <v>3</v>
      </c>
      <c r="Z369" s="14">
        <f t="shared" si="83"/>
        <v>0</v>
      </c>
      <c r="AA369" s="14" t="str">
        <f t="shared" si="84"/>
        <v>AtkExt</v>
      </c>
      <c r="AB369" s="14">
        <f t="shared" si="78"/>
        <v>367</v>
      </c>
      <c r="AC369" s="14" t="str">
        <f t="shared" si="85"/>
        <v>HPExt</v>
      </c>
      <c r="AD369" s="14">
        <f t="shared" si="86"/>
        <v>553</v>
      </c>
      <c r="AE369" s="14" t="str">
        <f t="shared" si="87"/>
        <v>[x]</v>
      </c>
      <c r="AF369" s="27" t="str">
        <f t="shared" si="88"/>
        <v>[x]</v>
      </c>
      <c r="AG369" s="27" t="str">
        <f t="shared" si="89"/>
        <v>[x]</v>
      </c>
    </row>
    <row r="370" spans="16:33" ht="16.5" x14ac:dyDescent="0.2">
      <c r="P370" s="13">
        <v>314</v>
      </c>
      <c r="Q370" s="14">
        <f t="shared" si="74"/>
        <v>18</v>
      </c>
      <c r="R370" s="14">
        <f t="shared" si="75"/>
        <v>1606022</v>
      </c>
      <c r="S370" s="14" t="str">
        <f t="shared" si="79"/>
        <v>神器4碎片4等级5</v>
      </c>
      <c r="T370" s="29" t="s">
        <v>649</v>
      </c>
      <c r="U370" s="14">
        <f t="shared" si="76"/>
        <v>5</v>
      </c>
      <c r="V370" s="36">
        <f t="shared" si="80"/>
        <v>0.45</v>
      </c>
      <c r="W370" s="17">
        <f t="shared" si="77"/>
        <v>9.0000000000000011E-3</v>
      </c>
      <c r="X370" s="14">
        <f t="shared" si="81"/>
        <v>1</v>
      </c>
      <c r="Y370" s="14">
        <f t="shared" si="82"/>
        <v>3</v>
      </c>
      <c r="Z370" s="14">
        <f t="shared" si="83"/>
        <v>0</v>
      </c>
      <c r="AA370" s="14" t="str">
        <f t="shared" si="84"/>
        <v>AtkExt</v>
      </c>
      <c r="AB370" s="14">
        <f t="shared" si="78"/>
        <v>433</v>
      </c>
      <c r="AC370" s="14" t="str">
        <f t="shared" si="85"/>
        <v>HPExt</v>
      </c>
      <c r="AD370" s="14">
        <f t="shared" si="86"/>
        <v>651</v>
      </c>
      <c r="AE370" s="14" t="str">
        <f t="shared" si="87"/>
        <v>[x]</v>
      </c>
      <c r="AF370" s="27" t="str">
        <f t="shared" si="88"/>
        <v>[x]</v>
      </c>
      <c r="AG370" s="27" t="str">
        <f t="shared" si="89"/>
        <v>[x]</v>
      </c>
    </row>
    <row r="371" spans="16:33" ht="16.5" x14ac:dyDescent="0.2">
      <c r="P371" s="13">
        <v>315</v>
      </c>
      <c r="Q371" s="14">
        <f t="shared" si="74"/>
        <v>18</v>
      </c>
      <c r="R371" s="14">
        <f t="shared" si="75"/>
        <v>1606022</v>
      </c>
      <c r="S371" s="14" t="str">
        <f t="shared" si="79"/>
        <v>神器4碎片4等级6</v>
      </c>
      <c r="T371" s="29" t="s">
        <v>649</v>
      </c>
      <c r="U371" s="14">
        <f t="shared" si="76"/>
        <v>6</v>
      </c>
      <c r="V371" s="36">
        <f t="shared" si="80"/>
        <v>0.52200000000000002</v>
      </c>
      <c r="W371" s="17">
        <f t="shared" si="77"/>
        <v>1.0440000000000001E-2</v>
      </c>
      <c r="X371" s="14">
        <f t="shared" si="81"/>
        <v>1</v>
      </c>
      <c r="Y371" s="14">
        <f t="shared" si="82"/>
        <v>3</v>
      </c>
      <c r="Z371" s="14">
        <f t="shared" si="83"/>
        <v>0</v>
      </c>
      <c r="AA371" s="14" t="str">
        <f t="shared" si="84"/>
        <v>AtkExt</v>
      </c>
      <c r="AB371" s="14">
        <f t="shared" si="78"/>
        <v>502</v>
      </c>
      <c r="AC371" s="14" t="str">
        <f t="shared" si="85"/>
        <v>HPExt</v>
      </c>
      <c r="AD371" s="14">
        <f t="shared" si="86"/>
        <v>756</v>
      </c>
      <c r="AE371" s="14" t="str">
        <f t="shared" si="87"/>
        <v>[x]</v>
      </c>
      <c r="AF371" s="27" t="str">
        <f t="shared" si="88"/>
        <v>[x]</v>
      </c>
      <c r="AG371" s="27" t="str">
        <f t="shared" si="89"/>
        <v>[x]</v>
      </c>
    </row>
    <row r="372" spans="16:33" ht="16.5" x14ac:dyDescent="0.2">
      <c r="P372" s="13">
        <v>316</v>
      </c>
      <c r="Q372" s="14">
        <f t="shared" si="74"/>
        <v>18</v>
      </c>
      <c r="R372" s="14">
        <f t="shared" si="75"/>
        <v>1606022</v>
      </c>
      <c r="S372" s="14" t="str">
        <f t="shared" si="79"/>
        <v>神器4碎片4等级7</v>
      </c>
      <c r="T372" s="29" t="s">
        <v>649</v>
      </c>
      <c r="U372" s="14">
        <f t="shared" si="76"/>
        <v>7</v>
      </c>
      <c r="V372" s="36">
        <f t="shared" si="80"/>
        <v>0.59799999999999998</v>
      </c>
      <c r="W372" s="17">
        <f t="shared" si="77"/>
        <v>1.196E-2</v>
      </c>
      <c r="X372" s="14">
        <f t="shared" si="81"/>
        <v>1</v>
      </c>
      <c r="Y372" s="14">
        <f t="shared" si="82"/>
        <v>3</v>
      </c>
      <c r="Z372" s="14">
        <f t="shared" si="83"/>
        <v>0</v>
      </c>
      <c r="AA372" s="14" t="str">
        <f t="shared" si="84"/>
        <v>AtkExt</v>
      </c>
      <c r="AB372" s="14">
        <f t="shared" si="78"/>
        <v>576</v>
      </c>
      <c r="AC372" s="14" t="str">
        <f t="shared" si="85"/>
        <v>HPExt</v>
      </c>
      <c r="AD372" s="14">
        <f t="shared" si="86"/>
        <v>866</v>
      </c>
      <c r="AE372" s="14" t="str">
        <f t="shared" si="87"/>
        <v>[x]</v>
      </c>
      <c r="AF372" s="27" t="str">
        <f t="shared" si="88"/>
        <v>[x]</v>
      </c>
      <c r="AG372" s="27" t="str">
        <f t="shared" si="89"/>
        <v>[x]</v>
      </c>
    </row>
    <row r="373" spans="16:33" ht="16.5" x14ac:dyDescent="0.2">
      <c r="P373" s="13">
        <v>317</v>
      </c>
      <c r="Q373" s="14">
        <f t="shared" si="74"/>
        <v>18</v>
      </c>
      <c r="R373" s="14">
        <f t="shared" si="75"/>
        <v>1606022</v>
      </c>
      <c r="S373" s="14" t="str">
        <f t="shared" si="79"/>
        <v>神器4碎片4等级8</v>
      </c>
      <c r="T373" s="29" t="s">
        <v>649</v>
      </c>
      <c r="U373" s="14">
        <f t="shared" si="76"/>
        <v>8</v>
      </c>
      <c r="V373" s="36">
        <f t="shared" si="80"/>
        <v>0.67800000000000005</v>
      </c>
      <c r="W373" s="17">
        <f t="shared" si="77"/>
        <v>1.3560000000000001E-2</v>
      </c>
      <c r="X373" s="14">
        <f t="shared" si="81"/>
        <v>1</v>
      </c>
      <c r="Y373" s="14">
        <f t="shared" si="82"/>
        <v>3</v>
      </c>
      <c r="Z373" s="14">
        <f t="shared" si="83"/>
        <v>0</v>
      </c>
      <c r="AA373" s="14" t="str">
        <f t="shared" si="84"/>
        <v>AtkExt</v>
      </c>
      <c r="AB373" s="14">
        <f t="shared" si="78"/>
        <v>653</v>
      </c>
      <c r="AC373" s="14" t="str">
        <f t="shared" si="85"/>
        <v>HPExt</v>
      </c>
      <c r="AD373" s="14">
        <f t="shared" si="86"/>
        <v>981</v>
      </c>
      <c r="AE373" s="14" t="str">
        <f t="shared" si="87"/>
        <v>[x]</v>
      </c>
      <c r="AF373" s="27" t="str">
        <f t="shared" si="88"/>
        <v>[x]</v>
      </c>
      <c r="AG373" s="27" t="str">
        <f t="shared" si="89"/>
        <v>[x]</v>
      </c>
    </row>
    <row r="374" spans="16:33" ht="16.5" x14ac:dyDescent="0.2">
      <c r="P374" s="13">
        <v>318</v>
      </c>
      <c r="Q374" s="14">
        <f t="shared" si="74"/>
        <v>18</v>
      </c>
      <c r="R374" s="14">
        <f t="shared" si="75"/>
        <v>1606022</v>
      </c>
      <c r="S374" s="14" t="str">
        <f t="shared" si="79"/>
        <v>神器4碎片4等级9</v>
      </c>
      <c r="T374" s="29" t="s">
        <v>649</v>
      </c>
      <c r="U374" s="14">
        <f t="shared" si="76"/>
        <v>9</v>
      </c>
      <c r="V374" s="36">
        <f t="shared" si="80"/>
        <v>0.76200000000000001</v>
      </c>
      <c r="W374" s="17">
        <f t="shared" si="77"/>
        <v>1.524E-2</v>
      </c>
      <c r="X374" s="14">
        <f t="shared" si="81"/>
        <v>1</v>
      </c>
      <c r="Y374" s="14">
        <f t="shared" si="82"/>
        <v>3</v>
      </c>
      <c r="Z374" s="14">
        <f t="shared" si="83"/>
        <v>0</v>
      </c>
      <c r="AA374" s="14" t="str">
        <f t="shared" si="84"/>
        <v>AtkExt</v>
      </c>
      <c r="AB374" s="14">
        <f t="shared" si="78"/>
        <v>733</v>
      </c>
      <c r="AC374" s="14" t="str">
        <f t="shared" si="85"/>
        <v>HPExt</v>
      </c>
      <c r="AD374" s="14">
        <f t="shared" si="86"/>
        <v>1103</v>
      </c>
      <c r="AE374" s="14" t="str">
        <f t="shared" si="87"/>
        <v>[x]</v>
      </c>
      <c r="AF374" s="27" t="str">
        <f t="shared" si="88"/>
        <v>[x]</v>
      </c>
      <c r="AG374" s="27" t="str">
        <f t="shared" si="89"/>
        <v>[x]</v>
      </c>
    </row>
    <row r="375" spans="16:33" ht="16.5" x14ac:dyDescent="0.2">
      <c r="P375" s="13">
        <v>319</v>
      </c>
      <c r="Q375" s="14">
        <f t="shared" si="74"/>
        <v>18</v>
      </c>
      <c r="R375" s="14">
        <f t="shared" si="75"/>
        <v>1606022</v>
      </c>
      <c r="S375" s="14" t="str">
        <f t="shared" si="79"/>
        <v>神器4碎片4等级10</v>
      </c>
      <c r="T375" s="29" t="s">
        <v>649</v>
      </c>
      <c r="U375" s="14">
        <f t="shared" si="76"/>
        <v>10</v>
      </c>
      <c r="V375" s="36">
        <f t="shared" si="80"/>
        <v>0.85000000000000009</v>
      </c>
      <c r="W375" s="17">
        <f t="shared" si="77"/>
        <v>1.7000000000000001E-2</v>
      </c>
      <c r="X375" s="14">
        <f t="shared" si="81"/>
        <v>1</v>
      </c>
      <c r="Y375" s="14">
        <f t="shared" si="82"/>
        <v>3</v>
      </c>
      <c r="Z375" s="14">
        <f t="shared" si="83"/>
        <v>0</v>
      </c>
      <c r="AA375" s="14" t="str">
        <f t="shared" si="84"/>
        <v>AtkExt</v>
      </c>
      <c r="AB375" s="14">
        <f t="shared" si="78"/>
        <v>818</v>
      </c>
      <c r="AC375" s="14" t="str">
        <f t="shared" si="85"/>
        <v>HPExt</v>
      </c>
      <c r="AD375" s="14">
        <f t="shared" si="86"/>
        <v>1231</v>
      </c>
      <c r="AE375" s="14" t="str">
        <f t="shared" si="87"/>
        <v>[x]</v>
      </c>
      <c r="AF375" s="27" t="str">
        <f t="shared" si="88"/>
        <v>[x]</v>
      </c>
      <c r="AG375" s="27" t="str">
        <f t="shared" si="89"/>
        <v>[x]</v>
      </c>
    </row>
    <row r="376" spans="16:33" ht="16.5" x14ac:dyDescent="0.2">
      <c r="P376" s="13">
        <v>320</v>
      </c>
      <c r="Q376" s="14">
        <f t="shared" si="74"/>
        <v>18</v>
      </c>
      <c r="R376" s="14">
        <f t="shared" si="75"/>
        <v>1606022</v>
      </c>
      <c r="S376" s="14" t="str">
        <f t="shared" si="79"/>
        <v>神器4碎片4等级11</v>
      </c>
      <c r="T376" s="29" t="s">
        <v>649</v>
      </c>
      <c r="U376" s="14">
        <f t="shared" si="76"/>
        <v>11</v>
      </c>
      <c r="V376" s="36">
        <f t="shared" si="80"/>
        <v>0.94200000000000006</v>
      </c>
      <c r="W376" s="17">
        <f t="shared" si="77"/>
        <v>1.8840000000000003E-2</v>
      </c>
      <c r="X376" s="14">
        <f t="shared" si="81"/>
        <v>1</v>
      </c>
      <c r="Y376" s="14">
        <f t="shared" si="82"/>
        <v>3</v>
      </c>
      <c r="Z376" s="14">
        <f t="shared" si="83"/>
        <v>0</v>
      </c>
      <c r="AA376" s="14" t="str">
        <f t="shared" si="84"/>
        <v>AtkExt</v>
      </c>
      <c r="AB376" s="14">
        <f t="shared" si="78"/>
        <v>907</v>
      </c>
      <c r="AC376" s="14" t="str">
        <f t="shared" si="85"/>
        <v>HPExt</v>
      </c>
      <c r="AD376" s="14">
        <f t="shared" si="86"/>
        <v>1364</v>
      </c>
      <c r="AE376" s="14" t="str">
        <f t="shared" si="87"/>
        <v>[x]</v>
      </c>
      <c r="AF376" s="27" t="str">
        <f t="shared" si="88"/>
        <v>[x]</v>
      </c>
      <c r="AG376" s="27" t="str">
        <f t="shared" si="89"/>
        <v>[x]</v>
      </c>
    </row>
    <row r="377" spans="16:33" ht="16.5" x14ac:dyDescent="0.2">
      <c r="P377" s="13">
        <v>321</v>
      </c>
      <c r="Q377" s="14">
        <f t="shared" ref="Q377:Q440" si="90">MATCH(P377-1,$X$4:$X$46,1)</f>
        <v>18</v>
      </c>
      <c r="R377" s="14">
        <f t="shared" ref="R377:R440" si="91">INDEX($S$5:$S$46,Q377)</f>
        <v>1606022</v>
      </c>
      <c r="S377" s="14" t="str">
        <f t="shared" si="79"/>
        <v>神器4碎片4等级12</v>
      </c>
      <c r="T377" s="29" t="s">
        <v>649</v>
      </c>
      <c r="U377" s="14">
        <f t="shared" ref="U377:U440" si="92">P377-INDEX($X$4:$X$46,Q377)</f>
        <v>12</v>
      </c>
      <c r="V377" s="36">
        <f t="shared" si="80"/>
        <v>1.0380000000000003</v>
      </c>
      <c r="W377" s="17">
        <f t="shared" ref="W377:W440" si="93">INDEX($V$5:$V$46,Q377)*V377</f>
        <v>2.0760000000000004E-2</v>
      </c>
      <c r="X377" s="14">
        <f t="shared" si="81"/>
        <v>1</v>
      </c>
      <c r="Y377" s="14">
        <f t="shared" si="82"/>
        <v>3</v>
      </c>
      <c r="Z377" s="14">
        <f t="shared" si="83"/>
        <v>0</v>
      </c>
      <c r="AA377" s="14" t="str">
        <f t="shared" si="84"/>
        <v>AtkExt</v>
      </c>
      <c r="AB377" s="14">
        <f t="shared" ref="AB377:AB440" si="94">INT(INDEX($E$4:$G$4,X377)*W377*INDEX($Y$5:$AA$46,Q377,X377))</f>
        <v>999</v>
      </c>
      <c r="AC377" s="14" t="str">
        <f t="shared" si="85"/>
        <v>HPExt</v>
      </c>
      <c r="AD377" s="14">
        <f t="shared" si="86"/>
        <v>1503</v>
      </c>
      <c r="AE377" s="14" t="str">
        <f t="shared" si="87"/>
        <v>[x]</v>
      </c>
      <c r="AF377" s="27" t="str">
        <f t="shared" si="88"/>
        <v>[x]</v>
      </c>
      <c r="AG377" s="27" t="str">
        <f t="shared" si="89"/>
        <v>[x]</v>
      </c>
    </row>
    <row r="378" spans="16:33" ht="16.5" x14ac:dyDescent="0.2">
      <c r="P378" s="13">
        <v>322</v>
      </c>
      <c r="Q378" s="14">
        <f t="shared" si="90"/>
        <v>18</v>
      </c>
      <c r="R378" s="14">
        <f t="shared" si="91"/>
        <v>1606022</v>
      </c>
      <c r="S378" s="14" t="str">
        <f t="shared" ref="S378:S441" si="95">INDEX($P$5:$P$46,Q378)&amp;"碎片"&amp;INDEX($R$5:$R$46,Q378)&amp;"等级"&amp;U378</f>
        <v>神器4碎片4等级13</v>
      </c>
      <c r="T378" s="29" t="s">
        <v>649</v>
      </c>
      <c r="U378" s="14">
        <f t="shared" si="92"/>
        <v>13</v>
      </c>
      <c r="V378" s="36">
        <f t="shared" ref="V378:V441" si="96">15%+U378*5%+U378*U378*0.2%</f>
        <v>1.1380000000000001</v>
      </c>
      <c r="W378" s="17">
        <f t="shared" si="93"/>
        <v>2.2760000000000002E-2</v>
      </c>
      <c r="X378" s="14">
        <f t="shared" ref="X378:X441" si="97">INDEX($AB$5:$AB$46,Q378)</f>
        <v>1</v>
      </c>
      <c r="Y378" s="14">
        <f t="shared" ref="Y378:Y441" si="98">INDEX(AC$5:AC$46,$Q378)</f>
        <v>3</v>
      </c>
      <c r="Z378" s="14">
        <f t="shared" ref="Z378:Z441" si="99">INDEX(AD$5:AD$46,$Q378)</f>
        <v>0</v>
      </c>
      <c r="AA378" s="14" t="str">
        <f t="shared" ref="AA378:AA441" si="100">INDEX($Y$3:$AA$3,X378)</f>
        <v>AtkExt</v>
      </c>
      <c r="AB378" s="14">
        <f t="shared" si="94"/>
        <v>1096</v>
      </c>
      <c r="AC378" s="14" t="str">
        <f t="shared" ref="AC378:AC441" si="101">IF(Y378&gt;0,INDEX($Y$3:$AA$3,Y378),"[x]")</f>
        <v>HPExt</v>
      </c>
      <c r="AD378" s="14">
        <f t="shared" ref="AD378:AD441" si="102">IF(Y378&gt;0,INT(INDEX($E$4:$G$4,Y378)*W378*INDEX($Y$5:$AA$46,Q378,Y378)),"[x]")</f>
        <v>1648</v>
      </c>
      <c r="AE378" s="14" t="str">
        <f t="shared" ref="AE378:AE441" si="103">IF(Z378&gt;0,INDEX($Y$3:$AA$3,Z378),"[x]")</f>
        <v>[x]</v>
      </c>
      <c r="AF378" s="27" t="str">
        <f t="shared" ref="AF378:AF441" si="104">IF(Z378&gt;0,INT(INDEX($E$4:$G$4,Z378)*W378*INDEX($Y$5:$AA$46,Q378,Z378)),"[x]")</f>
        <v>[x]</v>
      </c>
      <c r="AG378" s="27" t="str">
        <f t="shared" ref="AG378:AG441" si="105">IF(INDEX($AE$5:$AE$46,Q378)&gt;0,INDEX($AE$5:$AE$46,Q378)*U378,"[x]")</f>
        <v>[x]</v>
      </c>
    </row>
    <row r="379" spans="16:33" ht="16.5" x14ac:dyDescent="0.2">
      <c r="P379" s="13">
        <v>323</v>
      </c>
      <c r="Q379" s="14">
        <f t="shared" si="90"/>
        <v>18</v>
      </c>
      <c r="R379" s="14">
        <f t="shared" si="91"/>
        <v>1606022</v>
      </c>
      <c r="S379" s="14" t="str">
        <f t="shared" si="95"/>
        <v>神器4碎片4等级14</v>
      </c>
      <c r="T379" s="29" t="s">
        <v>649</v>
      </c>
      <c r="U379" s="14">
        <f t="shared" si="92"/>
        <v>14</v>
      </c>
      <c r="V379" s="36">
        <f t="shared" si="96"/>
        <v>1.242</v>
      </c>
      <c r="W379" s="17">
        <f t="shared" si="93"/>
        <v>2.4840000000000001E-2</v>
      </c>
      <c r="X379" s="14">
        <f t="shared" si="97"/>
        <v>1</v>
      </c>
      <c r="Y379" s="14">
        <f t="shared" si="98"/>
        <v>3</v>
      </c>
      <c r="Z379" s="14">
        <f t="shared" si="99"/>
        <v>0</v>
      </c>
      <c r="AA379" s="14" t="str">
        <f t="shared" si="100"/>
        <v>AtkExt</v>
      </c>
      <c r="AB379" s="14">
        <f t="shared" si="94"/>
        <v>1196</v>
      </c>
      <c r="AC379" s="14" t="str">
        <f t="shared" si="101"/>
        <v>HPExt</v>
      </c>
      <c r="AD379" s="14">
        <f t="shared" si="102"/>
        <v>1798</v>
      </c>
      <c r="AE379" s="14" t="str">
        <f t="shared" si="103"/>
        <v>[x]</v>
      </c>
      <c r="AF379" s="27" t="str">
        <f t="shared" si="104"/>
        <v>[x]</v>
      </c>
      <c r="AG379" s="27" t="str">
        <f t="shared" si="105"/>
        <v>[x]</v>
      </c>
    </row>
    <row r="380" spans="16:33" ht="16.5" x14ac:dyDescent="0.2">
      <c r="P380" s="13">
        <v>324</v>
      </c>
      <c r="Q380" s="14">
        <f t="shared" si="90"/>
        <v>18</v>
      </c>
      <c r="R380" s="14">
        <f t="shared" si="91"/>
        <v>1606022</v>
      </c>
      <c r="S380" s="14" t="str">
        <f t="shared" si="95"/>
        <v>神器4碎片4等级15</v>
      </c>
      <c r="T380" s="29" t="s">
        <v>649</v>
      </c>
      <c r="U380" s="14">
        <f t="shared" si="92"/>
        <v>15</v>
      </c>
      <c r="V380" s="36">
        <f t="shared" si="96"/>
        <v>1.35</v>
      </c>
      <c r="W380" s="17">
        <f t="shared" si="93"/>
        <v>2.7000000000000003E-2</v>
      </c>
      <c r="X380" s="14">
        <f t="shared" si="97"/>
        <v>1</v>
      </c>
      <c r="Y380" s="14">
        <f t="shared" si="98"/>
        <v>3</v>
      </c>
      <c r="Z380" s="14">
        <f t="shared" si="99"/>
        <v>0</v>
      </c>
      <c r="AA380" s="14" t="str">
        <f t="shared" si="100"/>
        <v>AtkExt</v>
      </c>
      <c r="AB380" s="14">
        <f t="shared" si="94"/>
        <v>1300</v>
      </c>
      <c r="AC380" s="14" t="str">
        <f t="shared" si="101"/>
        <v>HPExt</v>
      </c>
      <c r="AD380" s="14">
        <f t="shared" si="102"/>
        <v>1955</v>
      </c>
      <c r="AE380" s="14" t="str">
        <f t="shared" si="103"/>
        <v>[x]</v>
      </c>
      <c r="AF380" s="27" t="str">
        <f t="shared" si="104"/>
        <v>[x]</v>
      </c>
      <c r="AG380" s="27" t="str">
        <f t="shared" si="105"/>
        <v>[x]</v>
      </c>
    </row>
    <row r="381" spans="16:33" ht="16.5" x14ac:dyDescent="0.2">
      <c r="P381" s="13">
        <v>325</v>
      </c>
      <c r="Q381" s="14">
        <f t="shared" si="90"/>
        <v>18</v>
      </c>
      <c r="R381" s="14">
        <f t="shared" si="91"/>
        <v>1606022</v>
      </c>
      <c r="S381" s="14" t="str">
        <f t="shared" si="95"/>
        <v>神器4碎片4等级16</v>
      </c>
      <c r="T381" s="29" t="s">
        <v>649</v>
      </c>
      <c r="U381" s="14">
        <f t="shared" si="92"/>
        <v>16</v>
      </c>
      <c r="V381" s="36">
        <f t="shared" si="96"/>
        <v>1.4620000000000002</v>
      </c>
      <c r="W381" s="17">
        <f t="shared" si="93"/>
        <v>2.9240000000000006E-2</v>
      </c>
      <c r="X381" s="14">
        <f t="shared" si="97"/>
        <v>1</v>
      </c>
      <c r="Y381" s="14">
        <f t="shared" si="98"/>
        <v>3</v>
      </c>
      <c r="Z381" s="14">
        <f t="shared" si="99"/>
        <v>0</v>
      </c>
      <c r="AA381" s="14" t="str">
        <f t="shared" si="100"/>
        <v>AtkExt</v>
      </c>
      <c r="AB381" s="14">
        <f t="shared" si="94"/>
        <v>1408</v>
      </c>
      <c r="AC381" s="14" t="str">
        <f t="shared" si="101"/>
        <v>HPExt</v>
      </c>
      <c r="AD381" s="14">
        <f t="shared" si="102"/>
        <v>2117</v>
      </c>
      <c r="AE381" s="14" t="str">
        <f t="shared" si="103"/>
        <v>[x]</v>
      </c>
      <c r="AF381" s="27" t="str">
        <f t="shared" si="104"/>
        <v>[x]</v>
      </c>
      <c r="AG381" s="27" t="str">
        <f t="shared" si="105"/>
        <v>[x]</v>
      </c>
    </row>
    <row r="382" spans="16:33" ht="16.5" x14ac:dyDescent="0.2">
      <c r="P382" s="13">
        <v>326</v>
      </c>
      <c r="Q382" s="14">
        <f t="shared" si="90"/>
        <v>18</v>
      </c>
      <c r="R382" s="14">
        <f t="shared" si="91"/>
        <v>1606022</v>
      </c>
      <c r="S382" s="14" t="str">
        <f t="shared" si="95"/>
        <v>神器4碎片4等级17</v>
      </c>
      <c r="T382" s="29" t="s">
        <v>649</v>
      </c>
      <c r="U382" s="14">
        <f t="shared" si="92"/>
        <v>17</v>
      </c>
      <c r="V382" s="36">
        <f t="shared" si="96"/>
        <v>1.5779999999999998</v>
      </c>
      <c r="W382" s="17">
        <f t="shared" si="93"/>
        <v>3.1559999999999998E-2</v>
      </c>
      <c r="X382" s="14">
        <f t="shared" si="97"/>
        <v>1</v>
      </c>
      <c r="Y382" s="14">
        <f t="shared" si="98"/>
        <v>3</v>
      </c>
      <c r="Z382" s="14">
        <f t="shared" si="99"/>
        <v>0</v>
      </c>
      <c r="AA382" s="14" t="str">
        <f t="shared" si="100"/>
        <v>AtkExt</v>
      </c>
      <c r="AB382" s="14">
        <f t="shared" si="94"/>
        <v>1519</v>
      </c>
      <c r="AC382" s="14" t="str">
        <f t="shared" si="101"/>
        <v>HPExt</v>
      </c>
      <c r="AD382" s="14">
        <f t="shared" si="102"/>
        <v>2285</v>
      </c>
      <c r="AE382" s="14" t="str">
        <f t="shared" si="103"/>
        <v>[x]</v>
      </c>
      <c r="AF382" s="27" t="str">
        <f t="shared" si="104"/>
        <v>[x]</v>
      </c>
      <c r="AG382" s="27" t="str">
        <f t="shared" si="105"/>
        <v>[x]</v>
      </c>
    </row>
    <row r="383" spans="16:33" ht="16.5" x14ac:dyDescent="0.2">
      <c r="P383" s="13">
        <v>327</v>
      </c>
      <c r="Q383" s="14">
        <f t="shared" si="90"/>
        <v>18</v>
      </c>
      <c r="R383" s="14">
        <f t="shared" si="91"/>
        <v>1606022</v>
      </c>
      <c r="S383" s="14" t="str">
        <f t="shared" si="95"/>
        <v>神器4碎片4等级18</v>
      </c>
      <c r="T383" s="29" t="s">
        <v>649</v>
      </c>
      <c r="U383" s="14">
        <f t="shared" si="92"/>
        <v>18</v>
      </c>
      <c r="V383" s="36">
        <f t="shared" si="96"/>
        <v>1.698</v>
      </c>
      <c r="W383" s="17">
        <f t="shared" si="93"/>
        <v>3.3959999999999997E-2</v>
      </c>
      <c r="X383" s="14">
        <f t="shared" si="97"/>
        <v>1</v>
      </c>
      <c r="Y383" s="14">
        <f t="shared" si="98"/>
        <v>3</v>
      </c>
      <c r="Z383" s="14">
        <f t="shared" si="99"/>
        <v>0</v>
      </c>
      <c r="AA383" s="14" t="str">
        <f t="shared" si="100"/>
        <v>AtkExt</v>
      </c>
      <c r="AB383" s="14">
        <f t="shared" si="94"/>
        <v>1635</v>
      </c>
      <c r="AC383" s="14" t="str">
        <f t="shared" si="101"/>
        <v>HPExt</v>
      </c>
      <c r="AD383" s="14">
        <f t="shared" si="102"/>
        <v>2459</v>
      </c>
      <c r="AE383" s="14" t="str">
        <f t="shared" si="103"/>
        <v>[x]</v>
      </c>
      <c r="AF383" s="27" t="str">
        <f t="shared" si="104"/>
        <v>[x]</v>
      </c>
      <c r="AG383" s="27" t="str">
        <f t="shared" si="105"/>
        <v>[x]</v>
      </c>
    </row>
    <row r="384" spans="16:33" ht="16.5" x14ac:dyDescent="0.2">
      <c r="P384" s="13">
        <v>328</v>
      </c>
      <c r="Q384" s="14">
        <f t="shared" si="90"/>
        <v>18</v>
      </c>
      <c r="R384" s="14">
        <f t="shared" si="91"/>
        <v>1606022</v>
      </c>
      <c r="S384" s="14" t="str">
        <f t="shared" si="95"/>
        <v>神器4碎片4等级19</v>
      </c>
      <c r="T384" s="29" t="s">
        <v>649</v>
      </c>
      <c r="U384" s="14">
        <f t="shared" si="92"/>
        <v>19</v>
      </c>
      <c r="V384" s="36">
        <f t="shared" si="96"/>
        <v>1.8220000000000001</v>
      </c>
      <c r="W384" s="17">
        <f t="shared" si="93"/>
        <v>3.644E-2</v>
      </c>
      <c r="X384" s="14">
        <f t="shared" si="97"/>
        <v>1</v>
      </c>
      <c r="Y384" s="14">
        <f t="shared" si="98"/>
        <v>3</v>
      </c>
      <c r="Z384" s="14">
        <f t="shared" si="99"/>
        <v>0</v>
      </c>
      <c r="AA384" s="14" t="str">
        <f t="shared" si="100"/>
        <v>AtkExt</v>
      </c>
      <c r="AB384" s="14">
        <f t="shared" si="94"/>
        <v>1755</v>
      </c>
      <c r="AC384" s="14" t="str">
        <f t="shared" si="101"/>
        <v>HPExt</v>
      </c>
      <c r="AD384" s="14">
        <f t="shared" si="102"/>
        <v>2638</v>
      </c>
      <c r="AE384" s="14" t="str">
        <f t="shared" si="103"/>
        <v>[x]</v>
      </c>
      <c r="AF384" s="27" t="str">
        <f t="shared" si="104"/>
        <v>[x]</v>
      </c>
      <c r="AG384" s="27" t="str">
        <f t="shared" si="105"/>
        <v>[x]</v>
      </c>
    </row>
    <row r="385" spans="16:33" ht="16.5" x14ac:dyDescent="0.2">
      <c r="P385" s="13">
        <v>329</v>
      </c>
      <c r="Q385" s="14">
        <f t="shared" si="90"/>
        <v>18</v>
      </c>
      <c r="R385" s="14">
        <f t="shared" si="91"/>
        <v>1606022</v>
      </c>
      <c r="S385" s="14" t="str">
        <f t="shared" si="95"/>
        <v>神器4碎片4等级20</v>
      </c>
      <c r="T385" s="29" t="s">
        <v>649</v>
      </c>
      <c r="U385" s="14">
        <f t="shared" si="92"/>
        <v>20</v>
      </c>
      <c r="V385" s="36">
        <f t="shared" si="96"/>
        <v>1.95</v>
      </c>
      <c r="W385" s="17">
        <f t="shared" si="93"/>
        <v>3.9E-2</v>
      </c>
      <c r="X385" s="14">
        <f t="shared" si="97"/>
        <v>1</v>
      </c>
      <c r="Y385" s="14">
        <f t="shared" si="98"/>
        <v>3</v>
      </c>
      <c r="Z385" s="14">
        <f t="shared" si="99"/>
        <v>0</v>
      </c>
      <c r="AA385" s="14" t="str">
        <f t="shared" si="100"/>
        <v>AtkExt</v>
      </c>
      <c r="AB385" s="14">
        <f t="shared" si="94"/>
        <v>1878</v>
      </c>
      <c r="AC385" s="14" t="str">
        <f t="shared" si="101"/>
        <v>HPExt</v>
      </c>
      <c r="AD385" s="14">
        <f t="shared" si="102"/>
        <v>2824</v>
      </c>
      <c r="AE385" s="14" t="str">
        <f t="shared" si="103"/>
        <v>[x]</v>
      </c>
      <c r="AF385" s="27" t="str">
        <f t="shared" si="104"/>
        <v>[x]</v>
      </c>
      <c r="AG385" s="27" t="str">
        <f t="shared" si="105"/>
        <v>[x]</v>
      </c>
    </row>
    <row r="386" spans="16:33" ht="16.5" x14ac:dyDescent="0.2">
      <c r="P386" s="13">
        <v>330</v>
      </c>
      <c r="Q386" s="14">
        <f t="shared" si="90"/>
        <v>18</v>
      </c>
      <c r="R386" s="14">
        <f t="shared" si="91"/>
        <v>1606022</v>
      </c>
      <c r="S386" s="14" t="str">
        <f t="shared" si="95"/>
        <v>神器4碎片4等级21</v>
      </c>
      <c r="T386" s="29" t="s">
        <v>649</v>
      </c>
      <c r="U386" s="14">
        <f t="shared" si="92"/>
        <v>21</v>
      </c>
      <c r="V386" s="36">
        <f t="shared" si="96"/>
        <v>2.0819999999999999</v>
      </c>
      <c r="W386" s="17">
        <f t="shared" si="93"/>
        <v>4.1639999999999996E-2</v>
      </c>
      <c r="X386" s="14">
        <f t="shared" si="97"/>
        <v>1</v>
      </c>
      <c r="Y386" s="14">
        <f t="shared" si="98"/>
        <v>3</v>
      </c>
      <c r="Z386" s="14">
        <f t="shared" si="99"/>
        <v>0</v>
      </c>
      <c r="AA386" s="14" t="str">
        <f t="shared" si="100"/>
        <v>AtkExt</v>
      </c>
      <c r="AB386" s="14">
        <f t="shared" si="94"/>
        <v>2005</v>
      </c>
      <c r="AC386" s="14" t="str">
        <f t="shared" si="101"/>
        <v>HPExt</v>
      </c>
      <c r="AD386" s="14">
        <f t="shared" si="102"/>
        <v>3015</v>
      </c>
      <c r="AE386" s="14" t="str">
        <f t="shared" si="103"/>
        <v>[x]</v>
      </c>
      <c r="AF386" s="27" t="str">
        <f t="shared" si="104"/>
        <v>[x]</v>
      </c>
      <c r="AG386" s="27" t="str">
        <f t="shared" si="105"/>
        <v>[x]</v>
      </c>
    </row>
    <row r="387" spans="16:33" ht="16.5" x14ac:dyDescent="0.2">
      <c r="P387" s="13">
        <v>331</v>
      </c>
      <c r="Q387" s="14">
        <f t="shared" si="90"/>
        <v>19</v>
      </c>
      <c r="R387" s="14">
        <f t="shared" si="91"/>
        <v>1606023</v>
      </c>
      <c r="S387" s="14" t="str">
        <f t="shared" si="95"/>
        <v>神器4碎片5等级1</v>
      </c>
      <c r="T387" s="29" t="s">
        <v>649</v>
      </c>
      <c r="U387" s="14">
        <f t="shared" si="92"/>
        <v>1</v>
      </c>
      <c r="V387" s="36">
        <f t="shared" si="96"/>
        <v>0.20200000000000001</v>
      </c>
      <c r="W387" s="17">
        <f t="shared" si="93"/>
        <v>4.0400000000000002E-3</v>
      </c>
      <c r="X387" s="14">
        <f t="shared" si="97"/>
        <v>1</v>
      </c>
      <c r="Y387" s="14">
        <f t="shared" si="98"/>
        <v>2</v>
      </c>
      <c r="Z387" s="14">
        <f t="shared" si="99"/>
        <v>3</v>
      </c>
      <c r="AA387" s="14" t="str">
        <f t="shared" si="100"/>
        <v>AtkExt</v>
      </c>
      <c r="AB387" s="14">
        <f t="shared" si="94"/>
        <v>97</v>
      </c>
      <c r="AC387" s="14" t="str">
        <f t="shared" si="101"/>
        <v>DefExt</v>
      </c>
      <c r="AD387" s="14">
        <f t="shared" si="102"/>
        <v>48</v>
      </c>
      <c r="AE387" s="14" t="str">
        <f t="shared" si="103"/>
        <v>HPExt</v>
      </c>
      <c r="AF387" s="27">
        <f t="shared" si="104"/>
        <v>292</v>
      </c>
      <c r="AG387" s="27" t="str">
        <f t="shared" si="105"/>
        <v>[x]</v>
      </c>
    </row>
    <row r="388" spans="16:33" ht="16.5" x14ac:dyDescent="0.2">
      <c r="P388" s="13">
        <v>332</v>
      </c>
      <c r="Q388" s="14">
        <f t="shared" si="90"/>
        <v>19</v>
      </c>
      <c r="R388" s="14">
        <f t="shared" si="91"/>
        <v>1606023</v>
      </c>
      <c r="S388" s="14" t="str">
        <f t="shared" si="95"/>
        <v>神器4碎片5等级2</v>
      </c>
      <c r="T388" s="29" t="s">
        <v>649</v>
      </c>
      <c r="U388" s="14">
        <f t="shared" si="92"/>
        <v>2</v>
      </c>
      <c r="V388" s="36">
        <f t="shared" si="96"/>
        <v>0.25800000000000001</v>
      </c>
      <c r="W388" s="17">
        <f t="shared" si="93"/>
        <v>5.1600000000000005E-3</v>
      </c>
      <c r="X388" s="14">
        <f t="shared" si="97"/>
        <v>1</v>
      </c>
      <c r="Y388" s="14">
        <f t="shared" si="98"/>
        <v>2</v>
      </c>
      <c r="Z388" s="14">
        <f t="shared" si="99"/>
        <v>3</v>
      </c>
      <c r="AA388" s="14" t="str">
        <f t="shared" si="100"/>
        <v>AtkExt</v>
      </c>
      <c r="AB388" s="14">
        <f t="shared" si="94"/>
        <v>124</v>
      </c>
      <c r="AC388" s="14" t="str">
        <f t="shared" si="101"/>
        <v>DefExt</v>
      </c>
      <c r="AD388" s="14">
        <f t="shared" si="102"/>
        <v>61</v>
      </c>
      <c r="AE388" s="14" t="str">
        <f t="shared" si="103"/>
        <v>HPExt</v>
      </c>
      <c r="AF388" s="27">
        <f t="shared" si="104"/>
        <v>373</v>
      </c>
      <c r="AG388" s="27" t="str">
        <f t="shared" si="105"/>
        <v>[x]</v>
      </c>
    </row>
    <row r="389" spans="16:33" ht="16.5" x14ac:dyDescent="0.2">
      <c r="P389" s="13">
        <v>333</v>
      </c>
      <c r="Q389" s="14">
        <f t="shared" si="90"/>
        <v>19</v>
      </c>
      <c r="R389" s="14">
        <f t="shared" si="91"/>
        <v>1606023</v>
      </c>
      <c r="S389" s="14" t="str">
        <f t="shared" si="95"/>
        <v>神器4碎片5等级3</v>
      </c>
      <c r="T389" s="29" t="s">
        <v>649</v>
      </c>
      <c r="U389" s="14">
        <f t="shared" si="92"/>
        <v>3</v>
      </c>
      <c r="V389" s="36">
        <f t="shared" si="96"/>
        <v>0.31800000000000006</v>
      </c>
      <c r="W389" s="17">
        <f t="shared" si="93"/>
        <v>6.3600000000000011E-3</v>
      </c>
      <c r="X389" s="14">
        <f t="shared" si="97"/>
        <v>1</v>
      </c>
      <c r="Y389" s="14">
        <f t="shared" si="98"/>
        <v>2</v>
      </c>
      <c r="Z389" s="14">
        <f t="shared" si="99"/>
        <v>3</v>
      </c>
      <c r="AA389" s="14" t="str">
        <f t="shared" si="100"/>
        <v>AtkExt</v>
      </c>
      <c r="AB389" s="14">
        <f t="shared" si="94"/>
        <v>153</v>
      </c>
      <c r="AC389" s="14" t="str">
        <f t="shared" si="101"/>
        <v>DefExt</v>
      </c>
      <c r="AD389" s="14">
        <f t="shared" si="102"/>
        <v>76</v>
      </c>
      <c r="AE389" s="14" t="str">
        <f t="shared" si="103"/>
        <v>HPExt</v>
      </c>
      <c r="AF389" s="27">
        <f t="shared" si="104"/>
        <v>460</v>
      </c>
      <c r="AG389" s="27" t="str">
        <f t="shared" si="105"/>
        <v>[x]</v>
      </c>
    </row>
    <row r="390" spans="16:33" ht="16.5" x14ac:dyDescent="0.2">
      <c r="P390" s="13">
        <v>334</v>
      </c>
      <c r="Q390" s="14">
        <f t="shared" si="90"/>
        <v>19</v>
      </c>
      <c r="R390" s="14">
        <f t="shared" si="91"/>
        <v>1606023</v>
      </c>
      <c r="S390" s="14" t="str">
        <f t="shared" si="95"/>
        <v>神器4碎片5等级4</v>
      </c>
      <c r="T390" s="29" t="s">
        <v>649</v>
      </c>
      <c r="U390" s="14">
        <f t="shared" si="92"/>
        <v>4</v>
      </c>
      <c r="V390" s="36">
        <f t="shared" si="96"/>
        <v>0.38200000000000001</v>
      </c>
      <c r="W390" s="17">
        <f t="shared" si="93"/>
        <v>7.6400000000000001E-3</v>
      </c>
      <c r="X390" s="14">
        <f t="shared" si="97"/>
        <v>1</v>
      </c>
      <c r="Y390" s="14">
        <f t="shared" si="98"/>
        <v>2</v>
      </c>
      <c r="Z390" s="14">
        <f t="shared" si="99"/>
        <v>3</v>
      </c>
      <c r="AA390" s="14" t="str">
        <f t="shared" si="100"/>
        <v>AtkExt</v>
      </c>
      <c r="AB390" s="14">
        <f t="shared" si="94"/>
        <v>183</v>
      </c>
      <c r="AC390" s="14" t="str">
        <f t="shared" si="101"/>
        <v>DefExt</v>
      </c>
      <c r="AD390" s="14">
        <f t="shared" si="102"/>
        <v>91</v>
      </c>
      <c r="AE390" s="14" t="str">
        <f t="shared" si="103"/>
        <v>HPExt</v>
      </c>
      <c r="AF390" s="27">
        <f t="shared" si="104"/>
        <v>553</v>
      </c>
      <c r="AG390" s="27" t="str">
        <f t="shared" si="105"/>
        <v>[x]</v>
      </c>
    </row>
    <row r="391" spans="16:33" ht="16.5" x14ac:dyDescent="0.2">
      <c r="P391" s="13">
        <v>335</v>
      </c>
      <c r="Q391" s="14">
        <f t="shared" si="90"/>
        <v>19</v>
      </c>
      <c r="R391" s="14">
        <f t="shared" si="91"/>
        <v>1606023</v>
      </c>
      <c r="S391" s="14" t="str">
        <f t="shared" si="95"/>
        <v>神器4碎片5等级5</v>
      </c>
      <c r="T391" s="29" t="s">
        <v>649</v>
      </c>
      <c r="U391" s="14">
        <f t="shared" si="92"/>
        <v>5</v>
      </c>
      <c r="V391" s="36">
        <f t="shared" si="96"/>
        <v>0.45</v>
      </c>
      <c r="W391" s="17">
        <f t="shared" si="93"/>
        <v>9.0000000000000011E-3</v>
      </c>
      <c r="X391" s="14">
        <f t="shared" si="97"/>
        <v>1</v>
      </c>
      <c r="Y391" s="14">
        <f t="shared" si="98"/>
        <v>2</v>
      </c>
      <c r="Z391" s="14">
        <f t="shared" si="99"/>
        <v>3</v>
      </c>
      <c r="AA391" s="14" t="str">
        <f t="shared" si="100"/>
        <v>AtkExt</v>
      </c>
      <c r="AB391" s="14">
        <f t="shared" si="94"/>
        <v>216</v>
      </c>
      <c r="AC391" s="14" t="str">
        <f t="shared" si="101"/>
        <v>DefExt</v>
      </c>
      <c r="AD391" s="14">
        <f t="shared" si="102"/>
        <v>108</v>
      </c>
      <c r="AE391" s="14" t="str">
        <f t="shared" si="103"/>
        <v>HPExt</v>
      </c>
      <c r="AF391" s="27">
        <f t="shared" si="104"/>
        <v>651</v>
      </c>
      <c r="AG391" s="27" t="str">
        <f t="shared" si="105"/>
        <v>[x]</v>
      </c>
    </row>
    <row r="392" spans="16:33" ht="16.5" x14ac:dyDescent="0.2">
      <c r="P392" s="13">
        <v>336</v>
      </c>
      <c r="Q392" s="14">
        <f t="shared" si="90"/>
        <v>19</v>
      </c>
      <c r="R392" s="14">
        <f t="shared" si="91"/>
        <v>1606023</v>
      </c>
      <c r="S392" s="14" t="str">
        <f t="shared" si="95"/>
        <v>神器4碎片5等级6</v>
      </c>
      <c r="T392" s="29" t="s">
        <v>649</v>
      </c>
      <c r="U392" s="14">
        <f t="shared" si="92"/>
        <v>6</v>
      </c>
      <c r="V392" s="36">
        <f t="shared" si="96"/>
        <v>0.52200000000000002</v>
      </c>
      <c r="W392" s="17">
        <f t="shared" si="93"/>
        <v>1.0440000000000001E-2</v>
      </c>
      <c r="X392" s="14">
        <f t="shared" si="97"/>
        <v>1</v>
      </c>
      <c r="Y392" s="14">
        <f t="shared" si="98"/>
        <v>2</v>
      </c>
      <c r="Z392" s="14">
        <f t="shared" si="99"/>
        <v>3</v>
      </c>
      <c r="AA392" s="14" t="str">
        <f t="shared" si="100"/>
        <v>AtkExt</v>
      </c>
      <c r="AB392" s="14">
        <f t="shared" si="94"/>
        <v>251</v>
      </c>
      <c r="AC392" s="14" t="str">
        <f t="shared" si="101"/>
        <v>DefExt</v>
      </c>
      <c r="AD392" s="14">
        <f t="shared" si="102"/>
        <v>125</v>
      </c>
      <c r="AE392" s="14" t="str">
        <f t="shared" si="103"/>
        <v>HPExt</v>
      </c>
      <c r="AF392" s="27">
        <f t="shared" si="104"/>
        <v>756</v>
      </c>
      <c r="AG392" s="27" t="str">
        <f t="shared" si="105"/>
        <v>[x]</v>
      </c>
    </row>
    <row r="393" spans="16:33" ht="16.5" x14ac:dyDescent="0.2">
      <c r="P393" s="13">
        <v>337</v>
      </c>
      <c r="Q393" s="14">
        <f t="shared" si="90"/>
        <v>19</v>
      </c>
      <c r="R393" s="14">
        <f t="shared" si="91"/>
        <v>1606023</v>
      </c>
      <c r="S393" s="14" t="str">
        <f t="shared" si="95"/>
        <v>神器4碎片5等级7</v>
      </c>
      <c r="T393" s="29" t="s">
        <v>649</v>
      </c>
      <c r="U393" s="14">
        <f t="shared" si="92"/>
        <v>7</v>
      </c>
      <c r="V393" s="36">
        <f t="shared" si="96"/>
        <v>0.59799999999999998</v>
      </c>
      <c r="W393" s="17">
        <f t="shared" si="93"/>
        <v>1.196E-2</v>
      </c>
      <c r="X393" s="14">
        <f t="shared" si="97"/>
        <v>1</v>
      </c>
      <c r="Y393" s="14">
        <f t="shared" si="98"/>
        <v>2</v>
      </c>
      <c r="Z393" s="14">
        <f t="shared" si="99"/>
        <v>3</v>
      </c>
      <c r="AA393" s="14" t="str">
        <f t="shared" si="100"/>
        <v>AtkExt</v>
      </c>
      <c r="AB393" s="14">
        <f t="shared" si="94"/>
        <v>288</v>
      </c>
      <c r="AC393" s="14" t="str">
        <f t="shared" si="101"/>
        <v>DefExt</v>
      </c>
      <c r="AD393" s="14">
        <f t="shared" si="102"/>
        <v>143</v>
      </c>
      <c r="AE393" s="14" t="str">
        <f t="shared" si="103"/>
        <v>HPExt</v>
      </c>
      <c r="AF393" s="27">
        <f t="shared" si="104"/>
        <v>866</v>
      </c>
      <c r="AG393" s="27" t="str">
        <f t="shared" si="105"/>
        <v>[x]</v>
      </c>
    </row>
    <row r="394" spans="16:33" ht="16.5" x14ac:dyDescent="0.2">
      <c r="P394" s="13">
        <v>338</v>
      </c>
      <c r="Q394" s="14">
        <f t="shared" si="90"/>
        <v>19</v>
      </c>
      <c r="R394" s="14">
        <f t="shared" si="91"/>
        <v>1606023</v>
      </c>
      <c r="S394" s="14" t="str">
        <f t="shared" si="95"/>
        <v>神器4碎片5等级8</v>
      </c>
      <c r="T394" s="29" t="s">
        <v>649</v>
      </c>
      <c r="U394" s="14">
        <f t="shared" si="92"/>
        <v>8</v>
      </c>
      <c r="V394" s="36">
        <f t="shared" si="96"/>
        <v>0.67800000000000005</v>
      </c>
      <c r="W394" s="17">
        <f t="shared" si="93"/>
        <v>1.3560000000000001E-2</v>
      </c>
      <c r="X394" s="14">
        <f t="shared" si="97"/>
        <v>1</v>
      </c>
      <c r="Y394" s="14">
        <f t="shared" si="98"/>
        <v>2</v>
      </c>
      <c r="Z394" s="14">
        <f t="shared" si="99"/>
        <v>3</v>
      </c>
      <c r="AA394" s="14" t="str">
        <f t="shared" si="100"/>
        <v>AtkExt</v>
      </c>
      <c r="AB394" s="14">
        <f t="shared" si="94"/>
        <v>326</v>
      </c>
      <c r="AC394" s="14" t="str">
        <f t="shared" si="101"/>
        <v>DefExt</v>
      </c>
      <c r="AD394" s="14">
        <f t="shared" si="102"/>
        <v>162</v>
      </c>
      <c r="AE394" s="14" t="str">
        <f t="shared" si="103"/>
        <v>HPExt</v>
      </c>
      <c r="AF394" s="27">
        <f t="shared" si="104"/>
        <v>981</v>
      </c>
      <c r="AG394" s="27" t="str">
        <f t="shared" si="105"/>
        <v>[x]</v>
      </c>
    </row>
    <row r="395" spans="16:33" ht="16.5" x14ac:dyDescent="0.2">
      <c r="P395" s="13">
        <v>339</v>
      </c>
      <c r="Q395" s="14">
        <f t="shared" si="90"/>
        <v>19</v>
      </c>
      <c r="R395" s="14">
        <f t="shared" si="91"/>
        <v>1606023</v>
      </c>
      <c r="S395" s="14" t="str">
        <f t="shared" si="95"/>
        <v>神器4碎片5等级9</v>
      </c>
      <c r="T395" s="29" t="s">
        <v>649</v>
      </c>
      <c r="U395" s="14">
        <f t="shared" si="92"/>
        <v>9</v>
      </c>
      <c r="V395" s="36">
        <f t="shared" si="96"/>
        <v>0.76200000000000001</v>
      </c>
      <c r="W395" s="17">
        <f t="shared" si="93"/>
        <v>1.524E-2</v>
      </c>
      <c r="X395" s="14">
        <f t="shared" si="97"/>
        <v>1</v>
      </c>
      <c r="Y395" s="14">
        <f t="shared" si="98"/>
        <v>2</v>
      </c>
      <c r="Z395" s="14">
        <f t="shared" si="99"/>
        <v>3</v>
      </c>
      <c r="AA395" s="14" t="str">
        <f t="shared" si="100"/>
        <v>AtkExt</v>
      </c>
      <c r="AB395" s="14">
        <f t="shared" si="94"/>
        <v>366</v>
      </c>
      <c r="AC395" s="14" t="str">
        <f t="shared" si="101"/>
        <v>DefExt</v>
      </c>
      <c r="AD395" s="14">
        <f t="shared" si="102"/>
        <v>183</v>
      </c>
      <c r="AE395" s="14" t="str">
        <f t="shared" si="103"/>
        <v>HPExt</v>
      </c>
      <c r="AF395" s="27">
        <f t="shared" si="104"/>
        <v>1103</v>
      </c>
      <c r="AG395" s="27" t="str">
        <f t="shared" si="105"/>
        <v>[x]</v>
      </c>
    </row>
    <row r="396" spans="16:33" ht="16.5" x14ac:dyDescent="0.2">
      <c r="P396" s="13">
        <v>340</v>
      </c>
      <c r="Q396" s="14">
        <f t="shared" si="90"/>
        <v>19</v>
      </c>
      <c r="R396" s="14">
        <f t="shared" si="91"/>
        <v>1606023</v>
      </c>
      <c r="S396" s="14" t="str">
        <f t="shared" si="95"/>
        <v>神器4碎片5等级10</v>
      </c>
      <c r="T396" s="29" t="s">
        <v>649</v>
      </c>
      <c r="U396" s="14">
        <f t="shared" si="92"/>
        <v>10</v>
      </c>
      <c r="V396" s="36">
        <f t="shared" si="96"/>
        <v>0.85000000000000009</v>
      </c>
      <c r="W396" s="17">
        <f t="shared" si="93"/>
        <v>1.7000000000000001E-2</v>
      </c>
      <c r="X396" s="14">
        <f t="shared" si="97"/>
        <v>1</v>
      </c>
      <c r="Y396" s="14">
        <f t="shared" si="98"/>
        <v>2</v>
      </c>
      <c r="Z396" s="14">
        <f t="shared" si="99"/>
        <v>3</v>
      </c>
      <c r="AA396" s="14" t="str">
        <f t="shared" si="100"/>
        <v>AtkExt</v>
      </c>
      <c r="AB396" s="14">
        <f t="shared" si="94"/>
        <v>409</v>
      </c>
      <c r="AC396" s="14" t="str">
        <f t="shared" si="101"/>
        <v>DefExt</v>
      </c>
      <c r="AD396" s="14">
        <f t="shared" si="102"/>
        <v>204</v>
      </c>
      <c r="AE396" s="14" t="str">
        <f t="shared" si="103"/>
        <v>HPExt</v>
      </c>
      <c r="AF396" s="27">
        <f t="shared" si="104"/>
        <v>1231</v>
      </c>
      <c r="AG396" s="27" t="str">
        <f t="shared" si="105"/>
        <v>[x]</v>
      </c>
    </row>
    <row r="397" spans="16:33" ht="16.5" x14ac:dyDescent="0.2">
      <c r="P397" s="13">
        <v>341</v>
      </c>
      <c r="Q397" s="14">
        <f t="shared" si="90"/>
        <v>19</v>
      </c>
      <c r="R397" s="14">
        <f t="shared" si="91"/>
        <v>1606023</v>
      </c>
      <c r="S397" s="14" t="str">
        <f t="shared" si="95"/>
        <v>神器4碎片5等级11</v>
      </c>
      <c r="T397" s="29" t="s">
        <v>649</v>
      </c>
      <c r="U397" s="14">
        <f t="shared" si="92"/>
        <v>11</v>
      </c>
      <c r="V397" s="36">
        <f t="shared" si="96"/>
        <v>0.94200000000000006</v>
      </c>
      <c r="W397" s="17">
        <f t="shared" si="93"/>
        <v>1.8840000000000003E-2</v>
      </c>
      <c r="X397" s="14">
        <f t="shared" si="97"/>
        <v>1</v>
      </c>
      <c r="Y397" s="14">
        <f t="shared" si="98"/>
        <v>2</v>
      </c>
      <c r="Z397" s="14">
        <f t="shared" si="99"/>
        <v>3</v>
      </c>
      <c r="AA397" s="14" t="str">
        <f t="shared" si="100"/>
        <v>AtkExt</v>
      </c>
      <c r="AB397" s="14">
        <f t="shared" si="94"/>
        <v>453</v>
      </c>
      <c r="AC397" s="14" t="str">
        <f t="shared" si="101"/>
        <v>DefExt</v>
      </c>
      <c r="AD397" s="14">
        <f t="shared" si="102"/>
        <v>226</v>
      </c>
      <c r="AE397" s="14" t="str">
        <f t="shared" si="103"/>
        <v>HPExt</v>
      </c>
      <c r="AF397" s="27">
        <f t="shared" si="104"/>
        <v>1364</v>
      </c>
      <c r="AG397" s="27" t="str">
        <f t="shared" si="105"/>
        <v>[x]</v>
      </c>
    </row>
    <row r="398" spans="16:33" ht="16.5" x14ac:dyDescent="0.2">
      <c r="P398" s="13">
        <v>342</v>
      </c>
      <c r="Q398" s="14">
        <f t="shared" si="90"/>
        <v>19</v>
      </c>
      <c r="R398" s="14">
        <f t="shared" si="91"/>
        <v>1606023</v>
      </c>
      <c r="S398" s="14" t="str">
        <f t="shared" si="95"/>
        <v>神器4碎片5等级12</v>
      </c>
      <c r="T398" s="29" t="s">
        <v>649</v>
      </c>
      <c r="U398" s="14">
        <f t="shared" si="92"/>
        <v>12</v>
      </c>
      <c r="V398" s="36">
        <f t="shared" si="96"/>
        <v>1.0380000000000003</v>
      </c>
      <c r="W398" s="17">
        <f t="shared" si="93"/>
        <v>2.0760000000000004E-2</v>
      </c>
      <c r="X398" s="14">
        <f t="shared" si="97"/>
        <v>1</v>
      </c>
      <c r="Y398" s="14">
        <f t="shared" si="98"/>
        <v>2</v>
      </c>
      <c r="Z398" s="14">
        <f t="shared" si="99"/>
        <v>3</v>
      </c>
      <c r="AA398" s="14" t="str">
        <f t="shared" si="100"/>
        <v>AtkExt</v>
      </c>
      <c r="AB398" s="14">
        <f t="shared" si="94"/>
        <v>499</v>
      </c>
      <c r="AC398" s="14" t="str">
        <f t="shared" si="101"/>
        <v>DefExt</v>
      </c>
      <c r="AD398" s="14">
        <f t="shared" si="102"/>
        <v>249</v>
      </c>
      <c r="AE398" s="14" t="str">
        <f t="shared" si="103"/>
        <v>HPExt</v>
      </c>
      <c r="AF398" s="27">
        <f t="shared" si="104"/>
        <v>1503</v>
      </c>
      <c r="AG398" s="27" t="str">
        <f t="shared" si="105"/>
        <v>[x]</v>
      </c>
    </row>
    <row r="399" spans="16:33" ht="16.5" x14ac:dyDescent="0.2">
      <c r="P399" s="13">
        <v>343</v>
      </c>
      <c r="Q399" s="14">
        <f t="shared" si="90"/>
        <v>19</v>
      </c>
      <c r="R399" s="14">
        <f t="shared" si="91"/>
        <v>1606023</v>
      </c>
      <c r="S399" s="14" t="str">
        <f t="shared" si="95"/>
        <v>神器4碎片5等级13</v>
      </c>
      <c r="T399" s="29" t="s">
        <v>649</v>
      </c>
      <c r="U399" s="14">
        <f t="shared" si="92"/>
        <v>13</v>
      </c>
      <c r="V399" s="36">
        <f t="shared" si="96"/>
        <v>1.1380000000000001</v>
      </c>
      <c r="W399" s="17">
        <f t="shared" si="93"/>
        <v>2.2760000000000002E-2</v>
      </c>
      <c r="X399" s="14">
        <f t="shared" si="97"/>
        <v>1</v>
      </c>
      <c r="Y399" s="14">
        <f t="shared" si="98"/>
        <v>2</v>
      </c>
      <c r="Z399" s="14">
        <f t="shared" si="99"/>
        <v>3</v>
      </c>
      <c r="AA399" s="14" t="str">
        <f t="shared" si="100"/>
        <v>AtkExt</v>
      </c>
      <c r="AB399" s="14">
        <f t="shared" si="94"/>
        <v>548</v>
      </c>
      <c r="AC399" s="14" t="str">
        <f t="shared" si="101"/>
        <v>DefExt</v>
      </c>
      <c r="AD399" s="14">
        <f t="shared" si="102"/>
        <v>273</v>
      </c>
      <c r="AE399" s="14" t="str">
        <f t="shared" si="103"/>
        <v>HPExt</v>
      </c>
      <c r="AF399" s="27">
        <f t="shared" si="104"/>
        <v>1648</v>
      </c>
      <c r="AG399" s="27" t="str">
        <f t="shared" si="105"/>
        <v>[x]</v>
      </c>
    </row>
    <row r="400" spans="16:33" ht="16.5" x14ac:dyDescent="0.2">
      <c r="P400" s="13">
        <v>344</v>
      </c>
      <c r="Q400" s="14">
        <f t="shared" si="90"/>
        <v>19</v>
      </c>
      <c r="R400" s="14">
        <f t="shared" si="91"/>
        <v>1606023</v>
      </c>
      <c r="S400" s="14" t="str">
        <f t="shared" si="95"/>
        <v>神器4碎片5等级14</v>
      </c>
      <c r="T400" s="29" t="s">
        <v>649</v>
      </c>
      <c r="U400" s="14">
        <f t="shared" si="92"/>
        <v>14</v>
      </c>
      <c r="V400" s="36">
        <f t="shared" si="96"/>
        <v>1.242</v>
      </c>
      <c r="W400" s="17">
        <f t="shared" si="93"/>
        <v>2.4840000000000001E-2</v>
      </c>
      <c r="X400" s="14">
        <f t="shared" si="97"/>
        <v>1</v>
      </c>
      <c r="Y400" s="14">
        <f t="shared" si="98"/>
        <v>2</v>
      </c>
      <c r="Z400" s="14">
        <f t="shared" si="99"/>
        <v>3</v>
      </c>
      <c r="AA400" s="14" t="str">
        <f t="shared" si="100"/>
        <v>AtkExt</v>
      </c>
      <c r="AB400" s="14">
        <f t="shared" si="94"/>
        <v>598</v>
      </c>
      <c r="AC400" s="14" t="str">
        <f t="shared" si="101"/>
        <v>DefExt</v>
      </c>
      <c r="AD400" s="14">
        <f t="shared" si="102"/>
        <v>298</v>
      </c>
      <c r="AE400" s="14" t="str">
        <f t="shared" si="103"/>
        <v>HPExt</v>
      </c>
      <c r="AF400" s="27">
        <f t="shared" si="104"/>
        <v>1798</v>
      </c>
      <c r="AG400" s="27" t="str">
        <f t="shared" si="105"/>
        <v>[x]</v>
      </c>
    </row>
    <row r="401" spans="16:33" ht="16.5" x14ac:dyDescent="0.2">
      <c r="P401" s="13">
        <v>345</v>
      </c>
      <c r="Q401" s="14">
        <f t="shared" si="90"/>
        <v>19</v>
      </c>
      <c r="R401" s="14">
        <f t="shared" si="91"/>
        <v>1606023</v>
      </c>
      <c r="S401" s="14" t="str">
        <f t="shared" si="95"/>
        <v>神器4碎片5等级15</v>
      </c>
      <c r="T401" s="29" t="s">
        <v>649</v>
      </c>
      <c r="U401" s="14">
        <f t="shared" si="92"/>
        <v>15</v>
      </c>
      <c r="V401" s="36">
        <f t="shared" si="96"/>
        <v>1.35</v>
      </c>
      <c r="W401" s="17">
        <f t="shared" si="93"/>
        <v>2.7000000000000003E-2</v>
      </c>
      <c r="X401" s="14">
        <f t="shared" si="97"/>
        <v>1</v>
      </c>
      <c r="Y401" s="14">
        <f t="shared" si="98"/>
        <v>2</v>
      </c>
      <c r="Z401" s="14">
        <f t="shared" si="99"/>
        <v>3</v>
      </c>
      <c r="AA401" s="14" t="str">
        <f t="shared" si="100"/>
        <v>AtkExt</v>
      </c>
      <c r="AB401" s="14">
        <f t="shared" si="94"/>
        <v>650</v>
      </c>
      <c r="AC401" s="14" t="str">
        <f t="shared" si="101"/>
        <v>DefExt</v>
      </c>
      <c r="AD401" s="14">
        <f t="shared" si="102"/>
        <v>324</v>
      </c>
      <c r="AE401" s="14" t="str">
        <f t="shared" si="103"/>
        <v>HPExt</v>
      </c>
      <c r="AF401" s="27">
        <f t="shared" si="104"/>
        <v>1955</v>
      </c>
      <c r="AG401" s="27" t="str">
        <f t="shared" si="105"/>
        <v>[x]</v>
      </c>
    </row>
    <row r="402" spans="16:33" ht="16.5" x14ac:dyDescent="0.2">
      <c r="P402" s="13">
        <v>346</v>
      </c>
      <c r="Q402" s="14">
        <f t="shared" si="90"/>
        <v>19</v>
      </c>
      <c r="R402" s="14">
        <f t="shared" si="91"/>
        <v>1606023</v>
      </c>
      <c r="S402" s="14" t="str">
        <f t="shared" si="95"/>
        <v>神器4碎片5等级16</v>
      </c>
      <c r="T402" s="29" t="s">
        <v>649</v>
      </c>
      <c r="U402" s="14">
        <f t="shared" si="92"/>
        <v>16</v>
      </c>
      <c r="V402" s="36">
        <f t="shared" si="96"/>
        <v>1.4620000000000002</v>
      </c>
      <c r="W402" s="17">
        <f t="shared" si="93"/>
        <v>2.9240000000000006E-2</v>
      </c>
      <c r="X402" s="14">
        <f t="shared" si="97"/>
        <v>1</v>
      </c>
      <c r="Y402" s="14">
        <f t="shared" si="98"/>
        <v>2</v>
      </c>
      <c r="Z402" s="14">
        <f t="shared" si="99"/>
        <v>3</v>
      </c>
      <c r="AA402" s="14" t="str">
        <f t="shared" si="100"/>
        <v>AtkExt</v>
      </c>
      <c r="AB402" s="14">
        <f t="shared" si="94"/>
        <v>704</v>
      </c>
      <c r="AC402" s="14" t="str">
        <f t="shared" si="101"/>
        <v>DefExt</v>
      </c>
      <c r="AD402" s="14">
        <f t="shared" si="102"/>
        <v>351</v>
      </c>
      <c r="AE402" s="14" t="str">
        <f t="shared" si="103"/>
        <v>HPExt</v>
      </c>
      <c r="AF402" s="27">
        <f t="shared" si="104"/>
        <v>2117</v>
      </c>
      <c r="AG402" s="27" t="str">
        <f t="shared" si="105"/>
        <v>[x]</v>
      </c>
    </row>
    <row r="403" spans="16:33" ht="16.5" x14ac:dyDescent="0.2">
      <c r="P403" s="13">
        <v>347</v>
      </c>
      <c r="Q403" s="14">
        <f t="shared" si="90"/>
        <v>19</v>
      </c>
      <c r="R403" s="14">
        <f t="shared" si="91"/>
        <v>1606023</v>
      </c>
      <c r="S403" s="14" t="str">
        <f t="shared" si="95"/>
        <v>神器4碎片5等级17</v>
      </c>
      <c r="T403" s="29" t="s">
        <v>649</v>
      </c>
      <c r="U403" s="14">
        <f t="shared" si="92"/>
        <v>17</v>
      </c>
      <c r="V403" s="36">
        <f t="shared" si="96"/>
        <v>1.5779999999999998</v>
      </c>
      <c r="W403" s="17">
        <f t="shared" si="93"/>
        <v>3.1559999999999998E-2</v>
      </c>
      <c r="X403" s="14">
        <f t="shared" si="97"/>
        <v>1</v>
      </c>
      <c r="Y403" s="14">
        <f t="shared" si="98"/>
        <v>2</v>
      </c>
      <c r="Z403" s="14">
        <f t="shared" si="99"/>
        <v>3</v>
      </c>
      <c r="AA403" s="14" t="str">
        <f t="shared" si="100"/>
        <v>AtkExt</v>
      </c>
      <c r="AB403" s="14">
        <f t="shared" si="94"/>
        <v>759</v>
      </c>
      <c r="AC403" s="14" t="str">
        <f t="shared" si="101"/>
        <v>DefExt</v>
      </c>
      <c r="AD403" s="14">
        <f t="shared" si="102"/>
        <v>378</v>
      </c>
      <c r="AE403" s="14" t="str">
        <f t="shared" si="103"/>
        <v>HPExt</v>
      </c>
      <c r="AF403" s="27">
        <f t="shared" si="104"/>
        <v>2285</v>
      </c>
      <c r="AG403" s="27" t="str">
        <f t="shared" si="105"/>
        <v>[x]</v>
      </c>
    </row>
    <row r="404" spans="16:33" ht="16.5" x14ac:dyDescent="0.2">
      <c r="P404" s="13">
        <v>348</v>
      </c>
      <c r="Q404" s="14">
        <f t="shared" si="90"/>
        <v>19</v>
      </c>
      <c r="R404" s="14">
        <f t="shared" si="91"/>
        <v>1606023</v>
      </c>
      <c r="S404" s="14" t="str">
        <f t="shared" si="95"/>
        <v>神器4碎片5等级18</v>
      </c>
      <c r="T404" s="29" t="s">
        <v>649</v>
      </c>
      <c r="U404" s="14">
        <f t="shared" si="92"/>
        <v>18</v>
      </c>
      <c r="V404" s="36">
        <f t="shared" si="96"/>
        <v>1.698</v>
      </c>
      <c r="W404" s="17">
        <f t="shared" si="93"/>
        <v>3.3959999999999997E-2</v>
      </c>
      <c r="X404" s="14">
        <f t="shared" si="97"/>
        <v>1</v>
      </c>
      <c r="Y404" s="14">
        <f t="shared" si="98"/>
        <v>2</v>
      </c>
      <c r="Z404" s="14">
        <f t="shared" si="99"/>
        <v>3</v>
      </c>
      <c r="AA404" s="14" t="str">
        <f t="shared" si="100"/>
        <v>AtkExt</v>
      </c>
      <c r="AB404" s="14">
        <f t="shared" si="94"/>
        <v>817</v>
      </c>
      <c r="AC404" s="14" t="str">
        <f t="shared" si="101"/>
        <v>DefExt</v>
      </c>
      <c r="AD404" s="14">
        <f t="shared" si="102"/>
        <v>407</v>
      </c>
      <c r="AE404" s="14" t="str">
        <f t="shared" si="103"/>
        <v>HPExt</v>
      </c>
      <c r="AF404" s="27">
        <f t="shared" si="104"/>
        <v>2459</v>
      </c>
      <c r="AG404" s="27" t="str">
        <f t="shared" si="105"/>
        <v>[x]</v>
      </c>
    </row>
    <row r="405" spans="16:33" ht="16.5" x14ac:dyDescent="0.2">
      <c r="P405" s="13">
        <v>349</v>
      </c>
      <c r="Q405" s="14">
        <f t="shared" si="90"/>
        <v>19</v>
      </c>
      <c r="R405" s="14">
        <f t="shared" si="91"/>
        <v>1606023</v>
      </c>
      <c r="S405" s="14" t="str">
        <f t="shared" si="95"/>
        <v>神器4碎片5等级19</v>
      </c>
      <c r="T405" s="29" t="s">
        <v>649</v>
      </c>
      <c r="U405" s="14">
        <f t="shared" si="92"/>
        <v>19</v>
      </c>
      <c r="V405" s="36">
        <f t="shared" si="96"/>
        <v>1.8220000000000001</v>
      </c>
      <c r="W405" s="17">
        <f t="shared" si="93"/>
        <v>3.644E-2</v>
      </c>
      <c r="X405" s="14">
        <f t="shared" si="97"/>
        <v>1</v>
      </c>
      <c r="Y405" s="14">
        <f t="shared" si="98"/>
        <v>2</v>
      </c>
      <c r="Z405" s="14">
        <f t="shared" si="99"/>
        <v>3</v>
      </c>
      <c r="AA405" s="14" t="str">
        <f t="shared" si="100"/>
        <v>AtkExt</v>
      </c>
      <c r="AB405" s="14">
        <f t="shared" si="94"/>
        <v>877</v>
      </c>
      <c r="AC405" s="14" t="str">
        <f t="shared" si="101"/>
        <v>DefExt</v>
      </c>
      <c r="AD405" s="14">
        <f t="shared" si="102"/>
        <v>437</v>
      </c>
      <c r="AE405" s="14" t="str">
        <f t="shared" si="103"/>
        <v>HPExt</v>
      </c>
      <c r="AF405" s="27">
        <f t="shared" si="104"/>
        <v>2638</v>
      </c>
      <c r="AG405" s="27" t="str">
        <f t="shared" si="105"/>
        <v>[x]</v>
      </c>
    </row>
    <row r="406" spans="16:33" ht="16.5" x14ac:dyDescent="0.2">
      <c r="P406" s="13">
        <v>350</v>
      </c>
      <c r="Q406" s="14">
        <f t="shared" si="90"/>
        <v>19</v>
      </c>
      <c r="R406" s="14">
        <f t="shared" si="91"/>
        <v>1606023</v>
      </c>
      <c r="S406" s="14" t="str">
        <f t="shared" si="95"/>
        <v>神器4碎片5等级20</v>
      </c>
      <c r="T406" s="29" t="s">
        <v>649</v>
      </c>
      <c r="U406" s="14">
        <f t="shared" si="92"/>
        <v>20</v>
      </c>
      <c r="V406" s="36">
        <f t="shared" si="96"/>
        <v>1.95</v>
      </c>
      <c r="W406" s="17">
        <f t="shared" si="93"/>
        <v>3.9E-2</v>
      </c>
      <c r="X406" s="14">
        <f t="shared" si="97"/>
        <v>1</v>
      </c>
      <c r="Y406" s="14">
        <f t="shared" si="98"/>
        <v>2</v>
      </c>
      <c r="Z406" s="14">
        <f t="shared" si="99"/>
        <v>3</v>
      </c>
      <c r="AA406" s="14" t="str">
        <f t="shared" si="100"/>
        <v>AtkExt</v>
      </c>
      <c r="AB406" s="14">
        <f t="shared" si="94"/>
        <v>939</v>
      </c>
      <c r="AC406" s="14" t="str">
        <f t="shared" si="101"/>
        <v>DefExt</v>
      </c>
      <c r="AD406" s="14">
        <f t="shared" si="102"/>
        <v>468</v>
      </c>
      <c r="AE406" s="14" t="str">
        <f t="shared" si="103"/>
        <v>HPExt</v>
      </c>
      <c r="AF406" s="27">
        <f t="shared" si="104"/>
        <v>2824</v>
      </c>
      <c r="AG406" s="27" t="str">
        <f t="shared" si="105"/>
        <v>[x]</v>
      </c>
    </row>
    <row r="407" spans="16:33" ht="16.5" x14ac:dyDescent="0.2">
      <c r="P407" s="13">
        <v>351</v>
      </c>
      <c r="Q407" s="14">
        <f t="shared" si="90"/>
        <v>19</v>
      </c>
      <c r="R407" s="14">
        <f t="shared" si="91"/>
        <v>1606023</v>
      </c>
      <c r="S407" s="14" t="str">
        <f t="shared" si="95"/>
        <v>神器4碎片5等级21</v>
      </c>
      <c r="T407" s="29" t="s">
        <v>649</v>
      </c>
      <c r="U407" s="14">
        <f t="shared" si="92"/>
        <v>21</v>
      </c>
      <c r="V407" s="36">
        <f t="shared" si="96"/>
        <v>2.0819999999999999</v>
      </c>
      <c r="W407" s="17">
        <f t="shared" si="93"/>
        <v>4.1639999999999996E-2</v>
      </c>
      <c r="X407" s="14">
        <f t="shared" si="97"/>
        <v>1</v>
      </c>
      <c r="Y407" s="14">
        <f t="shared" si="98"/>
        <v>2</v>
      </c>
      <c r="Z407" s="14">
        <f t="shared" si="99"/>
        <v>3</v>
      </c>
      <c r="AA407" s="14" t="str">
        <f t="shared" si="100"/>
        <v>AtkExt</v>
      </c>
      <c r="AB407" s="14">
        <f t="shared" si="94"/>
        <v>1002</v>
      </c>
      <c r="AC407" s="14" t="str">
        <f t="shared" si="101"/>
        <v>DefExt</v>
      </c>
      <c r="AD407" s="14">
        <f t="shared" si="102"/>
        <v>500</v>
      </c>
      <c r="AE407" s="14" t="str">
        <f t="shared" si="103"/>
        <v>HPExt</v>
      </c>
      <c r="AF407" s="27">
        <f t="shared" si="104"/>
        <v>3015</v>
      </c>
      <c r="AG407" s="27" t="str">
        <f t="shared" si="105"/>
        <v>[x]</v>
      </c>
    </row>
    <row r="408" spans="16:33" ht="16.5" x14ac:dyDescent="0.2">
      <c r="P408" s="13">
        <v>352</v>
      </c>
      <c r="Q408" s="14">
        <f t="shared" si="90"/>
        <v>20</v>
      </c>
      <c r="R408" s="14">
        <f t="shared" si="91"/>
        <v>1606024</v>
      </c>
      <c r="S408" s="14" t="str">
        <f t="shared" si="95"/>
        <v>神器4碎片6等级1</v>
      </c>
      <c r="T408" s="29" t="s">
        <v>649</v>
      </c>
      <c r="U408" s="14">
        <f t="shared" si="92"/>
        <v>1</v>
      </c>
      <c r="V408" s="36">
        <f t="shared" si="96"/>
        <v>0.20200000000000001</v>
      </c>
      <c r="W408" s="17">
        <f t="shared" si="93"/>
        <v>6.0600000000000003E-3</v>
      </c>
      <c r="X408" s="14">
        <f t="shared" si="97"/>
        <v>3</v>
      </c>
      <c r="Y408" s="14">
        <f t="shared" si="98"/>
        <v>0</v>
      </c>
      <c r="Z408" s="14">
        <f t="shared" si="99"/>
        <v>0</v>
      </c>
      <c r="AA408" s="14" t="str">
        <f t="shared" si="100"/>
        <v>HPExt</v>
      </c>
      <c r="AB408" s="14">
        <f t="shared" si="94"/>
        <v>1316</v>
      </c>
      <c r="AC408" s="14" t="str">
        <f t="shared" si="101"/>
        <v>[x]</v>
      </c>
      <c r="AD408" s="14" t="str">
        <f t="shared" si="102"/>
        <v>[x]</v>
      </c>
      <c r="AE408" s="14" t="str">
        <f t="shared" si="103"/>
        <v>[x]</v>
      </c>
      <c r="AF408" s="27" t="str">
        <f t="shared" si="104"/>
        <v>[x]</v>
      </c>
      <c r="AG408" s="27">
        <f t="shared" si="105"/>
        <v>2</v>
      </c>
    </row>
    <row r="409" spans="16:33" ht="16.5" x14ac:dyDescent="0.2">
      <c r="P409" s="13">
        <v>353</v>
      </c>
      <c r="Q409" s="14">
        <f t="shared" si="90"/>
        <v>20</v>
      </c>
      <c r="R409" s="14">
        <f t="shared" si="91"/>
        <v>1606024</v>
      </c>
      <c r="S409" s="14" t="str">
        <f t="shared" si="95"/>
        <v>神器4碎片6等级2</v>
      </c>
      <c r="T409" s="29" t="s">
        <v>649</v>
      </c>
      <c r="U409" s="14">
        <f t="shared" si="92"/>
        <v>2</v>
      </c>
      <c r="V409" s="36">
        <f t="shared" si="96"/>
        <v>0.25800000000000001</v>
      </c>
      <c r="W409" s="17">
        <f t="shared" si="93"/>
        <v>7.7400000000000004E-3</v>
      </c>
      <c r="X409" s="14">
        <f t="shared" si="97"/>
        <v>3</v>
      </c>
      <c r="Y409" s="14">
        <f t="shared" si="98"/>
        <v>0</v>
      </c>
      <c r="Z409" s="14">
        <f t="shared" si="99"/>
        <v>0</v>
      </c>
      <c r="AA409" s="14" t="str">
        <f t="shared" si="100"/>
        <v>HPExt</v>
      </c>
      <c r="AB409" s="14">
        <f t="shared" si="94"/>
        <v>1681</v>
      </c>
      <c r="AC409" s="14" t="str">
        <f t="shared" si="101"/>
        <v>[x]</v>
      </c>
      <c r="AD409" s="14" t="str">
        <f t="shared" si="102"/>
        <v>[x]</v>
      </c>
      <c r="AE409" s="14" t="str">
        <f t="shared" si="103"/>
        <v>[x]</v>
      </c>
      <c r="AF409" s="27" t="str">
        <f t="shared" si="104"/>
        <v>[x]</v>
      </c>
      <c r="AG409" s="27">
        <f t="shared" si="105"/>
        <v>4</v>
      </c>
    </row>
    <row r="410" spans="16:33" ht="16.5" x14ac:dyDescent="0.2">
      <c r="P410" s="13">
        <v>354</v>
      </c>
      <c r="Q410" s="14">
        <f t="shared" si="90"/>
        <v>20</v>
      </c>
      <c r="R410" s="14">
        <f t="shared" si="91"/>
        <v>1606024</v>
      </c>
      <c r="S410" s="14" t="str">
        <f t="shared" si="95"/>
        <v>神器4碎片6等级3</v>
      </c>
      <c r="T410" s="29" t="s">
        <v>649</v>
      </c>
      <c r="U410" s="14">
        <f t="shared" si="92"/>
        <v>3</v>
      </c>
      <c r="V410" s="36">
        <f t="shared" si="96"/>
        <v>0.31800000000000006</v>
      </c>
      <c r="W410" s="17">
        <f t="shared" si="93"/>
        <v>9.5400000000000016E-3</v>
      </c>
      <c r="X410" s="14">
        <f t="shared" si="97"/>
        <v>3</v>
      </c>
      <c r="Y410" s="14">
        <f t="shared" si="98"/>
        <v>0</v>
      </c>
      <c r="Z410" s="14">
        <f t="shared" si="99"/>
        <v>0</v>
      </c>
      <c r="AA410" s="14" t="str">
        <f t="shared" si="100"/>
        <v>HPExt</v>
      </c>
      <c r="AB410" s="14">
        <f t="shared" si="94"/>
        <v>2072</v>
      </c>
      <c r="AC410" s="14" t="str">
        <f t="shared" si="101"/>
        <v>[x]</v>
      </c>
      <c r="AD410" s="14" t="str">
        <f t="shared" si="102"/>
        <v>[x]</v>
      </c>
      <c r="AE410" s="14" t="str">
        <f t="shared" si="103"/>
        <v>[x]</v>
      </c>
      <c r="AF410" s="27" t="str">
        <f t="shared" si="104"/>
        <v>[x]</v>
      </c>
      <c r="AG410" s="27">
        <f t="shared" si="105"/>
        <v>6</v>
      </c>
    </row>
    <row r="411" spans="16:33" ht="16.5" x14ac:dyDescent="0.2">
      <c r="P411" s="13">
        <v>355</v>
      </c>
      <c r="Q411" s="14">
        <f t="shared" si="90"/>
        <v>20</v>
      </c>
      <c r="R411" s="14">
        <f t="shared" si="91"/>
        <v>1606024</v>
      </c>
      <c r="S411" s="14" t="str">
        <f t="shared" si="95"/>
        <v>神器4碎片6等级4</v>
      </c>
      <c r="T411" s="29" t="s">
        <v>649</v>
      </c>
      <c r="U411" s="14">
        <f t="shared" si="92"/>
        <v>4</v>
      </c>
      <c r="V411" s="36">
        <f t="shared" si="96"/>
        <v>0.38200000000000001</v>
      </c>
      <c r="W411" s="17">
        <f t="shared" si="93"/>
        <v>1.146E-2</v>
      </c>
      <c r="X411" s="14">
        <f t="shared" si="97"/>
        <v>3</v>
      </c>
      <c r="Y411" s="14">
        <f t="shared" si="98"/>
        <v>0</v>
      </c>
      <c r="Z411" s="14">
        <f t="shared" si="99"/>
        <v>0</v>
      </c>
      <c r="AA411" s="14" t="str">
        <f t="shared" si="100"/>
        <v>HPExt</v>
      </c>
      <c r="AB411" s="14">
        <f t="shared" si="94"/>
        <v>2489</v>
      </c>
      <c r="AC411" s="14" t="str">
        <f t="shared" si="101"/>
        <v>[x]</v>
      </c>
      <c r="AD411" s="14" t="str">
        <f t="shared" si="102"/>
        <v>[x]</v>
      </c>
      <c r="AE411" s="14" t="str">
        <f t="shared" si="103"/>
        <v>[x]</v>
      </c>
      <c r="AF411" s="27" t="str">
        <f t="shared" si="104"/>
        <v>[x]</v>
      </c>
      <c r="AG411" s="27">
        <f t="shared" si="105"/>
        <v>8</v>
      </c>
    </row>
    <row r="412" spans="16:33" ht="16.5" x14ac:dyDescent="0.2">
      <c r="P412" s="13">
        <v>356</v>
      </c>
      <c r="Q412" s="14">
        <f t="shared" si="90"/>
        <v>20</v>
      </c>
      <c r="R412" s="14">
        <f t="shared" si="91"/>
        <v>1606024</v>
      </c>
      <c r="S412" s="14" t="str">
        <f t="shared" si="95"/>
        <v>神器4碎片6等级5</v>
      </c>
      <c r="T412" s="29" t="s">
        <v>649</v>
      </c>
      <c r="U412" s="14">
        <f t="shared" si="92"/>
        <v>5</v>
      </c>
      <c r="V412" s="36">
        <f t="shared" si="96"/>
        <v>0.45</v>
      </c>
      <c r="W412" s="17">
        <f t="shared" si="93"/>
        <v>1.35E-2</v>
      </c>
      <c r="X412" s="14">
        <f t="shared" si="97"/>
        <v>3</v>
      </c>
      <c r="Y412" s="14">
        <f t="shared" si="98"/>
        <v>0</v>
      </c>
      <c r="Z412" s="14">
        <f t="shared" si="99"/>
        <v>0</v>
      </c>
      <c r="AA412" s="14" t="str">
        <f t="shared" si="100"/>
        <v>HPExt</v>
      </c>
      <c r="AB412" s="14">
        <f t="shared" si="94"/>
        <v>2932</v>
      </c>
      <c r="AC412" s="14" t="str">
        <f t="shared" si="101"/>
        <v>[x]</v>
      </c>
      <c r="AD412" s="14" t="str">
        <f t="shared" si="102"/>
        <v>[x]</v>
      </c>
      <c r="AE412" s="14" t="str">
        <f t="shared" si="103"/>
        <v>[x]</v>
      </c>
      <c r="AF412" s="27" t="str">
        <f t="shared" si="104"/>
        <v>[x]</v>
      </c>
      <c r="AG412" s="27">
        <f t="shared" si="105"/>
        <v>10</v>
      </c>
    </row>
    <row r="413" spans="16:33" ht="16.5" x14ac:dyDescent="0.2">
      <c r="P413" s="13">
        <v>357</v>
      </c>
      <c r="Q413" s="14">
        <f t="shared" si="90"/>
        <v>20</v>
      </c>
      <c r="R413" s="14">
        <f t="shared" si="91"/>
        <v>1606024</v>
      </c>
      <c r="S413" s="14" t="str">
        <f t="shared" si="95"/>
        <v>神器4碎片6等级6</v>
      </c>
      <c r="T413" s="29" t="s">
        <v>649</v>
      </c>
      <c r="U413" s="14">
        <f t="shared" si="92"/>
        <v>6</v>
      </c>
      <c r="V413" s="36">
        <f t="shared" si="96"/>
        <v>0.52200000000000002</v>
      </c>
      <c r="W413" s="17">
        <f t="shared" si="93"/>
        <v>1.566E-2</v>
      </c>
      <c r="X413" s="14">
        <f t="shared" si="97"/>
        <v>3</v>
      </c>
      <c r="Y413" s="14">
        <f t="shared" si="98"/>
        <v>0</v>
      </c>
      <c r="Z413" s="14">
        <f t="shared" si="99"/>
        <v>0</v>
      </c>
      <c r="AA413" s="14" t="str">
        <f t="shared" si="100"/>
        <v>HPExt</v>
      </c>
      <c r="AB413" s="14">
        <f t="shared" si="94"/>
        <v>3402</v>
      </c>
      <c r="AC413" s="14" t="str">
        <f t="shared" si="101"/>
        <v>[x]</v>
      </c>
      <c r="AD413" s="14" t="str">
        <f t="shared" si="102"/>
        <v>[x]</v>
      </c>
      <c r="AE413" s="14" t="str">
        <f t="shared" si="103"/>
        <v>[x]</v>
      </c>
      <c r="AF413" s="27" t="str">
        <f t="shared" si="104"/>
        <v>[x]</v>
      </c>
      <c r="AG413" s="27">
        <f t="shared" si="105"/>
        <v>12</v>
      </c>
    </row>
    <row r="414" spans="16:33" ht="16.5" x14ac:dyDescent="0.2">
      <c r="P414" s="13">
        <v>358</v>
      </c>
      <c r="Q414" s="14">
        <f t="shared" si="90"/>
        <v>20</v>
      </c>
      <c r="R414" s="14">
        <f t="shared" si="91"/>
        <v>1606024</v>
      </c>
      <c r="S414" s="14" t="str">
        <f t="shared" si="95"/>
        <v>神器4碎片6等级7</v>
      </c>
      <c r="T414" s="29" t="s">
        <v>649</v>
      </c>
      <c r="U414" s="14">
        <f t="shared" si="92"/>
        <v>7</v>
      </c>
      <c r="V414" s="36">
        <f t="shared" si="96"/>
        <v>0.59799999999999998</v>
      </c>
      <c r="W414" s="17">
        <f t="shared" si="93"/>
        <v>1.7939999999999998E-2</v>
      </c>
      <c r="X414" s="14">
        <f t="shared" si="97"/>
        <v>3</v>
      </c>
      <c r="Y414" s="14">
        <f t="shared" si="98"/>
        <v>0</v>
      </c>
      <c r="Z414" s="14">
        <f t="shared" si="99"/>
        <v>0</v>
      </c>
      <c r="AA414" s="14" t="str">
        <f t="shared" si="100"/>
        <v>HPExt</v>
      </c>
      <c r="AB414" s="14">
        <f t="shared" si="94"/>
        <v>3897</v>
      </c>
      <c r="AC414" s="14" t="str">
        <f t="shared" si="101"/>
        <v>[x]</v>
      </c>
      <c r="AD414" s="14" t="str">
        <f t="shared" si="102"/>
        <v>[x]</v>
      </c>
      <c r="AE414" s="14" t="str">
        <f t="shared" si="103"/>
        <v>[x]</v>
      </c>
      <c r="AF414" s="27" t="str">
        <f t="shared" si="104"/>
        <v>[x]</v>
      </c>
      <c r="AG414" s="27">
        <f t="shared" si="105"/>
        <v>14</v>
      </c>
    </row>
    <row r="415" spans="16:33" ht="16.5" x14ac:dyDescent="0.2">
      <c r="P415" s="13">
        <v>359</v>
      </c>
      <c r="Q415" s="14">
        <f t="shared" si="90"/>
        <v>20</v>
      </c>
      <c r="R415" s="14">
        <f t="shared" si="91"/>
        <v>1606024</v>
      </c>
      <c r="S415" s="14" t="str">
        <f t="shared" si="95"/>
        <v>神器4碎片6等级8</v>
      </c>
      <c r="T415" s="29" t="s">
        <v>649</v>
      </c>
      <c r="U415" s="14">
        <f t="shared" si="92"/>
        <v>8</v>
      </c>
      <c r="V415" s="36">
        <f t="shared" si="96"/>
        <v>0.67800000000000005</v>
      </c>
      <c r="W415" s="17">
        <f t="shared" si="93"/>
        <v>2.034E-2</v>
      </c>
      <c r="X415" s="14">
        <f t="shared" si="97"/>
        <v>3</v>
      </c>
      <c r="Y415" s="14">
        <f t="shared" si="98"/>
        <v>0</v>
      </c>
      <c r="Z415" s="14">
        <f t="shared" si="99"/>
        <v>0</v>
      </c>
      <c r="AA415" s="14" t="str">
        <f t="shared" si="100"/>
        <v>HPExt</v>
      </c>
      <c r="AB415" s="14">
        <f t="shared" si="94"/>
        <v>4418</v>
      </c>
      <c r="AC415" s="14" t="str">
        <f t="shared" si="101"/>
        <v>[x]</v>
      </c>
      <c r="AD415" s="14" t="str">
        <f t="shared" si="102"/>
        <v>[x]</v>
      </c>
      <c r="AE415" s="14" t="str">
        <f t="shared" si="103"/>
        <v>[x]</v>
      </c>
      <c r="AF415" s="27" t="str">
        <f t="shared" si="104"/>
        <v>[x]</v>
      </c>
      <c r="AG415" s="27">
        <f t="shared" si="105"/>
        <v>16</v>
      </c>
    </row>
    <row r="416" spans="16:33" ht="16.5" x14ac:dyDescent="0.2">
      <c r="P416" s="13">
        <v>360</v>
      </c>
      <c r="Q416" s="14">
        <f t="shared" si="90"/>
        <v>20</v>
      </c>
      <c r="R416" s="14">
        <f t="shared" si="91"/>
        <v>1606024</v>
      </c>
      <c r="S416" s="14" t="str">
        <f t="shared" si="95"/>
        <v>神器4碎片6等级9</v>
      </c>
      <c r="T416" s="29" t="s">
        <v>649</v>
      </c>
      <c r="U416" s="14">
        <f t="shared" si="92"/>
        <v>9</v>
      </c>
      <c r="V416" s="36">
        <f t="shared" si="96"/>
        <v>0.76200000000000001</v>
      </c>
      <c r="W416" s="17">
        <f t="shared" si="93"/>
        <v>2.2859999999999998E-2</v>
      </c>
      <c r="X416" s="14">
        <f t="shared" si="97"/>
        <v>3</v>
      </c>
      <c r="Y416" s="14">
        <f t="shared" si="98"/>
        <v>0</v>
      </c>
      <c r="Z416" s="14">
        <f t="shared" si="99"/>
        <v>0</v>
      </c>
      <c r="AA416" s="14" t="str">
        <f t="shared" si="100"/>
        <v>HPExt</v>
      </c>
      <c r="AB416" s="14">
        <f t="shared" si="94"/>
        <v>4966</v>
      </c>
      <c r="AC416" s="14" t="str">
        <f t="shared" si="101"/>
        <v>[x]</v>
      </c>
      <c r="AD416" s="14" t="str">
        <f t="shared" si="102"/>
        <v>[x]</v>
      </c>
      <c r="AE416" s="14" t="str">
        <f t="shared" si="103"/>
        <v>[x]</v>
      </c>
      <c r="AF416" s="27" t="str">
        <f t="shared" si="104"/>
        <v>[x]</v>
      </c>
      <c r="AG416" s="27">
        <f t="shared" si="105"/>
        <v>18</v>
      </c>
    </row>
    <row r="417" spans="16:33" ht="16.5" x14ac:dyDescent="0.2">
      <c r="P417" s="13">
        <v>361</v>
      </c>
      <c r="Q417" s="14">
        <f t="shared" si="90"/>
        <v>20</v>
      </c>
      <c r="R417" s="14">
        <f t="shared" si="91"/>
        <v>1606024</v>
      </c>
      <c r="S417" s="14" t="str">
        <f t="shared" si="95"/>
        <v>神器4碎片6等级10</v>
      </c>
      <c r="T417" s="29" t="s">
        <v>649</v>
      </c>
      <c r="U417" s="14">
        <f t="shared" si="92"/>
        <v>10</v>
      </c>
      <c r="V417" s="36">
        <f t="shared" si="96"/>
        <v>0.85000000000000009</v>
      </c>
      <c r="W417" s="17">
        <f t="shared" si="93"/>
        <v>2.5500000000000002E-2</v>
      </c>
      <c r="X417" s="14">
        <f t="shared" si="97"/>
        <v>3</v>
      </c>
      <c r="Y417" s="14">
        <f t="shared" si="98"/>
        <v>0</v>
      </c>
      <c r="Z417" s="14">
        <f t="shared" si="99"/>
        <v>0</v>
      </c>
      <c r="AA417" s="14" t="str">
        <f t="shared" si="100"/>
        <v>HPExt</v>
      </c>
      <c r="AB417" s="14">
        <f t="shared" si="94"/>
        <v>5539</v>
      </c>
      <c r="AC417" s="14" t="str">
        <f t="shared" si="101"/>
        <v>[x]</v>
      </c>
      <c r="AD417" s="14" t="str">
        <f t="shared" si="102"/>
        <v>[x]</v>
      </c>
      <c r="AE417" s="14" t="str">
        <f t="shared" si="103"/>
        <v>[x]</v>
      </c>
      <c r="AF417" s="27" t="str">
        <f t="shared" si="104"/>
        <v>[x]</v>
      </c>
      <c r="AG417" s="27">
        <f t="shared" si="105"/>
        <v>20</v>
      </c>
    </row>
    <row r="418" spans="16:33" ht="16.5" x14ac:dyDescent="0.2">
      <c r="P418" s="13">
        <v>362</v>
      </c>
      <c r="Q418" s="14">
        <f t="shared" si="90"/>
        <v>20</v>
      </c>
      <c r="R418" s="14">
        <f t="shared" si="91"/>
        <v>1606024</v>
      </c>
      <c r="S418" s="14" t="str">
        <f t="shared" si="95"/>
        <v>神器4碎片6等级11</v>
      </c>
      <c r="T418" s="29" t="s">
        <v>649</v>
      </c>
      <c r="U418" s="14">
        <f t="shared" si="92"/>
        <v>11</v>
      </c>
      <c r="V418" s="36">
        <f t="shared" si="96"/>
        <v>0.94200000000000006</v>
      </c>
      <c r="W418" s="17">
        <f t="shared" si="93"/>
        <v>2.826E-2</v>
      </c>
      <c r="X418" s="14">
        <f t="shared" si="97"/>
        <v>3</v>
      </c>
      <c r="Y418" s="14">
        <f t="shared" si="98"/>
        <v>0</v>
      </c>
      <c r="Z418" s="14">
        <f t="shared" si="99"/>
        <v>0</v>
      </c>
      <c r="AA418" s="14" t="str">
        <f t="shared" si="100"/>
        <v>HPExt</v>
      </c>
      <c r="AB418" s="14">
        <f t="shared" si="94"/>
        <v>6139</v>
      </c>
      <c r="AC418" s="14" t="str">
        <f t="shared" si="101"/>
        <v>[x]</v>
      </c>
      <c r="AD418" s="14" t="str">
        <f t="shared" si="102"/>
        <v>[x]</v>
      </c>
      <c r="AE418" s="14" t="str">
        <f t="shared" si="103"/>
        <v>[x]</v>
      </c>
      <c r="AF418" s="27" t="str">
        <f t="shared" si="104"/>
        <v>[x]</v>
      </c>
      <c r="AG418" s="27">
        <f t="shared" si="105"/>
        <v>22</v>
      </c>
    </row>
    <row r="419" spans="16:33" ht="16.5" x14ac:dyDescent="0.2">
      <c r="P419" s="13">
        <v>363</v>
      </c>
      <c r="Q419" s="14">
        <f t="shared" si="90"/>
        <v>20</v>
      </c>
      <c r="R419" s="14">
        <f t="shared" si="91"/>
        <v>1606024</v>
      </c>
      <c r="S419" s="14" t="str">
        <f t="shared" si="95"/>
        <v>神器4碎片6等级12</v>
      </c>
      <c r="T419" s="29" t="s">
        <v>649</v>
      </c>
      <c r="U419" s="14">
        <f t="shared" si="92"/>
        <v>12</v>
      </c>
      <c r="V419" s="36">
        <f t="shared" si="96"/>
        <v>1.0380000000000003</v>
      </c>
      <c r="W419" s="17">
        <f t="shared" si="93"/>
        <v>3.1140000000000008E-2</v>
      </c>
      <c r="X419" s="14">
        <f t="shared" si="97"/>
        <v>3</v>
      </c>
      <c r="Y419" s="14">
        <f t="shared" si="98"/>
        <v>0</v>
      </c>
      <c r="Z419" s="14">
        <f t="shared" si="99"/>
        <v>0</v>
      </c>
      <c r="AA419" s="14" t="str">
        <f t="shared" si="100"/>
        <v>HPExt</v>
      </c>
      <c r="AB419" s="14">
        <f t="shared" si="94"/>
        <v>6765</v>
      </c>
      <c r="AC419" s="14" t="str">
        <f t="shared" si="101"/>
        <v>[x]</v>
      </c>
      <c r="AD419" s="14" t="str">
        <f t="shared" si="102"/>
        <v>[x]</v>
      </c>
      <c r="AE419" s="14" t="str">
        <f t="shared" si="103"/>
        <v>[x]</v>
      </c>
      <c r="AF419" s="27" t="str">
        <f t="shared" si="104"/>
        <v>[x]</v>
      </c>
      <c r="AG419" s="27">
        <f t="shared" si="105"/>
        <v>24</v>
      </c>
    </row>
    <row r="420" spans="16:33" ht="16.5" x14ac:dyDescent="0.2">
      <c r="P420" s="13">
        <v>364</v>
      </c>
      <c r="Q420" s="14">
        <f t="shared" si="90"/>
        <v>20</v>
      </c>
      <c r="R420" s="14">
        <f t="shared" si="91"/>
        <v>1606024</v>
      </c>
      <c r="S420" s="14" t="str">
        <f t="shared" si="95"/>
        <v>神器4碎片6等级13</v>
      </c>
      <c r="T420" s="29" t="s">
        <v>649</v>
      </c>
      <c r="U420" s="14">
        <f t="shared" si="92"/>
        <v>13</v>
      </c>
      <c r="V420" s="36">
        <f t="shared" si="96"/>
        <v>1.1380000000000001</v>
      </c>
      <c r="W420" s="17">
        <f t="shared" si="93"/>
        <v>3.4140000000000004E-2</v>
      </c>
      <c r="X420" s="14">
        <f t="shared" si="97"/>
        <v>3</v>
      </c>
      <c r="Y420" s="14">
        <f t="shared" si="98"/>
        <v>0</v>
      </c>
      <c r="Z420" s="14">
        <f t="shared" si="99"/>
        <v>0</v>
      </c>
      <c r="AA420" s="14" t="str">
        <f t="shared" si="100"/>
        <v>HPExt</v>
      </c>
      <c r="AB420" s="14">
        <f t="shared" si="94"/>
        <v>7417</v>
      </c>
      <c r="AC420" s="14" t="str">
        <f t="shared" si="101"/>
        <v>[x]</v>
      </c>
      <c r="AD420" s="14" t="str">
        <f t="shared" si="102"/>
        <v>[x]</v>
      </c>
      <c r="AE420" s="14" t="str">
        <f t="shared" si="103"/>
        <v>[x]</v>
      </c>
      <c r="AF420" s="27" t="str">
        <f t="shared" si="104"/>
        <v>[x]</v>
      </c>
      <c r="AG420" s="27">
        <f t="shared" si="105"/>
        <v>26</v>
      </c>
    </row>
    <row r="421" spans="16:33" ht="16.5" x14ac:dyDescent="0.2">
      <c r="P421" s="13">
        <v>365</v>
      </c>
      <c r="Q421" s="14">
        <f t="shared" si="90"/>
        <v>20</v>
      </c>
      <c r="R421" s="14">
        <f t="shared" si="91"/>
        <v>1606024</v>
      </c>
      <c r="S421" s="14" t="str">
        <f t="shared" si="95"/>
        <v>神器4碎片6等级14</v>
      </c>
      <c r="T421" s="29" t="s">
        <v>649</v>
      </c>
      <c r="U421" s="14">
        <f t="shared" si="92"/>
        <v>14</v>
      </c>
      <c r="V421" s="36">
        <f t="shared" si="96"/>
        <v>1.242</v>
      </c>
      <c r="W421" s="17">
        <f t="shared" si="93"/>
        <v>3.7260000000000001E-2</v>
      </c>
      <c r="X421" s="14">
        <f t="shared" si="97"/>
        <v>3</v>
      </c>
      <c r="Y421" s="14">
        <f t="shared" si="98"/>
        <v>0</v>
      </c>
      <c r="Z421" s="14">
        <f t="shared" si="99"/>
        <v>0</v>
      </c>
      <c r="AA421" s="14" t="str">
        <f t="shared" si="100"/>
        <v>HPExt</v>
      </c>
      <c r="AB421" s="14">
        <f t="shared" si="94"/>
        <v>8094</v>
      </c>
      <c r="AC421" s="14" t="str">
        <f t="shared" si="101"/>
        <v>[x]</v>
      </c>
      <c r="AD421" s="14" t="str">
        <f t="shared" si="102"/>
        <v>[x]</v>
      </c>
      <c r="AE421" s="14" t="str">
        <f t="shared" si="103"/>
        <v>[x]</v>
      </c>
      <c r="AF421" s="27" t="str">
        <f t="shared" si="104"/>
        <v>[x]</v>
      </c>
      <c r="AG421" s="27">
        <f t="shared" si="105"/>
        <v>28</v>
      </c>
    </row>
    <row r="422" spans="16:33" ht="16.5" x14ac:dyDescent="0.2">
      <c r="P422" s="13">
        <v>366</v>
      </c>
      <c r="Q422" s="14">
        <f t="shared" si="90"/>
        <v>20</v>
      </c>
      <c r="R422" s="14">
        <f t="shared" si="91"/>
        <v>1606024</v>
      </c>
      <c r="S422" s="14" t="str">
        <f t="shared" si="95"/>
        <v>神器4碎片6等级15</v>
      </c>
      <c r="T422" s="29" t="s">
        <v>649</v>
      </c>
      <c r="U422" s="14">
        <f t="shared" si="92"/>
        <v>15</v>
      </c>
      <c r="V422" s="36">
        <f t="shared" si="96"/>
        <v>1.35</v>
      </c>
      <c r="W422" s="17">
        <f t="shared" si="93"/>
        <v>4.0500000000000001E-2</v>
      </c>
      <c r="X422" s="14">
        <f t="shared" si="97"/>
        <v>3</v>
      </c>
      <c r="Y422" s="14">
        <f t="shared" si="98"/>
        <v>0</v>
      </c>
      <c r="Z422" s="14">
        <f t="shared" si="99"/>
        <v>0</v>
      </c>
      <c r="AA422" s="14" t="str">
        <f t="shared" si="100"/>
        <v>HPExt</v>
      </c>
      <c r="AB422" s="14">
        <f t="shared" si="94"/>
        <v>8798</v>
      </c>
      <c r="AC422" s="14" t="str">
        <f t="shared" si="101"/>
        <v>[x]</v>
      </c>
      <c r="AD422" s="14" t="str">
        <f t="shared" si="102"/>
        <v>[x]</v>
      </c>
      <c r="AE422" s="14" t="str">
        <f t="shared" si="103"/>
        <v>[x]</v>
      </c>
      <c r="AF422" s="27" t="str">
        <f t="shared" si="104"/>
        <v>[x]</v>
      </c>
      <c r="AG422" s="27">
        <f t="shared" si="105"/>
        <v>30</v>
      </c>
    </row>
    <row r="423" spans="16:33" ht="16.5" x14ac:dyDescent="0.2">
      <c r="P423" s="13">
        <v>367</v>
      </c>
      <c r="Q423" s="14">
        <f t="shared" si="90"/>
        <v>20</v>
      </c>
      <c r="R423" s="14">
        <f t="shared" si="91"/>
        <v>1606024</v>
      </c>
      <c r="S423" s="14" t="str">
        <f t="shared" si="95"/>
        <v>神器4碎片6等级16</v>
      </c>
      <c r="T423" s="29" t="s">
        <v>649</v>
      </c>
      <c r="U423" s="14">
        <f t="shared" si="92"/>
        <v>16</v>
      </c>
      <c r="V423" s="36">
        <f t="shared" si="96"/>
        <v>1.4620000000000002</v>
      </c>
      <c r="W423" s="17">
        <f t="shared" si="93"/>
        <v>4.3860000000000003E-2</v>
      </c>
      <c r="X423" s="14">
        <f t="shared" si="97"/>
        <v>3</v>
      </c>
      <c r="Y423" s="14">
        <f t="shared" si="98"/>
        <v>0</v>
      </c>
      <c r="Z423" s="14">
        <f t="shared" si="99"/>
        <v>0</v>
      </c>
      <c r="AA423" s="14" t="str">
        <f t="shared" si="100"/>
        <v>HPExt</v>
      </c>
      <c r="AB423" s="14">
        <f t="shared" si="94"/>
        <v>9528</v>
      </c>
      <c r="AC423" s="14" t="str">
        <f t="shared" si="101"/>
        <v>[x]</v>
      </c>
      <c r="AD423" s="14" t="str">
        <f t="shared" si="102"/>
        <v>[x]</v>
      </c>
      <c r="AE423" s="14" t="str">
        <f t="shared" si="103"/>
        <v>[x]</v>
      </c>
      <c r="AF423" s="27" t="str">
        <f t="shared" si="104"/>
        <v>[x]</v>
      </c>
      <c r="AG423" s="27">
        <f t="shared" si="105"/>
        <v>32</v>
      </c>
    </row>
    <row r="424" spans="16:33" ht="16.5" x14ac:dyDescent="0.2">
      <c r="P424" s="13">
        <v>368</v>
      </c>
      <c r="Q424" s="14">
        <f t="shared" si="90"/>
        <v>20</v>
      </c>
      <c r="R424" s="14">
        <f t="shared" si="91"/>
        <v>1606024</v>
      </c>
      <c r="S424" s="14" t="str">
        <f t="shared" si="95"/>
        <v>神器4碎片6等级17</v>
      </c>
      <c r="T424" s="29" t="s">
        <v>649</v>
      </c>
      <c r="U424" s="14">
        <f t="shared" si="92"/>
        <v>17</v>
      </c>
      <c r="V424" s="36">
        <f t="shared" si="96"/>
        <v>1.5779999999999998</v>
      </c>
      <c r="W424" s="17">
        <f t="shared" si="93"/>
        <v>4.7339999999999993E-2</v>
      </c>
      <c r="X424" s="14">
        <f t="shared" si="97"/>
        <v>3</v>
      </c>
      <c r="Y424" s="14">
        <f t="shared" si="98"/>
        <v>0</v>
      </c>
      <c r="Z424" s="14">
        <f t="shared" si="99"/>
        <v>0</v>
      </c>
      <c r="AA424" s="14" t="str">
        <f t="shared" si="100"/>
        <v>HPExt</v>
      </c>
      <c r="AB424" s="14">
        <f t="shared" si="94"/>
        <v>10284</v>
      </c>
      <c r="AC424" s="14" t="str">
        <f t="shared" si="101"/>
        <v>[x]</v>
      </c>
      <c r="AD424" s="14" t="str">
        <f t="shared" si="102"/>
        <v>[x]</v>
      </c>
      <c r="AE424" s="14" t="str">
        <f t="shared" si="103"/>
        <v>[x]</v>
      </c>
      <c r="AF424" s="27" t="str">
        <f t="shared" si="104"/>
        <v>[x]</v>
      </c>
      <c r="AG424" s="27">
        <f t="shared" si="105"/>
        <v>34</v>
      </c>
    </row>
    <row r="425" spans="16:33" ht="16.5" x14ac:dyDescent="0.2">
      <c r="P425" s="13">
        <v>369</v>
      </c>
      <c r="Q425" s="14">
        <f t="shared" si="90"/>
        <v>20</v>
      </c>
      <c r="R425" s="14">
        <f t="shared" si="91"/>
        <v>1606024</v>
      </c>
      <c r="S425" s="14" t="str">
        <f t="shared" si="95"/>
        <v>神器4碎片6等级18</v>
      </c>
      <c r="T425" s="29" t="s">
        <v>649</v>
      </c>
      <c r="U425" s="14">
        <f t="shared" si="92"/>
        <v>18</v>
      </c>
      <c r="V425" s="36">
        <f t="shared" si="96"/>
        <v>1.698</v>
      </c>
      <c r="W425" s="17">
        <f t="shared" si="93"/>
        <v>5.0939999999999999E-2</v>
      </c>
      <c r="X425" s="14">
        <f t="shared" si="97"/>
        <v>3</v>
      </c>
      <c r="Y425" s="14">
        <f t="shared" si="98"/>
        <v>0</v>
      </c>
      <c r="Z425" s="14">
        <f t="shared" si="99"/>
        <v>0</v>
      </c>
      <c r="AA425" s="14" t="str">
        <f t="shared" si="100"/>
        <v>HPExt</v>
      </c>
      <c r="AB425" s="14">
        <f t="shared" si="94"/>
        <v>11066</v>
      </c>
      <c r="AC425" s="14" t="str">
        <f t="shared" si="101"/>
        <v>[x]</v>
      </c>
      <c r="AD425" s="14" t="str">
        <f t="shared" si="102"/>
        <v>[x]</v>
      </c>
      <c r="AE425" s="14" t="str">
        <f t="shared" si="103"/>
        <v>[x]</v>
      </c>
      <c r="AF425" s="27" t="str">
        <f t="shared" si="104"/>
        <v>[x]</v>
      </c>
      <c r="AG425" s="27">
        <f t="shared" si="105"/>
        <v>36</v>
      </c>
    </row>
    <row r="426" spans="16:33" ht="16.5" x14ac:dyDescent="0.2">
      <c r="P426" s="13">
        <v>370</v>
      </c>
      <c r="Q426" s="14">
        <f t="shared" si="90"/>
        <v>20</v>
      </c>
      <c r="R426" s="14">
        <f t="shared" si="91"/>
        <v>1606024</v>
      </c>
      <c r="S426" s="14" t="str">
        <f t="shared" si="95"/>
        <v>神器4碎片6等级19</v>
      </c>
      <c r="T426" s="29" t="s">
        <v>649</v>
      </c>
      <c r="U426" s="14">
        <f t="shared" si="92"/>
        <v>19</v>
      </c>
      <c r="V426" s="36">
        <f t="shared" si="96"/>
        <v>1.8220000000000001</v>
      </c>
      <c r="W426" s="17">
        <f t="shared" si="93"/>
        <v>5.466E-2</v>
      </c>
      <c r="X426" s="14">
        <f t="shared" si="97"/>
        <v>3</v>
      </c>
      <c r="Y426" s="14">
        <f t="shared" si="98"/>
        <v>0</v>
      </c>
      <c r="Z426" s="14">
        <f t="shared" si="99"/>
        <v>0</v>
      </c>
      <c r="AA426" s="14" t="str">
        <f t="shared" si="100"/>
        <v>HPExt</v>
      </c>
      <c r="AB426" s="14">
        <f t="shared" si="94"/>
        <v>11875</v>
      </c>
      <c r="AC426" s="14" t="str">
        <f t="shared" si="101"/>
        <v>[x]</v>
      </c>
      <c r="AD426" s="14" t="str">
        <f t="shared" si="102"/>
        <v>[x]</v>
      </c>
      <c r="AE426" s="14" t="str">
        <f t="shared" si="103"/>
        <v>[x]</v>
      </c>
      <c r="AF426" s="27" t="str">
        <f t="shared" si="104"/>
        <v>[x]</v>
      </c>
      <c r="AG426" s="27">
        <f t="shared" si="105"/>
        <v>38</v>
      </c>
    </row>
    <row r="427" spans="16:33" ht="16.5" x14ac:dyDescent="0.2">
      <c r="P427" s="13">
        <v>371</v>
      </c>
      <c r="Q427" s="14">
        <f t="shared" si="90"/>
        <v>20</v>
      </c>
      <c r="R427" s="14">
        <f t="shared" si="91"/>
        <v>1606024</v>
      </c>
      <c r="S427" s="14" t="str">
        <f t="shared" si="95"/>
        <v>神器4碎片6等级20</v>
      </c>
      <c r="T427" s="29" t="s">
        <v>649</v>
      </c>
      <c r="U427" s="14">
        <f t="shared" si="92"/>
        <v>20</v>
      </c>
      <c r="V427" s="36">
        <f t="shared" si="96"/>
        <v>1.95</v>
      </c>
      <c r="W427" s="17">
        <f t="shared" si="93"/>
        <v>5.8499999999999996E-2</v>
      </c>
      <c r="X427" s="14">
        <f t="shared" si="97"/>
        <v>3</v>
      </c>
      <c r="Y427" s="14">
        <f t="shared" si="98"/>
        <v>0</v>
      </c>
      <c r="Z427" s="14">
        <f t="shared" si="99"/>
        <v>0</v>
      </c>
      <c r="AA427" s="14" t="str">
        <f t="shared" si="100"/>
        <v>HPExt</v>
      </c>
      <c r="AB427" s="14">
        <f t="shared" si="94"/>
        <v>12709</v>
      </c>
      <c r="AC427" s="14" t="str">
        <f t="shared" si="101"/>
        <v>[x]</v>
      </c>
      <c r="AD427" s="14" t="str">
        <f t="shared" si="102"/>
        <v>[x]</v>
      </c>
      <c r="AE427" s="14" t="str">
        <f t="shared" si="103"/>
        <v>[x]</v>
      </c>
      <c r="AF427" s="27" t="str">
        <f t="shared" si="104"/>
        <v>[x]</v>
      </c>
      <c r="AG427" s="27">
        <f t="shared" si="105"/>
        <v>40</v>
      </c>
    </row>
    <row r="428" spans="16:33" ht="16.5" x14ac:dyDescent="0.2">
      <c r="P428" s="13">
        <v>372</v>
      </c>
      <c r="Q428" s="14">
        <f t="shared" si="90"/>
        <v>20</v>
      </c>
      <c r="R428" s="14">
        <f t="shared" si="91"/>
        <v>1606024</v>
      </c>
      <c r="S428" s="14" t="str">
        <f t="shared" si="95"/>
        <v>神器4碎片6等级21</v>
      </c>
      <c r="T428" s="29" t="s">
        <v>649</v>
      </c>
      <c r="U428" s="14">
        <f t="shared" si="92"/>
        <v>21</v>
      </c>
      <c r="V428" s="36">
        <f t="shared" si="96"/>
        <v>2.0819999999999999</v>
      </c>
      <c r="W428" s="17">
        <f t="shared" si="93"/>
        <v>6.2459999999999995E-2</v>
      </c>
      <c r="X428" s="14">
        <f t="shared" si="97"/>
        <v>3</v>
      </c>
      <c r="Y428" s="14">
        <f t="shared" si="98"/>
        <v>0</v>
      </c>
      <c r="Z428" s="14">
        <f t="shared" si="99"/>
        <v>0</v>
      </c>
      <c r="AA428" s="14" t="str">
        <f t="shared" si="100"/>
        <v>HPExt</v>
      </c>
      <c r="AB428" s="14">
        <f t="shared" si="94"/>
        <v>13569</v>
      </c>
      <c r="AC428" s="14" t="str">
        <f t="shared" si="101"/>
        <v>[x]</v>
      </c>
      <c r="AD428" s="14" t="str">
        <f t="shared" si="102"/>
        <v>[x]</v>
      </c>
      <c r="AE428" s="14" t="str">
        <f t="shared" si="103"/>
        <v>[x]</v>
      </c>
      <c r="AF428" s="27" t="str">
        <f t="shared" si="104"/>
        <v>[x]</v>
      </c>
      <c r="AG428" s="27">
        <f t="shared" si="105"/>
        <v>42</v>
      </c>
    </row>
    <row r="429" spans="16:33" ht="16.5" x14ac:dyDescent="0.2">
      <c r="P429" s="13">
        <v>373</v>
      </c>
      <c r="Q429" s="14">
        <f t="shared" si="90"/>
        <v>21</v>
      </c>
      <c r="R429" s="14">
        <f t="shared" si="91"/>
        <v>1606027</v>
      </c>
      <c r="S429" s="14" t="str">
        <f t="shared" si="95"/>
        <v>神器5碎片1等级1</v>
      </c>
      <c r="T429" s="29" t="s">
        <v>649</v>
      </c>
      <c r="U429" s="14">
        <f t="shared" si="92"/>
        <v>1</v>
      </c>
      <c r="V429" s="36">
        <f t="shared" si="96"/>
        <v>0.20200000000000001</v>
      </c>
      <c r="W429" s="17">
        <f t="shared" si="93"/>
        <v>2.0200000000000001E-3</v>
      </c>
      <c r="X429" s="14">
        <f t="shared" si="97"/>
        <v>2</v>
      </c>
      <c r="Y429" s="14">
        <f t="shared" si="98"/>
        <v>3</v>
      </c>
      <c r="Z429" s="14">
        <f t="shared" si="99"/>
        <v>0</v>
      </c>
      <c r="AA429" s="14" t="str">
        <f t="shared" si="100"/>
        <v>DefExt</v>
      </c>
      <c r="AB429" s="14">
        <f t="shared" si="94"/>
        <v>48</v>
      </c>
      <c r="AC429" s="14" t="str">
        <f t="shared" si="101"/>
        <v>HPExt</v>
      </c>
      <c r="AD429" s="14">
        <f t="shared" si="102"/>
        <v>146</v>
      </c>
      <c r="AE429" s="14" t="str">
        <f t="shared" si="103"/>
        <v>[x]</v>
      </c>
      <c r="AF429" s="27" t="str">
        <f t="shared" si="104"/>
        <v>[x]</v>
      </c>
      <c r="AG429" s="27" t="str">
        <f t="shared" si="105"/>
        <v>[x]</v>
      </c>
    </row>
    <row r="430" spans="16:33" ht="16.5" x14ac:dyDescent="0.2">
      <c r="P430" s="13">
        <v>374</v>
      </c>
      <c r="Q430" s="14">
        <f t="shared" si="90"/>
        <v>21</v>
      </c>
      <c r="R430" s="14">
        <f t="shared" si="91"/>
        <v>1606027</v>
      </c>
      <c r="S430" s="14" t="str">
        <f t="shared" si="95"/>
        <v>神器5碎片1等级2</v>
      </c>
      <c r="T430" s="29" t="s">
        <v>649</v>
      </c>
      <c r="U430" s="14">
        <f t="shared" si="92"/>
        <v>2</v>
      </c>
      <c r="V430" s="36">
        <f t="shared" si="96"/>
        <v>0.25800000000000001</v>
      </c>
      <c r="W430" s="17">
        <f t="shared" si="93"/>
        <v>2.5800000000000003E-3</v>
      </c>
      <c r="X430" s="14">
        <f t="shared" si="97"/>
        <v>2</v>
      </c>
      <c r="Y430" s="14">
        <f t="shared" si="98"/>
        <v>3</v>
      </c>
      <c r="Z430" s="14">
        <f t="shared" si="99"/>
        <v>0</v>
      </c>
      <c r="AA430" s="14" t="str">
        <f t="shared" si="100"/>
        <v>DefExt</v>
      </c>
      <c r="AB430" s="14">
        <f t="shared" si="94"/>
        <v>61</v>
      </c>
      <c r="AC430" s="14" t="str">
        <f t="shared" si="101"/>
        <v>HPExt</v>
      </c>
      <c r="AD430" s="14">
        <f t="shared" si="102"/>
        <v>186</v>
      </c>
      <c r="AE430" s="14" t="str">
        <f t="shared" si="103"/>
        <v>[x]</v>
      </c>
      <c r="AF430" s="27" t="str">
        <f t="shared" si="104"/>
        <v>[x]</v>
      </c>
      <c r="AG430" s="27" t="str">
        <f t="shared" si="105"/>
        <v>[x]</v>
      </c>
    </row>
    <row r="431" spans="16:33" ht="16.5" x14ac:dyDescent="0.2">
      <c r="P431" s="13">
        <v>375</v>
      </c>
      <c r="Q431" s="14">
        <f t="shared" si="90"/>
        <v>21</v>
      </c>
      <c r="R431" s="14">
        <f t="shared" si="91"/>
        <v>1606027</v>
      </c>
      <c r="S431" s="14" t="str">
        <f t="shared" si="95"/>
        <v>神器5碎片1等级3</v>
      </c>
      <c r="T431" s="29" t="s">
        <v>649</v>
      </c>
      <c r="U431" s="14">
        <f t="shared" si="92"/>
        <v>3</v>
      </c>
      <c r="V431" s="36">
        <f t="shared" si="96"/>
        <v>0.31800000000000006</v>
      </c>
      <c r="W431" s="17">
        <f t="shared" si="93"/>
        <v>3.1800000000000005E-3</v>
      </c>
      <c r="X431" s="14">
        <f t="shared" si="97"/>
        <v>2</v>
      </c>
      <c r="Y431" s="14">
        <f t="shared" si="98"/>
        <v>3</v>
      </c>
      <c r="Z431" s="14">
        <f t="shared" si="99"/>
        <v>0</v>
      </c>
      <c r="AA431" s="14" t="str">
        <f t="shared" si="100"/>
        <v>DefExt</v>
      </c>
      <c r="AB431" s="14">
        <f t="shared" si="94"/>
        <v>76</v>
      </c>
      <c r="AC431" s="14" t="str">
        <f t="shared" si="101"/>
        <v>HPExt</v>
      </c>
      <c r="AD431" s="14">
        <f t="shared" si="102"/>
        <v>230</v>
      </c>
      <c r="AE431" s="14" t="str">
        <f t="shared" si="103"/>
        <v>[x]</v>
      </c>
      <c r="AF431" s="27" t="str">
        <f t="shared" si="104"/>
        <v>[x]</v>
      </c>
      <c r="AG431" s="27" t="str">
        <f t="shared" si="105"/>
        <v>[x]</v>
      </c>
    </row>
    <row r="432" spans="16:33" ht="16.5" x14ac:dyDescent="0.2">
      <c r="P432" s="13">
        <v>376</v>
      </c>
      <c r="Q432" s="14">
        <f t="shared" si="90"/>
        <v>21</v>
      </c>
      <c r="R432" s="14">
        <f t="shared" si="91"/>
        <v>1606027</v>
      </c>
      <c r="S432" s="14" t="str">
        <f t="shared" si="95"/>
        <v>神器5碎片1等级4</v>
      </c>
      <c r="T432" s="29" t="s">
        <v>649</v>
      </c>
      <c r="U432" s="14">
        <f t="shared" si="92"/>
        <v>4</v>
      </c>
      <c r="V432" s="36">
        <f t="shared" si="96"/>
        <v>0.38200000000000001</v>
      </c>
      <c r="W432" s="17">
        <f t="shared" si="93"/>
        <v>3.82E-3</v>
      </c>
      <c r="X432" s="14">
        <f t="shared" si="97"/>
        <v>2</v>
      </c>
      <c r="Y432" s="14">
        <f t="shared" si="98"/>
        <v>3</v>
      </c>
      <c r="Z432" s="14">
        <f t="shared" si="99"/>
        <v>0</v>
      </c>
      <c r="AA432" s="14" t="str">
        <f t="shared" si="100"/>
        <v>DefExt</v>
      </c>
      <c r="AB432" s="14">
        <f t="shared" si="94"/>
        <v>91</v>
      </c>
      <c r="AC432" s="14" t="str">
        <f t="shared" si="101"/>
        <v>HPExt</v>
      </c>
      <c r="AD432" s="14">
        <f t="shared" si="102"/>
        <v>276</v>
      </c>
      <c r="AE432" s="14" t="str">
        <f t="shared" si="103"/>
        <v>[x]</v>
      </c>
      <c r="AF432" s="27" t="str">
        <f t="shared" si="104"/>
        <v>[x]</v>
      </c>
      <c r="AG432" s="27" t="str">
        <f t="shared" si="105"/>
        <v>[x]</v>
      </c>
    </row>
    <row r="433" spans="16:33" ht="16.5" x14ac:dyDescent="0.2">
      <c r="P433" s="13">
        <v>377</v>
      </c>
      <c r="Q433" s="14">
        <f t="shared" si="90"/>
        <v>21</v>
      </c>
      <c r="R433" s="14">
        <f t="shared" si="91"/>
        <v>1606027</v>
      </c>
      <c r="S433" s="14" t="str">
        <f t="shared" si="95"/>
        <v>神器5碎片1等级5</v>
      </c>
      <c r="T433" s="29" t="s">
        <v>649</v>
      </c>
      <c r="U433" s="14">
        <f t="shared" si="92"/>
        <v>5</v>
      </c>
      <c r="V433" s="36">
        <f t="shared" si="96"/>
        <v>0.45</v>
      </c>
      <c r="W433" s="17">
        <f t="shared" si="93"/>
        <v>4.5000000000000005E-3</v>
      </c>
      <c r="X433" s="14">
        <f t="shared" si="97"/>
        <v>2</v>
      </c>
      <c r="Y433" s="14">
        <f t="shared" si="98"/>
        <v>3</v>
      </c>
      <c r="Z433" s="14">
        <f t="shared" si="99"/>
        <v>0</v>
      </c>
      <c r="AA433" s="14" t="str">
        <f t="shared" si="100"/>
        <v>DefExt</v>
      </c>
      <c r="AB433" s="14">
        <f t="shared" si="94"/>
        <v>108</v>
      </c>
      <c r="AC433" s="14" t="str">
        <f t="shared" si="101"/>
        <v>HPExt</v>
      </c>
      <c r="AD433" s="14">
        <f t="shared" si="102"/>
        <v>325</v>
      </c>
      <c r="AE433" s="14" t="str">
        <f t="shared" si="103"/>
        <v>[x]</v>
      </c>
      <c r="AF433" s="27" t="str">
        <f t="shared" si="104"/>
        <v>[x]</v>
      </c>
      <c r="AG433" s="27" t="str">
        <f t="shared" si="105"/>
        <v>[x]</v>
      </c>
    </row>
    <row r="434" spans="16:33" ht="16.5" x14ac:dyDescent="0.2">
      <c r="P434" s="13">
        <v>378</v>
      </c>
      <c r="Q434" s="14">
        <f t="shared" si="90"/>
        <v>21</v>
      </c>
      <c r="R434" s="14">
        <f t="shared" si="91"/>
        <v>1606027</v>
      </c>
      <c r="S434" s="14" t="str">
        <f t="shared" si="95"/>
        <v>神器5碎片1等级6</v>
      </c>
      <c r="T434" s="29" t="s">
        <v>649</v>
      </c>
      <c r="U434" s="14">
        <f t="shared" si="92"/>
        <v>6</v>
      </c>
      <c r="V434" s="36">
        <f t="shared" si="96"/>
        <v>0.52200000000000002</v>
      </c>
      <c r="W434" s="17">
        <f t="shared" si="93"/>
        <v>5.2200000000000007E-3</v>
      </c>
      <c r="X434" s="14">
        <f t="shared" si="97"/>
        <v>2</v>
      </c>
      <c r="Y434" s="14">
        <f t="shared" si="98"/>
        <v>3</v>
      </c>
      <c r="Z434" s="14">
        <f t="shared" si="99"/>
        <v>0</v>
      </c>
      <c r="AA434" s="14" t="str">
        <f t="shared" si="100"/>
        <v>DefExt</v>
      </c>
      <c r="AB434" s="14">
        <f t="shared" si="94"/>
        <v>125</v>
      </c>
      <c r="AC434" s="14" t="str">
        <f t="shared" si="101"/>
        <v>HPExt</v>
      </c>
      <c r="AD434" s="14">
        <f t="shared" si="102"/>
        <v>378</v>
      </c>
      <c r="AE434" s="14" t="str">
        <f t="shared" si="103"/>
        <v>[x]</v>
      </c>
      <c r="AF434" s="27" t="str">
        <f t="shared" si="104"/>
        <v>[x]</v>
      </c>
      <c r="AG434" s="27" t="str">
        <f t="shared" si="105"/>
        <v>[x]</v>
      </c>
    </row>
    <row r="435" spans="16:33" ht="16.5" x14ac:dyDescent="0.2">
      <c r="P435" s="13">
        <v>379</v>
      </c>
      <c r="Q435" s="14">
        <f t="shared" si="90"/>
        <v>21</v>
      </c>
      <c r="R435" s="14">
        <f t="shared" si="91"/>
        <v>1606027</v>
      </c>
      <c r="S435" s="14" t="str">
        <f t="shared" si="95"/>
        <v>神器5碎片1等级7</v>
      </c>
      <c r="T435" s="29" t="s">
        <v>649</v>
      </c>
      <c r="U435" s="14">
        <f t="shared" si="92"/>
        <v>7</v>
      </c>
      <c r="V435" s="36">
        <f t="shared" si="96"/>
        <v>0.59799999999999998</v>
      </c>
      <c r="W435" s="17">
        <f t="shared" si="93"/>
        <v>5.9800000000000001E-3</v>
      </c>
      <c r="X435" s="14">
        <f t="shared" si="97"/>
        <v>2</v>
      </c>
      <c r="Y435" s="14">
        <f t="shared" si="98"/>
        <v>3</v>
      </c>
      <c r="Z435" s="14">
        <f t="shared" si="99"/>
        <v>0</v>
      </c>
      <c r="AA435" s="14" t="str">
        <f t="shared" si="100"/>
        <v>DefExt</v>
      </c>
      <c r="AB435" s="14">
        <f t="shared" si="94"/>
        <v>143</v>
      </c>
      <c r="AC435" s="14" t="str">
        <f t="shared" si="101"/>
        <v>HPExt</v>
      </c>
      <c r="AD435" s="14">
        <f t="shared" si="102"/>
        <v>433</v>
      </c>
      <c r="AE435" s="14" t="str">
        <f t="shared" si="103"/>
        <v>[x]</v>
      </c>
      <c r="AF435" s="27" t="str">
        <f t="shared" si="104"/>
        <v>[x]</v>
      </c>
      <c r="AG435" s="27" t="str">
        <f t="shared" si="105"/>
        <v>[x]</v>
      </c>
    </row>
    <row r="436" spans="16:33" ht="16.5" x14ac:dyDescent="0.2">
      <c r="P436" s="13">
        <v>380</v>
      </c>
      <c r="Q436" s="14">
        <f t="shared" si="90"/>
        <v>21</v>
      </c>
      <c r="R436" s="14">
        <f t="shared" si="91"/>
        <v>1606027</v>
      </c>
      <c r="S436" s="14" t="str">
        <f t="shared" si="95"/>
        <v>神器5碎片1等级8</v>
      </c>
      <c r="T436" s="29" t="s">
        <v>649</v>
      </c>
      <c r="U436" s="14">
        <f t="shared" si="92"/>
        <v>8</v>
      </c>
      <c r="V436" s="36">
        <f t="shared" si="96"/>
        <v>0.67800000000000005</v>
      </c>
      <c r="W436" s="17">
        <f t="shared" si="93"/>
        <v>6.7800000000000004E-3</v>
      </c>
      <c r="X436" s="14">
        <f t="shared" si="97"/>
        <v>2</v>
      </c>
      <c r="Y436" s="14">
        <f t="shared" si="98"/>
        <v>3</v>
      </c>
      <c r="Z436" s="14">
        <f t="shared" si="99"/>
        <v>0</v>
      </c>
      <c r="AA436" s="14" t="str">
        <f t="shared" si="100"/>
        <v>DefExt</v>
      </c>
      <c r="AB436" s="14">
        <f t="shared" si="94"/>
        <v>162</v>
      </c>
      <c r="AC436" s="14" t="str">
        <f t="shared" si="101"/>
        <v>HPExt</v>
      </c>
      <c r="AD436" s="14">
        <f t="shared" si="102"/>
        <v>490</v>
      </c>
      <c r="AE436" s="14" t="str">
        <f t="shared" si="103"/>
        <v>[x]</v>
      </c>
      <c r="AF436" s="27" t="str">
        <f t="shared" si="104"/>
        <v>[x]</v>
      </c>
      <c r="AG436" s="27" t="str">
        <f t="shared" si="105"/>
        <v>[x]</v>
      </c>
    </row>
    <row r="437" spans="16:33" ht="16.5" x14ac:dyDescent="0.2">
      <c r="P437" s="13">
        <v>381</v>
      </c>
      <c r="Q437" s="14">
        <f t="shared" si="90"/>
        <v>21</v>
      </c>
      <c r="R437" s="14">
        <f t="shared" si="91"/>
        <v>1606027</v>
      </c>
      <c r="S437" s="14" t="str">
        <f t="shared" si="95"/>
        <v>神器5碎片1等级9</v>
      </c>
      <c r="T437" s="29" t="s">
        <v>649</v>
      </c>
      <c r="U437" s="14">
        <f t="shared" si="92"/>
        <v>9</v>
      </c>
      <c r="V437" s="36">
        <f t="shared" si="96"/>
        <v>0.76200000000000001</v>
      </c>
      <c r="W437" s="17">
        <f t="shared" si="93"/>
        <v>7.62E-3</v>
      </c>
      <c r="X437" s="14">
        <f t="shared" si="97"/>
        <v>2</v>
      </c>
      <c r="Y437" s="14">
        <f t="shared" si="98"/>
        <v>3</v>
      </c>
      <c r="Z437" s="14">
        <f t="shared" si="99"/>
        <v>0</v>
      </c>
      <c r="AA437" s="14" t="str">
        <f t="shared" si="100"/>
        <v>DefExt</v>
      </c>
      <c r="AB437" s="14">
        <f t="shared" si="94"/>
        <v>183</v>
      </c>
      <c r="AC437" s="14" t="str">
        <f t="shared" si="101"/>
        <v>HPExt</v>
      </c>
      <c r="AD437" s="14">
        <f t="shared" si="102"/>
        <v>551</v>
      </c>
      <c r="AE437" s="14" t="str">
        <f t="shared" si="103"/>
        <v>[x]</v>
      </c>
      <c r="AF437" s="27" t="str">
        <f t="shared" si="104"/>
        <v>[x]</v>
      </c>
      <c r="AG437" s="27" t="str">
        <f t="shared" si="105"/>
        <v>[x]</v>
      </c>
    </row>
    <row r="438" spans="16:33" ht="16.5" x14ac:dyDescent="0.2">
      <c r="P438" s="13">
        <v>382</v>
      </c>
      <c r="Q438" s="14">
        <f t="shared" si="90"/>
        <v>21</v>
      </c>
      <c r="R438" s="14">
        <f t="shared" si="91"/>
        <v>1606027</v>
      </c>
      <c r="S438" s="14" t="str">
        <f t="shared" si="95"/>
        <v>神器5碎片1等级10</v>
      </c>
      <c r="T438" s="29" t="s">
        <v>649</v>
      </c>
      <c r="U438" s="14">
        <f t="shared" si="92"/>
        <v>10</v>
      </c>
      <c r="V438" s="36">
        <f t="shared" si="96"/>
        <v>0.85000000000000009</v>
      </c>
      <c r="W438" s="17">
        <f t="shared" si="93"/>
        <v>8.5000000000000006E-3</v>
      </c>
      <c r="X438" s="14">
        <f t="shared" si="97"/>
        <v>2</v>
      </c>
      <c r="Y438" s="14">
        <f t="shared" si="98"/>
        <v>3</v>
      </c>
      <c r="Z438" s="14">
        <f t="shared" si="99"/>
        <v>0</v>
      </c>
      <c r="AA438" s="14" t="str">
        <f t="shared" si="100"/>
        <v>DefExt</v>
      </c>
      <c r="AB438" s="14">
        <f t="shared" si="94"/>
        <v>204</v>
      </c>
      <c r="AC438" s="14" t="str">
        <f t="shared" si="101"/>
        <v>HPExt</v>
      </c>
      <c r="AD438" s="14">
        <f t="shared" si="102"/>
        <v>615</v>
      </c>
      <c r="AE438" s="14" t="str">
        <f t="shared" si="103"/>
        <v>[x]</v>
      </c>
      <c r="AF438" s="27" t="str">
        <f t="shared" si="104"/>
        <v>[x]</v>
      </c>
      <c r="AG438" s="27" t="str">
        <f t="shared" si="105"/>
        <v>[x]</v>
      </c>
    </row>
    <row r="439" spans="16:33" ht="16.5" x14ac:dyDescent="0.2">
      <c r="P439" s="13">
        <v>383</v>
      </c>
      <c r="Q439" s="14">
        <f t="shared" si="90"/>
        <v>21</v>
      </c>
      <c r="R439" s="14">
        <f t="shared" si="91"/>
        <v>1606027</v>
      </c>
      <c r="S439" s="14" t="str">
        <f t="shared" si="95"/>
        <v>神器5碎片1等级11</v>
      </c>
      <c r="T439" s="29" t="s">
        <v>649</v>
      </c>
      <c r="U439" s="14">
        <f t="shared" si="92"/>
        <v>11</v>
      </c>
      <c r="V439" s="36">
        <f t="shared" si="96"/>
        <v>0.94200000000000006</v>
      </c>
      <c r="W439" s="17">
        <f t="shared" si="93"/>
        <v>9.4200000000000013E-3</v>
      </c>
      <c r="X439" s="14">
        <f t="shared" si="97"/>
        <v>2</v>
      </c>
      <c r="Y439" s="14">
        <f t="shared" si="98"/>
        <v>3</v>
      </c>
      <c r="Z439" s="14">
        <f t="shared" si="99"/>
        <v>0</v>
      </c>
      <c r="AA439" s="14" t="str">
        <f t="shared" si="100"/>
        <v>DefExt</v>
      </c>
      <c r="AB439" s="14">
        <f t="shared" si="94"/>
        <v>226</v>
      </c>
      <c r="AC439" s="14" t="str">
        <f t="shared" si="101"/>
        <v>HPExt</v>
      </c>
      <c r="AD439" s="14">
        <f t="shared" si="102"/>
        <v>682</v>
      </c>
      <c r="AE439" s="14" t="str">
        <f t="shared" si="103"/>
        <v>[x]</v>
      </c>
      <c r="AF439" s="27" t="str">
        <f t="shared" si="104"/>
        <v>[x]</v>
      </c>
      <c r="AG439" s="27" t="str">
        <f t="shared" si="105"/>
        <v>[x]</v>
      </c>
    </row>
    <row r="440" spans="16:33" ht="16.5" x14ac:dyDescent="0.2">
      <c r="P440" s="13">
        <v>384</v>
      </c>
      <c r="Q440" s="14">
        <f t="shared" si="90"/>
        <v>21</v>
      </c>
      <c r="R440" s="14">
        <f t="shared" si="91"/>
        <v>1606027</v>
      </c>
      <c r="S440" s="14" t="str">
        <f t="shared" si="95"/>
        <v>神器5碎片1等级12</v>
      </c>
      <c r="T440" s="29" t="s">
        <v>649</v>
      </c>
      <c r="U440" s="14">
        <f t="shared" si="92"/>
        <v>12</v>
      </c>
      <c r="V440" s="36">
        <f t="shared" si="96"/>
        <v>1.0380000000000003</v>
      </c>
      <c r="W440" s="17">
        <f t="shared" si="93"/>
        <v>1.0380000000000002E-2</v>
      </c>
      <c r="X440" s="14">
        <f t="shared" si="97"/>
        <v>2</v>
      </c>
      <c r="Y440" s="14">
        <f t="shared" si="98"/>
        <v>3</v>
      </c>
      <c r="Z440" s="14">
        <f t="shared" si="99"/>
        <v>0</v>
      </c>
      <c r="AA440" s="14" t="str">
        <f t="shared" si="100"/>
        <v>DefExt</v>
      </c>
      <c r="AB440" s="14">
        <f t="shared" si="94"/>
        <v>249</v>
      </c>
      <c r="AC440" s="14" t="str">
        <f t="shared" si="101"/>
        <v>HPExt</v>
      </c>
      <c r="AD440" s="14">
        <f t="shared" si="102"/>
        <v>751</v>
      </c>
      <c r="AE440" s="14" t="str">
        <f t="shared" si="103"/>
        <v>[x]</v>
      </c>
      <c r="AF440" s="27" t="str">
        <f t="shared" si="104"/>
        <v>[x]</v>
      </c>
      <c r="AG440" s="27" t="str">
        <f t="shared" si="105"/>
        <v>[x]</v>
      </c>
    </row>
    <row r="441" spans="16:33" ht="16.5" x14ac:dyDescent="0.2">
      <c r="P441" s="13">
        <v>385</v>
      </c>
      <c r="Q441" s="14">
        <f t="shared" ref="Q441:Q504" si="106">MATCH(P441-1,$X$4:$X$46,1)</f>
        <v>21</v>
      </c>
      <c r="R441" s="14">
        <f t="shared" ref="R441:R504" si="107">INDEX($S$5:$S$46,Q441)</f>
        <v>1606027</v>
      </c>
      <c r="S441" s="14" t="str">
        <f t="shared" si="95"/>
        <v>神器5碎片1等级13</v>
      </c>
      <c r="T441" s="29" t="s">
        <v>649</v>
      </c>
      <c r="U441" s="14">
        <f t="shared" ref="U441:U504" si="108">P441-INDEX($X$4:$X$46,Q441)</f>
        <v>13</v>
      </c>
      <c r="V441" s="36">
        <f t="shared" si="96"/>
        <v>1.1380000000000001</v>
      </c>
      <c r="W441" s="17">
        <f t="shared" ref="W441:W504" si="109">INDEX($V$5:$V$46,Q441)*V441</f>
        <v>1.1380000000000001E-2</v>
      </c>
      <c r="X441" s="14">
        <f t="shared" si="97"/>
        <v>2</v>
      </c>
      <c r="Y441" s="14">
        <f t="shared" si="98"/>
        <v>3</v>
      </c>
      <c r="Z441" s="14">
        <f t="shared" si="99"/>
        <v>0</v>
      </c>
      <c r="AA441" s="14" t="str">
        <f t="shared" si="100"/>
        <v>DefExt</v>
      </c>
      <c r="AB441" s="14">
        <f t="shared" ref="AB441:AB504" si="110">INT(INDEX($E$4:$G$4,X441)*W441*INDEX($Y$5:$AA$46,Q441,X441))</f>
        <v>273</v>
      </c>
      <c r="AC441" s="14" t="str">
        <f t="shared" si="101"/>
        <v>HPExt</v>
      </c>
      <c r="AD441" s="14">
        <f t="shared" si="102"/>
        <v>824</v>
      </c>
      <c r="AE441" s="14" t="str">
        <f t="shared" si="103"/>
        <v>[x]</v>
      </c>
      <c r="AF441" s="27" t="str">
        <f t="shared" si="104"/>
        <v>[x]</v>
      </c>
      <c r="AG441" s="27" t="str">
        <f t="shared" si="105"/>
        <v>[x]</v>
      </c>
    </row>
    <row r="442" spans="16:33" ht="16.5" x14ac:dyDescent="0.2">
      <c r="P442" s="13">
        <v>386</v>
      </c>
      <c r="Q442" s="14">
        <f t="shared" si="106"/>
        <v>21</v>
      </c>
      <c r="R442" s="14">
        <f t="shared" si="107"/>
        <v>1606027</v>
      </c>
      <c r="S442" s="14" t="str">
        <f t="shared" ref="S442:S505" si="111">INDEX($P$5:$P$46,Q442)&amp;"碎片"&amp;INDEX($R$5:$R$46,Q442)&amp;"等级"&amp;U442</f>
        <v>神器5碎片1等级14</v>
      </c>
      <c r="T442" s="29" t="s">
        <v>649</v>
      </c>
      <c r="U442" s="14">
        <f t="shared" si="108"/>
        <v>14</v>
      </c>
      <c r="V442" s="36">
        <f t="shared" ref="V442:V505" si="112">15%+U442*5%+U442*U442*0.2%</f>
        <v>1.242</v>
      </c>
      <c r="W442" s="17">
        <f t="shared" si="109"/>
        <v>1.242E-2</v>
      </c>
      <c r="X442" s="14">
        <f t="shared" ref="X442:X505" si="113">INDEX($AB$5:$AB$46,Q442)</f>
        <v>2</v>
      </c>
      <c r="Y442" s="14">
        <f t="shared" ref="Y442:Y505" si="114">INDEX(AC$5:AC$46,$Q442)</f>
        <v>3</v>
      </c>
      <c r="Z442" s="14">
        <f t="shared" ref="Z442:Z505" si="115">INDEX(AD$5:AD$46,$Q442)</f>
        <v>0</v>
      </c>
      <c r="AA442" s="14" t="str">
        <f t="shared" ref="AA442:AA505" si="116">INDEX($Y$3:$AA$3,X442)</f>
        <v>DefExt</v>
      </c>
      <c r="AB442" s="14">
        <f t="shared" si="110"/>
        <v>298</v>
      </c>
      <c r="AC442" s="14" t="str">
        <f t="shared" ref="AC442:AC505" si="117">IF(Y442&gt;0,INDEX($Y$3:$AA$3,Y442),"[x]")</f>
        <v>HPExt</v>
      </c>
      <c r="AD442" s="14">
        <f t="shared" ref="AD442:AD505" si="118">IF(Y442&gt;0,INT(INDEX($E$4:$G$4,Y442)*W442*INDEX($Y$5:$AA$46,Q442,Y442)),"[x]")</f>
        <v>899</v>
      </c>
      <c r="AE442" s="14" t="str">
        <f t="shared" ref="AE442:AE505" si="119">IF(Z442&gt;0,INDEX($Y$3:$AA$3,Z442),"[x]")</f>
        <v>[x]</v>
      </c>
      <c r="AF442" s="27" t="str">
        <f t="shared" ref="AF442:AF505" si="120">IF(Z442&gt;0,INT(INDEX($E$4:$G$4,Z442)*W442*INDEX($Y$5:$AA$46,Q442,Z442)),"[x]")</f>
        <v>[x]</v>
      </c>
      <c r="AG442" s="27" t="str">
        <f t="shared" ref="AG442:AG505" si="121">IF(INDEX($AE$5:$AE$46,Q442)&gt;0,INDEX($AE$5:$AE$46,Q442)*U442,"[x]")</f>
        <v>[x]</v>
      </c>
    </row>
    <row r="443" spans="16:33" ht="16.5" x14ac:dyDescent="0.2">
      <c r="P443" s="13">
        <v>387</v>
      </c>
      <c r="Q443" s="14">
        <f t="shared" si="106"/>
        <v>21</v>
      </c>
      <c r="R443" s="14">
        <f t="shared" si="107"/>
        <v>1606027</v>
      </c>
      <c r="S443" s="14" t="str">
        <f t="shared" si="111"/>
        <v>神器5碎片1等级15</v>
      </c>
      <c r="T443" s="29" t="s">
        <v>649</v>
      </c>
      <c r="U443" s="14">
        <f t="shared" si="108"/>
        <v>15</v>
      </c>
      <c r="V443" s="36">
        <f t="shared" si="112"/>
        <v>1.35</v>
      </c>
      <c r="W443" s="17">
        <f t="shared" si="109"/>
        <v>1.3500000000000002E-2</v>
      </c>
      <c r="X443" s="14">
        <f t="shared" si="113"/>
        <v>2</v>
      </c>
      <c r="Y443" s="14">
        <f t="shared" si="114"/>
        <v>3</v>
      </c>
      <c r="Z443" s="14">
        <f t="shared" si="115"/>
        <v>0</v>
      </c>
      <c r="AA443" s="14" t="str">
        <f t="shared" si="116"/>
        <v>DefExt</v>
      </c>
      <c r="AB443" s="14">
        <f t="shared" si="110"/>
        <v>324</v>
      </c>
      <c r="AC443" s="14" t="str">
        <f t="shared" si="117"/>
        <v>HPExt</v>
      </c>
      <c r="AD443" s="14">
        <f t="shared" si="118"/>
        <v>977</v>
      </c>
      <c r="AE443" s="14" t="str">
        <f t="shared" si="119"/>
        <v>[x]</v>
      </c>
      <c r="AF443" s="27" t="str">
        <f t="shared" si="120"/>
        <v>[x]</v>
      </c>
      <c r="AG443" s="27" t="str">
        <f t="shared" si="121"/>
        <v>[x]</v>
      </c>
    </row>
    <row r="444" spans="16:33" ht="16.5" x14ac:dyDescent="0.2">
      <c r="P444" s="13">
        <v>388</v>
      </c>
      <c r="Q444" s="14">
        <f t="shared" si="106"/>
        <v>21</v>
      </c>
      <c r="R444" s="14">
        <f t="shared" si="107"/>
        <v>1606027</v>
      </c>
      <c r="S444" s="14" t="str">
        <f t="shared" si="111"/>
        <v>神器5碎片1等级16</v>
      </c>
      <c r="T444" s="29" t="s">
        <v>649</v>
      </c>
      <c r="U444" s="14">
        <f t="shared" si="108"/>
        <v>16</v>
      </c>
      <c r="V444" s="36">
        <f t="shared" si="112"/>
        <v>1.4620000000000002</v>
      </c>
      <c r="W444" s="17">
        <f t="shared" si="109"/>
        <v>1.4620000000000003E-2</v>
      </c>
      <c r="X444" s="14">
        <f t="shared" si="113"/>
        <v>2</v>
      </c>
      <c r="Y444" s="14">
        <f t="shared" si="114"/>
        <v>3</v>
      </c>
      <c r="Z444" s="14">
        <f t="shared" si="115"/>
        <v>0</v>
      </c>
      <c r="AA444" s="14" t="str">
        <f t="shared" si="116"/>
        <v>DefExt</v>
      </c>
      <c r="AB444" s="14">
        <f t="shared" si="110"/>
        <v>351</v>
      </c>
      <c r="AC444" s="14" t="str">
        <f t="shared" si="117"/>
        <v>HPExt</v>
      </c>
      <c r="AD444" s="14">
        <f t="shared" si="118"/>
        <v>1058</v>
      </c>
      <c r="AE444" s="14" t="str">
        <f t="shared" si="119"/>
        <v>[x]</v>
      </c>
      <c r="AF444" s="27" t="str">
        <f t="shared" si="120"/>
        <v>[x]</v>
      </c>
      <c r="AG444" s="27" t="str">
        <f t="shared" si="121"/>
        <v>[x]</v>
      </c>
    </row>
    <row r="445" spans="16:33" ht="16.5" x14ac:dyDescent="0.2">
      <c r="P445" s="13">
        <v>389</v>
      </c>
      <c r="Q445" s="14">
        <f t="shared" si="106"/>
        <v>21</v>
      </c>
      <c r="R445" s="14">
        <f t="shared" si="107"/>
        <v>1606027</v>
      </c>
      <c r="S445" s="14" t="str">
        <f t="shared" si="111"/>
        <v>神器5碎片1等级17</v>
      </c>
      <c r="T445" s="29" t="s">
        <v>649</v>
      </c>
      <c r="U445" s="14">
        <f t="shared" si="108"/>
        <v>17</v>
      </c>
      <c r="V445" s="36">
        <f t="shared" si="112"/>
        <v>1.5779999999999998</v>
      </c>
      <c r="W445" s="17">
        <f t="shared" si="109"/>
        <v>1.5779999999999999E-2</v>
      </c>
      <c r="X445" s="14">
        <f t="shared" si="113"/>
        <v>2</v>
      </c>
      <c r="Y445" s="14">
        <f t="shared" si="114"/>
        <v>3</v>
      </c>
      <c r="Z445" s="14">
        <f t="shared" si="115"/>
        <v>0</v>
      </c>
      <c r="AA445" s="14" t="str">
        <f t="shared" si="116"/>
        <v>DefExt</v>
      </c>
      <c r="AB445" s="14">
        <f t="shared" si="110"/>
        <v>378</v>
      </c>
      <c r="AC445" s="14" t="str">
        <f t="shared" si="117"/>
        <v>HPExt</v>
      </c>
      <c r="AD445" s="14">
        <f t="shared" si="118"/>
        <v>1142</v>
      </c>
      <c r="AE445" s="14" t="str">
        <f t="shared" si="119"/>
        <v>[x]</v>
      </c>
      <c r="AF445" s="27" t="str">
        <f t="shared" si="120"/>
        <v>[x]</v>
      </c>
      <c r="AG445" s="27" t="str">
        <f t="shared" si="121"/>
        <v>[x]</v>
      </c>
    </row>
    <row r="446" spans="16:33" ht="16.5" x14ac:dyDescent="0.2">
      <c r="P446" s="13">
        <v>390</v>
      </c>
      <c r="Q446" s="14">
        <f t="shared" si="106"/>
        <v>21</v>
      </c>
      <c r="R446" s="14">
        <f t="shared" si="107"/>
        <v>1606027</v>
      </c>
      <c r="S446" s="14" t="str">
        <f t="shared" si="111"/>
        <v>神器5碎片1等级18</v>
      </c>
      <c r="T446" s="29" t="s">
        <v>649</v>
      </c>
      <c r="U446" s="14">
        <f t="shared" si="108"/>
        <v>18</v>
      </c>
      <c r="V446" s="36">
        <f t="shared" si="112"/>
        <v>1.698</v>
      </c>
      <c r="W446" s="17">
        <f t="shared" si="109"/>
        <v>1.6979999999999999E-2</v>
      </c>
      <c r="X446" s="14">
        <f t="shared" si="113"/>
        <v>2</v>
      </c>
      <c r="Y446" s="14">
        <f t="shared" si="114"/>
        <v>3</v>
      </c>
      <c r="Z446" s="14">
        <f t="shared" si="115"/>
        <v>0</v>
      </c>
      <c r="AA446" s="14" t="str">
        <f t="shared" si="116"/>
        <v>DefExt</v>
      </c>
      <c r="AB446" s="14">
        <f t="shared" si="110"/>
        <v>407</v>
      </c>
      <c r="AC446" s="14" t="str">
        <f t="shared" si="117"/>
        <v>HPExt</v>
      </c>
      <c r="AD446" s="14">
        <f t="shared" si="118"/>
        <v>1229</v>
      </c>
      <c r="AE446" s="14" t="str">
        <f t="shared" si="119"/>
        <v>[x]</v>
      </c>
      <c r="AF446" s="27" t="str">
        <f t="shared" si="120"/>
        <v>[x]</v>
      </c>
      <c r="AG446" s="27" t="str">
        <f t="shared" si="121"/>
        <v>[x]</v>
      </c>
    </row>
    <row r="447" spans="16:33" ht="16.5" x14ac:dyDescent="0.2">
      <c r="P447" s="13">
        <v>391</v>
      </c>
      <c r="Q447" s="14">
        <f t="shared" si="106"/>
        <v>21</v>
      </c>
      <c r="R447" s="14">
        <f t="shared" si="107"/>
        <v>1606027</v>
      </c>
      <c r="S447" s="14" t="str">
        <f t="shared" si="111"/>
        <v>神器5碎片1等级19</v>
      </c>
      <c r="T447" s="29" t="s">
        <v>649</v>
      </c>
      <c r="U447" s="14">
        <f t="shared" si="108"/>
        <v>19</v>
      </c>
      <c r="V447" s="36">
        <f t="shared" si="112"/>
        <v>1.8220000000000001</v>
      </c>
      <c r="W447" s="17">
        <f t="shared" si="109"/>
        <v>1.822E-2</v>
      </c>
      <c r="X447" s="14">
        <f t="shared" si="113"/>
        <v>2</v>
      </c>
      <c r="Y447" s="14">
        <f t="shared" si="114"/>
        <v>3</v>
      </c>
      <c r="Z447" s="14">
        <f t="shared" si="115"/>
        <v>0</v>
      </c>
      <c r="AA447" s="14" t="str">
        <f t="shared" si="116"/>
        <v>DefExt</v>
      </c>
      <c r="AB447" s="14">
        <f t="shared" si="110"/>
        <v>437</v>
      </c>
      <c r="AC447" s="14" t="str">
        <f t="shared" si="117"/>
        <v>HPExt</v>
      </c>
      <c r="AD447" s="14">
        <f t="shared" si="118"/>
        <v>1319</v>
      </c>
      <c r="AE447" s="14" t="str">
        <f t="shared" si="119"/>
        <v>[x]</v>
      </c>
      <c r="AF447" s="27" t="str">
        <f t="shared" si="120"/>
        <v>[x]</v>
      </c>
      <c r="AG447" s="27" t="str">
        <f t="shared" si="121"/>
        <v>[x]</v>
      </c>
    </row>
    <row r="448" spans="16:33" ht="16.5" x14ac:dyDescent="0.2">
      <c r="P448" s="13">
        <v>392</v>
      </c>
      <c r="Q448" s="14">
        <f t="shared" si="106"/>
        <v>21</v>
      </c>
      <c r="R448" s="14">
        <f t="shared" si="107"/>
        <v>1606027</v>
      </c>
      <c r="S448" s="14" t="str">
        <f t="shared" si="111"/>
        <v>神器5碎片1等级20</v>
      </c>
      <c r="T448" s="29" t="s">
        <v>649</v>
      </c>
      <c r="U448" s="14">
        <f t="shared" si="108"/>
        <v>20</v>
      </c>
      <c r="V448" s="36">
        <f t="shared" si="112"/>
        <v>1.95</v>
      </c>
      <c r="W448" s="17">
        <f t="shared" si="109"/>
        <v>1.95E-2</v>
      </c>
      <c r="X448" s="14">
        <f t="shared" si="113"/>
        <v>2</v>
      </c>
      <c r="Y448" s="14">
        <f t="shared" si="114"/>
        <v>3</v>
      </c>
      <c r="Z448" s="14">
        <f t="shared" si="115"/>
        <v>0</v>
      </c>
      <c r="AA448" s="14" t="str">
        <f t="shared" si="116"/>
        <v>DefExt</v>
      </c>
      <c r="AB448" s="14">
        <f t="shared" si="110"/>
        <v>468</v>
      </c>
      <c r="AC448" s="14" t="str">
        <f t="shared" si="117"/>
        <v>HPExt</v>
      </c>
      <c r="AD448" s="14">
        <f t="shared" si="118"/>
        <v>1412</v>
      </c>
      <c r="AE448" s="14" t="str">
        <f t="shared" si="119"/>
        <v>[x]</v>
      </c>
      <c r="AF448" s="27" t="str">
        <f t="shared" si="120"/>
        <v>[x]</v>
      </c>
      <c r="AG448" s="27" t="str">
        <f t="shared" si="121"/>
        <v>[x]</v>
      </c>
    </row>
    <row r="449" spans="16:33" ht="16.5" x14ac:dyDescent="0.2">
      <c r="P449" s="13">
        <v>393</v>
      </c>
      <c r="Q449" s="14">
        <f t="shared" si="106"/>
        <v>21</v>
      </c>
      <c r="R449" s="14">
        <f t="shared" si="107"/>
        <v>1606027</v>
      </c>
      <c r="S449" s="14" t="str">
        <f t="shared" si="111"/>
        <v>神器5碎片1等级21</v>
      </c>
      <c r="T449" s="29" t="s">
        <v>649</v>
      </c>
      <c r="U449" s="14">
        <f t="shared" si="108"/>
        <v>21</v>
      </c>
      <c r="V449" s="36">
        <f t="shared" si="112"/>
        <v>2.0819999999999999</v>
      </c>
      <c r="W449" s="17">
        <f t="shared" si="109"/>
        <v>2.0819999999999998E-2</v>
      </c>
      <c r="X449" s="14">
        <f t="shared" si="113"/>
        <v>2</v>
      </c>
      <c r="Y449" s="14">
        <f t="shared" si="114"/>
        <v>3</v>
      </c>
      <c r="Z449" s="14">
        <f t="shared" si="115"/>
        <v>0</v>
      </c>
      <c r="AA449" s="14" t="str">
        <f t="shared" si="116"/>
        <v>DefExt</v>
      </c>
      <c r="AB449" s="14">
        <f t="shared" si="110"/>
        <v>500</v>
      </c>
      <c r="AC449" s="14" t="str">
        <f t="shared" si="117"/>
        <v>HPExt</v>
      </c>
      <c r="AD449" s="14">
        <f t="shared" si="118"/>
        <v>1507</v>
      </c>
      <c r="AE449" s="14" t="str">
        <f t="shared" si="119"/>
        <v>[x]</v>
      </c>
      <c r="AF449" s="27" t="str">
        <f t="shared" si="120"/>
        <v>[x]</v>
      </c>
      <c r="AG449" s="27" t="str">
        <f t="shared" si="121"/>
        <v>[x]</v>
      </c>
    </row>
    <row r="450" spans="16:33" ht="16.5" x14ac:dyDescent="0.2">
      <c r="P450" s="13">
        <v>394</v>
      </c>
      <c r="Q450" s="14">
        <f t="shared" si="106"/>
        <v>22</v>
      </c>
      <c r="R450" s="14">
        <f t="shared" si="107"/>
        <v>1606028</v>
      </c>
      <c r="S450" s="14" t="str">
        <f t="shared" si="111"/>
        <v>神器5碎片2等级1</v>
      </c>
      <c r="T450" s="29" t="s">
        <v>649</v>
      </c>
      <c r="U450" s="14">
        <f t="shared" si="108"/>
        <v>1</v>
      </c>
      <c r="V450" s="36">
        <f t="shared" si="112"/>
        <v>0.20200000000000001</v>
      </c>
      <c r="W450" s="17">
        <f t="shared" si="109"/>
        <v>2.0200000000000001E-3</v>
      </c>
      <c r="X450" s="14">
        <f t="shared" si="113"/>
        <v>2</v>
      </c>
      <c r="Y450" s="14">
        <f t="shared" si="114"/>
        <v>3</v>
      </c>
      <c r="Z450" s="14">
        <f t="shared" si="115"/>
        <v>0</v>
      </c>
      <c r="AA450" s="14" t="str">
        <f t="shared" si="116"/>
        <v>DefExt</v>
      </c>
      <c r="AB450" s="14">
        <f t="shared" si="110"/>
        <v>48</v>
      </c>
      <c r="AC450" s="14" t="str">
        <f t="shared" si="117"/>
        <v>HPExt</v>
      </c>
      <c r="AD450" s="14">
        <f t="shared" si="118"/>
        <v>146</v>
      </c>
      <c r="AE450" s="14" t="str">
        <f t="shared" si="119"/>
        <v>[x]</v>
      </c>
      <c r="AF450" s="27" t="str">
        <f t="shared" si="120"/>
        <v>[x]</v>
      </c>
      <c r="AG450" s="27" t="str">
        <f t="shared" si="121"/>
        <v>[x]</v>
      </c>
    </row>
    <row r="451" spans="16:33" ht="16.5" x14ac:dyDescent="0.2">
      <c r="P451" s="13">
        <v>395</v>
      </c>
      <c r="Q451" s="14">
        <f t="shared" si="106"/>
        <v>22</v>
      </c>
      <c r="R451" s="14">
        <f t="shared" si="107"/>
        <v>1606028</v>
      </c>
      <c r="S451" s="14" t="str">
        <f t="shared" si="111"/>
        <v>神器5碎片2等级2</v>
      </c>
      <c r="T451" s="29" t="s">
        <v>649</v>
      </c>
      <c r="U451" s="14">
        <f t="shared" si="108"/>
        <v>2</v>
      </c>
      <c r="V451" s="36">
        <f t="shared" si="112"/>
        <v>0.25800000000000001</v>
      </c>
      <c r="W451" s="17">
        <f t="shared" si="109"/>
        <v>2.5800000000000003E-3</v>
      </c>
      <c r="X451" s="14">
        <f t="shared" si="113"/>
        <v>2</v>
      </c>
      <c r="Y451" s="14">
        <f t="shared" si="114"/>
        <v>3</v>
      </c>
      <c r="Z451" s="14">
        <f t="shared" si="115"/>
        <v>0</v>
      </c>
      <c r="AA451" s="14" t="str">
        <f t="shared" si="116"/>
        <v>DefExt</v>
      </c>
      <c r="AB451" s="14">
        <f t="shared" si="110"/>
        <v>61</v>
      </c>
      <c r="AC451" s="14" t="str">
        <f t="shared" si="117"/>
        <v>HPExt</v>
      </c>
      <c r="AD451" s="14">
        <f t="shared" si="118"/>
        <v>186</v>
      </c>
      <c r="AE451" s="14" t="str">
        <f t="shared" si="119"/>
        <v>[x]</v>
      </c>
      <c r="AF451" s="27" t="str">
        <f t="shared" si="120"/>
        <v>[x]</v>
      </c>
      <c r="AG451" s="27" t="str">
        <f t="shared" si="121"/>
        <v>[x]</v>
      </c>
    </row>
    <row r="452" spans="16:33" ht="16.5" x14ac:dyDescent="0.2">
      <c r="P452" s="13">
        <v>396</v>
      </c>
      <c r="Q452" s="14">
        <f t="shared" si="106"/>
        <v>22</v>
      </c>
      <c r="R452" s="14">
        <f t="shared" si="107"/>
        <v>1606028</v>
      </c>
      <c r="S452" s="14" t="str">
        <f t="shared" si="111"/>
        <v>神器5碎片2等级3</v>
      </c>
      <c r="T452" s="29" t="s">
        <v>649</v>
      </c>
      <c r="U452" s="14">
        <f t="shared" si="108"/>
        <v>3</v>
      </c>
      <c r="V452" s="36">
        <f t="shared" si="112"/>
        <v>0.31800000000000006</v>
      </c>
      <c r="W452" s="17">
        <f t="shared" si="109"/>
        <v>3.1800000000000005E-3</v>
      </c>
      <c r="X452" s="14">
        <f t="shared" si="113"/>
        <v>2</v>
      </c>
      <c r="Y452" s="14">
        <f t="shared" si="114"/>
        <v>3</v>
      </c>
      <c r="Z452" s="14">
        <f t="shared" si="115"/>
        <v>0</v>
      </c>
      <c r="AA452" s="14" t="str">
        <f t="shared" si="116"/>
        <v>DefExt</v>
      </c>
      <c r="AB452" s="14">
        <f t="shared" si="110"/>
        <v>76</v>
      </c>
      <c r="AC452" s="14" t="str">
        <f t="shared" si="117"/>
        <v>HPExt</v>
      </c>
      <c r="AD452" s="14">
        <f t="shared" si="118"/>
        <v>230</v>
      </c>
      <c r="AE452" s="14" t="str">
        <f t="shared" si="119"/>
        <v>[x]</v>
      </c>
      <c r="AF452" s="27" t="str">
        <f t="shared" si="120"/>
        <v>[x]</v>
      </c>
      <c r="AG452" s="27" t="str">
        <f t="shared" si="121"/>
        <v>[x]</v>
      </c>
    </row>
    <row r="453" spans="16:33" ht="16.5" x14ac:dyDescent="0.2">
      <c r="P453" s="13">
        <v>397</v>
      </c>
      <c r="Q453" s="14">
        <f t="shared" si="106"/>
        <v>22</v>
      </c>
      <c r="R453" s="14">
        <f t="shared" si="107"/>
        <v>1606028</v>
      </c>
      <c r="S453" s="14" t="str">
        <f t="shared" si="111"/>
        <v>神器5碎片2等级4</v>
      </c>
      <c r="T453" s="29" t="s">
        <v>649</v>
      </c>
      <c r="U453" s="14">
        <f t="shared" si="108"/>
        <v>4</v>
      </c>
      <c r="V453" s="36">
        <f t="shared" si="112"/>
        <v>0.38200000000000001</v>
      </c>
      <c r="W453" s="17">
        <f t="shared" si="109"/>
        <v>3.82E-3</v>
      </c>
      <c r="X453" s="14">
        <f t="shared" si="113"/>
        <v>2</v>
      </c>
      <c r="Y453" s="14">
        <f t="shared" si="114"/>
        <v>3</v>
      </c>
      <c r="Z453" s="14">
        <f t="shared" si="115"/>
        <v>0</v>
      </c>
      <c r="AA453" s="14" t="str">
        <f t="shared" si="116"/>
        <v>DefExt</v>
      </c>
      <c r="AB453" s="14">
        <f t="shared" si="110"/>
        <v>91</v>
      </c>
      <c r="AC453" s="14" t="str">
        <f t="shared" si="117"/>
        <v>HPExt</v>
      </c>
      <c r="AD453" s="14">
        <f t="shared" si="118"/>
        <v>276</v>
      </c>
      <c r="AE453" s="14" t="str">
        <f t="shared" si="119"/>
        <v>[x]</v>
      </c>
      <c r="AF453" s="27" t="str">
        <f t="shared" si="120"/>
        <v>[x]</v>
      </c>
      <c r="AG453" s="27" t="str">
        <f t="shared" si="121"/>
        <v>[x]</v>
      </c>
    </row>
    <row r="454" spans="16:33" ht="16.5" x14ac:dyDescent="0.2">
      <c r="P454" s="13">
        <v>398</v>
      </c>
      <c r="Q454" s="14">
        <f t="shared" si="106"/>
        <v>22</v>
      </c>
      <c r="R454" s="14">
        <f t="shared" si="107"/>
        <v>1606028</v>
      </c>
      <c r="S454" s="14" t="str">
        <f t="shared" si="111"/>
        <v>神器5碎片2等级5</v>
      </c>
      <c r="T454" s="29" t="s">
        <v>649</v>
      </c>
      <c r="U454" s="14">
        <f t="shared" si="108"/>
        <v>5</v>
      </c>
      <c r="V454" s="36">
        <f t="shared" si="112"/>
        <v>0.45</v>
      </c>
      <c r="W454" s="17">
        <f t="shared" si="109"/>
        <v>4.5000000000000005E-3</v>
      </c>
      <c r="X454" s="14">
        <f t="shared" si="113"/>
        <v>2</v>
      </c>
      <c r="Y454" s="14">
        <f t="shared" si="114"/>
        <v>3</v>
      </c>
      <c r="Z454" s="14">
        <f t="shared" si="115"/>
        <v>0</v>
      </c>
      <c r="AA454" s="14" t="str">
        <f t="shared" si="116"/>
        <v>DefExt</v>
      </c>
      <c r="AB454" s="14">
        <f t="shared" si="110"/>
        <v>108</v>
      </c>
      <c r="AC454" s="14" t="str">
        <f t="shared" si="117"/>
        <v>HPExt</v>
      </c>
      <c r="AD454" s="14">
        <f t="shared" si="118"/>
        <v>325</v>
      </c>
      <c r="AE454" s="14" t="str">
        <f t="shared" si="119"/>
        <v>[x]</v>
      </c>
      <c r="AF454" s="27" t="str">
        <f t="shared" si="120"/>
        <v>[x]</v>
      </c>
      <c r="AG454" s="27" t="str">
        <f t="shared" si="121"/>
        <v>[x]</v>
      </c>
    </row>
    <row r="455" spans="16:33" ht="16.5" x14ac:dyDescent="0.2">
      <c r="P455" s="13">
        <v>399</v>
      </c>
      <c r="Q455" s="14">
        <f t="shared" si="106"/>
        <v>22</v>
      </c>
      <c r="R455" s="14">
        <f t="shared" si="107"/>
        <v>1606028</v>
      </c>
      <c r="S455" s="14" t="str">
        <f t="shared" si="111"/>
        <v>神器5碎片2等级6</v>
      </c>
      <c r="T455" s="29" t="s">
        <v>649</v>
      </c>
      <c r="U455" s="14">
        <f t="shared" si="108"/>
        <v>6</v>
      </c>
      <c r="V455" s="36">
        <f t="shared" si="112"/>
        <v>0.52200000000000002</v>
      </c>
      <c r="W455" s="17">
        <f t="shared" si="109"/>
        <v>5.2200000000000007E-3</v>
      </c>
      <c r="X455" s="14">
        <f t="shared" si="113"/>
        <v>2</v>
      </c>
      <c r="Y455" s="14">
        <f t="shared" si="114"/>
        <v>3</v>
      </c>
      <c r="Z455" s="14">
        <f t="shared" si="115"/>
        <v>0</v>
      </c>
      <c r="AA455" s="14" t="str">
        <f t="shared" si="116"/>
        <v>DefExt</v>
      </c>
      <c r="AB455" s="14">
        <f t="shared" si="110"/>
        <v>125</v>
      </c>
      <c r="AC455" s="14" t="str">
        <f t="shared" si="117"/>
        <v>HPExt</v>
      </c>
      <c r="AD455" s="14">
        <f t="shared" si="118"/>
        <v>378</v>
      </c>
      <c r="AE455" s="14" t="str">
        <f t="shared" si="119"/>
        <v>[x]</v>
      </c>
      <c r="AF455" s="27" t="str">
        <f t="shared" si="120"/>
        <v>[x]</v>
      </c>
      <c r="AG455" s="27" t="str">
        <f t="shared" si="121"/>
        <v>[x]</v>
      </c>
    </row>
    <row r="456" spans="16:33" ht="16.5" x14ac:dyDescent="0.2">
      <c r="P456" s="13">
        <v>400</v>
      </c>
      <c r="Q456" s="14">
        <f t="shared" si="106"/>
        <v>22</v>
      </c>
      <c r="R456" s="14">
        <f t="shared" si="107"/>
        <v>1606028</v>
      </c>
      <c r="S456" s="14" t="str">
        <f t="shared" si="111"/>
        <v>神器5碎片2等级7</v>
      </c>
      <c r="T456" s="29" t="s">
        <v>649</v>
      </c>
      <c r="U456" s="14">
        <f t="shared" si="108"/>
        <v>7</v>
      </c>
      <c r="V456" s="36">
        <f t="shared" si="112"/>
        <v>0.59799999999999998</v>
      </c>
      <c r="W456" s="17">
        <f t="shared" si="109"/>
        <v>5.9800000000000001E-3</v>
      </c>
      <c r="X456" s="14">
        <f t="shared" si="113"/>
        <v>2</v>
      </c>
      <c r="Y456" s="14">
        <f t="shared" si="114"/>
        <v>3</v>
      </c>
      <c r="Z456" s="14">
        <f t="shared" si="115"/>
        <v>0</v>
      </c>
      <c r="AA456" s="14" t="str">
        <f t="shared" si="116"/>
        <v>DefExt</v>
      </c>
      <c r="AB456" s="14">
        <f t="shared" si="110"/>
        <v>143</v>
      </c>
      <c r="AC456" s="14" t="str">
        <f t="shared" si="117"/>
        <v>HPExt</v>
      </c>
      <c r="AD456" s="14">
        <f t="shared" si="118"/>
        <v>433</v>
      </c>
      <c r="AE456" s="14" t="str">
        <f t="shared" si="119"/>
        <v>[x]</v>
      </c>
      <c r="AF456" s="27" t="str">
        <f t="shared" si="120"/>
        <v>[x]</v>
      </c>
      <c r="AG456" s="27" t="str">
        <f t="shared" si="121"/>
        <v>[x]</v>
      </c>
    </row>
    <row r="457" spans="16:33" ht="16.5" x14ac:dyDescent="0.2">
      <c r="P457" s="13">
        <v>401</v>
      </c>
      <c r="Q457" s="14">
        <f t="shared" si="106"/>
        <v>22</v>
      </c>
      <c r="R457" s="14">
        <f t="shared" si="107"/>
        <v>1606028</v>
      </c>
      <c r="S457" s="14" t="str">
        <f t="shared" si="111"/>
        <v>神器5碎片2等级8</v>
      </c>
      <c r="T457" s="29" t="s">
        <v>649</v>
      </c>
      <c r="U457" s="14">
        <f t="shared" si="108"/>
        <v>8</v>
      </c>
      <c r="V457" s="36">
        <f t="shared" si="112"/>
        <v>0.67800000000000005</v>
      </c>
      <c r="W457" s="17">
        <f t="shared" si="109"/>
        <v>6.7800000000000004E-3</v>
      </c>
      <c r="X457" s="14">
        <f t="shared" si="113"/>
        <v>2</v>
      </c>
      <c r="Y457" s="14">
        <f t="shared" si="114"/>
        <v>3</v>
      </c>
      <c r="Z457" s="14">
        <f t="shared" si="115"/>
        <v>0</v>
      </c>
      <c r="AA457" s="14" t="str">
        <f t="shared" si="116"/>
        <v>DefExt</v>
      </c>
      <c r="AB457" s="14">
        <f t="shared" si="110"/>
        <v>162</v>
      </c>
      <c r="AC457" s="14" t="str">
        <f t="shared" si="117"/>
        <v>HPExt</v>
      </c>
      <c r="AD457" s="14">
        <f t="shared" si="118"/>
        <v>490</v>
      </c>
      <c r="AE457" s="14" t="str">
        <f t="shared" si="119"/>
        <v>[x]</v>
      </c>
      <c r="AF457" s="27" t="str">
        <f t="shared" si="120"/>
        <v>[x]</v>
      </c>
      <c r="AG457" s="27" t="str">
        <f t="shared" si="121"/>
        <v>[x]</v>
      </c>
    </row>
    <row r="458" spans="16:33" ht="16.5" x14ac:dyDescent="0.2">
      <c r="P458" s="13">
        <v>402</v>
      </c>
      <c r="Q458" s="14">
        <f t="shared" si="106"/>
        <v>22</v>
      </c>
      <c r="R458" s="14">
        <f t="shared" si="107"/>
        <v>1606028</v>
      </c>
      <c r="S458" s="14" t="str">
        <f t="shared" si="111"/>
        <v>神器5碎片2等级9</v>
      </c>
      <c r="T458" s="29" t="s">
        <v>649</v>
      </c>
      <c r="U458" s="14">
        <f t="shared" si="108"/>
        <v>9</v>
      </c>
      <c r="V458" s="36">
        <f t="shared" si="112"/>
        <v>0.76200000000000001</v>
      </c>
      <c r="W458" s="17">
        <f t="shared" si="109"/>
        <v>7.62E-3</v>
      </c>
      <c r="X458" s="14">
        <f t="shared" si="113"/>
        <v>2</v>
      </c>
      <c r="Y458" s="14">
        <f t="shared" si="114"/>
        <v>3</v>
      </c>
      <c r="Z458" s="14">
        <f t="shared" si="115"/>
        <v>0</v>
      </c>
      <c r="AA458" s="14" t="str">
        <f t="shared" si="116"/>
        <v>DefExt</v>
      </c>
      <c r="AB458" s="14">
        <f t="shared" si="110"/>
        <v>183</v>
      </c>
      <c r="AC458" s="14" t="str">
        <f t="shared" si="117"/>
        <v>HPExt</v>
      </c>
      <c r="AD458" s="14">
        <f t="shared" si="118"/>
        <v>551</v>
      </c>
      <c r="AE458" s="14" t="str">
        <f t="shared" si="119"/>
        <v>[x]</v>
      </c>
      <c r="AF458" s="27" t="str">
        <f t="shared" si="120"/>
        <v>[x]</v>
      </c>
      <c r="AG458" s="27" t="str">
        <f t="shared" si="121"/>
        <v>[x]</v>
      </c>
    </row>
    <row r="459" spans="16:33" ht="16.5" x14ac:dyDescent="0.2">
      <c r="P459" s="13">
        <v>403</v>
      </c>
      <c r="Q459" s="14">
        <f t="shared" si="106"/>
        <v>22</v>
      </c>
      <c r="R459" s="14">
        <f t="shared" si="107"/>
        <v>1606028</v>
      </c>
      <c r="S459" s="14" t="str">
        <f t="shared" si="111"/>
        <v>神器5碎片2等级10</v>
      </c>
      <c r="T459" s="29" t="s">
        <v>649</v>
      </c>
      <c r="U459" s="14">
        <f t="shared" si="108"/>
        <v>10</v>
      </c>
      <c r="V459" s="36">
        <f t="shared" si="112"/>
        <v>0.85000000000000009</v>
      </c>
      <c r="W459" s="17">
        <f t="shared" si="109"/>
        <v>8.5000000000000006E-3</v>
      </c>
      <c r="X459" s="14">
        <f t="shared" si="113"/>
        <v>2</v>
      </c>
      <c r="Y459" s="14">
        <f t="shared" si="114"/>
        <v>3</v>
      </c>
      <c r="Z459" s="14">
        <f t="shared" si="115"/>
        <v>0</v>
      </c>
      <c r="AA459" s="14" t="str">
        <f t="shared" si="116"/>
        <v>DefExt</v>
      </c>
      <c r="AB459" s="14">
        <f t="shared" si="110"/>
        <v>204</v>
      </c>
      <c r="AC459" s="14" t="str">
        <f t="shared" si="117"/>
        <v>HPExt</v>
      </c>
      <c r="AD459" s="14">
        <f t="shared" si="118"/>
        <v>615</v>
      </c>
      <c r="AE459" s="14" t="str">
        <f t="shared" si="119"/>
        <v>[x]</v>
      </c>
      <c r="AF459" s="27" t="str">
        <f t="shared" si="120"/>
        <v>[x]</v>
      </c>
      <c r="AG459" s="27" t="str">
        <f t="shared" si="121"/>
        <v>[x]</v>
      </c>
    </row>
    <row r="460" spans="16:33" ht="16.5" x14ac:dyDescent="0.2">
      <c r="P460" s="13">
        <v>404</v>
      </c>
      <c r="Q460" s="14">
        <f t="shared" si="106"/>
        <v>22</v>
      </c>
      <c r="R460" s="14">
        <f t="shared" si="107"/>
        <v>1606028</v>
      </c>
      <c r="S460" s="14" t="str">
        <f t="shared" si="111"/>
        <v>神器5碎片2等级11</v>
      </c>
      <c r="T460" s="29" t="s">
        <v>649</v>
      </c>
      <c r="U460" s="14">
        <f t="shared" si="108"/>
        <v>11</v>
      </c>
      <c r="V460" s="36">
        <f t="shared" si="112"/>
        <v>0.94200000000000006</v>
      </c>
      <c r="W460" s="17">
        <f t="shared" si="109"/>
        <v>9.4200000000000013E-3</v>
      </c>
      <c r="X460" s="14">
        <f t="shared" si="113"/>
        <v>2</v>
      </c>
      <c r="Y460" s="14">
        <f t="shared" si="114"/>
        <v>3</v>
      </c>
      <c r="Z460" s="14">
        <f t="shared" si="115"/>
        <v>0</v>
      </c>
      <c r="AA460" s="14" t="str">
        <f t="shared" si="116"/>
        <v>DefExt</v>
      </c>
      <c r="AB460" s="14">
        <f t="shared" si="110"/>
        <v>226</v>
      </c>
      <c r="AC460" s="14" t="str">
        <f t="shared" si="117"/>
        <v>HPExt</v>
      </c>
      <c r="AD460" s="14">
        <f t="shared" si="118"/>
        <v>682</v>
      </c>
      <c r="AE460" s="14" t="str">
        <f t="shared" si="119"/>
        <v>[x]</v>
      </c>
      <c r="AF460" s="27" t="str">
        <f t="shared" si="120"/>
        <v>[x]</v>
      </c>
      <c r="AG460" s="27" t="str">
        <f t="shared" si="121"/>
        <v>[x]</v>
      </c>
    </row>
    <row r="461" spans="16:33" ht="16.5" x14ac:dyDescent="0.2">
      <c r="P461" s="13">
        <v>405</v>
      </c>
      <c r="Q461" s="14">
        <f t="shared" si="106"/>
        <v>22</v>
      </c>
      <c r="R461" s="14">
        <f t="shared" si="107"/>
        <v>1606028</v>
      </c>
      <c r="S461" s="14" t="str">
        <f t="shared" si="111"/>
        <v>神器5碎片2等级12</v>
      </c>
      <c r="T461" s="29" t="s">
        <v>649</v>
      </c>
      <c r="U461" s="14">
        <f t="shared" si="108"/>
        <v>12</v>
      </c>
      <c r="V461" s="36">
        <f t="shared" si="112"/>
        <v>1.0380000000000003</v>
      </c>
      <c r="W461" s="17">
        <f t="shared" si="109"/>
        <v>1.0380000000000002E-2</v>
      </c>
      <c r="X461" s="14">
        <f t="shared" si="113"/>
        <v>2</v>
      </c>
      <c r="Y461" s="14">
        <f t="shared" si="114"/>
        <v>3</v>
      </c>
      <c r="Z461" s="14">
        <f t="shared" si="115"/>
        <v>0</v>
      </c>
      <c r="AA461" s="14" t="str">
        <f t="shared" si="116"/>
        <v>DefExt</v>
      </c>
      <c r="AB461" s="14">
        <f t="shared" si="110"/>
        <v>249</v>
      </c>
      <c r="AC461" s="14" t="str">
        <f t="shared" si="117"/>
        <v>HPExt</v>
      </c>
      <c r="AD461" s="14">
        <f t="shared" si="118"/>
        <v>751</v>
      </c>
      <c r="AE461" s="14" t="str">
        <f t="shared" si="119"/>
        <v>[x]</v>
      </c>
      <c r="AF461" s="27" t="str">
        <f t="shared" si="120"/>
        <v>[x]</v>
      </c>
      <c r="AG461" s="27" t="str">
        <f t="shared" si="121"/>
        <v>[x]</v>
      </c>
    </row>
    <row r="462" spans="16:33" ht="16.5" x14ac:dyDescent="0.2">
      <c r="P462" s="13">
        <v>406</v>
      </c>
      <c r="Q462" s="14">
        <f t="shared" si="106"/>
        <v>22</v>
      </c>
      <c r="R462" s="14">
        <f t="shared" si="107"/>
        <v>1606028</v>
      </c>
      <c r="S462" s="14" t="str">
        <f t="shared" si="111"/>
        <v>神器5碎片2等级13</v>
      </c>
      <c r="T462" s="29" t="s">
        <v>649</v>
      </c>
      <c r="U462" s="14">
        <f t="shared" si="108"/>
        <v>13</v>
      </c>
      <c r="V462" s="36">
        <f t="shared" si="112"/>
        <v>1.1380000000000001</v>
      </c>
      <c r="W462" s="17">
        <f t="shared" si="109"/>
        <v>1.1380000000000001E-2</v>
      </c>
      <c r="X462" s="14">
        <f t="shared" si="113"/>
        <v>2</v>
      </c>
      <c r="Y462" s="14">
        <f t="shared" si="114"/>
        <v>3</v>
      </c>
      <c r="Z462" s="14">
        <f t="shared" si="115"/>
        <v>0</v>
      </c>
      <c r="AA462" s="14" t="str">
        <f t="shared" si="116"/>
        <v>DefExt</v>
      </c>
      <c r="AB462" s="14">
        <f t="shared" si="110"/>
        <v>273</v>
      </c>
      <c r="AC462" s="14" t="str">
        <f t="shared" si="117"/>
        <v>HPExt</v>
      </c>
      <c r="AD462" s="14">
        <f t="shared" si="118"/>
        <v>824</v>
      </c>
      <c r="AE462" s="14" t="str">
        <f t="shared" si="119"/>
        <v>[x]</v>
      </c>
      <c r="AF462" s="27" t="str">
        <f t="shared" si="120"/>
        <v>[x]</v>
      </c>
      <c r="AG462" s="27" t="str">
        <f t="shared" si="121"/>
        <v>[x]</v>
      </c>
    </row>
    <row r="463" spans="16:33" ht="16.5" x14ac:dyDescent="0.2">
      <c r="P463" s="13">
        <v>407</v>
      </c>
      <c r="Q463" s="14">
        <f t="shared" si="106"/>
        <v>22</v>
      </c>
      <c r="R463" s="14">
        <f t="shared" si="107"/>
        <v>1606028</v>
      </c>
      <c r="S463" s="14" t="str">
        <f t="shared" si="111"/>
        <v>神器5碎片2等级14</v>
      </c>
      <c r="T463" s="29" t="s">
        <v>649</v>
      </c>
      <c r="U463" s="14">
        <f t="shared" si="108"/>
        <v>14</v>
      </c>
      <c r="V463" s="36">
        <f t="shared" si="112"/>
        <v>1.242</v>
      </c>
      <c r="W463" s="17">
        <f t="shared" si="109"/>
        <v>1.242E-2</v>
      </c>
      <c r="X463" s="14">
        <f t="shared" si="113"/>
        <v>2</v>
      </c>
      <c r="Y463" s="14">
        <f t="shared" si="114"/>
        <v>3</v>
      </c>
      <c r="Z463" s="14">
        <f t="shared" si="115"/>
        <v>0</v>
      </c>
      <c r="AA463" s="14" t="str">
        <f t="shared" si="116"/>
        <v>DefExt</v>
      </c>
      <c r="AB463" s="14">
        <f t="shared" si="110"/>
        <v>298</v>
      </c>
      <c r="AC463" s="14" t="str">
        <f t="shared" si="117"/>
        <v>HPExt</v>
      </c>
      <c r="AD463" s="14">
        <f t="shared" si="118"/>
        <v>899</v>
      </c>
      <c r="AE463" s="14" t="str">
        <f t="shared" si="119"/>
        <v>[x]</v>
      </c>
      <c r="AF463" s="27" t="str">
        <f t="shared" si="120"/>
        <v>[x]</v>
      </c>
      <c r="AG463" s="27" t="str">
        <f t="shared" si="121"/>
        <v>[x]</v>
      </c>
    </row>
    <row r="464" spans="16:33" ht="16.5" x14ac:dyDescent="0.2">
      <c r="P464" s="13">
        <v>408</v>
      </c>
      <c r="Q464" s="14">
        <f t="shared" si="106"/>
        <v>22</v>
      </c>
      <c r="R464" s="14">
        <f t="shared" si="107"/>
        <v>1606028</v>
      </c>
      <c r="S464" s="14" t="str">
        <f t="shared" si="111"/>
        <v>神器5碎片2等级15</v>
      </c>
      <c r="T464" s="29" t="s">
        <v>649</v>
      </c>
      <c r="U464" s="14">
        <f t="shared" si="108"/>
        <v>15</v>
      </c>
      <c r="V464" s="36">
        <f t="shared" si="112"/>
        <v>1.35</v>
      </c>
      <c r="W464" s="17">
        <f t="shared" si="109"/>
        <v>1.3500000000000002E-2</v>
      </c>
      <c r="X464" s="14">
        <f t="shared" si="113"/>
        <v>2</v>
      </c>
      <c r="Y464" s="14">
        <f t="shared" si="114"/>
        <v>3</v>
      </c>
      <c r="Z464" s="14">
        <f t="shared" si="115"/>
        <v>0</v>
      </c>
      <c r="AA464" s="14" t="str">
        <f t="shared" si="116"/>
        <v>DefExt</v>
      </c>
      <c r="AB464" s="14">
        <f t="shared" si="110"/>
        <v>324</v>
      </c>
      <c r="AC464" s="14" t="str">
        <f t="shared" si="117"/>
        <v>HPExt</v>
      </c>
      <c r="AD464" s="14">
        <f t="shared" si="118"/>
        <v>977</v>
      </c>
      <c r="AE464" s="14" t="str">
        <f t="shared" si="119"/>
        <v>[x]</v>
      </c>
      <c r="AF464" s="27" t="str">
        <f t="shared" si="120"/>
        <v>[x]</v>
      </c>
      <c r="AG464" s="27" t="str">
        <f t="shared" si="121"/>
        <v>[x]</v>
      </c>
    </row>
    <row r="465" spans="16:33" ht="16.5" x14ac:dyDescent="0.2">
      <c r="P465" s="13">
        <v>409</v>
      </c>
      <c r="Q465" s="14">
        <f t="shared" si="106"/>
        <v>22</v>
      </c>
      <c r="R465" s="14">
        <f t="shared" si="107"/>
        <v>1606028</v>
      </c>
      <c r="S465" s="14" t="str">
        <f t="shared" si="111"/>
        <v>神器5碎片2等级16</v>
      </c>
      <c r="T465" s="29" t="s">
        <v>649</v>
      </c>
      <c r="U465" s="14">
        <f t="shared" si="108"/>
        <v>16</v>
      </c>
      <c r="V465" s="36">
        <f t="shared" si="112"/>
        <v>1.4620000000000002</v>
      </c>
      <c r="W465" s="17">
        <f t="shared" si="109"/>
        <v>1.4620000000000003E-2</v>
      </c>
      <c r="X465" s="14">
        <f t="shared" si="113"/>
        <v>2</v>
      </c>
      <c r="Y465" s="14">
        <f t="shared" si="114"/>
        <v>3</v>
      </c>
      <c r="Z465" s="14">
        <f t="shared" si="115"/>
        <v>0</v>
      </c>
      <c r="AA465" s="14" t="str">
        <f t="shared" si="116"/>
        <v>DefExt</v>
      </c>
      <c r="AB465" s="14">
        <f t="shared" si="110"/>
        <v>351</v>
      </c>
      <c r="AC465" s="14" t="str">
        <f t="shared" si="117"/>
        <v>HPExt</v>
      </c>
      <c r="AD465" s="14">
        <f t="shared" si="118"/>
        <v>1058</v>
      </c>
      <c r="AE465" s="14" t="str">
        <f t="shared" si="119"/>
        <v>[x]</v>
      </c>
      <c r="AF465" s="27" t="str">
        <f t="shared" si="120"/>
        <v>[x]</v>
      </c>
      <c r="AG465" s="27" t="str">
        <f t="shared" si="121"/>
        <v>[x]</v>
      </c>
    </row>
    <row r="466" spans="16:33" ht="16.5" x14ac:dyDescent="0.2">
      <c r="P466" s="13">
        <v>410</v>
      </c>
      <c r="Q466" s="14">
        <f t="shared" si="106"/>
        <v>22</v>
      </c>
      <c r="R466" s="14">
        <f t="shared" si="107"/>
        <v>1606028</v>
      </c>
      <c r="S466" s="14" t="str">
        <f t="shared" si="111"/>
        <v>神器5碎片2等级17</v>
      </c>
      <c r="T466" s="29" t="s">
        <v>649</v>
      </c>
      <c r="U466" s="14">
        <f t="shared" si="108"/>
        <v>17</v>
      </c>
      <c r="V466" s="36">
        <f t="shared" si="112"/>
        <v>1.5779999999999998</v>
      </c>
      <c r="W466" s="17">
        <f t="shared" si="109"/>
        <v>1.5779999999999999E-2</v>
      </c>
      <c r="X466" s="14">
        <f t="shared" si="113"/>
        <v>2</v>
      </c>
      <c r="Y466" s="14">
        <f t="shared" si="114"/>
        <v>3</v>
      </c>
      <c r="Z466" s="14">
        <f t="shared" si="115"/>
        <v>0</v>
      </c>
      <c r="AA466" s="14" t="str">
        <f t="shared" si="116"/>
        <v>DefExt</v>
      </c>
      <c r="AB466" s="14">
        <f t="shared" si="110"/>
        <v>378</v>
      </c>
      <c r="AC466" s="14" t="str">
        <f t="shared" si="117"/>
        <v>HPExt</v>
      </c>
      <c r="AD466" s="14">
        <f t="shared" si="118"/>
        <v>1142</v>
      </c>
      <c r="AE466" s="14" t="str">
        <f t="shared" si="119"/>
        <v>[x]</v>
      </c>
      <c r="AF466" s="27" t="str">
        <f t="shared" si="120"/>
        <v>[x]</v>
      </c>
      <c r="AG466" s="27" t="str">
        <f t="shared" si="121"/>
        <v>[x]</v>
      </c>
    </row>
    <row r="467" spans="16:33" ht="16.5" x14ac:dyDescent="0.2">
      <c r="P467" s="13">
        <v>411</v>
      </c>
      <c r="Q467" s="14">
        <f t="shared" si="106"/>
        <v>22</v>
      </c>
      <c r="R467" s="14">
        <f t="shared" si="107"/>
        <v>1606028</v>
      </c>
      <c r="S467" s="14" t="str">
        <f t="shared" si="111"/>
        <v>神器5碎片2等级18</v>
      </c>
      <c r="T467" s="29" t="s">
        <v>649</v>
      </c>
      <c r="U467" s="14">
        <f t="shared" si="108"/>
        <v>18</v>
      </c>
      <c r="V467" s="36">
        <f t="shared" si="112"/>
        <v>1.698</v>
      </c>
      <c r="W467" s="17">
        <f t="shared" si="109"/>
        <v>1.6979999999999999E-2</v>
      </c>
      <c r="X467" s="14">
        <f t="shared" si="113"/>
        <v>2</v>
      </c>
      <c r="Y467" s="14">
        <f t="shared" si="114"/>
        <v>3</v>
      </c>
      <c r="Z467" s="14">
        <f t="shared" si="115"/>
        <v>0</v>
      </c>
      <c r="AA467" s="14" t="str">
        <f t="shared" si="116"/>
        <v>DefExt</v>
      </c>
      <c r="AB467" s="14">
        <f t="shared" si="110"/>
        <v>407</v>
      </c>
      <c r="AC467" s="14" t="str">
        <f t="shared" si="117"/>
        <v>HPExt</v>
      </c>
      <c r="AD467" s="14">
        <f t="shared" si="118"/>
        <v>1229</v>
      </c>
      <c r="AE467" s="14" t="str">
        <f t="shared" si="119"/>
        <v>[x]</v>
      </c>
      <c r="AF467" s="27" t="str">
        <f t="shared" si="120"/>
        <v>[x]</v>
      </c>
      <c r="AG467" s="27" t="str">
        <f t="shared" si="121"/>
        <v>[x]</v>
      </c>
    </row>
    <row r="468" spans="16:33" ht="16.5" x14ac:dyDescent="0.2">
      <c r="P468" s="13">
        <v>412</v>
      </c>
      <c r="Q468" s="14">
        <f t="shared" si="106"/>
        <v>22</v>
      </c>
      <c r="R468" s="14">
        <f t="shared" si="107"/>
        <v>1606028</v>
      </c>
      <c r="S468" s="14" t="str">
        <f t="shared" si="111"/>
        <v>神器5碎片2等级19</v>
      </c>
      <c r="T468" s="29" t="s">
        <v>649</v>
      </c>
      <c r="U468" s="14">
        <f t="shared" si="108"/>
        <v>19</v>
      </c>
      <c r="V468" s="36">
        <f t="shared" si="112"/>
        <v>1.8220000000000001</v>
      </c>
      <c r="W468" s="17">
        <f t="shared" si="109"/>
        <v>1.822E-2</v>
      </c>
      <c r="X468" s="14">
        <f t="shared" si="113"/>
        <v>2</v>
      </c>
      <c r="Y468" s="14">
        <f t="shared" si="114"/>
        <v>3</v>
      </c>
      <c r="Z468" s="14">
        <f t="shared" si="115"/>
        <v>0</v>
      </c>
      <c r="AA468" s="14" t="str">
        <f t="shared" si="116"/>
        <v>DefExt</v>
      </c>
      <c r="AB468" s="14">
        <f t="shared" si="110"/>
        <v>437</v>
      </c>
      <c r="AC468" s="14" t="str">
        <f t="shared" si="117"/>
        <v>HPExt</v>
      </c>
      <c r="AD468" s="14">
        <f t="shared" si="118"/>
        <v>1319</v>
      </c>
      <c r="AE468" s="14" t="str">
        <f t="shared" si="119"/>
        <v>[x]</v>
      </c>
      <c r="AF468" s="27" t="str">
        <f t="shared" si="120"/>
        <v>[x]</v>
      </c>
      <c r="AG468" s="27" t="str">
        <f t="shared" si="121"/>
        <v>[x]</v>
      </c>
    </row>
    <row r="469" spans="16:33" ht="16.5" x14ac:dyDescent="0.2">
      <c r="P469" s="13">
        <v>413</v>
      </c>
      <c r="Q469" s="14">
        <f t="shared" si="106"/>
        <v>22</v>
      </c>
      <c r="R469" s="14">
        <f t="shared" si="107"/>
        <v>1606028</v>
      </c>
      <c r="S469" s="14" t="str">
        <f t="shared" si="111"/>
        <v>神器5碎片2等级20</v>
      </c>
      <c r="T469" s="29" t="s">
        <v>649</v>
      </c>
      <c r="U469" s="14">
        <f t="shared" si="108"/>
        <v>20</v>
      </c>
      <c r="V469" s="36">
        <f t="shared" si="112"/>
        <v>1.95</v>
      </c>
      <c r="W469" s="17">
        <f t="shared" si="109"/>
        <v>1.95E-2</v>
      </c>
      <c r="X469" s="14">
        <f t="shared" si="113"/>
        <v>2</v>
      </c>
      <c r="Y469" s="14">
        <f t="shared" si="114"/>
        <v>3</v>
      </c>
      <c r="Z469" s="14">
        <f t="shared" si="115"/>
        <v>0</v>
      </c>
      <c r="AA469" s="14" t="str">
        <f t="shared" si="116"/>
        <v>DefExt</v>
      </c>
      <c r="AB469" s="14">
        <f t="shared" si="110"/>
        <v>468</v>
      </c>
      <c r="AC469" s="14" t="str">
        <f t="shared" si="117"/>
        <v>HPExt</v>
      </c>
      <c r="AD469" s="14">
        <f t="shared" si="118"/>
        <v>1412</v>
      </c>
      <c r="AE469" s="14" t="str">
        <f t="shared" si="119"/>
        <v>[x]</v>
      </c>
      <c r="AF469" s="27" t="str">
        <f t="shared" si="120"/>
        <v>[x]</v>
      </c>
      <c r="AG469" s="27" t="str">
        <f t="shared" si="121"/>
        <v>[x]</v>
      </c>
    </row>
    <row r="470" spans="16:33" ht="16.5" x14ac:dyDescent="0.2">
      <c r="P470" s="13">
        <v>414</v>
      </c>
      <c r="Q470" s="14">
        <f t="shared" si="106"/>
        <v>22</v>
      </c>
      <c r="R470" s="14">
        <f t="shared" si="107"/>
        <v>1606028</v>
      </c>
      <c r="S470" s="14" t="str">
        <f t="shared" si="111"/>
        <v>神器5碎片2等级21</v>
      </c>
      <c r="T470" s="29" t="s">
        <v>649</v>
      </c>
      <c r="U470" s="14">
        <f t="shared" si="108"/>
        <v>21</v>
      </c>
      <c r="V470" s="36">
        <f t="shared" si="112"/>
        <v>2.0819999999999999</v>
      </c>
      <c r="W470" s="17">
        <f t="shared" si="109"/>
        <v>2.0819999999999998E-2</v>
      </c>
      <c r="X470" s="14">
        <f t="shared" si="113"/>
        <v>2</v>
      </c>
      <c r="Y470" s="14">
        <f t="shared" si="114"/>
        <v>3</v>
      </c>
      <c r="Z470" s="14">
        <f t="shared" si="115"/>
        <v>0</v>
      </c>
      <c r="AA470" s="14" t="str">
        <f t="shared" si="116"/>
        <v>DefExt</v>
      </c>
      <c r="AB470" s="14">
        <f t="shared" si="110"/>
        <v>500</v>
      </c>
      <c r="AC470" s="14" t="str">
        <f t="shared" si="117"/>
        <v>HPExt</v>
      </c>
      <c r="AD470" s="14">
        <f t="shared" si="118"/>
        <v>1507</v>
      </c>
      <c r="AE470" s="14" t="str">
        <f t="shared" si="119"/>
        <v>[x]</v>
      </c>
      <c r="AF470" s="27" t="str">
        <f t="shared" si="120"/>
        <v>[x]</v>
      </c>
      <c r="AG470" s="27" t="str">
        <f t="shared" si="121"/>
        <v>[x]</v>
      </c>
    </row>
    <row r="471" spans="16:33" ht="16.5" x14ac:dyDescent="0.2">
      <c r="P471" s="13">
        <v>415</v>
      </c>
      <c r="Q471" s="14">
        <f t="shared" si="106"/>
        <v>23</v>
      </c>
      <c r="R471" s="14">
        <f t="shared" si="107"/>
        <v>1606029</v>
      </c>
      <c r="S471" s="14" t="str">
        <f t="shared" si="111"/>
        <v>神器5碎片3等级1</v>
      </c>
      <c r="T471" s="29" t="s">
        <v>649</v>
      </c>
      <c r="U471" s="14">
        <f t="shared" si="108"/>
        <v>1</v>
      </c>
      <c r="V471" s="36">
        <f t="shared" si="112"/>
        <v>0.20200000000000001</v>
      </c>
      <c r="W471" s="17">
        <f t="shared" si="109"/>
        <v>4.0400000000000002E-3</v>
      </c>
      <c r="X471" s="14">
        <f t="shared" si="113"/>
        <v>1</v>
      </c>
      <c r="Y471" s="14">
        <f t="shared" si="114"/>
        <v>2</v>
      </c>
      <c r="Z471" s="14">
        <f t="shared" si="115"/>
        <v>0</v>
      </c>
      <c r="AA471" s="14" t="str">
        <f t="shared" si="116"/>
        <v>AtkExt</v>
      </c>
      <c r="AB471" s="14">
        <f t="shared" si="110"/>
        <v>97</v>
      </c>
      <c r="AC471" s="14" t="str">
        <f t="shared" si="117"/>
        <v>DefExt</v>
      </c>
      <c r="AD471" s="14">
        <f t="shared" si="118"/>
        <v>97</v>
      </c>
      <c r="AE471" s="14" t="str">
        <f t="shared" si="119"/>
        <v>[x]</v>
      </c>
      <c r="AF471" s="27" t="str">
        <f t="shared" si="120"/>
        <v>[x]</v>
      </c>
      <c r="AG471" s="27" t="str">
        <f t="shared" si="121"/>
        <v>[x]</v>
      </c>
    </row>
    <row r="472" spans="16:33" ht="16.5" x14ac:dyDescent="0.2">
      <c r="P472" s="13">
        <v>416</v>
      </c>
      <c r="Q472" s="14">
        <f t="shared" si="106"/>
        <v>23</v>
      </c>
      <c r="R472" s="14">
        <f t="shared" si="107"/>
        <v>1606029</v>
      </c>
      <c r="S472" s="14" t="str">
        <f t="shared" si="111"/>
        <v>神器5碎片3等级2</v>
      </c>
      <c r="T472" s="29" t="s">
        <v>649</v>
      </c>
      <c r="U472" s="14">
        <f t="shared" si="108"/>
        <v>2</v>
      </c>
      <c r="V472" s="36">
        <f t="shared" si="112"/>
        <v>0.25800000000000001</v>
      </c>
      <c r="W472" s="17">
        <f t="shared" si="109"/>
        <v>5.1600000000000005E-3</v>
      </c>
      <c r="X472" s="14">
        <f t="shared" si="113"/>
        <v>1</v>
      </c>
      <c r="Y472" s="14">
        <f t="shared" si="114"/>
        <v>2</v>
      </c>
      <c r="Z472" s="14">
        <f t="shared" si="115"/>
        <v>0</v>
      </c>
      <c r="AA472" s="14" t="str">
        <f t="shared" si="116"/>
        <v>AtkExt</v>
      </c>
      <c r="AB472" s="14">
        <f t="shared" si="110"/>
        <v>124</v>
      </c>
      <c r="AC472" s="14" t="str">
        <f t="shared" si="117"/>
        <v>DefExt</v>
      </c>
      <c r="AD472" s="14">
        <f t="shared" si="118"/>
        <v>123</v>
      </c>
      <c r="AE472" s="14" t="str">
        <f t="shared" si="119"/>
        <v>[x]</v>
      </c>
      <c r="AF472" s="27" t="str">
        <f t="shared" si="120"/>
        <v>[x]</v>
      </c>
      <c r="AG472" s="27" t="str">
        <f t="shared" si="121"/>
        <v>[x]</v>
      </c>
    </row>
    <row r="473" spans="16:33" ht="16.5" x14ac:dyDescent="0.2">
      <c r="P473" s="13">
        <v>417</v>
      </c>
      <c r="Q473" s="14">
        <f t="shared" si="106"/>
        <v>23</v>
      </c>
      <c r="R473" s="14">
        <f t="shared" si="107"/>
        <v>1606029</v>
      </c>
      <c r="S473" s="14" t="str">
        <f t="shared" si="111"/>
        <v>神器5碎片3等级3</v>
      </c>
      <c r="T473" s="29" t="s">
        <v>649</v>
      </c>
      <c r="U473" s="14">
        <f t="shared" si="108"/>
        <v>3</v>
      </c>
      <c r="V473" s="36">
        <f t="shared" si="112"/>
        <v>0.31800000000000006</v>
      </c>
      <c r="W473" s="17">
        <f t="shared" si="109"/>
        <v>6.3600000000000011E-3</v>
      </c>
      <c r="X473" s="14">
        <f t="shared" si="113"/>
        <v>1</v>
      </c>
      <c r="Y473" s="14">
        <f t="shared" si="114"/>
        <v>2</v>
      </c>
      <c r="Z473" s="14">
        <f t="shared" si="115"/>
        <v>0</v>
      </c>
      <c r="AA473" s="14" t="str">
        <f t="shared" si="116"/>
        <v>AtkExt</v>
      </c>
      <c r="AB473" s="14">
        <f t="shared" si="110"/>
        <v>153</v>
      </c>
      <c r="AC473" s="14" t="str">
        <f t="shared" si="117"/>
        <v>DefExt</v>
      </c>
      <c r="AD473" s="14">
        <f t="shared" si="118"/>
        <v>152</v>
      </c>
      <c r="AE473" s="14" t="str">
        <f t="shared" si="119"/>
        <v>[x]</v>
      </c>
      <c r="AF473" s="27" t="str">
        <f t="shared" si="120"/>
        <v>[x]</v>
      </c>
      <c r="AG473" s="27" t="str">
        <f t="shared" si="121"/>
        <v>[x]</v>
      </c>
    </row>
    <row r="474" spans="16:33" ht="16.5" x14ac:dyDescent="0.2">
      <c r="P474" s="13">
        <v>418</v>
      </c>
      <c r="Q474" s="14">
        <f t="shared" si="106"/>
        <v>23</v>
      </c>
      <c r="R474" s="14">
        <f t="shared" si="107"/>
        <v>1606029</v>
      </c>
      <c r="S474" s="14" t="str">
        <f t="shared" si="111"/>
        <v>神器5碎片3等级4</v>
      </c>
      <c r="T474" s="29" t="s">
        <v>649</v>
      </c>
      <c r="U474" s="14">
        <f t="shared" si="108"/>
        <v>4</v>
      </c>
      <c r="V474" s="36">
        <f t="shared" si="112"/>
        <v>0.38200000000000001</v>
      </c>
      <c r="W474" s="17">
        <f t="shared" si="109"/>
        <v>7.6400000000000001E-3</v>
      </c>
      <c r="X474" s="14">
        <f t="shared" si="113"/>
        <v>1</v>
      </c>
      <c r="Y474" s="14">
        <f t="shared" si="114"/>
        <v>2</v>
      </c>
      <c r="Z474" s="14">
        <f t="shared" si="115"/>
        <v>0</v>
      </c>
      <c r="AA474" s="14" t="str">
        <f t="shared" si="116"/>
        <v>AtkExt</v>
      </c>
      <c r="AB474" s="14">
        <f t="shared" si="110"/>
        <v>183</v>
      </c>
      <c r="AC474" s="14" t="str">
        <f t="shared" si="117"/>
        <v>DefExt</v>
      </c>
      <c r="AD474" s="14">
        <f t="shared" si="118"/>
        <v>183</v>
      </c>
      <c r="AE474" s="14" t="str">
        <f t="shared" si="119"/>
        <v>[x]</v>
      </c>
      <c r="AF474" s="27" t="str">
        <f t="shared" si="120"/>
        <v>[x]</v>
      </c>
      <c r="AG474" s="27" t="str">
        <f t="shared" si="121"/>
        <v>[x]</v>
      </c>
    </row>
    <row r="475" spans="16:33" ht="16.5" x14ac:dyDescent="0.2">
      <c r="P475" s="13">
        <v>419</v>
      </c>
      <c r="Q475" s="14">
        <f t="shared" si="106"/>
        <v>23</v>
      </c>
      <c r="R475" s="14">
        <f t="shared" si="107"/>
        <v>1606029</v>
      </c>
      <c r="S475" s="14" t="str">
        <f t="shared" si="111"/>
        <v>神器5碎片3等级5</v>
      </c>
      <c r="T475" s="29" t="s">
        <v>649</v>
      </c>
      <c r="U475" s="14">
        <f t="shared" si="108"/>
        <v>5</v>
      </c>
      <c r="V475" s="36">
        <f t="shared" si="112"/>
        <v>0.45</v>
      </c>
      <c r="W475" s="17">
        <f t="shared" si="109"/>
        <v>9.0000000000000011E-3</v>
      </c>
      <c r="X475" s="14">
        <f t="shared" si="113"/>
        <v>1</v>
      </c>
      <c r="Y475" s="14">
        <f t="shared" si="114"/>
        <v>2</v>
      </c>
      <c r="Z475" s="14">
        <f t="shared" si="115"/>
        <v>0</v>
      </c>
      <c r="AA475" s="14" t="str">
        <f t="shared" si="116"/>
        <v>AtkExt</v>
      </c>
      <c r="AB475" s="14">
        <f t="shared" si="110"/>
        <v>216</v>
      </c>
      <c r="AC475" s="14" t="str">
        <f t="shared" si="117"/>
        <v>DefExt</v>
      </c>
      <c r="AD475" s="14">
        <f t="shared" si="118"/>
        <v>216</v>
      </c>
      <c r="AE475" s="14" t="str">
        <f t="shared" si="119"/>
        <v>[x]</v>
      </c>
      <c r="AF475" s="27" t="str">
        <f t="shared" si="120"/>
        <v>[x]</v>
      </c>
      <c r="AG475" s="27" t="str">
        <f t="shared" si="121"/>
        <v>[x]</v>
      </c>
    </row>
    <row r="476" spans="16:33" ht="16.5" x14ac:dyDescent="0.2">
      <c r="P476" s="13">
        <v>420</v>
      </c>
      <c r="Q476" s="14">
        <f t="shared" si="106"/>
        <v>23</v>
      </c>
      <c r="R476" s="14">
        <f t="shared" si="107"/>
        <v>1606029</v>
      </c>
      <c r="S476" s="14" t="str">
        <f t="shared" si="111"/>
        <v>神器5碎片3等级6</v>
      </c>
      <c r="T476" s="29" t="s">
        <v>649</v>
      </c>
      <c r="U476" s="14">
        <f t="shared" si="108"/>
        <v>6</v>
      </c>
      <c r="V476" s="36">
        <f t="shared" si="112"/>
        <v>0.52200000000000002</v>
      </c>
      <c r="W476" s="17">
        <f t="shared" si="109"/>
        <v>1.0440000000000001E-2</v>
      </c>
      <c r="X476" s="14">
        <f t="shared" si="113"/>
        <v>1</v>
      </c>
      <c r="Y476" s="14">
        <f t="shared" si="114"/>
        <v>2</v>
      </c>
      <c r="Z476" s="14">
        <f t="shared" si="115"/>
        <v>0</v>
      </c>
      <c r="AA476" s="14" t="str">
        <f t="shared" si="116"/>
        <v>AtkExt</v>
      </c>
      <c r="AB476" s="14">
        <f t="shared" si="110"/>
        <v>251</v>
      </c>
      <c r="AC476" s="14" t="str">
        <f t="shared" si="117"/>
        <v>DefExt</v>
      </c>
      <c r="AD476" s="14">
        <f t="shared" si="118"/>
        <v>250</v>
      </c>
      <c r="AE476" s="14" t="str">
        <f t="shared" si="119"/>
        <v>[x]</v>
      </c>
      <c r="AF476" s="27" t="str">
        <f t="shared" si="120"/>
        <v>[x]</v>
      </c>
      <c r="AG476" s="27" t="str">
        <f t="shared" si="121"/>
        <v>[x]</v>
      </c>
    </row>
    <row r="477" spans="16:33" ht="16.5" x14ac:dyDescent="0.2">
      <c r="P477" s="13">
        <v>421</v>
      </c>
      <c r="Q477" s="14">
        <f t="shared" si="106"/>
        <v>23</v>
      </c>
      <c r="R477" s="14">
        <f t="shared" si="107"/>
        <v>1606029</v>
      </c>
      <c r="S477" s="14" t="str">
        <f t="shared" si="111"/>
        <v>神器5碎片3等级7</v>
      </c>
      <c r="T477" s="29" t="s">
        <v>649</v>
      </c>
      <c r="U477" s="14">
        <f t="shared" si="108"/>
        <v>7</v>
      </c>
      <c r="V477" s="36">
        <f t="shared" si="112"/>
        <v>0.59799999999999998</v>
      </c>
      <c r="W477" s="17">
        <f t="shared" si="109"/>
        <v>1.196E-2</v>
      </c>
      <c r="X477" s="14">
        <f t="shared" si="113"/>
        <v>1</v>
      </c>
      <c r="Y477" s="14">
        <f t="shared" si="114"/>
        <v>2</v>
      </c>
      <c r="Z477" s="14">
        <f t="shared" si="115"/>
        <v>0</v>
      </c>
      <c r="AA477" s="14" t="str">
        <f t="shared" si="116"/>
        <v>AtkExt</v>
      </c>
      <c r="AB477" s="14">
        <f t="shared" si="110"/>
        <v>288</v>
      </c>
      <c r="AC477" s="14" t="str">
        <f t="shared" si="117"/>
        <v>DefExt</v>
      </c>
      <c r="AD477" s="14">
        <f t="shared" si="118"/>
        <v>287</v>
      </c>
      <c r="AE477" s="14" t="str">
        <f t="shared" si="119"/>
        <v>[x]</v>
      </c>
      <c r="AF477" s="27" t="str">
        <f t="shared" si="120"/>
        <v>[x]</v>
      </c>
      <c r="AG477" s="27" t="str">
        <f t="shared" si="121"/>
        <v>[x]</v>
      </c>
    </row>
    <row r="478" spans="16:33" ht="16.5" x14ac:dyDescent="0.2">
      <c r="P478" s="13">
        <v>422</v>
      </c>
      <c r="Q478" s="14">
        <f t="shared" si="106"/>
        <v>23</v>
      </c>
      <c r="R478" s="14">
        <f t="shared" si="107"/>
        <v>1606029</v>
      </c>
      <c r="S478" s="14" t="str">
        <f t="shared" si="111"/>
        <v>神器5碎片3等级8</v>
      </c>
      <c r="T478" s="29" t="s">
        <v>649</v>
      </c>
      <c r="U478" s="14">
        <f t="shared" si="108"/>
        <v>8</v>
      </c>
      <c r="V478" s="36">
        <f t="shared" si="112"/>
        <v>0.67800000000000005</v>
      </c>
      <c r="W478" s="17">
        <f t="shared" si="109"/>
        <v>1.3560000000000001E-2</v>
      </c>
      <c r="X478" s="14">
        <f t="shared" si="113"/>
        <v>1</v>
      </c>
      <c r="Y478" s="14">
        <f t="shared" si="114"/>
        <v>2</v>
      </c>
      <c r="Z478" s="14">
        <f t="shared" si="115"/>
        <v>0</v>
      </c>
      <c r="AA478" s="14" t="str">
        <f t="shared" si="116"/>
        <v>AtkExt</v>
      </c>
      <c r="AB478" s="14">
        <f t="shared" si="110"/>
        <v>326</v>
      </c>
      <c r="AC478" s="14" t="str">
        <f t="shared" si="117"/>
        <v>DefExt</v>
      </c>
      <c r="AD478" s="14">
        <f t="shared" si="118"/>
        <v>325</v>
      </c>
      <c r="AE478" s="14" t="str">
        <f t="shared" si="119"/>
        <v>[x]</v>
      </c>
      <c r="AF478" s="27" t="str">
        <f t="shared" si="120"/>
        <v>[x]</v>
      </c>
      <c r="AG478" s="27" t="str">
        <f t="shared" si="121"/>
        <v>[x]</v>
      </c>
    </row>
    <row r="479" spans="16:33" ht="16.5" x14ac:dyDescent="0.2">
      <c r="P479" s="13">
        <v>423</v>
      </c>
      <c r="Q479" s="14">
        <f t="shared" si="106"/>
        <v>23</v>
      </c>
      <c r="R479" s="14">
        <f t="shared" si="107"/>
        <v>1606029</v>
      </c>
      <c r="S479" s="14" t="str">
        <f t="shared" si="111"/>
        <v>神器5碎片3等级9</v>
      </c>
      <c r="T479" s="29" t="s">
        <v>649</v>
      </c>
      <c r="U479" s="14">
        <f t="shared" si="108"/>
        <v>9</v>
      </c>
      <c r="V479" s="36">
        <f t="shared" si="112"/>
        <v>0.76200000000000001</v>
      </c>
      <c r="W479" s="17">
        <f t="shared" si="109"/>
        <v>1.524E-2</v>
      </c>
      <c r="X479" s="14">
        <f t="shared" si="113"/>
        <v>1</v>
      </c>
      <c r="Y479" s="14">
        <f t="shared" si="114"/>
        <v>2</v>
      </c>
      <c r="Z479" s="14">
        <f t="shared" si="115"/>
        <v>0</v>
      </c>
      <c r="AA479" s="14" t="str">
        <f t="shared" si="116"/>
        <v>AtkExt</v>
      </c>
      <c r="AB479" s="14">
        <f t="shared" si="110"/>
        <v>366</v>
      </c>
      <c r="AC479" s="14" t="str">
        <f t="shared" si="117"/>
        <v>DefExt</v>
      </c>
      <c r="AD479" s="14">
        <f t="shared" si="118"/>
        <v>366</v>
      </c>
      <c r="AE479" s="14" t="str">
        <f t="shared" si="119"/>
        <v>[x]</v>
      </c>
      <c r="AF479" s="27" t="str">
        <f t="shared" si="120"/>
        <v>[x]</v>
      </c>
      <c r="AG479" s="27" t="str">
        <f t="shared" si="121"/>
        <v>[x]</v>
      </c>
    </row>
    <row r="480" spans="16:33" ht="16.5" x14ac:dyDescent="0.2">
      <c r="P480" s="13">
        <v>424</v>
      </c>
      <c r="Q480" s="14">
        <f t="shared" si="106"/>
        <v>23</v>
      </c>
      <c r="R480" s="14">
        <f t="shared" si="107"/>
        <v>1606029</v>
      </c>
      <c r="S480" s="14" t="str">
        <f t="shared" si="111"/>
        <v>神器5碎片3等级10</v>
      </c>
      <c r="T480" s="29" t="s">
        <v>649</v>
      </c>
      <c r="U480" s="14">
        <f t="shared" si="108"/>
        <v>10</v>
      </c>
      <c r="V480" s="36">
        <f t="shared" si="112"/>
        <v>0.85000000000000009</v>
      </c>
      <c r="W480" s="17">
        <f t="shared" si="109"/>
        <v>1.7000000000000001E-2</v>
      </c>
      <c r="X480" s="14">
        <f t="shared" si="113"/>
        <v>1</v>
      </c>
      <c r="Y480" s="14">
        <f t="shared" si="114"/>
        <v>2</v>
      </c>
      <c r="Z480" s="14">
        <f t="shared" si="115"/>
        <v>0</v>
      </c>
      <c r="AA480" s="14" t="str">
        <f t="shared" si="116"/>
        <v>AtkExt</v>
      </c>
      <c r="AB480" s="14">
        <f t="shared" si="110"/>
        <v>409</v>
      </c>
      <c r="AC480" s="14" t="str">
        <f t="shared" si="117"/>
        <v>DefExt</v>
      </c>
      <c r="AD480" s="14">
        <f t="shared" si="118"/>
        <v>408</v>
      </c>
      <c r="AE480" s="14" t="str">
        <f t="shared" si="119"/>
        <v>[x]</v>
      </c>
      <c r="AF480" s="27" t="str">
        <f t="shared" si="120"/>
        <v>[x]</v>
      </c>
      <c r="AG480" s="27" t="str">
        <f t="shared" si="121"/>
        <v>[x]</v>
      </c>
    </row>
    <row r="481" spans="16:33" ht="16.5" x14ac:dyDescent="0.2">
      <c r="P481" s="13">
        <v>425</v>
      </c>
      <c r="Q481" s="14">
        <f t="shared" si="106"/>
        <v>23</v>
      </c>
      <c r="R481" s="14">
        <f t="shared" si="107"/>
        <v>1606029</v>
      </c>
      <c r="S481" s="14" t="str">
        <f t="shared" si="111"/>
        <v>神器5碎片3等级11</v>
      </c>
      <c r="T481" s="29" t="s">
        <v>649</v>
      </c>
      <c r="U481" s="14">
        <f t="shared" si="108"/>
        <v>11</v>
      </c>
      <c r="V481" s="36">
        <f t="shared" si="112"/>
        <v>0.94200000000000006</v>
      </c>
      <c r="W481" s="17">
        <f t="shared" si="109"/>
        <v>1.8840000000000003E-2</v>
      </c>
      <c r="X481" s="14">
        <f t="shared" si="113"/>
        <v>1</v>
      </c>
      <c r="Y481" s="14">
        <f t="shared" si="114"/>
        <v>2</v>
      </c>
      <c r="Z481" s="14">
        <f t="shared" si="115"/>
        <v>0</v>
      </c>
      <c r="AA481" s="14" t="str">
        <f t="shared" si="116"/>
        <v>AtkExt</v>
      </c>
      <c r="AB481" s="14">
        <f t="shared" si="110"/>
        <v>453</v>
      </c>
      <c r="AC481" s="14" t="str">
        <f t="shared" si="117"/>
        <v>DefExt</v>
      </c>
      <c r="AD481" s="14">
        <f t="shared" si="118"/>
        <v>452</v>
      </c>
      <c r="AE481" s="14" t="str">
        <f t="shared" si="119"/>
        <v>[x]</v>
      </c>
      <c r="AF481" s="27" t="str">
        <f t="shared" si="120"/>
        <v>[x]</v>
      </c>
      <c r="AG481" s="27" t="str">
        <f t="shared" si="121"/>
        <v>[x]</v>
      </c>
    </row>
    <row r="482" spans="16:33" ht="16.5" x14ac:dyDescent="0.2">
      <c r="P482" s="13">
        <v>426</v>
      </c>
      <c r="Q482" s="14">
        <f t="shared" si="106"/>
        <v>23</v>
      </c>
      <c r="R482" s="14">
        <f t="shared" si="107"/>
        <v>1606029</v>
      </c>
      <c r="S482" s="14" t="str">
        <f t="shared" si="111"/>
        <v>神器5碎片3等级12</v>
      </c>
      <c r="T482" s="29" t="s">
        <v>649</v>
      </c>
      <c r="U482" s="14">
        <f t="shared" si="108"/>
        <v>12</v>
      </c>
      <c r="V482" s="36">
        <f t="shared" si="112"/>
        <v>1.0380000000000003</v>
      </c>
      <c r="W482" s="17">
        <f t="shared" si="109"/>
        <v>2.0760000000000004E-2</v>
      </c>
      <c r="X482" s="14">
        <f t="shared" si="113"/>
        <v>1</v>
      </c>
      <c r="Y482" s="14">
        <f t="shared" si="114"/>
        <v>2</v>
      </c>
      <c r="Z482" s="14">
        <f t="shared" si="115"/>
        <v>0</v>
      </c>
      <c r="AA482" s="14" t="str">
        <f t="shared" si="116"/>
        <v>AtkExt</v>
      </c>
      <c r="AB482" s="14">
        <f t="shared" si="110"/>
        <v>499</v>
      </c>
      <c r="AC482" s="14" t="str">
        <f t="shared" si="117"/>
        <v>DefExt</v>
      </c>
      <c r="AD482" s="14">
        <f t="shared" si="118"/>
        <v>498</v>
      </c>
      <c r="AE482" s="14" t="str">
        <f t="shared" si="119"/>
        <v>[x]</v>
      </c>
      <c r="AF482" s="27" t="str">
        <f t="shared" si="120"/>
        <v>[x]</v>
      </c>
      <c r="AG482" s="27" t="str">
        <f t="shared" si="121"/>
        <v>[x]</v>
      </c>
    </row>
    <row r="483" spans="16:33" ht="16.5" x14ac:dyDescent="0.2">
      <c r="P483" s="13">
        <v>427</v>
      </c>
      <c r="Q483" s="14">
        <f t="shared" si="106"/>
        <v>23</v>
      </c>
      <c r="R483" s="14">
        <f t="shared" si="107"/>
        <v>1606029</v>
      </c>
      <c r="S483" s="14" t="str">
        <f t="shared" si="111"/>
        <v>神器5碎片3等级13</v>
      </c>
      <c r="T483" s="29" t="s">
        <v>649</v>
      </c>
      <c r="U483" s="14">
        <f t="shared" si="108"/>
        <v>13</v>
      </c>
      <c r="V483" s="36">
        <f t="shared" si="112"/>
        <v>1.1380000000000001</v>
      </c>
      <c r="W483" s="17">
        <f t="shared" si="109"/>
        <v>2.2760000000000002E-2</v>
      </c>
      <c r="X483" s="14">
        <f t="shared" si="113"/>
        <v>1</v>
      </c>
      <c r="Y483" s="14">
        <f t="shared" si="114"/>
        <v>2</v>
      </c>
      <c r="Z483" s="14">
        <f t="shared" si="115"/>
        <v>0</v>
      </c>
      <c r="AA483" s="14" t="str">
        <f t="shared" si="116"/>
        <v>AtkExt</v>
      </c>
      <c r="AB483" s="14">
        <f t="shared" si="110"/>
        <v>548</v>
      </c>
      <c r="AC483" s="14" t="str">
        <f t="shared" si="117"/>
        <v>DefExt</v>
      </c>
      <c r="AD483" s="14">
        <f t="shared" si="118"/>
        <v>546</v>
      </c>
      <c r="AE483" s="14" t="str">
        <f t="shared" si="119"/>
        <v>[x]</v>
      </c>
      <c r="AF483" s="27" t="str">
        <f t="shared" si="120"/>
        <v>[x]</v>
      </c>
      <c r="AG483" s="27" t="str">
        <f t="shared" si="121"/>
        <v>[x]</v>
      </c>
    </row>
    <row r="484" spans="16:33" ht="16.5" x14ac:dyDescent="0.2">
      <c r="P484" s="13">
        <v>428</v>
      </c>
      <c r="Q484" s="14">
        <f t="shared" si="106"/>
        <v>23</v>
      </c>
      <c r="R484" s="14">
        <f t="shared" si="107"/>
        <v>1606029</v>
      </c>
      <c r="S484" s="14" t="str">
        <f t="shared" si="111"/>
        <v>神器5碎片3等级14</v>
      </c>
      <c r="T484" s="29" t="s">
        <v>649</v>
      </c>
      <c r="U484" s="14">
        <f t="shared" si="108"/>
        <v>14</v>
      </c>
      <c r="V484" s="36">
        <f t="shared" si="112"/>
        <v>1.242</v>
      </c>
      <c r="W484" s="17">
        <f t="shared" si="109"/>
        <v>2.4840000000000001E-2</v>
      </c>
      <c r="X484" s="14">
        <f t="shared" si="113"/>
        <v>1</v>
      </c>
      <c r="Y484" s="14">
        <f t="shared" si="114"/>
        <v>2</v>
      </c>
      <c r="Z484" s="14">
        <f t="shared" si="115"/>
        <v>0</v>
      </c>
      <c r="AA484" s="14" t="str">
        <f t="shared" si="116"/>
        <v>AtkExt</v>
      </c>
      <c r="AB484" s="14">
        <f t="shared" si="110"/>
        <v>598</v>
      </c>
      <c r="AC484" s="14" t="str">
        <f t="shared" si="117"/>
        <v>DefExt</v>
      </c>
      <c r="AD484" s="14">
        <f t="shared" si="118"/>
        <v>596</v>
      </c>
      <c r="AE484" s="14" t="str">
        <f t="shared" si="119"/>
        <v>[x]</v>
      </c>
      <c r="AF484" s="27" t="str">
        <f t="shared" si="120"/>
        <v>[x]</v>
      </c>
      <c r="AG484" s="27" t="str">
        <f t="shared" si="121"/>
        <v>[x]</v>
      </c>
    </row>
    <row r="485" spans="16:33" ht="16.5" x14ac:dyDescent="0.2">
      <c r="P485" s="13">
        <v>429</v>
      </c>
      <c r="Q485" s="14">
        <f t="shared" si="106"/>
        <v>23</v>
      </c>
      <c r="R485" s="14">
        <f t="shared" si="107"/>
        <v>1606029</v>
      </c>
      <c r="S485" s="14" t="str">
        <f t="shared" si="111"/>
        <v>神器5碎片3等级15</v>
      </c>
      <c r="T485" s="29" t="s">
        <v>649</v>
      </c>
      <c r="U485" s="14">
        <f t="shared" si="108"/>
        <v>15</v>
      </c>
      <c r="V485" s="36">
        <f t="shared" si="112"/>
        <v>1.35</v>
      </c>
      <c r="W485" s="17">
        <f t="shared" si="109"/>
        <v>2.7000000000000003E-2</v>
      </c>
      <c r="X485" s="14">
        <f t="shared" si="113"/>
        <v>1</v>
      </c>
      <c r="Y485" s="14">
        <f t="shared" si="114"/>
        <v>2</v>
      </c>
      <c r="Z485" s="14">
        <f t="shared" si="115"/>
        <v>0</v>
      </c>
      <c r="AA485" s="14" t="str">
        <f t="shared" si="116"/>
        <v>AtkExt</v>
      </c>
      <c r="AB485" s="14">
        <f t="shared" si="110"/>
        <v>650</v>
      </c>
      <c r="AC485" s="14" t="str">
        <f t="shared" si="117"/>
        <v>DefExt</v>
      </c>
      <c r="AD485" s="14">
        <f t="shared" si="118"/>
        <v>648</v>
      </c>
      <c r="AE485" s="14" t="str">
        <f t="shared" si="119"/>
        <v>[x]</v>
      </c>
      <c r="AF485" s="27" t="str">
        <f t="shared" si="120"/>
        <v>[x]</v>
      </c>
      <c r="AG485" s="27" t="str">
        <f t="shared" si="121"/>
        <v>[x]</v>
      </c>
    </row>
    <row r="486" spans="16:33" ht="16.5" x14ac:dyDescent="0.2">
      <c r="P486" s="13">
        <v>430</v>
      </c>
      <c r="Q486" s="14">
        <f t="shared" si="106"/>
        <v>23</v>
      </c>
      <c r="R486" s="14">
        <f t="shared" si="107"/>
        <v>1606029</v>
      </c>
      <c r="S486" s="14" t="str">
        <f t="shared" si="111"/>
        <v>神器5碎片3等级16</v>
      </c>
      <c r="T486" s="29" t="s">
        <v>649</v>
      </c>
      <c r="U486" s="14">
        <f t="shared" si="108"/>
        <v>16</v>
      </c>
      <c r="V486" s="36">
        <f t="shared" si="112"/>
        <v>1.4620000000000002</v>
      </c>
      <c r="W486" s="17">
        <f t="shared" si="109"/>
        <v>2.9240000000000006E-2</v>
      </c>
      <c r="X486" s="14">
        <f t="shared" si="113"/>
        <v>1</v>
      </c>
      <c r="Y486" s="14">
        <f t="shared" si="114"/>
        <v>2</v>
      </c>
      <c r="Z486" s="14">
        <f t="shared" si="115"/>
        <v>0</v>
      </c>
      <c r="AA486" s="14" t="str">
        <f t="shared" si="116"/>
        <v>AtkExt</v>
      </c>
      <c r="AB486" s="14">
        <f t="shared" si="110"/>
        <v>704</v>
      </c>
      <c r="AC486" s="14" t="str">
        <f t="shared" si="117"/>
        <v>DefExt</v>
      </c>
      <c r="AD486" s="14">
        <f t="shared" si="118"/>
        <v>702</v>
      </c>
      <c r="AE486" s="14" t="str">
        <f t="shared" si="119"/>
        <v>[x]</v>
      </c>
      <c r="AF486" s="27" t="str">
        <f t="shared" si="120"/>
        <v>[x]</v>
      </c>
      <c r="AG486" s="27" t="str">
        <f t="shared" si="121"/>
        <v>[x]</v>
      </c>
    </row>
    <row r="487" spans="16:33" ht="16.5" x14ac:dyDescent="0.2">
      <c r="P487" s="13">
        <v>431</v>
      </c>
      <c r="Q487" s="14">
        <f t="shared" si="106"/>
        <v>23</v>
      </c>
      <c r="R487" s="14">
        <f t="shared" si="107"/>
        <v>1606029</v>
      </c>
      <c r="S487" s="14" t="str">
        <f t="shared" si="111"/>
        <v>神器5碎片3等级17</v>
      </c>
      <c r="T487" s="29" t="s">
        <v>649</v>
      </c>
      <c r="U487" s="14">
        <f t="shared" si="108"/>
        <v>17</v>
      </c>
      <c r="V487" s="36">
        <f t="shared" si="112"/>
        <v>1.5779999999999998</v>
      </c>
      <c r="W487" s="17">
        <f t="shared" si="109"/>
        <v>3.1559999999999998E-2</v>
      </c>
      <c r="X487" s="14">
        <f t="shared" si="113"/>
        <v>1</v>
      </c>
      <c r="Y487" s="14">
        <f t="shared" si="114"/>
        <v>2</v>
      </c>
      <c r="Z487" s="14">
        <f t="shared" si="115"/>
        <v>0</v>
      </c>
      <c r="AA487" s="14" t="str">
        <f t="shared" si="116"/>
        <v>AtkExt</v>
      </c>
      <c r="AB487" s="14">
        <f t="shared" si="110"/>
        <v>759</v>
      </c>
      <c r="AC487" s="14" t="str">
        <f t="shared" si="117"/>
        <v>DefExt</v>
      </c>
      <c r="AD487" s="14">
        <f t="shared" si="118"/>
        <v>757</v>
      </c>
      <c r="AE487" s="14" t="str">
        <f t="shared" si="119"/>
        <v>[x]</v>
      </c>
      <c r="AF487" s="27" t="str">
        <f t="shared" si="120"/>
        <v>[x]</v>
      </c>
      <c r="AG487" s="27" t="str">
        <f t="shared" si="121"/>
        <v>[x]</v>
      </c>
    </row>
    <row r="488" spans="16:33" ht="16.5" x14ac:dyDescent="0.2">
      <c r="P488" s="13">
        <v>432</v>
      </c>
      <c r="Q488" s="14">
        <f t="shared" si="106"/>
        <v>23</v>
      </c>
      <c r="R488" s="14">
        <f t="shared" si="107"/>
        <v>1606029</v>
      </c>
      <c r="S488" s="14" t="str">
        <f t="shared" si="111"/>
        <v>神器5碎片3等级18</v>
      </c>
      <c r="T488" s="29" t="s">
        <v>649</v>
      </c>
      <c r="U488" s="14">
        <f t="shared" si="108"/>
        <v>18</v>
      </c>
      <c r="V488" s="36">
        <f t="shared" si="112"/>
        <v>1.698</v>
      </c>
      <c r="W488" s="17">
        <f t="shared" si="109"/>
        <v>3.3959999999999997E-2</v>
      </c>
      <c r="X488" s="14">
        <f t="shared" si="113"/>
        <v>1</v>
      </c>
      <c r="Y488" s="14">
        <f t="shared" si="114"/>
        <v>2</v>
      </c>
      <c r="Z488" s="14">
        <f t="shared" si="115"/>
        <v>0</v>
      </c>
      <c r="AA488" s="14" t="str">
        <f t="shared" si="116"/>
        <v>AtkExt</v>
      </c>
      <c r="AB488" s="14">
        <f t="shared" si="110"/>
        <v>817</v>
      </c>
      <c r="AC488" s="14" t="str">
        <f t="shared" si="117"/>
        <v>DefExt</v>
      </c>
      <c r="AD488" s="14">
        <f t="shared" si="118"/>
        <v>815</v>
      </c>
      <c r="AE488" s="14" t="str">
        <f t="shared" si="119"/>
        <v>[x]</v>
      </c>
      <c r="AF488" s="27" t="str">
        <f t="shared" si="120"/>
        <v>[x]</v>
      </c>
      <c r="AG488" s="27" t="str">
        <f t="shared" si="121"/>
        <v>[x]</v>
      </c>
    </row>
    <row r="489" spans="16:33" ht="16.5" x14ac:dyDescent="0.2">
      <c r="P489" s="13">
        <v>433</v>
      </c>
      <c r="Q489" s="14">
        <f t="shared" si="106"/>
        <v>23</v>
      </c>
      <c r="R489" s="14">
        <f t="shared" si="107"/>
        <v>1606029</v>
      </c>
      <c r="S489" s="14" t="str">
        <f t="shared" si="111"/>
        <v>神器5碎片3等级19</v>
      </c>
      <c r="T489" s="29" t="s">
        <v>649</v>
      </c>
      <c r="U489" s="14">
        <f t="shared" si="108"/>
        <v>19</v>
      </c>
      <c r="V489" s="36">
        <f t="shared" si="112"/>
        <v>1.8220000000000001</v>
      </c>
      <c r="W489" s="17">
        <f t="shared" si="109"/>
        <v>3.644E-2</v>
      </c>
      <c r="X489" s="14">
        <f t="shared" si="113"/>
        <v>1</v>
      </c>
      <c r="Y489" s="14">
        <f t="shared" si="114"/>
        <v>2</v>
      </c>
      <c r="Z489" s="14">
        <f t="shared" si="115"/>
        <v>0</v>
      </c>
      <c r="AA489" s="14" t="str">
        <f t="shared" si="116"/>
        <v>AtkExt</v>
      </c>
      <c r="AB489" s="14">
        <f t="shared" si="110"/>
        <v>877</v>
      </c>
      <c r="AC489" s="14" t="str">
        <f t="shared" si="117"/>
        <v>DefExt</v>
      </c>
      <c r="AD489" s="14">
        <f t="shared" si="118"/>
        <v>875</v>
      </c>
      <c r="AE489" s="14" t="str">
        <f t="shared" si="119"/>
        <v>[x]</v>
      </c>
      <c r="AF489" s="27" t="str">
        <f t="shared" si="120"/>
        <v>[x]</v>
      </c>
      <c r="AG489" s="27" t="str">
        <f t="shared" si="121"/>
        <v>[x]</v>
      </c>
    </row>
    <row r="490" spans="16:33" ht="16.5" x14ac:dyDescent="0.2">
      <c r="P490" s="13">
        <v>434</v>
      </c>
      <c r="Q490" s="14">
        <f t="shared" si="106"/>
        <v>23</v>
      </c>
      <c r="R490" s="14">
        <f t="shared" si="107"/>
        <v>1606029</v>
      </c>
      <c r="S490" s="14" t="str">
        <f t="shared" si="111"/>
        <v>神器5碎片3等级20</v>
      </c>
      <c r="T490" s="29" t="s">
        <v>649</v>
      </c>
      <c r="U490" s="14">
        <f t="shared" si="108"/>
        <v>20</v>
      </c>
      <c r="V490" s="36">
        <f t="shared" si="112"/>
        <v>1.95</v>
      </c>
      <c r="W490" s="17">
        <f t="shared" si="109"/>
        <v>3.9E-2</v>
      </c>
      <c r="X490" s="14">
        <f t="shared" si="113"/>
        <v>1</v>
      </c>
      <c r="Y490" s="14">
        <f t="shared" si="114"/>
        <v>2</v>
      </c>
      <c r="Z490" s="14">
        <f t="shared" si="115"/>
        <v>0</v>
      </c>
      <c r="AA490" s="14" t="str">
        <f t="shared" si="116"/>
        <v>AtkExt</v>
      </c>
      <c r="AB490" s="14">
        <f t="shared" si="110"/>
        <v>939</v>
      </c>
      <c r="AC490" s="14" t="str">
        <f t="shared" si="117"/>
        <v>DefExt</v>
      </c>
      <c r="AD490" s="14">
        <f t="shared" si="118"/>
        <v>936</v>
      </c>
      <c r="AE490" s="14" t="str">
        <f t="shared" si="119"/>
        <v>[x]</v>
      </c>
      <c r="AF490" s="27" t="str">
        <f t="shared" si="120"/>
        <v>[x]</v>
      </c>
      <c r="AG490" s="27" t="str">
        <f t="shared" si="121"/>
        <v>[x]</v>
      </c>
    </row>
    <row r="491" spans="16:33" ht="16.5" x14ac:dyDescent="0.2">
      <c r="P491" s="13">
        <v>435</v>
      </c>
      <c r="Q491" s="14">
        <f t="shared" si="106"/>
        <v>23</v>
      </c>
      <c r="R491" s="14">
        <f t="shared" si="107"/>
        <v>1606029</v>
      </c>
      <c r="S491" s="14" t="str">
        <f t="shared" si="111"/>
        <v>神器5碎片3等级21</v>
      </c>
      <c r="T491" s="29" t="s">
        <v>649</v>
      </c>
      <c r="U491" s="14">
        <f t="shared" si="108"/>
        <v>21</v>
      </c>
      <c r="V491" s="36">
        <f t="shared" si="112"/>
        <v>2.0819999999999999</v>
      </c>
      <c r="W491" s="17">
        <f t="shared" si="109"/>
        <v>4.1639999999999996E-2</v>
      </c>
      <c r="X491" s="14">
        <f t="shared" si="113"/>
        <v>1</v>
      </c>
      <c r="Y491" s="14">
        <f t="shared" si="114"/>
        <v>2</v>
      </c>
      <c r="Z491" s="14">
        <f t="shared" si="115"/>
        <v>0</v>
      </c>
      <c r="AA491" s="14" t="str">
        <f t="shared" si="116"/>
        <v>AtkExt</v>
      </c>
      <c r="AB491" s="14">
        <f t="shared" si="110"/>
        <v>1002</v>
      </c>
      <c r="AC491" s="14" t="str">
        <f t="shared" si="117"/>
        <v>DefExt</v>
      </c>
      <c r="AD491" s="14">
        <f t="shared" si="118"/>
        <v>1000</v>
      </c>
      <c r="AE491" s="14" t="str">
        <f t="shared" si="119"/>
        <v>[x]</v>
      </c>
      <c r="AF491" s="27" t="str">
        <f t="shared" si="120"/>
        <v>[x]</v>
      </c>
      <c r="AG491" s="27" t="str">
        <f t="shared" si="121"/>
        <v>[x]</v>
      </c>
    </row>
    <row r="492" spans="16:33" ht="16.5" x14ac:dyDescent="0.2">
      <c r="P492" s="13">
        <v>436</v>
      </c>
      <c r="Q492" s="14">
        <f t="shared" si="106"/>
        <v>24</v>
      </c>
      <c r="R492" s="14">
        <f t="shared" si="107"/>
        <v>1606030</v>
      </c>
      <c r="S492" s="14" t="str">
        <f t="shared" si="111"/>
        <v>神器5碎片4等级1</v>
      </c>
      <c r="T492" s="29" t="s">
        <v>649</v>
      </c>
      <c r="U492" s="14">
        <f t="shared" si="108"/>
        <v>1</v>
      </c>
      <c r="V492" s="36">
        <f t="shared" si="112"/>
        <v>0.20200000000000001</v>
      </c>
      <c r="W492" s="17">
        <f t="shared" si="109"/>
        <v>4.0400000000000002E-3</v>
      </c>
      <c r="X492" s="14">
        <f t="shared" si="113"/>
        <v>2</v>
      </c>
      <c r="Y492" s="14">
        <f t="shared" si="114"/>
        <v>3</v>
      </c>
      <c r="Z492" s="14">
        <f t="shared" si="115"/>
        <v>0</v>
      </c>
      <c r="AA492" s="14" t="str">
        <f t="shared" si="116"/>
        <v>DefExt</v>
      </c>
      <c r="AB492" s="14">
        <f t="shared" si="110"/>
        <v>97</v>
      </c>
      <c r="AC492" s="14" t="str">
        <f t="shared" si="117"/>
        <v>HPExt</v>
      </c>
      <c r="AD492" s="14">
        <f t="shared" si="118"/>
        <v>292</v>
      </c>
      <c r="AE492" s="14" t="str">
        <f t="shared" si="119"/>
        <v>[x]</v>
      </c>
      <c r="AF492" s="27" t="str">
        <f t="shared" si="120"/>
        <v>[x]</v>
      </c>
      <c r="AG492" s="27" t="str">
        <f t="shared" si="121"/>
        <v>[x]</v>
      </c>
    </row>
    <row r="493" spans="16:33" ht="16.5" x14ac:dyDescent="0.2">
      <c r="P493" s="13">
        <v>437</v>
      </c>
      <c r="Q493" s="14">
        <f t="shared" si="106"/>
        <v>24</v>
      </c>
      <c r="R493" s="14">
        <f t="shared" si="107"/>
        <v>1606030</v>
      </c>
      <c r="S493" s="14" t="str">
        <f t="shared" si="111"/>
        <v>神器5碎片4等级2</v>
      </c>
      <c r="T493" s="29" t="s">
        <v>649</v>
      </c>
      <c r="U493" s="14">
        <f t="shared" si="108"/>
        <v>2</v>
      </c>
      <c r="V493" s="36">
        <f t="shared" si="112"/>
        <v>0.25800000000000001</v>
      </c>
      <c r="W493" s="17">
        <f t="shared" si="109"/>
        <v>5.1600000000000005E-3</v>
      </c>
      <c r="X493" s="14">
        <f t="shared" si="113"/>
        <v>2</v>
      </c>
      <c r="Y493" s="14">
        <f t="shared" si="114"/>
        <v>3</v>
      </c>
      <c r="Z493" s="14">
        <f t="shared" si="115"/>
        <v>0</v>
      </c>
      <c r="AA493" s="14" t="str">
        <f t="shared" si="116"/>
        <v>DefExt</v>
      </c>
      <c r="AB493" s="14">
        <f t="shared" si="110"/>
        <v>123</v>
      </c>
      <c r="AC493" s="14" t="str">
        <f t="shared" si="117"/>
        <v>HPExt</v>
      </c>
      <c r="AD493" s="14">
        <f t="shared" si="118"/>
        <v>373</v>
      </c>
      <c r="AE493" s="14" t="str">
        <f t="shared" si="119"/>
        <v>[x]</v>
      </c>
      <c r="AF493" s="27" t="str">
        <f t="shared" si="120"/>
        <v>[x]</v>
      </c>
      <c r="AG493" s="27" t="str">
        <f t="shared" si="121"/>
        <v>[x]</v>
      </c>
    </row>
    <row r="494" spans="16:33" ht="16.5" x14ac:dyDescent="0.2">
      <c r="P494" s="13">
        <v>438</v>
      </c>
      <c r="Q494" s="14">
        <f t="shared" si="106"/>
        <v>24</v>
      </c>
      <c r="R494" s="14">
        <f t="shared" si="107"/>
        <v>1606030</v>
      </c>
      <c r="S494" s="14" t="str">
        <f t="shared" si="111"/>
        <v>神器5碎片4等级3</v>
      </c>
      <c r="T494" s="29" t="s">
        <v>649</v>
      </c>
      <c r="U494" s="14">
        <f t="shared" si="108"/>
        <v>3</v>
      </c>
      <c r="V494" s="36">
        <f t="shared" si="112"/>
        <v>0.31800000000000006</v>
      </c>
      <c r="W494" s="17">
        <f t="shared" si="109"/>
        <v>6.3600000000000011E-3</v>
      </c>
      <c r="X494" s="14">
        <f t="shared" si="113"/>
        <v>2</v>
      </c>
      <c r="Y494" s="14">
        <f t="shared" si="114"/>
        <v>3</v>
      </c>
      <c r="Z494" s="14">
        <f t="shared" si="115"/>
        <v>0</v>
      </c>
      <c r="AA494" s="14" t="str">
        <f t="shared" si="116"/>
        <v>DefExt</v>
      </c>
      <c r="AB494" s="14">
        <f t="shared" si="110"/>
        <v>152</v>
      </c>
      <c r="AC494" s="14" t="str">
        <f t="shared" si="117"/>
        <v>HPExt</v>
      </c>
      <c r="AD494" s="14">
        <f t="shared" si="118"/>
        <v>460</v>
      </c>
      <c r="AE494" s="14" t="str">
        <f t="shared" si="119"/>
        <v>[x]</v>
      </c>
      <c r="AF494" s="27" t="str">
        <f t="shared" si="120"/>
        <v>[x]</v>
      </c>
      <c r="AG494" s="27" t="str">
        <f t="shared" si="121"/>
        <v>[x]</v>
      </c>
    </row>
    <row r="495" spans="16:33" ht="16.5" x14ac:dyDescent="0.2">
      <c r="P495" s="13">
        <v>439</v>
      </c>
      <c r="Q495" s="14">
        <f t="shared" si="106"/>
        <v>24</v>
      </c>
      <c r="R495" s="14">
        <f t="shared" si="107"/>
        <v>1606030</v>
      </c>
      <c r="S495" s="14" t="str">
        <f t="shared" si="111"/>
        <v>神器5碎片4等级4</v>
      </c>
      <c r="T495" s="29" t="s">
        <v>649</v>
      </c>
      <c r="U495" s="14">
        <f t="shared" si="108"/>
        <v>4</v>
      </c>
      <c r="V495" s="36">
        <f t="shared" si="112"/>
        <v>0.38200000000000001</v>
      </c>
      <c r="W495" s="17">
        <f t="shared" si="109"/>
        <v>7.6400000000000001E-3</v>
      </c>
      <c r="X495" s="14">
        <f t="shared" si="113"/>
        <v>2</v>
      </c>
      <c r="Y495" s="14">
        <f t="shared" si="114"/>
        <v>3</v>
      </c>
      <c r="Z495" s="14">
        <f t="shared" si="115"/>
        <v>0</v>
      </c>
      <c r="AA495" s="14" t="str">
        <f t="shared" si="116"/>
        <v>DefExt</v>
      </c>
      <c r="AB495" s="14">
        <f t="shared" si="110"/>
        <v>183</v>
      </c>
      <c r="AC495" s="14" t="str">
        <f t="shared" si="117"/>
        <v>HPExt</v>
      </c>
      <c r="AD495" s="14">
        <f t="shared" si="118"/>
        <v>553</v>
      </c>
      <c r="AE495" s="14" t="str">
        <f t="shared" si="119"/>
        <v>[x]</v>
      </c>
      <c r="AF495" s="27" t="str">
        <f t="shared" si="120"/>
        <v>[x]</v>
      </c>
      <c r="AG495" s="27" t="str">
        <f t="shared" si="121"/>
        <v>[x]</v>
      </c>
    </row>
    <row r="496" spans="16:33" ht="16.5" x14ac:dyDescent="0.2">
      <c r="P496" s="13">
        <v>440</v>
      </c>
      <c r="Q496" s="14">
        <f t="shared" si="106"/>
        <v>24</v>
      </c>
      <c r="R496" s="14">
        <f t="shared" si="107"/>
        <v>1606030</v>
      </c>
      <c r="S496" s="14" t="str">
        <f t="shared" si="111"/>
        <v>神器5碎片4等级5</v>
      </c>
      <c r="T496" s="29" t="s">
        <v>649</v>
      </c>
      <c r="U496" s="14">
        <f t="shared" si="108"/>
        <v>5</v>
      </c>
      <c r="V496" s="36">
        <f t="shared" si="112"/>
        <v>0.45</v>
      </c>
      <c r="W496" s="17">
        <f t="shared" si="109"/>
        <v>9.0000000000000011E-3</v>
      </c>
      <c r="X496" s="14">
        <f t="shared" si="113"/>
        <v>2</v>
      </c>
      <c r="Y496" s="14">
        <f t="shared" si="114"/>
        <v>3</v>
      </c>
      <c r="Z496" s="14">
        <f t="shared" si="115"/>
        <v>0</v>
      </c>
      <c r="AA496" s="14" t="str">
        <f t="shared" si="116"/>
        <v>DefExt</v>
      </c>
      <c r="AB496" s="14">
        <f t="shared" si="110"/>
        <v>216</v>
      </c>
      <c r="AC496" s="14" t="str">
        <f t="shared" si="117"/>
        <v>HPExt</v>
      </c>
      <c r="AD496" s="14">
        <f t="shared" si="118"/>
        <v>651</v>
      </c>
      <c r="AE496" s="14" t="str">
        <f t="shared" si="119"/>
        <v>[x]</v>
      </c>
      <c r="AF496" s="27" t="str">
        <f t="shared" si="120"/>
        <v>[x]</v>
      </c>
      <c r="AG496" s="27" t="str">
        <f t="shared" si="121"/>
        <v>[x]</v>
      </c>
    </row>
    <row r="497" spans="16:33" ht="16.5" x14ac:dyDescent="0.2">
      <c r="P497" s="13">
        <v>441</v>
      </c>
      <c r="Q497" s="14">
        <f t="shared" si="106"/>
        <v>24</v>
      </c>
      <c r="R497" s="14">
        <f t="shared" si="107"/>
        <v>1606030</v>
      </c>
      <c r="S497" s="14" t="str">
        <f t="shared" si="111"/>
        <v>神器5碎片4等级6</v>
      </c>
      <c r="T497" s="29" t="s">
        <v>649</v>
      </c>
      <c r="U497" s="14">
        <f t="shared" si="108"/>
        <v>6</v>
      </c>
      <c r="V497" s="36">
        <f t="shared" si="112"/>
        <v>0.52200000000000002</v>
      </c>
      <c r="W497" s="17">
        <f t="shared" si="109"/>
        <v>1.0440000000000001E-2</v>
      </c>
      <c r="X497" s="14">
        <f t="shared" si="113"/>
        <v>2</v>
      </c>
      <c r="Y497" s="14">
        <f t="shared" si="114"/>
        <v>3</v>
      </c>
      <c r="Z497" s="14">
        <f t="shared" si="115"/>
        <v>0</v>
      </c>
      <c r="AA497" s="14" t="str">
        <f t="shared" si="116"/>
        <v>DefExt</v>
      </c>
      <c r="AB497" s="14">
        <f t="shared" si="110"/>
        <v>250</v>
      </c>
      <c r="AC497" s="14" t="str">
        <f t="shared" si="117"/>
        <v>HPExt</v>
      </c>
      <c r="AD497" s="14">
        <f t="shared" si="118"/>
        <v>756</v>
      </c>
      <c r="AE497" s="14" t="str">
        <f t="shared" si="119"/>
        <v>[x]</v>
      </c>
      <c r="AF497" s="27" t="str">
        <f t="shared" si="120"/>
        <v>[x]</v>
      </c>
      <c r="AG497" s="27" t="str">
        <f t="shared" si="121"/>
        <v>[x]</v>
      </c>
    </row>
    <row r="498" spans="16:33" ht="16.5" x14ac:dyDescent="0.2">
      <c r="P498" s="13">
        <v>442</v>
      </c>
      <c r="Q498" s="14">
        <f t="shared" si="106"/>
        <v>24</v>
      </c>
      <c r="R498" s="14">
        <f t="shared" si="107"/>
        <v>1606030</v>
      </c>
      <c r="S498" s="14" t="str">
        <f t="shared" si="111"/>
        <v>神器5碎片4等级7</v>
      </c>
      <c r="T498" s="29" t="s">
        <v>649</v>
      </c>
      <c r="U498" s="14">
        <f t="shared" si="108"/>
        <v>7</v>
      </c>
      <c r="V498" s="36">
        <f t="shared" si="112"/>
        <v>0.59799999999999998</v>
      </c>
      <c r="W498" s="17">
        <f t="shared" si="109"/>
        <v>1.196E-2</v>
      </c>
      <c r="X498" s="14">
        <f t="shared" si="113"/>
        <v>2</v>
      </c>
      <c r="Y498" s="14">
        <f t="shared" si="114"/>
        <v>3</v>
      </c>
      <c r="Z498" s="14">
        <f t="shared" si="115"/>
        <v>0</v>
      </c>
      <c r="AA498" s="14" t="str">
        <f t="shared" si="116"/>
        <v>DefExt</v>
      </c>
      <c r="AB498" s="14">
        <f t="shared" si="110"/>
        <v>287</v>
      </c>
      <c r="AC498" s="14" t="str">
        <f t="shared" si="117"/>
        <v>HPExt</v>
      </c>
      <c r="AD498" s="14">
        <f t="shared" si="118"/>
        <v>866</v>
      </c>
      <c r="AE498" s="14" t="str">
        <f t="shared" si="119"/>
        <v>[x]</v>
      </c>
      <c r="AF498" s="27" t="str">
        <f t="shared" si="120"/>
        <v>[x]</v>
      </c>
      <c r="AG498" s="27" t="str">
        <f t="shared" si="121"/>
        <v>[x]</v>
      </c>
    </row>
    <row r="499" spans="16:33" ht="16.5" x14ac:dyDescent="0.2">
      <c r="P499" s="13">
        <v>443</v>
      </c>
      <c r="Q499" s="14">
        <f t="shared" si="106"/>
        <v>24</v>
      </c>
      <c r="R499" s="14">
        <f t="shared" si="107"/>
        <v>1606030</v>
      </c>
      <c r="S499" s="14" t="str">
        <f t="shared" si="111"/>
        <v>神器5碎片4等级8</v>
      </c>
      <c r="T499" s="29" t="s">
        <v>649</v>
      </c>
      <c r="U499" s="14">
        <f t="shared" si="108"/>
        <v>8</v>
      </c>
      <c r="V499" s="36">
        <f t="shared" si="112"/>
        <v>0.67800000000000005</v>
      </c>
      <c r="W499" s="17">
        <f t="shared" si="109"/>
        <v>1.3560000000000001E-2</v>
      </c>
      <c r="X499" s="14">
        <f t="shared" si="113"/>
        <v>2</v>
      </c>
      <c r="Y499" s="14">
        <f t="shared" si="114"/>
        <v>3</v>
      </c>
      <c r="Z499" s="14">
        <f t="shared" si="115"/>
        <v>0</v>
      </c>
      <c r="AA499" s="14" t="str">
        <f t="shared" si="116"/>
        <v>DefExt</v>
      </c>
      <c r="AB499" s="14">
        <f t="shared" si="110"/>
        <v>325</v>
      </c>
      <c r="AC499" s="14" t="str">
        <f t="shared" si="117"/>
        <v>HPExt</v>
      </c>
      <c r="AD499" s="14">
        <f t="shared" si="118"/>
        <v>981</v>
      </c>
      <c r="AE499" s="14" t="str">
        <f t="shared" si="119"/>
        <v>[x]</v>
      </c>
      <c r="AF499" s="27" t="str">
        <f t="shared" si="120"/>
        <v>[x]</v>
      </c>
      <c r="AG499" s="27" t="str">
        <f t="shared" si="121"/>
        <v>[x]</v>
      </c>
    </row>
    <row r="500" spans="16:33" ht="16.5" x14ac:dyDescent="0.2">
      <c r="P500" s="13">
        <v>444</v>
      </c>
      <c r="Q500" s="14">
        <f t="shared" si="106"/>
        <v>24</v>
      </c>
      <c r="R500" s="14">
        <f t="shared" si="107"/>
        <v>1606030</v>
      </c>
      <c r="S500" s="14" t="str">
        <f t="shared" si="111"/>
        <v>神器5碎片4等级9</v>
      </c>
      <c r="T500" s="29" t="s">
        <v>649</v>
      </c>
      <c r="U500" s="14">
        <f t="shared" si="108"/>
        <v>9</v>
      </c>
      <c r="V500" s="36">
        <f t="shared" si="112"/>
        <v>0.76200000000000001</v>
      </c>
      <c r="W500" s="17">
        <f t="shared" si="109"/>
        <v>1.524E-2</v>
      </c>
      <c r="X500" s="14">
        <f t="shared" si="113"/>
        <v>2</v>
      </c>
      <c r="Y500" s="14">
        <f t="shared" si="114"/>
        <v>3</v>
      </c>
      <c r="Z500" s="14">
        <f t="shared" si="115"/>
        <v>0</v>
      </c>
      <c r="AA500" s="14" t="str">
        <f t="shared" si="116"/>
        <v>DefExt</v>
      </c>
      <c r="AB500" s="14">
        <f t="shared" si="110"/>
        <v>366</v>
      </c>
      <c r="AC500" s="14" t="str">
        <f t="shared" si="117"/>
        <v>HPExt</v>
      </c>
      <c r="AD500" s="14">
        <f t="shared" si="118"/>
        <v>1103</v>
      </c>
      <c r="AE500" s="14" t="str">
        <f t="shared" si="119"/>
        <v>[x]</v>
      </c>
      <c r="AF500" s="27" t="str">
        <f t="shared" si="120"/>
        <v>[x]</v>
      </c>
      <c r="AG500" s="27" t="str">
        <f t="shared" si="121"/>
        <v>[x]</v>
      </c>
    </row>
    <row r="501" spans="16:33" ht="16.5" x14ac:dyDescent="0.2">
      <c r="P501" s="13">
        <v>445</v>
      </c>
      <c r="Q501" s="14">
        <f t="shared" si="106"/>
        <v>24</v>
      </c>
      <c r="R501" s="14">
        <f t="shared" si="107"/>
        <v>1606030</v>
      </c>
      <c r="S501" s="14" t="str">
        <f t="shared" si="111"/>
        <v>神器5碎片4等级10</v>
      </c>
      <c r="T501" s="29" t="s">
        <v>649</v>
      </c>
      <c r="U501" s="14">
        <f t="shared" si="108"/>
        <v>10</v>
      </c>
      <c r="V501" s="36">
        <f t="shared" si="112"/>
        <v>0.85000000000000009</v>
      </c>
      <c r="W501" s="17">
        <f t="shared" si="109"/>
        <v>1.7000000000000001E-2</v>
      </c>
      <c r="X501" s="14">
        <f t="shared" si="113"/>
        <v>2</v>
      </c>
      <c r="Y501" s="14">
        <f t="shared" si="114"/>
        <v>3</v>
      </c>
      <c r="Z501" s="14">
        <f t="shared" si="115"/>
        <v>0</v>
      </c>
      <c r="AA501" s="14" t="str">
        <f t="shared" si="116"/>
        <v>DefExt</v>
      </c>
      <c r="AB501" s="14">
        <f t="shared" si="110"/>
        <v>408</v>
      </c>
      <c r="AC501" s="14" t="str">
        <f t="shared" si="117"/>
        <v>HPExt</v>
      </c>
      <c r="AD501" s="14">
        <f t="shared" si="118"/>
        <v>1231</v>
      </c>
      <c r="AE501" s="14" t="str">
        <f t="shared" si="119"/>
        <v>[x]</v>
      </c>
      <c r="AF501" s="27" t="str">
        <f t="shared" si="120"/>
        <v>[x]</v>
      </c>
      <c r="AG501" s="27" t="str">
        <f t="shared" si="121"/>
        <v>[x]</v>
      </c>
    </row>
    <row r="502" spans="16:33" ht="16.5" x14ac:dyDescent="0.2">
      <c r="P502" s="13">
        <v>446</v>
      </c>
      <c r="Q502" s="14">
        <f t="shared" si="106"/>
        <v>24</v>
      </c>
      <c r="R502" s="14">
        <f t="shared" si="107"/>
        <v>1606030</v>
      </c>
      <c r="S502" s="14" t="str">
        <f t="shared" si="111"/>
        <v>神器5碎片4等级11</v>
      </c>
      <c r="T502" s="29" t="s">
        <v>649</v>
      </c>
      <c r="U502" s="14">
        <f t="shared" si="108"/>
        <v>11</v>
      </c>
      <c r="V502" s="36">
        <f t="shared" si="112"/>
        <v>0.94200000000000006</v>
      </c>
      <c r="W502" s="17">
        <f t="shared" si="109"/>
        <v>1.8840000000000003E-2</v>
      </c>
      <c r="X502" s="14">
        <f t="shared" si="113"/>
        <v>2</v>
      </c>
      <c r="Y502" s="14">
        <f t="shared" si="114"/>
        <v>3</v>
      </c>
      <c r="Z502" s="14">
        <f t="shared" si="115"/>
        <v>0</v>
      </c>
      <c r="AA502" s="14" t="str">
        <f t="shared" si="116"/>
        <v>DefExt</v>
      </c>
      <c r="AB502" s="14">
        <f t="shared" si="110"/>
        <v>452</v>
      </c>
      <c r="AC502" s="14" t="str">
        <f t="shared" si="117"/>
        <v>HPExt</v>
      </c>
      <c r="AD502" s="14">
        <f t="shared" si="118"/>
        <v>1364</v>
      </c>
      <c r="AE502" s="14" t="str">
        <f t="shared" si="119"/>
        <v>[x]</v>
      </c>
      <c r="AF502" s="27" t="str">
        <f t="shared" si="120"/>
        <v>[x]</v>
      </c>
      <c r="AG502" s="27" t="str">
        <f t="shared" si="121"/>
        <v>[x]</v>
      </c>
    </row>
    <row r="503" spans="16:33" ht="16.5" x14ac:dyDescent="0.2">
      <c r="P503" s="13">
        <v>447</v>
      </c>
      <c r="Q503" s="14">
        <f t="shared" si="106"/>
        <v>24</v>
      </c>
      <c r="R503" s="14">
        <f t="shared" si="107"/>
        <v>1606030</v>
      </c>
      <c r="S503" s="14" t="str">
        <f t="shared" si="111"/>
        <v>神器5碎片4等级12</v>
      </c>
      <c r="T503" s="29" t="s">
        <v>649</v>
      </c>
      <c r="U503" s="14">
        <f t="shared" si="108"/>
        <v>12</v>
      </c>
      <c r="V503" s="36">
        <f t="shared" si="112"/>
        <v>1.0380000000000003</v>
      </c>
      <c r="W503" s="17">
        <f t="shared" si="109"/>
        <v>2.0760000000000004E-2</v>
      </c>
      <c r="X503" s="14">
        <f t="shared" si="113"/>
        <v>2</v>
      </c>
      <c r="Y503" s="14">
        <f t="shared" si="114"/>
        <v>3</v>
      </c>
      <c r="Z503" s="14">
        <f t="shared" si="115"/>
        <v>0</v>
      </c>
      <c r="AA503" s="14" t="str">
        <f t="shared" si="116"/>
        <v>DefExt</v>
      </c>
      <c r="AB503" s="14">
        <f t="shared" si="110"/>
        <v>498</v>
      </c>
      <c r="AC503" s="14" t="str">
        <f t="shared" si="117"/>
        <v>HPExt</v>
      </c>
      <c r="AD503" s="14">
        <f t="shared" si="118"/>
        <v>1503</v>
      </c>
      <c r="AE503" s="14" t="str">
        <f t="shared" si="119"/>
        <v>[x]</v>
      </c>
      <c r="AF503" s="27" t="str">
        <f t="shared" si="120"/>
        <v>[x]</v>
      </c>
      <c r="AG503" s="27" t="str">
        <f t="shared" si="121"/>
        <v>[x]</v>
      </c>
    </row>
    <row r="504" spans="16:33" ht="16.5" x14ac:dyDescent="0.2">
      <c r="P504" s="13">
        <v>448</v>
      </c>
      <c r="Q504" s="14">
        <f t="shared" si="106"/>
        <v>24</v>
      </c>
      <c r="R504" s="14">
        <f t="shared" si="107"/>
        <v>1606030</v>
      </c>
      <c r="S504" s="14" t="str">
        <f t="shared" si="111"/>
        <v>神器5碎片4等级13</v>
      </c>
      <c r="T504" s="29" t="s">
        <v>649</v>
      </c>
      <c r="U504" s="14">
        <f t="shared" si="108"/>
        <v>13</v>
      </c>
      <c r="V504" s="36">
        <f t="shared" si="112"/>
        <v>1.1380000000000001</v>
      </c>
      <c r="W504" s="17">
        <f t="shared" si="109"/>
        <v>2.2760000000000002E-2</v>
      </c>
      <c r="X504" s="14">
        <f t="shared" si="113"/>
        <v>2</v>
      </c>
      <c r="Y504" s="14">
        <f t="shared" si="114"/>
        <v>3</v>
      </c>
      <c r="Z504" s="14">
        <f t="shared" si="115"/>
        <v>0</v>
      </c>
      <c r="AA504" s="14" t="str">
        <f t="shared" si="116"/>
        <v>DefExt</v>
      </c>
      <c r="AB504" s="14">
        <f t="shared" si="110"/>
        <v>546</v>
      </c>
      <c r="AC504" s="14" t="str">
        <f t="shared" si="117"/>
        <v>HPExt</v>
      </c>
      <c r="AD504" s="14">
        <f t="shared" si="118"/>
        <v>1648</v>
      </c>
      <c r="AE504" s="14" t="str">
        <f t="shared" si="119"/>
        <v>[x]</v>
      </c>
      <c r="AF504" s="27" t="str">
        <f t="shared" si="120"/>
        <v>[x]</v>
      </c>
      <c r="AG504" s="27" t="str">
        <f t="shared" si="121"/>
        <v>[x]</v>
      </c>
    </row>
    <row r="505" spans="16:33" ht="16.5" x14ac:dyDescent="0.2">
      <c r="P505" s="13">
        <v>449</v>
      </c>
      <c r="Q505" s="14">
        <f t="shared" ref="Q505:Q568" si="122">MATCH(P505-1,$X$4:$X$46,1)</f>
        <v>24</v>
      </c>
      <c r="R505" s="14">
        <f t="shared" ref="R505:R568" si="123">INDEX($S$5:$S$46,Q505)</f>
        <v>1606030</v>
      </c>
      <c r="S505" s="14" t="str">
        <f t="shared" si="111"/>
        <v>神器5碎片4等级14</v>
      </c>
      <c r="T505" s="29" t="s">
        <v>649</v>
      </c>
      <c r="U505" s="14">
        <f t="shared" ref="U505:U568" si="124">P505-INDEX($X$4:$X$46,Q505)</f>
        <v>14</v>
      </c>
      <c r="V505" s="36">
        <f t="shared" si="112"/>
        <v>1.242</v>
      </c>
      <c r="W505" s="17">
        <f t="shared" ref="W505:W568" si="125">INDEX($V$5:$V$46,Q505)*V505</f>
        <v>2.4840000000000001E-2</v>
      </c>
      <c r="X505" s="14">
        <f t="shared" si="113"/>
        <v>2</v>
      </c>
      <c r="Y505" s="14">
        <f t="shared" si="114"/>
        <v>3</v>
      </c>
      <c r="Z505" s="14">
        <f t="shared" si="115"/>
        <v>0</v>
      </c>
      <c r="AA505" s="14" t="str">
        <f t="shared" si="116"/>
        <v>DefExt</v>
      </c>
      <c r="AB505" s="14">
        <f t="shared" ref="AB505:AB568" si="126">INT(INDEX($E$4:$G$4,X505)*W505*INDEX($Y$5:$AA$46,Q505,X505))</f>
        <v>596</v>
      </c>
      <c r="AC505" s="14" t="str">
        <f t="shared" si="117"/>
        <v>HPExt</v>
      </c>
      <c r="AD505" s="14">
        <f t="shared" si="118"/>
        <v>1798</v>
      </c>
      <c r="AE505" s="14" t="str">
        <f t="shared" si="119"/>
        <v>[x]</v>
      </c>
      <c r="AF505" s="27" t="str">
        <f t="shared" si="120"/>
        <v>[x]</v>
      </c>
      <c r="AG505" s="27" t="str">
        <f t="shared" si="121"/>
        <v>[x]</v>
      </c>
    </row>
    <row r="506" spans="16:33" ht="16.5" x14ac:dyDescent="0.2">
      <c r="P506" s="13">
        <v>450</v>
      </c>
      <c r="Q506" s="14">
        <f t="shared" si="122"/>
        <v>24</v>
      </c>
      <c r="R506" s="14">
        <f t="shared" si="123"/>
        <v>1606030</v>
      </c>
      <c r="S506" s="14" t="str">
        <f t="shared" ref="S506:S569" si="127">INDEX($P$5:$P$46,Q506)&amp;"碎片"&amp;INDEX($R$5:$R$46,Q506)&amp;"等级"&amp;U506</f>
        <v>神器5碎片4等级15</v>
      </c>
      <c r="T506" s="29" t="s">
        <v>649</v>
      </c>
      <c r="U506" s="14">
        <f t="shared" si="124"/>
        <v>15</v>
      </c>
      <c r="V506" s="36">
        <f t="shared" ref="V506:V569" si="128">15%+U506*5%+U506*U506*0.2%</f>
        <v>1.35</v>
      </c>
      <c r="W506" s="17">
        <f t="shared" si="125"/>
        <v>2.7000000000000003E-2</v>
      </c>
      <c r="X506" s="14">
        <f t="shared" ref="X506:X569" si="129">INDEX($AB$5:$AB$46,Q506)</f>
        <v>2</v>
      </c>
      <c r="Y506" s="14">
        <f t="shared" ref="Y506:Y569" si="130">INDEX(AC$5:AC$46,$Q506)</f>
        <v>3</v>
      </c>
      <c r="Z506" s="14">
        <f t="shared" ref="Z506:Z569" si="131">INDEX(AD$5:AD$46,$Q506)</f>
        <v>0</v>
      </c>
      <c r="AA506" s="14" t="str">
        <f t="shared" ref="AA506:AA569" si="132">INDEX($Y$3:$AA$3,X506)</f>
        <v>DefExt</v>
      </c>
      <c r="AB506" s="14">
        <f t="shared" si="126"/>
        <v>648</v>
      </c>
      <c r="AC506" s="14" t="str">
        <f t="shared" ref="AC506:AC569" si="133">IF(Y506&gt;0,INDEX($Y$3:$AA$3,Y506),"[x]")</f>
        <v>HPExt</v>
      </c>
      <c r="AD506" s="14">
        <f t="shared" ref="AD506:AD569" si="134">IF(Y506&gt;0,INT(INDEX($E$4:$G$4,Y506)*W506*INDEX($Y$5:$AA$46,Q506,Y506)),"[x]")</f>
        <v>1955</v>
      </c>
      <c r="AE506" s="14" t="str">
        <f t="shared" ref="AE506:AE569" si="135">IF(Z506&gt;0,INDEX($Y$3:$AA$3,Z506),"[x]")</f>
        <v>[x]</v>
      </c>
      <c r="AF506" s="27" t="str">
        <f t="shared" ref="AF506:AF569" si="136">IF(Z506&gt;0,INT(INDEX($E$4:$G$4,Z506)*W506*INDEX($Y$5:$AA$46,Q506,Z506)),"[x]")</f>
        <v>[x]</v>
      </c>
      <c r="AG506" s="27" t="str">
        <f t="shared" ref="AG506:AG569" si="137">IF(INDEX($AE$5:$AE$46,Q506)&gt;0,INDEX($AE$5:$AE$46,Q506)*U506,"[x]")</f>
        <v>[x]</v>
      </c>
    </row>
    <row r="507" spans="16:33" ht="16.5" x14ac:dyDescent="0.2">
      <c r="P507" s="13">
        <v>451</v>
      </c>
      <c r="Q507" s="14">
        <f t="shared" si="122"/>
        <v>24</v>
      </c>
      <c r="R507" s="14">
        <f t="shared" si="123"/>
        <v>1606030</v>
      </c>
      <c r="S507" s="14" t="str">
        <f t="shared" si="127"/>
        <v>神器5碎片4等级16</v>
      </c>
      <c r="T507" s="29" t="s">
        <v>649</v>
      </c>
      <c r="U507" s="14">
        <f t="shared" si="124"/>
        <v>16</v>
      </c>
      <c r="V507" s="36">
        <f t="shared" si="128"/>
        <v>1.4620000000000002</v>
      </c>
      <c r="W507" s="17">
        <f t="shared" si="125"/>
        <v>2.9240000000000006E-2</v>
      </c>
      <c r="X507" s="14">
        <f t="shared" si="129"/>
        <v>2</v>
      </c>
      <c r="Y507" s="14">
        <f t="shared" si="130"/>
        <v>3</v>
      </c>
      <c r="Z507" s="14">
        <f t="shared" si="131"/>
        <v>0</v>
      </c>
      <c r="AA507" s="14" t="str">
        <f t="shared" si="132"/>
        <v>DefExt</v>
      </c>
      <c r="AB507" s="14">
        <f t="shared" si="126"/>
        <v>702</v>
      </c>
      <c r="AC507" s="14" t="str">
        <f t="shared" si="133"/>
        <v>HPExt</v>
      </c>
      <c r="AD507" s="14">
        <f t="shared" si="134"/>
        <v>2117</v>
      </c>
      <c r="AE507" s="14" t="str">
        <f t="shared" si="135"/>
        <v>[x]</v>
      </c>
      <c r="AF507" s="27" t="str">
        <f t="shared" si="136"/>
        <v>[x]</v>
      </c>
      <c r="AG507" s="27" t="str">
        <f t="shared" si="137"/>
        <v>[x]</v>
      </c>
    </row>
    <row r="508" spans="16:33" ht="16.5" x14ac:dyDescent="0.2">
      <c r="P508" s="13">
        <v>452</v>
      </c>
      <c r="Q508" s="14">
        <f t="shared" si="122"/>
        <v>24</v>
      </c>
      <c r="R508" s="14">
        <f t="shared" si="123"/>
        <v>1606030</v>
      </c>
      <c r="S508" s="14" t="str">
        <f t="shared" si="127"/>
        <v>神器5碎片4等级17</v>
      </c>
      <c r="T508" s="29" t="s">
        <v>649</v>
      </c>
      <c r="U508" s="14">
        <f t="shared" si="124"/>
        <v>17</v>
      </c>
      <c r="V508" s="36">
        <f t="shared" si="128"/>
        <v>1.5779999999999998</v>
      </c>
      <c r="W508" s="17">
        <f t="shared" si="125"/>
        <v>3.1559999999999998E-2</v>
      </c>
      <c r="X508" s="14">
        <f t="shared" si="129"/>
        <v>2</v>
      </c>
      <c r="Y508" s="14">
        <f t="shared" si="130"/>
        <v>3</v>
      </c>
      <c r="Z508" s="14">
        <f t="shared" si="131"/>
        <v>0</v>
      </c>
      <c r="AA508" s="14" t="str">
        <f t="shared" si="132"/>
        <v>DefExt</v>
      </c>
      <c r="AB508" s="14">
        <f t="shared" si="126"/>
        <v>757</v>
      </c>
      <c r="AC508" s="14" t="str">
        <f t="shared" si="133"/>
        <v>HPExt</v>
      </c>
      <c r="AD508" s="14">
        <f t="shared" si="134"/>
        <v>2285</v>
      </c>
      <c r="AE508" s="14" t="str">
        <f t="shared" si="135"/>
        <v>[x]</v>
      </c>
      <c r="AF508" s="27" t="str">
        <f t="shared" si="136"/>
        <v>[x]</v>
      </c>
      <c r="AG508" s="27" t="str">
        <f t="shared" si="137"/>
        <v>[x]</v>
      </c>
    </row>
    <row r="509" spans="16:33" ht="16.5" x14ac:dyDescent="0.2">
      <c r="P509" s="13">
        <v>453</v>
      </c>
      <c r="Q509" s="14">
        <f t="shared" si="122"/>
        <v>24</v>
      </c>
      <c r="R509" s="14">
        <f t="shared" si="123"/>
        <v>1606030</v>
      </c>
      <c r="S509" s="14" t="str">
        <f t="shared" si="127"/>
        <v>神器5碎片4等级18</v>
      </c>
      <c r="T509" s="29" t="s">
        <v>649</v>
      </c>
      <c r="U509" s="14">
        <f t="shared" si="124"/>
        <v>18</v>
      </c>
      <c r="V509" s="36">
        <f t="shared" si="128"/>
        <v>1.698</v>
      </c>
      <c r="W509" s="17">
        <f t="shared" si="125"/>
        <v>3.3959999999999997E-2</v>
      </c>
      <c r="X509" s="14">
        <f t="shared" si="129"/>
        <v>2</v>
      </c>
      <c r="Y509" s="14">
        <f t="shared" si="130"/>
        <v>3</v>
      </c>
      <c r="Z509" s="14">
        <f t="shared" si="131"/>
        <v>0</v>
      </c>
      <c r="AA509" s="14" t="str">
        <f t="shared" si="132"/>
        <v>DefExt</v>
      </c>
      <c r="AB509" s="14">
        <f t="shared" si="126"/>
        <v>815</v>
      </c>
      <c r="AC509" s="14" t="str">
        <f t="shared" si="133"/>
        <v>HPExt</v>
      </c>
      <c r="AD509" s="14">
        <f t="shared" si="134"/>
        <v>2459</v>
      </c>
      <c r="AE509" s="14" t="str">
        <f t="shared" si="135"/>
        <v>[x]</v>
      </c>
      <c r="AF509" s="27" t="str">
        <f t="shared" si="136"/>
        <v>[x]</v>
      </c>
      <c r="AG509" s="27" t="str">
        <f t="shared" si="137"/>
        <v>[x]</v>
      </c>
    </row>
    <row r="510" spans="16:33" ht="16.5" x14ac:dyDescent="0.2">
      <c r="P510" s="13">
        <v>454</v>
      </c>
      <c r="Q510" s="14">
        <f t="shared" si="122"/>
        <v>24</v>
      </c>
      <c r="R510" s="14">
        <f t="shared" si="123"/>
        <v>1606030</v>
      </c>
      <c r="S510" s="14" t="str">
        <f t="shared" si="127"/>
        <v>神器5碎片4等级19</v>
      </c>
      <c r="T510" s="29" t="s">
        <v>649</v>
      </c>
      <c r="U510" s="14">
        <f t="shared" si="124"/>
        <v>19</v>
      </c>
      <c r="V510" s="36">
        <f t="shared" si="128"/>
        <v>1.8220000000000001</v>
      </c>
      <c r="W510" s="17">
        <f t="shared" si="125"/>
        <v>3.644E-2</v>
      </c>
      <c r="X510" s="14">
        <f t="shared" si="129"/>
        <v>2</v>
      </c>
      <c r="Y510" s="14">
        <f t="shared" si="130"/>
        <v>3</v>
      </c>
      <c r="Z510" s="14">
        <f t="shared" si="131"/>
        <v>0</v>
      </c>
      <c r="AA510" s="14" t="str">
        <f t="shared" si="132"/>
        <v>DefExt</v>
      </c>
      <c r="AB510" s="14">
        <f t="shared" si="126"/>
        <v>875</v>
      </c>
      <c r="AC510" s="14" t="str">
        <f t="shared" si="133"/>
        <v>HPExt</v>
      </c>
      <c r="AD510" s="14">
        <f t="shared" si="134"/>
        <v>2638</v>
      </c>
      <c r="AE510" s="14" t="str">
        <f t="shared" si="135"/>
        <v>[x]</v>
      </c>
      <c r="AF510" s="27" t="str">
        <f t="shared" si="136"/>
        <v>[x]</v>
      </c>
      <c r="AG510" s="27" t="str">
        <f t="shared" si="137"/>
        <v>[x]</v>
      </c>
    </row>
    <row r="511" spans="16:33" ht="16.5" x14ac:dyDescent="0.2">
      <c r="P511" s="13">
        <v>455</v>
      </c>
      <c r="Q511" s="14">
        <f t="shared" si="122"/>
        <v>24</v>
      </c>
      <c r="R511" s="14">
        <f t="shared" si="123"/>
        <v>1606030</v>
      </c>
      <c r="S511" s="14" t="str">
        <f t="shared" si="127"/>
        <v>神器5碎片4等级20</v>
      </c>
      <c r="T511" s="29" t="s">
        <v>649</v>
      </c>
      <c r="U511" s="14">
        <f t="shared" si="124"/>
        <v>20</v>
      </c>
      <c r="V511" s="36">
        <f t="shared" si="128"/>
        <v>1.95</v>
      </c>
      <c r="W511" s="17">
        <f t="shared" si="125"/>
        <v>3.9E-2</v>
      </c>
      <c r="X511" s="14">
        <f t="shared" si="129"/>
        <v>2</v>
      </c>
      <c r="Y511" s="14">
        <f t="shared" si="130"/>
        <v>3</v>
      </c>
      <c r="Z511" s="14">
        <f t="shared" si="131"/>
        <v>0</v>
      </c>
      <c r="AA511" s="14" t="str">
        <f t="shared" si="132"/>
        <v>DefExt</v>
      </c>
      <c r="AB511" s="14">
        <f t="shared" si="126"/>
        <v>936</v>
      </c>
      <c r="AC511" s="14" t="str">
        <f t="shared" si="133"/>
        <v>HPExt</v>
      </c>
      <c r="AD511" s="14">
        <f t="shared" si="134"/>
        <v>2824</v>
      </c>
      <c r="AE511" s="14" t="str">
        <f t="shared" si="135"/>
        <v>[x]</v>
      </c>
      <c r="AF511" s="27" t="str">
        <f t="shared" si="136"/>
        <v>[x]</v>
      </c>
      <c r="AG511" s="27" t="str">
        <f t="shared" si="137"/>
        <v>[x]</v>
      </c>
    </row>
    <row r="512" spans="16:33" ht="16.5" x14ac:dyDescent="0.2">
      <c r="P512" s="13">
        <v>456</v>
      </c>
      <c r="Q512" s="14">
        <f t="shared" si="122"/>
        <v>24</v>
      </c>
      <c r="R512" s="14">
        <f t="shared" si="123"/>
        <v>1606030</v>
      </c>
      <c r="S512" s="14" t="str">
        <f t="shared" si="127"/>
        <v>神器5碎片4等级21</v>
      </c>
      <c r="T512" s="29" t="s">
        <v>649</v>
      </c>
      <c r="U512" s="14">
        <f t="shared" si="124"/>
        <v>21</v>
      </c>
      <c r="V512" s="36">
        <f t="shared" si="128"/>
        <v>2.0819999999999999</v>
      </c>
      <c r="W512" s="17">
        <f t="shared" si="125"/>
        <v>4.1639999999999996E-2</v>
      </c>
      <c r="X512" s="14">
        <f t="shared" si="129"/>
        <v>2</v>
      </c>
      <c r="Y512" s="14">
        <f t="shared" si="130"/>
        <v>3</v>
      </c>
      <c r="Z512" s="14">
        <f t="shared" si="131"/>
        <v>0</v>
      </c>
      <c r="AA512" s="14" t="str">
        <f t="shared" si="132"/>
        <v>DefExt</v>
      </c>
      <c r="AB512" s="14">
        <f t="shared" si="126"/>
        <v>1000</v>
      </c>
      <c r="AC512" s="14" t="str">
        <f t="shared" si="133"/>
        <v>HPExt</v>
      </c>
      <c r="AD512" s="14">
        <f t="shared" si="134"/>
        <v>3015</v>
      </c>
      <c r="AE512" s="14" t="str">
        <f t="shared" si="135"/>
        <v>[x]</v>
      </c>
      <c r="AF512" s="27" t="str">
        <f t="shared" si="136"/>
        <v>[x]</v>
      </c>
      <c r="AG512" s="27" t="str">
        <f t="shared" si="137"/>
        <v>[x]</v>
      </c>
    </row>
    <row r="513" spans="16:33" ht="16.5" x14ac:dyDescent="0.2">
      <c r="P513" s="13">
        <v>457</v>
      </c>
      <c r="Q513" s="14">
        <f t="shared" si="122"/>
        <v>25</v>
      </c>
      <c r="R513" s="14">
        <f t="shared" si="123"/>
        <v>1606031</v>
      </c>
      <c r="S513" s="14" t="str">
        <f t="shared" si="127"/>
        <v>神器5碎片5等级1</v>
      </c>
      <c r="T513" s="29" t="s">
        <v>649</v>
      </c>
      <c r="U513" s="14">
        <f t="shared" si="124"/>
        <v>1</v>
      </c>
      <c r="V513" s="36">
        <f t="shared" si="128"/>
        <v>0.20200000000000001</v>
      </c>
      <c r="W513" s="17">
        <f t="shared" si="125"/>
        <v>4.0400000000000002E-3</v>
      </c>
      <c r="X513" s="14">
        <f t="shared" si="129"/>
        <v>1</v>
      </c>
      <c r="Y513" s="14">
        <f t="shared" si="130"/>
        <v>2</v>
      </c>
      <c r="Z513" s="14">
        <f t="shared" si="131"/>
        <v>3</v>
      </c>
      <c r="AA513" s="14" t="str">
        <f t="shared" si="132"/>
        <v>AtkExt</v>
      </c>
      <c r="AB513" s="14">
        <f t="shared" si="126"/>
        <v>97</v>
      </c>
      <c r="AC513" s="14" t="str">
        <f t="shared" si="133"/>
        <v>DefExt</v>
      </c>
      <c r="AD513" s="14">
        <f t="shared" si="134"/>
        <v>48</v>
      </c>
      <c r="AE513" s="14" t="str">
        <f t="shared" si="135"/>
        <v>HPExt</v>
      </c>
      <c r="AF513" s="27">
        <f t="shared" si="136"/>
        <v>292</v>
      </c>
      <c r="AG513" s="27" t="str">
        <f t="shared" si="137"/>
        <v>[x]</v>
      </c>
    </row>
    <row r="514" spans="16:33" ht="16.5" x14ac:dyDescent="0.2">
      <c r="P514" s="13">
        <v>458</v>
      </c>
      <c r="Q514" s="14">
        <f t="shared" si="122"/>
        <v>25</v>
      </c>
      <c r="R514" s="14">
        <f t="shared" si="123"/>
        <v>1606031</v>
      </c>
      <c r="S514" s="14" t="str">
        <f t="shared" si="127"/>
        <v>神器5碎片5等级2</v>
      </c>
      <c r="T514" s="29" t="s">
        <v>649</v>
      </c>
      <c r="U514" s="14">
        <f t="shared" si="124"/>
        <v>2</v>
      </c>
      <c r="V514" s="36">
        <f t="shared" si="128"/>
        <v>0.25800000000000001</v>
      </c>
      <c r="W514" s="17">
        <f t="shared" si="125"/>
        <v>5.1600000000000005E-3</v>
      </c>
      <c r="X514" s="14">
        <f t="shared" si="129"/>
        <v>1</v>
      </c>
      <c r="Y514" s="14">
        <f t="shared" si="130"/>
        <v>2</v>
      </c>
      <c r="Z514" s="14">
        <f t="shared" si="131"/>
        <v>3</v>
      </c>
      <c r="AA514" s="14" t="str">
        <f t="shared" si="132"/>
        <v>AtkExt</v>
      </c>
      <c r="AB514" s="14">
        <f t="shared" si="126"/>
        <v>124</v>
      </c>
      <c r="AC514" s="14" t="str">
        <f t="shared" si="133"/>
        <v>DefExt</v>
      </c>
      <c r="AD514" s="14">
        <f t="shared" si="134"/>
        <v>61</v>
      </c>
      <c r="AE514" s="14" t="str">
        <f t="shared" si="135"/>
        <v>HPExt</v>
      </c>
      <c r="AF514" s="27">
        <f t="shared" si="136"/>
        <v>373</v>
      </c>
      <c r="AG514" s="27" t="str">
        <f t="shared" si="137"/>
        <v>[x]</v>
      </c>
    </row>
    <row r="515" spans="16:33" ht="16.5" x14ac:dyDescent="0.2">
      <c r="P515" s="13">
        <v>459</v>
      </c>
      <c r="Q515" s="14">
        <f t="shared" si="122"/>
        <v>25</v>
      </c>
      <c r="R515" s="14">
        <f t="shared" si="123"/>
        <v>1606031</v>
      </c>
      <c r="S515" s="14" t="str">
        <f t="shared" si="127"/>
        <v>神器5碎片5等级3</v>
      </c>
      <c r="T515" s="29" t="s">
        <v>649</v>
      </c>
      <c r="U515" s="14">
        <f t="shared" si="124"/>
        <v>3</v>
      </c>
      <c r="V515" s="36">
        <f t="shared" si="128"/>
        <v>0.31800000000000006</v>
      </c>
      <c r="W515" s="17">
        <f t="shared" si="125"/>
        <v>6.3600000000000011E-3</v>
      </c>
      <c r="X515" s="14">
        <f t="shared" si="129"/>
        <v>1</v>
      </c>
      <c r="Y515" s="14">
        <f t="shared" si="130"/>
        <v>2</v>
      </c>
      <c r="Z515" s="14">
        <f t="shared" si="131"/>
        <v>3</v>
      </c>
      <c r="AA515" s="14" t="str">
        <f t="shared" si="132"/>
        <v>AtkExt</v>
      </c>
      <c r="AB515" s="14">
        <f t="shared" si="126"/>
        <v>153</v>
      </c>
      <c r="AC515" s="14" t="str">
        <f t="shared" si="133"/>
        <v>DefExt</v>
      </c>
      <c r="AD515" s="14">
        <f t="shared" si="134"/>
        <v>76</v>
      </c>
      <c r="AE515" s="14" t="str">
        <f t="shared" si="135"/>
        <v>HPExt</v>
      </c>
      <c r="AF515" s="27">
        <f t="shared" si="136"/>
        <v>460</v>
      </c>
      <c r="AG515" s="27" t="str">
        <f t="shared" si="137"/>
        <v>[x]</v>
      </c>
    </row>
    <row r="516" spans="16:33" ht="16.5" x14ac:dyDescent="0.2">
      <c r="P516" s="13">
        <v>460</v>
      </c>
      <c r="Q516" s="14">
        <f t="shared" si="122"/>
        <v>25</v>
      </c>
      <c r="R516" s="14">
        <f t="shared" si="123"/>
        <v>1606031</v>
      </c>
      <c r="S516" s="14" t="str">
        <f t="shared" si="127"/>
        <v>神器5碎片5等级4</v>
      </c>
      <c r="T516" s="29" t="s">
        <v>649</v>
      </c>
      <c r="U516" s="14">
        <f t="shared" si="124"/>
        <v>4</v>
      </c>
      <c r="V516" s="36">
        <f t="shared" si="128"/>
        <v>0.38200000000000001</v>
      </c>
      <c r="W516" s="17">
        <f t="shared" si="125"/>
        <v>7.6400000000000001E-3</v>
      </c>
      <c r="X516" s="14">
        <f t="shared" si="129"/>
        <v>1</v>
      </c>
      <c r="Y516" s="14">
        <f t="shared" si="130"/>
        <v>2</v>
      </c>
      <c r="Z516" s="14">
        <f t="shared" si="131"/>
        <v>3</v>
      </c>
      <c r="AA516" s="14" t="str">
        <f t="shared" si="132"/>
        <v>AtkExt</v>
      </c>
      <c r="AB516" s="14">
        <f t="shared" si="126"/>
        <v>183</v>
      </c>
      <c r="AC516" s="14" t="str">
        <f t="shared" si="133"/>
        <v>DefExt</v>
      </c>
      <c r="AD516" s="14">
        <f t="shared" si="134"/>
        <v>91</v>
      </c>
      <c r="AE516" s="14" t="str">
        <f t="shared" si="135"/>
        <v>HPExt</v>
      </c>
      <c r="AF516" s="27">
        <f t="shared" si="136"/>
        <v>553</v>
      </c>
      <c r="AG516" s="27" t="str">
        <f t="shared" si="137"/>
        <v>[x]</v>
      </c>
    </row>
    <row r="517" spans="16:33" ht="16.5" x14ac:dyDescent="0.2">
      <c r="P517" s="13">
        <v>461</v>
      </c>
      <c r="Q517" s="14">
        <f t="shared" si="122"/>
        <v>25</v>
      </c>
      <c r="R517" s="14">
        <f t="shared" si="123"/>
        <v>1606031</v>
      </c>
      <c r="S517" s="14" t="str">
        <f t="shared" si="127"/>
        <v>神器5碎片5等级5</v>
      </c>
      <c r="T517" s="29" t="s">
        <v>649</v>
      </c>
      <c r="U517" s="14">
        <f t="shared" si="124"/>
        <v>5</v>
      </c>
      <c r="V517" s="36">
        <f t="shared" si="128"/>
        <v>0.45</v>
      </c>
      <c r="W517" s="17">
        <f t="shared" si="125"/>
        <v>9.0000000000000011E-3</v>
      </c>
      <c r="X517" s="14">
        <f t="shared" si="129"/>
        <v>1</v>
      </c>
      <c r="Y517" s="14">
        <f t="shared" si="130"/>
        <v>2</v>
      </c>
      <c r="Z517" s="14">
        <f t="shared" si="131"/>
        <v>3</v>
      </c>
      <c r="AA517" s="14" t="str">
        <f t="shared" si="132"/>
        <v>AtkExt</v>
      </c>
      <c r="AB517" s="14">
        <f t="shared" si="126"/>
        <v>216</v>
      </c>
      <c r="AC517" s="14" t="str">
        <f t="shared" si="133"/>
        <v>DefExt</v>
      </c>
      <c r="AD517" s="14">
        <f t="shared" si="134"/>
        <v>108</v>
      </c>
      <c r="AE517" s="14" t="str">
        <f t="shared" si="135"/>
        <v>HPExt</v>
      </c>
      <c r="AF517" s="27">
        <f t="shared" si="136"/>
        <v>651</v>
      </c>
      <c r="AG517" s="27" t="str">
        <f t="shared" si="137"/>
        <v>[x]</v>
      </c>
    </row>
    <row r="518" spans="16:33" ht="16.5" x14ac:dyDescent="0.2">
      <c r="P518" s="13">
        <v>462</v>
      </c>
      <c r="Q518" s="14">
        <f t="shared" si="122"/>
        <v>25</v>
      </c>
      <c r="R518" s="14">
        <f t="shared" si="123"/>
        <v>1606031</v>
      </c>
      <c r="S518" s="14" t="str">
        <f t="shared" si="127"/>
        <v>神器5碎片5等级6</v>
      </c>
      <c r="T518" s="29" t="s">
        <v>649</v>
      </c>
      <c r="U518" s="14">
        <f t="shared" si="124"/>
        <v>6</v>
      </c>
      <c r="V518" s="36">
        <f t="shared" si="128"/>
        <v>0.52200000000000002</v>
      </c>
      <c r="W518" s="17">
        <f t="shared" si="125"/>
        <v>1.0440000000000001E-2</v>
      </c>
      <c r="X518" s="14">
        <f t="shared" si="129"/>
        <v>1</v>
      </c>
      <c r="Y518" s="14">
        <f t="shared" si="130"/>
        <v>2</v>
      </c>
      <c r="Z518" s="14">
        <f t="shared" si="131"/>
        <v>3</v>
      </c>
      <c r="AA518" s="14" t="str">
        <f t="shared" si="132"/>
        <v>AtkExt</v>
      </c>
      <c r="AB518" s="14">
        <f t="shared" si="126"/>
        <v>251</v>
      </c>
      <c r="AC518" s="14" t="str">
        <f t="shared" si="133"/>
        <v>DefExt</v>
      </c>
      <c r="AD518" s="14">
        <f t="shared" si="134"/>
        <v>125</v>
      </c>
      <c r="AE518" s="14" t="str">
        <f t="shared" si="135"/>
        <v>HPExt</v>
      </c>
      <c r="AF518" s="27">
        <f t="shared" si="136"/>
        <v>756</v>
      </c>
      <c r="AG518" s="27" t="str">
        <f t="shared" si="137"/>
        <v>[x]</v>
      </c>
    </row>
    <row r="519" spans="16:33" ht="16.5" x14ac:dyDescent="0.2">
      <c r="P519" s="13">
        <v>463</v>
      </c>
      <c r="Q519" s="14">
        <f t="shared" si="122"/>
        <v>25</v>
      </c>
      <c r="R519" s="14">
        <f t="shared" si="123"/>
        <v>1606031</v>
      </c>
      <c r="S519" s="14" t="str">
        <f t="shared" si="127"/>
        <v>神器5碎片5等级7</v>
      </c>
      <c r="T519" s="29" t="s">
        <v>649</v>
      </c>
      <c r="U519" s="14">
        <f t="shared" si="124"/>
        <v>7</v>
      </c>
      <c r="V519" s="36">
        <f t="shared" si="128"/>
        <v>0.59799999999999998</v>
      </c>
      <c r="W519" s="17">
        <f t="shared" si="125"/>
        <v>1.196E-2</v>
      </c>
      <c r="X519" s="14">
        <f t="shared" si="129"/>
        <v>1</v>
      </c>
      <c r="Y519" s="14">
        <f t="shared" si="130"/>
        <v>2</v>
      </c>
      <c r="Z519" s="14">
        <f t="shared" si="131"/>
        <v>3</v>
      </c>
      <c r="AA519" s="14" t="str">
        <f t="shared" si="132"/>
        <v>AtkExt</v>
      </c>
      <c r="AB519" s="14">
        <f t="shared" si="126"/>
        <v>288</v>
      </c>
      <c r="AC519" s="14" t="str">
        <f t="shared" si="133"/>
        <v>DefExt</v>
      </c>
      <c r="AD519" s="14">
        <f t="shared" si="134"/>
        <v>143</v>
      </c>
      <c r="AE519" s="14" t="str">
        <f t="shared" si="135"/>
        <v>HPExt</v>
      </c>
      <c r="AF519" s="27">
        <f t="shared" si="136"/>
        <v>866</v>
      </c>
      <c r="AG519" s="27" t="str">
        <f t="shared" si="137"/>
        <v>[x]</v>
      </c>
    </row>
    <row r="520" spans="16:33" ht="16.5" x14ac:dyDescent="0.2">
      <c r="P520" s="13">
        <v>464</v>
      </c>
      <c r="Q520" s="14">
        <f t="shared" si="122"/>
        <v>25</v>
      </c>
      <c r="R520" s="14">
        <f t="shared" si="123"/>
        <v>1606031</v>
      </c>
      <c r="S520" s="14" t="str">
        <f t="shared" si="127"/>
        <v>神器5碎片5等级8</v>
      </c>
      <c r="T520" s="29" t="s">
        <v>649</v>
      </c>
      <c r="U520" s="14">
        <f t="shared" si="124"/>
        <v>8</v>
      </c>
      <c r="V520" s="36">
        <f t="shared" si="128"/>
        <v>0.67800000000000005</v>
      </c>
      <c r="W520" s="17">
        <f t="shared" si="125"/>
        <v>1.3560000000000001E-2</v>
      </c>
      <c r="X520" s="14">
        <f t="shared" si="129"/>
        <v>1</v>
      </c>
      <c r="Y520" s="14">
        <f t="shared" si="130"/>
        <v>2</v>
      </c>
      <c r="Z520" s="14">
        <f t="shared" si="131"/>
        <v>3</v>
      </c>
      <c r="AA520" s="14" t="str">
        <f t="shared" si="132"/>
        <v>AtkExt</v>
      </c>
      <c r="AB520" s="14">
        <f t="shared" si="126"/>
        <v>326</v>
      </c>
      <c r="AC520" s="14" t="str">
        <f t="shared" si="133"/>
        <v>DefExt</v>
      </c>
      <c r="AD520" s="14">
        <f t="shared" si="134"/>
        <v>162</v>
      </c>
      <c r="AE520" s="14" t="str">
        <f t="shared" si="135"/>
        <v>HPExt</v>
      </c>
      <c r="AF520" s="27">
        <f t="shared" si="136"/>
        <v>981</v>
      </c>
      <c r="AG520" s="27" t="str">
        <f t="shared" si="137"/>
        <v>[x]</v>
      </c>
    </row>
    <row r="521" spans="16:33" ht="16.5" x14ac:dyDescent="0.2">
      <c r="P521" s="13">
        <v>465</v>
      </c>
      <c r="Q521" s="14">
        <f t="shared" si="122"/>
        <v>25</v>
      </c>
      <c r="R521" s="14">
        <f t="shared" si="123"/>
        <v>1606031</v>
      </c>
      <c r="S521" s="14" t="str">
        <f t="shared" si="127"/>
        <v>神器5碎片5等级9</v>
      </c>
      <c r="T521" s="29" t="s">
        <v>649</v>
      </c>
      <c r="U521" s="14">
        <f t="shared" si="124"/>
        <v>9</v>
      </c>
      <c r="V521" s="36">
        <f t="shared" si="128"/>
        <v>0.76200000000000001</v>
      </c>
      <c r="W521" s="17">
        <f t="shared" si="125"/>
        <v>1.524E-2</v>
      </c>
      <c r="X521" s="14">
        <f t="shared" si="129"/>
        <v>1</v>
      </c>
      <c r="Y521" s="14">
        <f t="shared" si="130"/>
        <v>2</v>
      </c>
      <c r="Z521" s="14">
        <f t="shared" si="131"/>
        <v>3</v>
      </c>
      <c r="AA521" s="14" t="str">
        <f t="shared" si="132"/>
        <v>AtkExt</v>
      </c>
      <c r="AB521" s="14">
        <f t="shared" si="126"/>
        <v>366</v>
      </c>
      <c r="AC521" s="14" t="str">
        <f t="shared" si="133"/>
        <v>DefExt</v>
      </c>
      <c r="AD521" s="14">
        <f t="shared" si="134"/>
        <v>183</v>
      </c>
      <c r="AE521" s="14" t="str">
        <f t="shared" si="135"/>
        <v>HPExt</v>
      </c>
      <c r="AF521" s="27">
        <f t="shared" si="136"/>
        <v>1103</v>
      </c>
      <c r="AG521" s="27" t="str">
        <f t="shared" si="137"/>
        <v>[x]</v>
      </c>
    </row>
    <row r="522" spans="16:33" ht="16.5" x14ac:dyDescent="0.2">
      <c r="P522" s="13">
        <v>466</v>
      </c>
      <c r="Q522" s="14">
        <f t="shared" si="122"/>
        <v>25</v>
      </c>
      <c r="R522" s="14">
        <f t="shared" si="123"/>
        <v>1606031</v>
      </c>
      <c r="S522" s="14" t="str">
        <f t="shared" si="127"/>
        <v>神器5碎片5等级10</v>
      </c>
      <c r="T522" s="29" t="s">
        <v>649</v>
      </c>
      <c r="U522" s="14">
        <f t="shared" si="124"/>
        <v>10</v>
      </c>
      <c r="V522" s="36">
        <f t="shared" si="128"/>
        <v>0.85000000000000009</v>
      </c>
      <c r="W522" s="17">
        <f t="shared" si="125"/>
        <v>1.7000000000000001E-2</v>
      </c>
      <c r="X522" s="14">
        <f t="shared" si="129"/>
        <v>1</v>
      </c>
      <c r="Y522" s="14">
        <f t="shared" si="130"/>
        <v>2</v>
      </c>
      <c r="Z522" s="14">
        <f t="shared" si="131"/>
        <v>3</v>
      </c>
      <c r="AA522" s="14" t="str">
        <f t="shared" si="132"/>
        <v>AtkExt</v>
      </c>
      <c r="AB522" s="14">
        <f t="shared" si="126"/>
        <v>409</v>
      </c>
      <c r="AC522" s="14" t="str">
        <f t="shared" si="133"/>
        <v>DefExt</v>
      </c>
      <c r="AD522" s="14">
        <f t="shared" si="134"/>
        <v>204</v>
      </c>
      <c r="AE522" s="14" t="str">
        <f t="shared" si="135"/>
        <v>HPExt</v>
      </c>
      <c r="AF522" s="27">
        <f t="shared" si="136"/>
        <v>1231</v>
      </c>
      <c r="AG522" s="27" t="str">
        <f t="shared" si="137"/>
        <v>[x]</v>
      </c>
    </row>
    <row r="523" spans="16:33" ht="16.5" x14ac:dyDescent="0.2">
      <c r="P523" s="13">
        <v>467</v>
      </c>
      <c r="Q523" s="14">
        <f t="shared" si="122"/>
        <v>25</v>
      </c>
      <c r="R523" s="14">
        <f t="shared" si="123"/>
        <v>1606031</v>
      </c>
      <c r="S523" s="14" t="str">
        <f t="shared" si="127"/>
        <v>神器5碎片5等级11</v>
      </c>
      <c r="T523" s="29" t="s">
        <v>649</v>
      </c>
      <c r="U523" s="14">
        <f t="shared" si="124"/>
        <v>11</v>
      </c>
      <c r="V523" s="36">
        <f t="shared" si="128"/>
        <v>0.94200000000000006</v>
      </c>
      <c r="W523" s="17">
        <f t="shared" si="125"/>
        <v>1.8840000000000003E-2</v>
      </c>
      <c r="X523" s="14">
        <f t="shared" si="129"/>
        <v>1</v>
      </c>
      <c r="Y523" s="14">
        <f t="shared" si="130"/>
        <v>2</v>
      </c>
      <c r="Z523" s="14">
        <f t="shared" si="131"/>
        <v>3</v>
      </c>
      <c r="AA523" s="14" t="str">
        <f t="shared" si="132"/>
        <v>AtkExt</v>
      </c>
      <c r="AB523" s="14">
        <f t="shared" si="126"/>
        <v>453</v>
      </c>
      <c r="AC523" s="14" t="str">
        <f t="shared" si="133"/>
        <v>DefExt</v>
      </c>
      <c r="AD523" s="14">
        <f t="shared" si="134"/>
        <v>226</v>
      </c>
      <c r="AE523" s="14" t="str">
        <f t="shared" si="135"/>
        <v>HPExt</v>
      </c>
      <c r="AF523" s="27">
        <f t="shared" si="136"/>
        <v>1364</v>
      </c>
      <c r="AG523" s="27" t="str">
        <f t="shared" si="137"/>
        <v>[x]</v>
      </c>
    </row>
    <row r="524" spans="16:33" ht="16.5" x14ac:dyDescent="0.2">
      <c r="P524" s="13">
        <v>468</v>
      </c>
      <c r="Q524" s="14">
        <f t="shared" si="122"/>
        <v>25</v>
      </c>
      <c r="R524" s="14">
        <f t="shared" si="123"/>
        <v>1606031</v>
      </c>
      <c r="S524" s="14" t="str">
        <f t="shared" si="127"/>
        <v>神器5碎片5等级12</v>
      </c>
      <c r="T524" s="29" t="s">
        <v>649</v>
      </c>
      <c r="U524" s="14">
        <f t="shared" si="124"/>
        <v>12</v>
      </c>
      <c r="V524" s="36">
        <f t="shared" si="128"/>
        <v>1.0380000000000003</v>
      </c>
      <c r="W524" s="17">
        <f t="shared" si="125"/>
        <v>2.0760000000000004E-2</v>
      </c>
      <c r="X524" s="14">
        <f t="shared" si="129"/>
        <v>1</v>
      </c>
      <c r="Y524" s="14">
        <f t="shared" si="130"/>
        <v>2</v>
      </c>
      <c r="Z524" s="14">
        <f t="shared" si="131"/>
        <v>3</v>
      </c>
      <c r="AA524" s="14" t="str">
        <f t="shared" si="132"/>
        <v>AtkExt</v>
      </c>
      <c r="AB524" s="14">
        <f t="shared" si="126"/>
        <v>499</v>
      </c>
      <c r="AC524" s="14" t="str">
        <f t="shared" si="133"/>
        <v>DefExt</v>
      </c>
      <c r="AD524" s="14">
        <f t="shared" si="134"/>
        <v>249</v>
      </c>
      <c r="AE524" s="14" t="str">
        <f t="shared" si="135"/>
        <v>HPExt</v>
      </c>
      <c r="AF524" s="27">
        <f t="shared" si="136"/>
        <v>1503</v>
      </c>
      <c r="AG524" s="27" t="str">
        <f t="shared" si="137"/>
        <v>[x]</v>
      </c>
    </row>
    <row r="525" spans="16:33" ht="16.5" x14ac:dyDescent="0.2">
      <c r="P525" s="13">
        <v>469</v>
      </c>
      <c r="Q525" s="14">
        <f t="shared" si="122"/>
        <v>25</v>
      </c>
      <c r="R525" s="14">
        <f t="shared" si="123"/>
        <v>1606031</v>
      </c>
      <c r="S525" s="14" t="str">
        <f t="shared" si="127"/>
        <v>神器5碎片5等级13</v>
      </c>
      <c r="T525" s="29" t="s">
        <v>649</v>
      </c>
      <c r="U525" s="14">
        <f t="shared" si="124"/>
        <v>13</v>
      </c>
      <c r="V525" s="36">
        <f t="shared" si="128"/>
        <v>1.1380000000000001</v>
      </c>
      <c r="W525" s="17">
        <f t="shared" si="125"/>
        <v>2.2760000000000002E-2</v>
      </c>
      <c r="X525" s="14">
        <f t="shared" si="129"/>
        <v>1</v>
      </c>
      <c r="Y525" s="14">
        <f t="shared" si="130"/>
        <v>2</v>
      </c>
      <c r="Z525" s="14">
        <f t="shared" si="131"/>
        <v>3</v>
      </c>
      <c r="AA525" s="14" t="str">
        <f t="shared" si="132"/>
        <v>AtkExt</v>
      </c>
      <c r="AB525" s="14">
        <f t="shared" si="126"/>
        <v>548</v>
      </c>
      <c r="AC525" s="14" t="str">
        <f t="shared" si="133"/>
        <v>DefExt</v>
      </c>
      <c r="AD525" s="14">
        <f t="shared" si="134"/>
        <v>273</v>
      </c>
      <c r="AE525" s="14" t="str">
        <f t="shared" si="135"/>
        <v>HPExt</v>
      </c>
      <c r="AF525" s="27">
        <f t="shared" si="136"/>
        <v>1648</v>
      </c>
      <c r="AG525" s="27" t="str">
        <f t="shared" si="137"/>
        <v>[x]</v>
      </c>
    </row>
    <row r="526" spans="16:33" ht="16.5" x14ac:dyDescent="0.2">
      <c r="P526" s="13">
        <v>470</v>
      </c>
      <c r="Q526" s="14">
        <f t="shared" si="122"/>
        <v>25</v>
      </c>
      <c r="R526" s="14">
        <f t="shared" si="123"/>
        <v>1606031</v>
      </c>
      <c r="S526" s="14" t="str">
        <f t="shared" si="127"/>
        <v>神器5碎片5等级14</v>
      </c>
      <c r="T526" s="29" t="s">
        <v>649</v>
      </c>
      <c r="U526" s="14">
        <f t="shared" si="124"/>
        <v>14</v>
      </c>
      <c r="V526" s="36">
        <f t="shared" si="128"/>
        <v>1.242</v>
      </c>
      <c r="W526" s="17">
        <f t="shared" si="125"/>
        <v>2.4840000000000001E-2</v>
      </c>
      <c r="X526" s="14">
        <f t="shared" si="129"/>
        <v>1</v>
      </c>
      <c r="Y526" s="14">
        <f t="shared" si="130"/>
        <v>2</v>
      </c>
      <c r="Z526" s="14">
        <f t="shared" si="131"/>
        <v>3</v>
      </c>
      <c r="AA526" s="14" t="str">
        <f t="shared" si="132"/>
        <v>AtkExt</v>
      </c>
      <c r="AB526" s="14">
        <f t="shared" si="126"/>
        <v>598</v>
      </c>
      <c r="AC526" s="14" t="str">
        <f t="shared" si="133"/>
        <v>DefExt</v>
      </c>
      <c r="AD526" s="14">
        <f t="shared" si="134"/>
        <v>298</v>
      </c>
      <c r="AE526" s="14" t="str">
        <f t="shared" si="135"/>
        <v>HPExt</v>
      </c>
      <c r="AF526" s="27">
        <f t="shared" si="136"/>
        <v>1798</v>
      </c>
      <c r="AG526" s="27" t="str">
        <f t="shared" si="137"/>
        <v>[x]</v>
      </c>
    </row>
    <row r="527" spans="16:33" ht="16.5" x14ac:dyDescent="0.2">
      <c r="P527" s="13">
        <v>471</v>
      </c>
      <c r="Q527" s="14">
        <f t="shared" si="122"/>
        <v>25</v>
      </c>
      <c r="R527" s="14">
        <f t="shared" si="123"/>
        <v>1606031</v>
      </c>
      <c r="S527" s="14" t="str">
        <f t="shared" si="127"/>
        <v>神器5碎片5等级15</v>
      </c>
      <c r="T527" s="29" t="s">
        <v>649</v>
      </c>
      <c r="U527" s="14">
        <f t="shared" si="124"/>
        <v>15</v>
      </c>
      <c r="V527" s="36">
        <f t="shared" si="128"/>
        <v>1.35</v>
      </c>
      <c r="W527" s="17">
        <f t="shared" si="125"/>
        <v>2.7000000000000003E-2</v>
      </c>
      <c r="X527" s="14">
        <f t="shared" si="129"/>
        <v>1</v>
      </c>
      <c r="Y527" s="14">
        <f t="shared" si="130"/>
        <v>2</v>
      </c>
      <c r="Z527" s="14">
        <f t="shared" si="131"/>
        <v>3</v>
      </c>
      <c r="AA527" s="14" t="str">
        <f t="shared" si="132"/>
        <v>AtkExt</v>
      </c>
      <c r="AB527" s="14">
        <f t="shared" si="126"/>
        <v>650</v>
      </c>
      <c r="AC527" s="14" t="str">
        <f t="shared" si="133"/>
        <v>DefExt</v>
      </c>
      <c r="AD527" s="14">
        <f t="shared" si="134"/>
        <v>324</v>
      </c>
      <c r="AE527" s="14" t="str">
        <f t="shared" si="135"/>
        <v>HPExt</v>
      </c>
      <c r="AF527" s="27">
        <f t="shared" si="136"/>
        <v>1955</v>
      </c>
      <c r="AG527" s="27" t="str">
        <f t="shared" si="137"/>
        <v>[x]</v>
      </c>
    </row>
    <row r="528" spans="16:33" ht="16.5" x14ac:dyDescent="0.2">
      <c r="P528" s="13">
        <v>472</v>
      </c>
      <c r="Q528" s="14">
        <f t="shared" si="122"/>
        <v>25</v>
      </c>
      <c r="R528" s="14">
        <f t="shared" si="123"/>
        <v>1606031</v>
      </c>
      <c r="S528" s="14" t="str">
        <f t="shared" si="127"/>
        <v>神器5碎片5等级16</v>
      </c>
      <c r="T528" s="29" t="s">
        <v>649</v>
      </c>
      <c r="U528" s="14">
        <f t="shared" si="124"/>
        <v>16</v>
      </c>
      <c r="V528" s="36">
        <f t="shared" si="128"/>
        <v>1.4620000000000002</v>
      </c>
      <c r="W528" s="17">
        <f t="shared" si="125"/>
        <v>2.9240000000000006E-2</v>
      </c>
      <c r="X528" s="14">
        <f t="shared" si="129"/>
        <v>1</v>
      </c>
      <c r="Y528" s="14">
        <f t="shared" si="130"/>
        <v>2</v>
      </c>
      <c r="Z528" s="14">
        <f t="shared" si="131"/>
        <v>3</v>
      </c>
      <c r="AA528" s="14" t="str">
        <f t="shared" si="132"/>
        <v>AtkExt</v>
      </c>
      <c r="AB528" s="14">
        <f t="shared" si="126"/>
        <v>704</v>
      </c>
      <c r="AC528" s="14" t="str">
        <f t="shared" si="133"/>
        <v>DefExt</v>
      </c>
      <c r="AD528" s="14">
        <f t="shared" si="134"/>
        <v>351</v>
      </c>
      <c r="AE528" s="14" t="str">
        <f t="shared" si="135"/>
        <v>HPExt</v>
      </c>
      <c r="AF528" s="27">
        <f t="shared" si="136"/>
        <v>2117</v>
      </c>
      <c r="AG528" s="27" t="str">
        <f t="shared" si="137"/>
        <v>[x]</v>
      </c>
    </row>
    <row r="529" spans="16:33" ht="16.5" x14ac:dyDescent="0.2">
      <c r="P529" s="13">
        <v>473</v>
      </c>
      <c r="Q529" s="14">
        <f t="shared" si="122"/>
        <v>25</v>
      </c>
      <c r="R529" s="14">
        <f t="shared" si="123"/>
        <v>1606031</v>
      </c>
      <c r="S529" s="14" t="str">
        <f t="shared" si="127"/>
        <v>神器5碎片5等级17</v>
      </c>
      <c r="T529" s="29" t="s">
        <v>649</v>
      </c>
      <c r="U529" s="14">
        <f t="shared" si="124"/>
        <v>17</v>
      </c>
      <c r="V529" s="36">
        <f t="shared" si="128"/>
        <v>1.5779999999999998</v>
      </c>
      <c r="W529" s="17">
        <f t="shared" si="125"/>
        <v>3.1559999999999998E-2</v>
      </c>
      <c r="X529" s="14">
        <f t="shared" si="129"/>
        <v>1</v>
      </c>
      <c r="Y529" s="14">
        <f t="shared" si="130"/>
        <v>2</v>
      </c>
      <c r="Z529" s="14">
        <f t="shared" si="131"/>
        <v>3</v>
      </c>
      <c r="AA529" s="14" t="str">
        <f t="shared" si="132"/>
        <v>AtkExt</v>
      </c>
      <c r="AB529" s="14">
        <f t="shared" si="126"/>
        <v>759</v>
      </c>
      <c r="AC529" s="14" t="str">
        <f t="shared" si="133"/>
        <v>DefExt</v>
      </c>
      <c r="AD529" s="14">
        <f t="shared" si="134"/>
        <v>378</v>
      </c>
      <c r="AE529" s="14" t="str">
        <f t="shared" si="135"/>
        <v>HPExt</v>
      </c>
      <c r="AF529" s="27">
        <f t="shared" si="136"/>
        <v>2285</v>
      </c>
      <c r="AG529" s="27" t="str">
        <f t="shared" si="137"/>
        <v>[x]</v>
      </c>
    </row>
    <row r="530" spans="16:33" ht="16.5" x14ac:dyDescent="0.2">
      <c r="P530" s="13">
        <v>474</v>
      </c>
      <c r="Q530" s="14">
        <f t="shared" si="122"/>
        <v>25</v>
      </c>
      <c r="R530" s="14">
        <f t="shared" si="123"/>
        <v>1606031</v>
      </c>
      <c r="S530" s="14" t="str">
        <f t="shared" si="127"/>
        <v>神器5碎片5等级18</v>
      </c>
      <c r="T530" s="29" t="s">
        <v>649</v>
      </c>
      <c r="U530" s="14">
        <f t="shared" si="124"/>
        <v>18</v>
      </c>
      <c r="V530" s="36">
        <f t="shared" si="128"/>
        <v>1.698</v>
      </c>
      <c r="W530" s="17">
        <f t="shared" si="125"/>
        <v>3.3959999999999997E-2</v>
      </c>
      <c r="X530" s="14">
        <f t="shared" si="129"/>
        <v>1</v>
      </c>
      <c r="Y530" s="14">
        <f t="shared" si="130"/>
        <v>2</v>
      </c>
      <c r="Z530" s="14">
        <f t="shared" si="131"/>
        <v>3</v>
      </c>
      <c r="AA530" s="14" t="str">
        <f t="shared" si="132"/>
        <v>AtkExt</v>
      </c>
      <c r="AB530" s="14">
        <f t="shared" si="126"/>
        <v>817</v>
      </c>
      <c r="AC530" s="14" t="str">
        <f t="shared" si="133"/>
        <v>DefExt</v>
      </c>
      <c r="AD530" s="14">
        <f t="shared" si="134"/>
        <v>407</v>
      </c>
      <c r="AE530" s="14" t="str">
        <f t="shared" si="135"/>
        <v>HPExt</v>
      </c>
      <c r="AF530" s="27">
        <f t="shared" si="136"/>
        <v>2459</v>
      </c>
      <c r="AG530" s="27" t="str">
        <f t="shared" si="137"/>
        <v>[x]</v>
      </c>
    </row>
    <row r="531" spans="16:33" ht="16.5" x14ac:dyDescent="0.2">
      <c r="P531" s="13">
        <v>475</v>
      </c>
      <c r="Q531" s="14">
        <f t="shared" si="122"/>
        <v>25</v>
      </c>
      <c r="R531" s="14">
        <f t="shared" si="123"/>
        <v>1606031</v>
      </c>
      <c r="S531" s="14" t="str">
        <f t="shared" si="127"/>
        <v>神器5碎片5等级19</v>
      </c>
      <c r="T531" s="29" t="s">
        <v>649</v>
      </c>
      <c r="U531" s="14">
        <f t="shared" si="124"/>
        <v>19</v>
      </c>
      <c r="V531" s="36">
        <f t="shared" si="128"/>
        <v>1.8220000000000001</v>
      </c>
      <c r="W531" s="17">
        <f t="shared" si="125"/>
        <v>3.644E-2</v>
      </c>
      <c r="X531" s="14">
        <f t="shared" si="129"/>
        <v>1</v>
      </c>
      <c r="Y531" s="14">
        <f t="shared" si="130"/>
        <v>2</v>
      </c>
      <c r="Z531" s="14">
        <f t="shared" si="131"/>
        <v>3</v>
      </c>
      <c r="AA531" s="14" t="str">
        <f t="shared" si="132"/>
        <v>AtkExt</v>
      </c>
      <c r="AB531" s="14">
        <f t="shared" si="126"/>
        <v>877</v>
      </c>
      <c r="AC531" s="14" t="str">
        <f t="shared" si="133"/>
        <v>DefExt</v>
      </c>
      <c r="AD531" s="14">
        <f t="shared" si="134"/>
        <v>437</v>
      </c>
      <c r="AE531" s="14" t="str">
        <f t="shared" si="135"/>
        <v>HPExt</v>
      </c>
      <c r="AF531" s="27">
        <f t="shared" si="136"/>
        <v>2638</v>
      </c>
      <c r="AG531" s="27" t="str">
        <f t="shared" si="137"/>
        <v>[x]</v>
      </c>
    </row>
    <row r="532" spans="16:33" ht="16.5" x14ac:dyDescent="0.2">
      <c r="P532" s="13">
        <v>476</v>
      </c>
      <c r="Q532" s="14">
        <f t="shared" si="122"/>
        <v>25</v>
      </c>
      <c r="R532" s="14">
        <f t="shared" si="123"/>
        <v>1606031</v>
      </c>
      <c r="S532" s="14" t="str">
        <f t="shared" si="127"/>
        <v>神器5碎片5等级20</v>
      </c>
      <c r="T532" s="29" t="s">
        <v>649</v>
      </c>
      <c r="U532" s="14">
        <f t="shared" si="124"/>
        <v>20</v>
      </c>
      <c r="V532" s="36">
        <f t="shared" si="128"/>
        <v>1.95</v>
      </c>
      <c r="W532" s="17">
        <f t="shared" si="125"/>
        <v>3.9E-2</v>
      </c>
      <c r="X532" s="14">
        <f t="shared" si="129"/>
        <v>1</v>
      </c>
      <c r="Y532" s="14">
        <f t="shared" si="130"/>
        <v>2</v>
      </c>
      <c r="Z532" s="14">
        <f t="shared" si="131"/>
        <v>3</v>
      </c>
      <c r="AA532" s="14" t="str">
        <f t="shared" si="132"/>
        <v>AtkExt</v>
      </c>
      <c r="AB532" s="14">
        <f t="shared" si="126"/>
        <v>939</v>
      </c>
      <c r="AC532" s="14" t="str">
        <f t="shared" si="133"/>
        <v>DefExt</v>
      </c>
      <c r="AD532" s="14">
        <f t="shared" si="134"/>
        <v>468</v>
      </c>
      <c r="AE532" s="14" t="str">
        <f t="shared" si="135"/>
        <v>HPExt</v>
      </c>
      <c r="AF532" s="27">
        <f t="shared" si="136"/>
        <v>2824</v>
      </c>
      <c r="AG532" s="27" t="str">
        <f t="shared" si="137"/>
        <v>[x]</v>
      </c>
    </row>
    <row r="533" spans="16:33" ht="16.5" x14ac:dyDescent="0.2">
      <c r="P533" s="13">
        <v>477</v>
      </c>
      <c r="Q533" s="14">
        <f t="shared" si="122"/>
        <v>25</v>
      </c>
      <c r="R533" s="14">
        <f t="shared" si="123"/>
        <v>1606031</v>
      </c>
      <c r="S533" s="14" t="str">
        <f t="shared" si="127"/>
        <v>神器5碎片5等级21</v>
      </c>
      <c r="T533" s="29" t="s">
        <v>649</v>
      </c>
      <c r="U533" s="14">
        <f t="shared" si="124"/>
        <v>21</v>
      </c>
      <c r="V533" s="36">
        <f t="shared" si="128"/>
        <v>2.0819999999999999</v>
      </c>
      <c r="W533" s="17">
        <f t="shared" si="125"/>
        <v>4.1639999999999996E-2</v>
      </c>
      <c r="X533" s="14">
        <f t="shared" si="129"/>
        <v>1</v>
      </c>
      <c r="Y533" s="14">
        <f t="shared" si="130"/>
        <v>2</v>
      </c>
      <c r="Z533" s="14">
        <f t="shared" si="131"/>
        <v>3</v>
      </c>
      <c r="AA533" s="14" t="str">
        <f t="shared" si="132"/>
        <v>AtkExt</v>
      </c>
      <c r="AB533" s="14">
        <f t="shared" si="126"/>
        <v>1002</v>
      </c>
      <c r="AC533" s="14" t="str">
        <f t="shared" si="133"/>
        <v>DefExt</v>
      </c>
      <c r="AD533" s="14">
        <f t="shared" si="134"/>
        <v>500</v>
      </c>
      <c r="AE533" s="14" t="str">
        <f t="shared" si="135"/>
        <v>HPExt</v>
      </c>
      <c r="AF533" s="27">
        <f t="shared" si="136"/>
        <v>3015</v>
      </c>
      <c r="AG533" s="27" t="str">
        <f t="shared" si="137"/>
        <v>[x]</v>
      </c>
    </row>
    <row r="534" spans="16:33" ht="16.5" x14ac:dyDescent="0.2">
      <c r="P534" s="13">
        <v>478</v>
      </c>
      <c r="Q534" s="14">
        <f t="shared" si="122"/>
        <v>26</v>
      </c>
      <c r="R534" s="14">
        <f t="shared" si="123"/>
        <v>1606032</v>
      </c>
      <c r="S534" s="14" t="str">
        <f t="shared" si="127"/>
        <v>神器5碎片6等级1</v>
      </c>
      <c r="T534" s="29" t="s">
        <v>649</v>
      </c>
      <c r="U534" s="14">
        <f t="shared" si="124"/>
        <v>1</v>
      </c>
      <c r="V534" s="36">
        <f t="shared" si="128"/>
        <v>0.20200000000000001</v>
      </c>
      <c r="W534" s="17">
        <f t="shared" si="125"/>
        <v>6.0600000000000003E-3</v>
      </c>
      <c r="X534" s="14">
        <f t="shared" si="129"/>
        <v>2</v>
      </c>
      <c r="Y534" s="14">
        <f t="shared" si="130"/>
        <v>0</v>
      </c>
      <c r="Z534" s="14">
        <f t="shared" si="131"/>
        <v>0</v>
      </c>
      <c r="AA534" s="14" t="str">
        <f t="shared" si="132"/>
        <v>DefExt</v>
      </c>
      <c r="AB534" s="14">
        <f t="shared" si="126"/>
        <v>218</v>
      </c>
      <c r="AC534" s="14" t="str">
        <f t="shared" si="133"/>
        <v>[x]</v>
      </c>
      <c r="AD534" s="14" t="str">
        <f t="shared" si="134"/>
        <v>[x]</v>
      </c>
      <c r="AE534" s="14" t="str">
        <f t="shared" si="135"/>
        <v>[x]</v>
      </c>
      <c r="AF534" s="27" t="str">
        <f t="shared" si="136"/>
        <v>[x]</v>
      </c>
      <c r="AG534" s="27">
        <f t="shared" si="137"/>
        <v>2</v>
      </c>
    </row>
    <row r="535" spans="16:33" ht="16.5" x14ac:dyDescent="0.2">
      <c r="P535" s="13">
        <v>479</v>
      </c>
      <c r="Q535" s="14">
        <f t="shared" si="122"/>
        <v>26</v>
      </c>
      <c r="R535" s="14">
        <f t="shared" si="123"/>
        <v>1606032</v>
      </c>
      <c r="S535" s="14" t="str">
        <f t="shared" si="127"/>
        <v>神器5碎片6等级2</v>
      </c>
      <c r="T535" s="29" t="s">
        <v>649</v>
      </c>
      <c r="U535" s="14">
        <f t="shared" si="124"/>
        <v>2</v>
      </c>
      <c r="V535" s="36">
        <f t="shared" si="128"/>
        <v>0.25800000000000001</v>
      </c>
      <c r="W535" s="17">
        <f t="shared" si="125"/>
        <v>7.7400000000000004E-3</v>
      </c>
      <c r="X535" s="14">
        <f t="shared" si="129"/>
        <v>2</v>
      </c>
      <c r="Y535" s="14">
        <f t="shared" si="130"/>
        <v>0</v>
      </c>
      <c r="Z535" s="14">
        <f t="shared" si="131"/>
        <v>0</v>
      </c>
      <c r="AA535" s="14" t="str">
        <f t="shared" si="132"/>
        <v>DefExt</v>
      </c>
      <c r="AB535" s="14">
        <f t="shared" si="126"/>
        <v>278</v>
      </c>
      <c r="AC535" s="14" t="str">
        <f t="shared" si="133"/>
        <v>[x]</v>
      </c>
      <c r="AD535" s="14" t="str">
        <f t="shared" si="134"/>
        <v>[x]</v>
      </c>
      <c r="AE535" s="14" t="str">
        <f t="shared" si="135"/>
        <v>[x]</v>
      </c>
      <c r="AF535" s="27" t="str">
        <f t="shared" si="136"/>
        <v>[x]</v>
      </c>
      <c r="AG535" s="27">
        <f t="shared" si="137"/>
        <v>4</v>
      </c>
    </row>
    <row r="536" spans="16:33" ht="16.5" x14ac:dyDescent="0.2">
      <c r="P536" s="13">
        <v>480</v>
      </c>
      <c r="Q536" s="14">
        <f t="shared" si="122"/>
        <v>26</v>
      </c>
      <c r="R536" s="14">
        <f t="shared" si="123"/>
        <v>1606032</v>
      </c>
      <c r="S536" s="14" t="str">
        <f t="shared" si="127"/>
        <v>神器5碎片6等级3</v>
      </c>
      <c r="T536" s="29" t="s">
        <v>649</v>
      </c>
      <c r="U536" s="14">
        <f t="shared" si="124"/>
        <v>3</v>
      </c>
      <c r="V536" s="36">
        <f t="shared" si="128"/>
        <v>0.31800000000000006</v>
      </c>
      <c r="W536" s="17">
        <f t="shared" si="125"/>
        <v>9.5400000000000016E-3</v>
      </c>
      <c r="X536" s="14">
        <f t="shared" si="129"/>
        <v>2</v>
      </c>
      <c r="Y536" s="14">
        <f t="shared" si="130"/>
        <v>0</v>
      </c>
      <c r="Z536" s="14">
        <f t="shared" si="131"/>
        <v>0</v>
      </c>
      <c r="AA536" s="14" t="str">
        <f t="shared" si="132"/>
        <v>DefExt</v>
      </c>
      <c r="AB536" s="14">
        <f t="shared" si="126"/>
        <v>343</v>
      </c>
      <c r="AC536" s="14" t="str">
        <f t="shared" si="133"/>
        <v>[x]</v>
      </c>
      <c r="AD536" s="14" t="str">
        <f t="shared" si="134"/>
        <v>[x]</v>
      </c>
      <c r="AE536" s="14" t="str">
        <f t="shared" si="135"/>
        <v>[x]</v>
      </c>
      <c r="AF536" s="27" t="str">
        <f t="shared" si="136"/>
        <v>[x]</v>
      </c>
      <c r="AG536" s="27">
        <f t="shared" si="137"/>
        <v>6</v>
      </c>
    </row>
    <row r="537" spans="16:33" ht="16.5" x14ac:dyDescent="0.2">
      <c r="P537" s="13">
        <v>481</v>
      </c>
      <c r="Q537" s="14">
        <f t="shared" si="122"/>
        <v>26</v>
      </c>
      <c r="R537" s="14">
        <f t="shared" si="123"/>
        <v>1606032</v>
      </c>
      <c r="S537" s="14" t="str">
        <f t="shared" si="127"/>
        <v>神器5碎片6等级4</v>
      </c>
      <c r="T537" s="29" t="s">
        <v>649</v>
      </c>
      <c r="U537" s="14">
        <f t="shared" si="124"/>
        <v>4</v>
      </c>
      <c r="V537" s="36">
        <f t="shared" si="128"/>
        <v>0.38200000000000001</v>
      </c>
      <c r="W537" s="17">
        <f t="shared" si="125"/>
        <v>1.146E-2</v>
      </c>
      <c r="X537" s="14">
        <f t="shared" si="129"/>
        <v>2</v>
      </c>
      <c r="Y537" s="14">
        <f t="shared" si="130"/>
        <v>0</v>
      </c>
      <c r="Z537" s="14">
        <f t="shared" si="131"/>
        <v>0</v>
      </c>
      <c r="AA537" s="14" t="str">
        <f t="shared" si="132"/>
        <v>DefExt</v>
      </c>
      <c r="AB537" s="14">
        <f t="shared" si="126"/>
        <v>412</v>
      </c>
      <c r="AC537" s="14" t="str">
        <f t="shared" si="133"/>
        <v>[x]</v>
      </c>
      <c r="AD537" s="14" t="str">
        <f t="shared" si="134"/>
        <v>[x]</v>
      </c>
      <c r="AE537" s="14" t="str">
        <f t="shared" si="135"/>
        <v>[x]</v>
      </c>
      <c r="AF537" s="27" t="str">
        <f t="shared" si="136"/>
        <v>[x]</v>
      </c>
      <c r="AG537" s="27">
        <f t="shared" si="137"/>
        <v>8</v>
      </c>
    </row>
    <row r="538" spans="16:33" ht="16.5" x14ac:dyDescent="0.2">
      <c r="P538" s="13">
        <v>482</v>
      </c>
      <c r="Q538" s="14">
        <f t="shared" si="122"/>
        <v>26</v>
      </c>
      <c r="R538" s="14">
        <f t="shared" si="123"/>
        <v>1606032</v>
      </c>
      <c r="S538" s="14" t="str">
        <f t="shared" si="127"/>
        <v>神器5碎片6等级5</v>
      </c>
      <c r="T538" s="29" t="s">
        <v>649</v>
      </c>
      <c r="U538" s="14">
        <f t="shared" si="124"/>
        <v>5</v>
      </c>
      <c r="V538" s="36">
        <f t="shared" si="128"/>
        <v>0.45</v>
      </c>
      <c r="W538" s="17">
        <f t="shared" si="125"/>
        <v>1.35E-2</v>
      </c>
      <c r="X538" s="14">
        <f t="shared" si="129"/>
        <v>2</v>
      </c>
      <c r="Y538" s="14">
        <f t="shared" si="130"/>
        <v>0</v>
      </c>
      <c r="Z538" s="14">
        <f t="shared" si="131"/>
        <v>0</v>
      </c>
      <c r="AA538" s="14" t="str">
        <f t="shared" si="132"/>
        <v>DefExt</v>
      </c>
      <c r="AB538" s="14">
        <f t="shared" si="126"/>
        <v>486</v>
      </c>
      <c r="AC538" s="14" t="str">
        <f t="shared" si="133"/>
        <v>[x]</v>
      </c>
      <c r="AD538" s="14" t="str">
        <f t="shared" si="134"/>
        <v>[x]</v>
      </c>
      <c r="AE538" s="14" t="str">
        <f t="shared" si="135"/>
        <v>[x]</v>
      </c>
      <c r="AF538" s="27" t="str">
        <f t="shared" si="136"/>
        <v>[x]</v>
      </c>
      <c r="AG538" s="27">
        <f t="shared" si="137"/>
        <v>10</v>
      </c>
    </row>
    <row r="539" spans="16:33" ht="16.5" x14ac:dyDescent="0.2">
      <c r="P539" s="13">
        <v>483</v>
      </c>
      <c r="Q539" s="14">
        <f t="shared" si="122"/>
        <v>26</v>
      </c>
      <c r="R539" s="14">
        <f t="shared" si="123"/>
        <v>1606032</v>
      </c>
      <c r="S539" s="14" t="str">
        <f t="shared" si="127"/>
        <v>神器5碎片6等级6</v>
      </c>
      <c r="T539" s="29" t="s">
        <v>649</v>
      </c>
      <c r="U539" s="14">
        <f t="shared" si="124"/>
        <v>6</v>
      </c>
      <c r="V539" s="36">
        <f t="shared" si="128"/>
        <v>0.52200000000000002</v>
      </c>
      <c r="W539" s="17">
        <f t="shared" si="125"/>
        <v>1.566E-2</v>
      </c>
      <c r="X539" s="14">
        <f t="shared" si="129"/>
        <v>2</v>
      </c>
      <c r="Y539" s="14">
        <f t="shared" si="130"/>
        <v>0</v>
      </c>
      <c r="Z539" s="14">
        <f t="shared" si="131"/>
        <v>0</v>
      </c>
      <c r="AA539" s="14" t="str">
        <f t="shared" si="132"/>
        <v>DefExt</v>
      </c>
      <c r="AB539" s="14">
        <f t="shared" si="126"/>
        <v>564</v>
      </c>
      <c r="AC539" s="14" t="str">
        <f t="shared" si="133"/>
        <v>[x]</v>
      </c>
      <c r="AD539" s="14" t="str">
        <f t="shared" si="134"/>
        <v>[x]</v>
      </c>
      <c r="AE539" s="14" t="str">
        <f t="shared" si="135"/>
        <v>[x]</v>
      </c>
      <c r="AF539" s="27" t="str">
        <f t="shared" si="136"/>
        <v>[x]</v>
      </c>
      <c r="AG539" s="27">
        <f t="shared" si="137"/>
        <v>12</v>
      </c>
    </row>
    <row r="540" spans="16:33" ht="16.5" x14ac:dyDescent="0.2">
      <c r="P540" s="13">
        <v>484</v>
      </c>
      <c r="Q540" s="14">
        <f t="shared" si="122"/>
        <v>26</v>
      </c>
      <c r="R540" s="14">
        <f t="shared" si="123"/>
        <v>1606032</v>
      </c>
      <c r="S540" s="14" t="str">
        <f t="shared" si="127"/>
        <v>神器5碎片6等级7</v>
      </c>
      <c r="T540" s="29" t="s">
        <v>649</v>
      </c>
      <c r="U540" s="14">
        <f t="shared" si="124"/>
        <v>7</v>
      </c>
      <c r="V540" s="36">
        <f t="shared" si="128"/>
        <v>0.59799999999999998</v>
      </c>
      <c r="W540" s="17">
        <f t="shared" si="125"/>
        <v>1.7939999999999998E-2</v>
      </c>
      <c r="X540" s="14">
        <f t="shared" si="129"/>
        <v>2</v>
      </c>
      <c r="Y540" s="14">
        <f t="shared" si="130"/>
        <v>0</v>
      </c>
      <c r="Z540" s="14">
        <f t="shared" si="131"/>
        <v>0</v>
      </c>
      <c r="AA540" s="14" t="str">
        <f t="shared" si="132"/>
        <v>DefExt</v>
      </c>
      <c r="AB540" s="14">
        <f t="shared" si="126"/>
        <v>646</v>
      </c>
      <c r="AC540" s="14" t="str">
        <f t="shared" si="133"/>
        <v>[x]</v>
      </c>
      <c r="AD540" s="14" t="str">
        <f t="shared" si="134"/>
        <v>[x]</v>
      </c>
      <c r="AE540" s="14" t="str">
        <f t="shared" si="135"/>
        <v>[x]</v>
      </c>
      <c r="AF540" s="27" t="str">
        <f t="shared" si="136"/>
        <v>[x]</v>
      </c>
      <c r="AG540" s="27">
        <f t="shared" si="137"/>
        <v>14</v>
      </c>
    </row>
    <row r="541" spans="16:33" ht="16.5" x14ac:dyDescent="0.2">
      <c r="P541" s="13">
        <v>485</v>
      </c>
      <c r="Q541" s="14">
        <f t="shared" si="122"/>
        <v>26</v>
      </c>
      <c r="R541" s="14">
        <f t="shared" si="123"/>
        <v>1606032</v>
      </c>
      <c r="S541" s="14" t="str">
        <f t="shared" si="127"/>
        <v>神器5碎片6等级8</v>
      </c>
      <c r="T541" s="29" t="s">
        <v>649</v>
      </c>
      <c r="U541" s="14">
        <f t="shared" si="124"/>
        <v>8</v>
      </c>
      <c r="V541" s="36">
        <f t="shared" si="128"/>
        <v>0.67800000000000005</v>
      </c>
      <c r="W541" s="17">
        <f t="shared" si="125"/>
        <v>2.034E-2</v>
      </c>
      <c r="X541" s="14">
        <f t="shared" si="129"/>
        <v>2</v>
      </c>
      <c r="Y541" s="14">
        <f t="shared" si="130"/>
        <v>0</v>
      </c>
      <c r="Z541" s="14">
        <f t="shared" si="131"/>
        <v>0</v>
      </c>
      <c r="AA541" s="14" t="str">
        <f t="shared" si="132"/>
        <v>DefExt</v>
      </c>
      <c r="AB541" s="14">
        <f t="shared" si="126"/>
        <v>732</v>
      </c>
      <c r="AC541" s="14" t="str">
        <f t="shared" si="133"/>
        <v>[x]</v>
      </c>
      <c r="AD541" s="14" t="str">
        <f t="shared" si="134"/>
        <v>[x]</v>
      </c>
      <c r="AE541" s="14" t="str">
        <f t="shared" si="135"/>
        <v>[x]</v>
      </c>
      <c r="AF541" s="27" t="str">
        <f t="shared" si="136"/>
        <v>[x]</v>
      </c>
      <c r="AG541" s="27">
        <f t="shared" si="137"/>
        <v>16</v>
      </c>
    </row>
    <row r="542" spans="16:33" ht="16.5" x14ac:dyDescent="0.2">
      <c r="P542" s="13">
        <v>486</v>
      </c>
      <c r="Q542" s="14">
        <f t="shared" si="122"/>
        <v>26</v>
      </c>
      <c r="R542" s="14">
        <f t="shared" si="123"/>
        <v>1606032</v>
      </c>
      <c r="S542" s="14" t="str">
        <f t="shared" si="127"/>
        <v>神器5碎片6等级9</v>
      </c>
      <c r="T542" s="29" t="s">
        <v>649</v>
      </c>
      <c r="U542" s="14">
        <f t="shared" si="124"/>
        <v>9</v>
      </c>
      <c r="V542" s="36">
        <f t="shared" si="128"/>
        <v>0.76200000000000001</v>
      </c>
      <c r="W542" s="17">
        <f t="shared" si="125"/>
        <v>2.2859999999999998E-2</v>
      </c>
      <c r="X542" s="14">
        <f t="shared" si="129"/>
        <v>2</v>
      </c>
      <c r="Y542" s="14">
        <f t="shared" si="130"/>
        <v>0</v>
      </c>
      <c r="Z542" s="14">
        <f t="shared" si="131"/>
        <v>0</v>
      </c>
      <c r="AA542" s="14" t="str">
        <f t="shared" si="132"/>
        <v>DefExt</v>
      </c>
      <c r="AB542" s="14">
        <f t="shared" si="126"/>
        <v>823</v>
      </c>
      <c r="AC542" s="14" t="str">
        <f t="shared" si="133"/>
        <v>[x]</v>
      </c>
      <c r="AD542" s="14" t="str">
        <f t="shared" si="134"/>
        <v>[x]</v>
      </c>
      <c r="AE542" s="14" t="str">
        <f t="shared" si="135"/>
        <v>[x]</v>
      </c>
      <c r="AF542" s="27" t="str">
        <f t="shared" si="136"/>
        <v>[x]</v>
      </c>
      <c r="AG542" s="27">
        <f t="shared" si="137"/>
        <v>18</v>
      </c>
    </row>
    <row r="543" spans="16:33" ht="16.5" x14ac:dyDescent="0.2">
      <c r="P543" s="13">
        <v>487</v>
      </c>
      <c r="Q543" s="14">
        <f t="shared" si="122"/>
        <v>26</v>
      </c>
      <c r="R543" s="14">
        <f t="shared" si="123"/>
        <v>1606032</v>
      </c>
      <c r="S543" s="14" t="str">
        <f t="shared" si="127"/>
        <v>神器5碎片6等级10</v>
      </c>
      <c r="T543" s="29" t="s">
        <v>649</v>
      </c>
      <c r="U543" s="14">
        <f t="shared" si="124"/>
        <v>10</v>
      </c>
      <c r="V543" s="36">
        <f t="shared" si="128"/>
        <v>0.85000000000000009</v>
      </c>
      <c r="W543" s="17">
        <f t="shared" si="125"/>
        <v>2.5500000000000002E-2</v>
      </c>
      <c r="X543" s="14">
        <f t="shared" si="129"/>
        <v>2</v>
      </c>
      <c r="Y543" s="14">
        <f t="shared" si="130"/>
        <v>0</v>
      </c>
      <c r="Z543" s="14">
        <f t="shared" si="131"/>
        <v>0</v>
      </c>
      <c r="AA543" s="14" t="str">
        <f t="shared" si="132"/>
        <v>DefExt</v>
      </c>
      <c r="AB543" s="14">
        <f t="shared" si="126"/>
        <v>918</v>
      </c>
      <c r="AC543" s="14" t="str">
        <f t="shared" si="133"/>
        <v>[x]</v>
      </c>
      <c r="AD543" s="14" t="str">
        <f t="shared" si="134"/>
        <v>[x]</v>
      </c>
      <c r="AE543" s="14" t="str">
        <f t="shared" si="135"/>
        <v>[x]</v>
      </c>
      <c r="AF543" s="27" t="str">
        <f t="shared" si="136"/>
        <v>[x]</v>
      </c>
      <c r="AG543" s="27">
        <f t="shared" si="137"/>
        <v>20</v>
      </c>
    </row>
    <row r="544" spans="16:33" ht="16.5" x14ac:dyDescent="0.2">
      <c r="P544" s="13">
        <v>488</v>
      </c>
      <c r="Q544" s="14">
        <f t="shared" si="122"/>
        <v>26</v>
      </c>
      <c r="R544" s="14">
        <f t="shared" si="123"/>
        <v>1606032</v>
      </c>
      <c r="S544" s="14" t="str">
        <f t="shared" si="127"/>
        <v>神器5碎片6等级11</v>
      </c>
      <c r="T544" s="29" t="s">
        <v>649</v>
      </c>
      <c r="U544" s="14">
        <f t="shared" si="124"/>
        <v>11</v>
      </c>
      <c r="V544" s="36">
        <f t="shared" si="128"/>
        <v>0.94200000000000006</v>
      </c>
      <c r="W544" s="17">
        <f t="shared" si="125"/>
        <v>2.826E-2</v>
      </c>
      <c r="X544" s="14">
        <f t="shared" si="129"/>
        <v>2</v>
      </c>
      <c r="Y544" s="14">
        <f t="shared" si="130"/>
        <v>0</v>
      </c>
      <c r="Z544" s="14">
        <f t="shared" si="131"/>
        <v>0</v>
      </c>
      <c r="AA544" s="14" t="str">
        <f t="shared" si="132"/>
        <v>DefExt</v>
      </c>
      <c r="AB544" s="14">
        <f t="shared" si="126"/>
        <v>1018</v>
      </c>
      <c r="AC544" s="14" t="str">
        <f t="shared" si="133"/>
        <v>[x]</v>
      </c>
      <c r="AD544" s="14" t="str">
        <f t="shared" si="134"/>
        <v>[x]</v>
      </c>
      <c r="AE544" s="14" t="str">
        <f t="shared" si="135"/>
        <v>[x]</v>
      </c>
      <c r="AF544" s="27" t="str">
        <f t="shared" si="136"/>
        <v>[x]</v>
      </c>
      <c r="AG544" s="27">
        <f t="shared" si="137"/>
        <v>22</v>
      </c>
    </row>
    <row r="545" spans="16:33" ht="16.5" x14ac:dyDescent="0.2">
      <c r="P545" s="13">
        <v>489</v>
      </c>
      <c r="Q545" s="14">
        <f t="shared" si="122"/>
        <v>26</v>
      </c>
      <c r="R545" s="14">
        <f t="shared" si="123"/>
        <v>1606032</v>
      </c>
      <c r="S545" s="14" t="str">
        <f t="shared" si="127"/>
        <v>神器5碎片6等级12</v>
      </c>
      <c r="T545" s="29" t="s">
        <v>649</v>
      </c>
      <c r="U545" s="14">
        <f t="shared" si="124"/>
        <v>12</v>
      </c>
      <c r="V545" s="36">
        <f t="shared" si="128"/>
        <v>1.0380000000000003</v>
      </c>
      <c r="W545" s="17">
        <f t="shared" si="125"/>
        <v>3.1140000000000008E-2</v>
      </c>
      <c r="X545" s="14">
        <f t="shared" si="129"/>
        <v>2</v>
      </c>
      <c r="Y545" s="14">
        <f t="shared" si="130"/>
        <v>0</v>
      </c>
      <c r="Z545" s="14">
        <f t="shared" si="131"/>
        <v>0</v>
      </c>
      <c r="AA545" s="14" t="str">
        <f t="shared" si="132"/>
        <v>DefExt</v>
      </c>
      <c r="AB545" s="14">
        <f t="shared" si="126"/>
        <v>1121</v>
      </c>
      <c r="AC545" s="14" t="str">
        <f t="shared" si="133"/>
        <v>[x]</v>
      </c>
      <c r="AD545" s="14" t="str">
        <f t="shared" si="134"/>
        <v>[x]</v>
      </c>
      <c r="AE545" s="14" t="str">
        <f t="shared" si="135"/>
        <v>[x]</v>
      </c>
      <c r="AF545" s="27" t="str">
        <f t="shared" si="136"/>
        <v>[x]</v>
      </c>
      <c r="AG545" s="27">
        <f t="shared" si="137"/>
        <v>24</v>
      </c>
    </row>
    <row r="546" spans="16:33" ht="16.5" x14ac:dyDescent="0.2">
      <c r="P546" s="13">
        <v>490</v>
      </c>
      <c r="Q546" s="14">
        <f t="shared" si="122"/>
        <v>26</v>
      </c>
      <c r="R546" s="14">
        <f t="shared" si="123"/>
        <v>1606032</v>
      </c>
      <c r="S546" s="14" t="str">
        <f t="shared" si="127"/>
        <v>神器5碎片6等级13</v>
      </c>
      <c r="T546" s="29" t="s">
        <v>649</v>
      </c>
      <c r="U546" s="14">
        <f t="shared" si="124"/>
        <v>13</v>
      </c>
      <c r="V546" s="36">
        <f t="shared" si="128"/>
        <v>1.1380000000000001</v>
      </c>
      <c r="W546" s="17">
        <f t="shared" si="125"/>
        <v>3.4140000000000004E-2</v>
      </c>
      <c r="X546" s="14">
        <f t="shared" si="129"/>
        <v>2</v>
      </c>
      <c r="Y546" s="14">
        <f t="shared" si="130"/>
        <v>0</v>
      </c>
      <c r="Z546" s="14">
        <f t="shared" si="131"/>
        <v>0</v>
      </c>
      <c r="AA546" s="14" t="str">
        <f t="shared" si="132"/>
        <v>DefExt</v>
      </c>
      <c r="AB546" s="14">
        <f t="shared" si="126"/>
        <v>1229</v>
      </c>
      <c r="AC546" s="14" t="str">
        <f t="shared" si="133"/>
        <v>[x]</v>
      </c>
      <c r="AD546" s="14" t="str">
        <f t="shared" si="134"/>
        <v>[x]</v>
      </c>
      <c r="AE546" s="14" t="str">
        <f t="shared" si="135"/>
        <v>[x]</v>
      </c>
      <c r="AF546" s="27" t="str">
        <f t="shared" si="136"/>
        <v>[x]</v>
      </c>
      <c r="AG546" s="27">
        <f t="shared" si="137"/>
        <v>26</v>
      </c>
    </row>
    <row r="547" spans="16:33" ht="16.5" x14ac:dyDescent="0.2">
      <c r="P547" s="13">
        <v>491</v>
      </c>
      <c r="Q547" s="14">
        <f t="shared" si="122"/>
        <v>26</v>
      </c>
      <c r="R547" s="14">
        <f t="shared" si="123"/>
        <v>1606032</v>
      </c>
      <c r="S547" s="14" t="str">
        <f t="shared" si="127"/>
        <v>神器5碎片6等级14</v>
      </c>
      <c r="T547" s="29" t="s">
        <v>649</v>
      </c>
      <c r="U547" s="14">
        <f t="shared" si="124"/>
        <v>14</v>
      </c>
      <c r="V547" s="36">
        <f t="shared" si="128"/>
        <v>1.242</v>
      </c>
      <c r="W547" s="17">
        <f t="shared" si="125"/>
        <v>3.7260000000000001E-2</v>
      </c>
      <c r="X547" s="14">
        <f t="shared" si="129"/>
        <v>2</v>
      </c>
      <c r="Y547" s="14">
        <f t="shared" si="130"/>
        <v>0</v>
      </c>
      <c r="Z547" s="14">
        <f t="shared" si="131"/>
        <v>0</v>
      </c>
      <c r="AA547" s="14" t="str">
        <f t="shared" si="132"/>
        <v>DefExt</v>
      </c>
      <c r="AB547" s="14">
        <f t="shared" si="126"/>
        <v>1342</v>
      </c>
      <c r="AC547" s="14" t="str">
        <f t="shared" si="133"/>
        <v>[x]</v>
      </c>
      <c r="AD547" s="14" t="str">
        <f t="shared" si="134"/>
        <v>[x]</v>
      </c>
      <c r="AE547" s="14" t="str">
        <f t="shared" si="135"/>
        <v>[x]</v>
      </c>
      <c r="AF547" s="27" t="str">
        <f t="shared" si="136"/>
        <v>[x]</v>
      </c>
      <c r="AG547" s="27">
        <f t="shared" si="137"/>
        <v>28</v>
      </c>
    </row>
    <row r="548" spans="16:33" ht="16.5" x14ac:dyDescent="0.2">
      <c r="P548" s="13">
        <v>492</v>
      </c>
      <c r="Q548" s="14">
        <f t="shared" si="122"/>
        <v>26</v>
      </c>
      <c r="R548" s="14">
        <f t="shared" si="123"/>
        <v>1606032</v>
      </c>
      <c r="S548" s="14" t="str">
        <f t="shared" si="127"/>
        <v>神器5碎片6等级15</v>
      </c>
      <c r="T548" s="29" t="s">
        <v>649</v>
      </c>
      <c r="U548" s="14">
        <f t="shared" si="124"/>
        <v>15</v>
      </c>
      <c r="V548" s="36">
        <f t="shared" si="128"/>
        <v>1.35</v>
      </c>
      <c r="W548" s="17">
        <f t="shared" si="125"/>
        <v>4.0500000000000001E-2</v>
      </c>
      <c r="X548" s="14">
        <f t="shared" si="129"/>
        <v>2</v>
      </c>
      <c r="Y548" s="14">
        <f t="shared" si="130"/>
        <v>0</v>
      </c>
      <c r="Z548" s="14">
        <f t="shared" si="131"/>
        <v>0</v>
      </c>
      <c r="AA548" s="14" t="str">
        <f t="shared" si="132"/>
        <v>DefExt</v>
      </c>
      <c r="AB548" s="14">
        <f t="shared" si="126"/>
        <v>1458</v>
      </c>
      <c r="AC548" s="14" t="str">
        <f t="shared" si="133"/>
        <v>[x]</v>
      </c>
      <c r="AD548" s="14" t="str">
        <f t="shared" si="134"/>
        <v>[x]</v>
      </c>
      <c r="AE548" s="14" t="str">
        <f t="shared" si="135"/>
        <v>[x]</v>
      </c>
      <c r="AF548" s="27" t="str">
        <f t="shared" si="136"/>
        <v>[x]</v>
      </c>
      <c r="AG548" s="27">
        <f t="shared" si="137"/>
        <v>30</v>
      </c>
    </row>
    <row r="549" spans="16:33" ht="16.5" x14ac:dyDescent="0.2">
      <c r="P549" s="13">
        <v>493</v>
      </c>
      <c r="Q549" s="14">
        <f t="shared" si="122"/>
        <v>26</v>
      </c>
      <c r="R549" s="14">
        <f t="shared" si="123"/>
        <v>1606032</v>
      </c>
      <c r="S549" s="14" t="str">
        <f t="shared" si="127"/>
        <v>神器5碎片6等级16</v>
      </c>
      <c r="T549" s="29" t="s">
        <v>649</v>
      </c>
      <c r="U549" s="14">
        <f t="shared" si="124"/>
        <v>16</v>
      </c>
      <c r="V549" s="36">
        <f t="shared" si="128"/>
        <v>1.4620000000000002</v>
      </c>
      <c r="W549" s="17">
        <f t="shared" si="125"/>
        <v>4.3860000000000003E-2</v>
      </c>
      <c r="X549" s="14">
        <f t="shared" si="129"/>
        <v>2</v>
      </c>
      <c r="Y549" s="14">
        <f t="shared" si="130"/>
        <v>0</v>
      </c>
      <c r="Z549" s="14">
        <f t="shared" si="131"/>
        <v>0</v>
      </c>
      <c r="AA549" s="14" t="str">
        <f t="shared" si="132"/>
        <v>DefExt</v>
      </c>
      <c r="AB549" s="14">
        <f t="shared" si="126"/>
        <v>1580</v>
      </c>
      <c r="AC549" s="14" t="str">
        <f t="shared" si="133"/>
        <v>[x]</v>
      </c>
      <c r="AD549" s="14" t="str">
        <f t="shared" si="134"/>
        <v>[x]</v>
      </c>
      <c r="AE549" s="14" t="str">
        <f t="shared" si="135"/>
        <v>[x]</v>
      </c>
      <c r="AF549" s="27" t="str">
        <f t="shared" si="136"/>
        <v>[x]</v>
      </c>
      <c r="AG549" s="27">
        <f t="shared" si="137"/>
        <v>32</v>
      </c>
    </row>
    <row r="550" spans="16:33" ht="16.5" x14ac:dyDescent="0.2">
      <c r="P550" s="13">
        <v>494</v>
      </c>
      <c r="Q550" s="14">
        <f t="shared" si="122"/>
        <v>26</v>
      </c>
      <c r="R550" s="14">
        <f t="shared" si="123"/>
        <v>1606032</v>
      </c>
      <c r="S550" s="14" t="str">
        <f t="shared" si="127"/>
        <v>神器5碎片6等级17</v>
      </c>
      <c r="T550" s="29" t="s">
        <v>649</v>
      </c>
      <c r="U550" s="14">
        <f t="shared" si="124"/>
        <v>17</v>
      </c>
      <c r="V550" s="36">
        <f t="shared" si="128"/>
        <v>1.5779999999999998</v>
      </c>
      <c r="W550" s="17">
        <f t="shared" si="125"/>
        <v>4.7339999999999993E-2</v>
      </c>
      <c r="X550" s="14">
        <f t="shared" si="129"/>
        <v>2</v>
      </c>
      <c r="Y550" s="14">
        <f t="shared" si="130"/>
        <v>0</v>
      </c>
      <c r="Z550" s="14">
        <f t="shared" si="131"/>
        <v>0</v>
      </c>
      <c r="AA550" s="14" t="str">
        <f t="shared" si="132"/>
        <v>DefExt</v>
      </c>
      <c r="AB550" s="14">
        <f t="shared" si="126"/>
        <v>1705</v>
      </c>
      <c r="AC550" s="14" t="str">
        <f t="shared" si="133"/>
        <v>[x]</v>
      </c>
      <c r="AD550" s="14" t="str">
        <f t="shared" si="134"/>
        <v>[x]</v>
      </c>
      <c r="AE550" s="14" t="str">
        <f t="shared" si="135"/>
        <v>[x]</v>
      </c>
      <c r="AF550" s="27" t="str">
        <f t="shared" si="136"/>
        <v>[x]</v>
      </c>
      <c r="AG550" s="27">
        <f t="shared" si="137"/>
        <v>34</v>
      </c>
    </row>
    <row r="551" spans="16:33" ht="16.5" x14ac:dyDescent="0.2">
      <c r="P551" s="13">
        <v>495</v>
      </c>
      <c r="Q551" s="14">
        <f t="shared" si="122"/>
        <v>26</v>
      </c>
      <c r="R551" s="14">
        <f t="shared" si="123"/>
        <v>1606032</v>
      </c>
      <c r="S551" s="14" t="str">
        <f t="shared" si="127"/>
        <v>神器5碎片6等级18</v>
      </c>
      <c r="T551" s="29" t="s">
        <v>649</v>
      </c>
      <c r="U551" s="14">
        <f t="shared" si="124"/>
        <v>18</v>
      </c>
      <c r="V551" s="36">
        <f t="shared" si="128"/>
        <v>1.698</v>
      </c>
      <c r="W551" s="17">
        <f t="shared" si="125"/>
        <v>5.0939999999999999E-2</v>
      </c>
      <c r="X551" s="14">
        <f t="shared" si="129"/>
        <v>2</v>
      </c>
      <c r="Y551" s="14">
        <f t="shared" si="130"/>
        <v>0</v>
      </c>
      <c r="Z551" s="14">
        <f t="shared" si="131"/>
        <v>0</v>
      </c>
      <c r="AA551" s="14" t="str">
        <f t="shared" si="132"/>
        <v>DefExt</v>
      </c>
      <c r="AB551" s="14">
        <f t="shared" si="126"/>
        <v>1835</v>
      </c>
      <c r="AC551" s="14" t="str">
        <f t="shared" si="133"/>
        <v>[x]</v>
      </c>
      <c r="AD551" s="14" t="str">
        <f t="shared" si="134"/>
        <v>[x]</v>
      </c>
      <c r="AE551" s="14" t="str">
        <f t="shared" si="135"/>
        <v>[x]</v>
      </c>
      <c r="AF551" s="27" t="str">
        <f t="shared" si="136"/>
        <v>[x]</v>
      </c>
      <c r="AG551" s="27">
        <f t="shared" si="137"/>
        <v>36</v>
      </c>
    </row>
    <row r="552" spans="16:33" ht="16.5" x14ac:dyDescent="0.2">
      <c r="P552" s="13">
        <v>496</v>
      </c>
      <c r="Q552" s="14">
        <f t="shared" si="122"/>
        <v>26</v>
      </c>
      <c r="R552" s="14">
        <f t="shared" si="123"/>
        <v>1606032</v>
      </c>
      <c r="S552" s="14" t="str">
        <f t="shared" si="127"/>
        <v>神器5碎片6等级19</v>
      </c>
      <c r="T552" s="29" t="s">
        <v>649</v>
      </c>
      <c r="U552" s="14">
        <f t="shared" si="124"/>
        <v>19</v>
      </c>
      <c r="V552" s="36">
        <f t="shared" si="128"/>
        <v>1.8220000000000001</v>
      </c>
      <c r="W552" s="17">
        <f t="shared" si="125"/>
        <v>5.466E-2</v>
      </c>
      <c r="X552" s="14">
        <f t="shared" si="129"/>
        <v>2</v>
      </c>
      <c r="Y552" s="14">
        <f t="shared" si="130"/>
        <v>0</v>
      </c>
      <c r="Z552" s="14">
        <f t="shared" si="131"/>
        <v>0</v>
      </c>
      <c r="AA552" s="14" t="str">
        <f t="shared" si="132"/>
        <v>DefExt</v>
      </c>
      <c r="AB552" s="14">
        <f t="shared" si="126"/>
        <v>1969</v>
      </c>
      <c r="AC552" s="14" t="str">
        <f t="shared" si="133"/>
        <v>[x]</v>
      </c>
      <c r="AD552" s="14" t="str">
        <f t="shared" si="134"/>
        <v>[x]</v>
      </c>
      <c r="AE552" s="14" t="str">
        <f t="shared" si="135"/>
        <v>[x]</v>
      </c>
      <c r="AF552" s="27" t="str">
        <f t="shared" si="136"/>
        <v>[x]</v>
      </c>
      <c r="AG552" s="27">
        <f t="shared" si="137"/>
        <v>38</v>
      </c>
    </row>
    <row r="553" spans="16:33" ht="16.5" x14ac:dyDescent="0.2">
      <c r="P553" s="13">
        <v>497</v>
      </c>
      <c r="Q553" s="14">
        <f t="shared" si="122"/>
        <v>26</v>
      </c>
      <c r="R553" s="14">
        <f t="shared" si="123"/>
        <v>1606032</v>
      </c>
      <c r="S553" s="14" t="str">
        <f t="shared" si="127"/>
        <v>神器5碎片6等级20</v>
      </c>
      <c r="T553" s="29" t="s">
        <v>649</v>
      </c>
      <c r="U553" s="14">
        <f t="shared" si="124"/>
        <v>20</v>
      </c>
      <c r="V553" s="36">
        <f t="shared" si="128"/>
        <v>1.95</v>
      </c>
      <c r="W553" s="17">
        <f t="shared" si="125"/>
        <v>5.8499999999999996E-2</v>
      </c>
      <c r="X553" s="14">
        <f t="shared" si="129"/>
        <v>2</v>
      </c>
      <c r="Y553" s="14">
        <f t="shared" si="130"/>
        <v>0</v>
      </c>
      <c r="Z553" s="14">
        <f t="shared" si="131"/>
        <v>0</v>
      </c>
      <c r="AA553" s="14" t="str">
        <f t="shared" si="132"/>
        <v>DefExt</v>
      </c>
      <c r="AB553" s="14">
        <f t="shared" si="126"/>
        <v>2107</v>
      </c>
      <c r="AC553" s="14" t="str">
        <f t="shared" si="133"/>
        <v>[x]</v>
      </c>
      <c r="AD553" s="14" t="str">
        <f t="shared" si="134"/>
        <v>[x]</v>
      </c>
      <c r="AE553" s="14" t="str">
        <f t="shared" si="135"/>
        <v>[x]</v>
      </c>
      <c r="AF553" s="27" t="str">
        <f t="shared" si="136"/>
        <v>[x]</v>
      </c>
      <c r="AG553" s="27">
        <f t="shared" si="137"/>
        <v>40</v>
      </c>
    </row>
    <row r="554" spans="16:33" ht="16.5" x14ac:dyDescent="0.2">
      <c r="P554" s="13">
        <v>498</v>
      </c>
      <c r="Q554" s="14">
        <f t="shared" si="122"/>
        <v>26</v>
      </c>
      <c r="R554" s="14">
        <f t="shared" si="123"/>
        <v>1606032</v>
      </c>
      <c r="S554" s="14" t="str">
        <f t="shared" si="127"/>
        <v>神器5碎片6等级21</v>
      </c>
      <c r="T554" s="29" t="s">
        <v>649</v>
      </c>
      <c r="U554" s="14">
        <f t="shared" si="124"/>
        <v>21</v>
      </c>
      <c r="V554" s="36">
        <f t="shared" si="128"/>
        <v>2.0819999999999999</v>
      </c>
      <c r="W554" s="17">
        <f t="shared" si="125"/>
        <v>6.2459999999999995E-2</v>
      </c>
      <c r="X554" s="14">
        <f t="shared" si="129"/>
        <v>2</v>
      </c>
      <c r="Y554" s="14">
        <f t="shared" si="130"/>
        <v>0</v>
      </c>
      <c r="Z554" s="14">
        <f t="shared" si="131"/>
        <v>0</v>
      </c>
      <c r="AA554" s="14" t="str">
        <f t="shared" si="132"/>
        <v>DefExt</v>
      </c>
      <c r="AB554" s="14">
        <f t="shared" si="126"/>
        <v>2250</v>
      </c>
      <c r="AC554" s="14" t="str">
        <f t="shared" si="133"/>
        <v>[x]</v>
      </c>
      <c r="AD554" s="14" t="str">
        <f t="shared" si="134"/>
        <v>[x]</v>
      </c>
      <c r="AE554" s="14" t="str">
        <f t="shared" si="135"/>
        <v>[x]</v>
      </c>
      <c r="AF554" s="27" t="str">
        <f t="shared" si="136"/>
        <v>[x]</v>
      </c>
      <c r="AG554" s="27">
        <f t="shared" si="137"/>
        <v>42</v>
      </c>
    </row>
    <row r="555" spans="16:33" ht="16.5" x14ac:dyDescent="0.2">
      <c r="P555" s="13">
        <v>499</v>
      </c>
      <c r="Q555" s="14">
        <f t="shared" si="122"/>
        <v>27</v>
      </c>
      <c r="R555" s="14">
        <f t="shared" si="123"/>
        <v>1606035</v>
      </c>
      <c r="S555" s="14" t="str">
        <f t="shared" si="127"/>
        <v>神器6碎片1等级1</v>
      </c>
      <c r="T555" s="29" t="s">
        <v>649</v>
      </c>
      <c r="U555" s="14">
        <f t="shared" si="124"/>
        <v>1</v>
      </c>
      <c r="V555" s="36">
        <f t="shared" si="128"/>
        <v>0.20200000000000001</v>
      </c>
      <c r="W555" s="17">
        <f t="shared" si="125"/>
        <v>4.0400000000000002E-3</v>
      </c>
      <c r="X555" s="14">
        <f t="shared" si="129"/>
        <v>1</v>
      </c>
      <c r="Y555" s="14">
        <f t="shared" si="130"/>
        <v>2</v>
      </c>
      <c r="Z555" s="14">
        <f t="shared" si="131"/>
        <v>0</v>
      </c>
      <c r="AA555" s="14" t="str">
        <f t="shared" si="132"/>
        <v>AtkExt</v>
      </c>
      <c r="AB555" s="14">
        <f t="shared" si="126"/>
        <v>194</v>
      </c>
      <c r="AC555" s="14" t="str">
        <f t="shared" si="133"/>
        <v>DefExt</v>
      </c>
      <c r="AD555" s="14">
        <f t="shared" si="134"/>
        <v>48</v>
      </c>
      <c r="AE555" s="14" t="str">
        <f t="shared" si="135"/>
        <v>[x]</v>
      </c>
      <c r="AF555" s="27" t="str">
        <f t="shared" si="136"/>
        <v>[x]</v>
      </c>
      <c r="AG555" s="27" t="str">
        <f t="shared" si="137"/>
        <v>[x]</v>
      </c>
    </row>
    <row r="556" spans="16:33" ht="16.5" x14ac:dyDescent="0.2">
      <c r="P556" s="13">
        <v>500</v>
      </c>
      <c r="Q556" s="14">
        <f t="shared" si="122"/>
        <v>27</v>
      </c>
      <c r="R556" s="14">
        <f t="shared" si="123"/>
        <v>1606035</v>
      </c>
      <c r="S556" s="14" t="str">
        <f t="shared" si="127"/>
        <v>神器6碎片1等级2</v>
      </c>
      <c r="T556" s="29" t="s">
        <v>649</v>
      </c>
      <c r="U556" s="14">
        <f t="shared" si="124"/>
        <v>2</v>
      </c>
      <c r="V556" s="36">
        <f t="shared" si="128"/>
        <v>0.25800000000000001</v>
      </c>
      <c r="W556" s="17">
        <f t="shared" si="125"/>
        <v>5.1600000000000005E-3</v>
      </c>
      <c r="X556" s="14">
        <f t="shared" si="129"/>
        <v>1</v>
      </c>
      <c r="Y556" s="14">
        <f t="shared" si="130"/>
        <v>2</v>
      </c>
      <c r="Z556" s="14">
        <f t="shared" si="131"/>
        <v>0</v>
      </c>
      <c r="AA556" s="14" t="str">
        <f t="shared" si="132"/>
        <v>AtkExt</v>
      </c>
      <c r="AB556" s="14">
        <f t="shared" si="126"/>
        <v>248</v>
      </c>
      <c r="AC556" s="14" t="str">
        <f t="shared" si="133"/>
        <v>DefExt</v>
      </c>
      <c r="AD556" s="14">
        <f t="shared" si="134"/>
        <v>61</v>
      </c>
      <c r="AE556" s="14" t="str">
        <f t="shared" si="135"/>
        <v>[x]</v>
      </c>
      <c r="AF556" s="27" t="str">
        <f t="shared" si="136"/>
        <v>[x]</v>
      </c>
      <c r="AG556" s="27" t="str">
        <f t="shared" si="137"/>
        <v>[x]</v>
      </c>
    </row>
    <row r="557" spans="16:33" ht="16.5" x14ac:dyDescent="0.2">
      <c r="P557" s="13">
        <v>501</v>
      </c>
      <c r="Q557" s="14">
        <f t="shared" si="122"/>
        <v>27</v>
      </c>
      <c r="R557" s="14">
        <f t="shared" si="123"/>
        <v>1606035</v>
      </c>
      <c r="S557" s="14" t="str">
        <f t="shared" si="127"/>
        <v>神器6碎片1等级3</v>
      </c>
      <c r="T557" s="29" t="s">
        <v>649</v>
      </c>
      <c r="U557" s="14">
        <f t="shared" si="124"/>
        <v>3</v>
      </c>
      <c r="V557" s="36">
        <f t="shared" si="128"/>
        <v>0.31800000000000006</v>
      </c>
      <c r="W557" s="17">
        <f t="shared" si="125"/>
        <v>6.3600000000000011E-3</v>
      </c>
      <c r="X557" s="14">
        <f t="shared" si="129"/>
        <v>1</v>
      </c>
      <c r="Y557" s="14">
        <f t="shared" si="130"/>
        <v>2</v>
      </c>
      <c r="Z557" s="14">
        <f t="shared" si="131"/>
        <v>0</v>
      </c>
      <c r="AA557" s="14" t="str">
        <f t="shared" si="132"/>
        <v>AtkExt</v>
      </c>
      <c r="AB557" s="14">
        <f t="shared" si="126"/>
        <v>306</v>
      </c>
      <c r="AC557" s="14" t="str">
        <f t="shared" si="133"/>
        <v>DefExt</v>
      </c>
      <c r="AD557" s="14">
        <f t="shared" si="134"/>
        <v>76</v>
      </c>
      <c r="AE557" s="14" t="str">
        <f t="shared" si="135"/>
        <v>[x]</v>
      </c>
      <c r="AF557" s="27" t="str">
        <f t="shared" si="136"/>
        <v>[x]</v>
      </c>
      <c r="AG557" s="27" t="str">
        <f t="shared" si="137"/>
        <v>[x]</v>
      </c>
    </row>
    <row r="558" spans="16:33" ht="16.5" x14ac:dyDescent="0.2">
      <c r="P558" s="13">
        <v>502</v>
      </c>
      <c r="Q558" s="14">
        <f t="shared" si="122"/>
        <v>27</v>
      </c>
      <c r="R558" s="14">
        <f t="shared" si="123"/>
        <v>1606035</v>
      </c>
      <c r="S558" s="14" t="str">
        <f t="shared" si="127"/>
        <v>神器6碎片1等级4</v>
      </c>
      <c r="T558" s="29" t="s">
        <v>649</v>
      </c>
      <c r="U558" s="14">
        <f t="shared" si="124"/>
        <v>4</v>
      </c>
      <c r="V558" s="36">
        <f t="shared" si="128"/>
        <v>0.38200000000000001</v>
      </c>
      <c r="W558" s="17">
        <f t="shared" si="125"/>
        <v>7.6400000000000001E-3</v>
      </c>
      <c r="X558" s="14">
        <f t="shared" si="129"/>
        <v>1</v>
      </c>
      <c r="Y558" s="14">
        <f t="shared" si="130"/>
        <v>2</v>
      </c>
      <c r="Z558" s="14">
        <f t="shared" si="131"/>
        <v>0</v>
      </c>
      <c r="AA558" s="14" t="str">
        <f t="shared" si="132"/>
        <v>AtkExt</v>
      </c>
      <c r="AB558" s="14">
        <f t="shared" si="126"/>
        <v>367</v>
      </c>
      <c r="AC558" s="14" t="str">
        <f t="shared" si="133"/>
        <v>DefExt</v>
      </c>
      <c r="AD558" s="14">
        <f t="shared" si="134"/>
        <v>91</v>
      </c>
      <c r="AE558" s="14" t="str">
        <f t="shared" si="135"/>
        <v>[x]</v>
      </c>
      <c r="AF558" s="27" t="str">
        <f t="shared" si="136"/>
        <v>[x]</v>
      </c>
      <c r="AG558" s="27" t="str">
        <f t="shared" si="137"/>
        <v>[x]</v>
      </c>
    </row>
    <row r="559" spans="16:33" ht="16.5" x14ac:dyDescent="0.2">
      <c r="P559" s="13">
        <v>503</v>
      </c>
      <c r="Q559" s="14">
        <f t="shared" si="122"/>
        <v>27</v>
      </c>
      <c r="R559" s="14">
        <f t="shared" si="123"/>
        <v>1606035</v>
      </c>
      <c r="S559" s="14" t="str">
        <f t="shared" si="127"/>
        <v>神器6碎片1等级5</v>
      </c>
      <c r="T559" s="29" t="s">
        <v>649</v>
      </c>
      <c r="U559" s="14">
        <f t="shared" si="124"/>
        <v>5</v>
      </c>
      <c r="V559" s="36">
        <f t="shared" si="128"/>
        <v>0.45</v>
      </c>
      <c r="W559" s="17">
        <f t="shared" si="125"/>
        <v>9.0000000000000011E-3</v>
      </c>
      <c r="X559" s="14">
        <f t="shared" si="129"/>
        <v>1</v>
      </c>
      <c r="Y559" s="14">
        <f t="shared" si="130"/>
        <v>2</v>
      </c>
      <c r="Z559" s="14">
        <f t="shared" si="131"/>
        <v>0</v>
      </c>
      <c r="AA559" s="14" t="str">
        <f t="shared" si="132"/>
        <v>AtkExt</v>
      </c>
      <c r="AB559" s="14">
        <f t="shared" si="126"/>
        <v>433</v>
      </c>
      <c r="AC559" s="14" t="str">
        <f t="shared" si="133"/>
        <v>DefExt</v>
      </c>
      <c r="AD559" s="14">
        <f t="shared" si="134"/>
        <v>108</v>
      </c>
      <c r="AE559" s="14" t="str">
        <f t="shared" si="135"/>
        <v>[x]</v>
      </c>
      <c r="AF559" s="27" t="str">
        <f t="shared" si="136"/>
        <v>[x]</v>
      </c>
      <c r="AG559" s="27" t="str">
        <f t="shared" si="137"/>
        <v>[x]</v>
      </c>
    </row>
    <row r="560" spans="16:33" ht="16.5" x14ac:dyDescent="0.2">
      <c r="P560" s="13">
        <v>504</v>
      </c>
      <c r="Q560" s="14">
        <f t="shared" si="122"/>
        <v>27</v>
      </c>
      <c r="R560" s="14">
        <f t="shared" si="123"/>
        <v>1606035</v>
      </c>
      <c r="S560" s="14" t="str">
        <f t="shared" si="127"/>
        <v>神器6碎片1等级6</v>
      </c>
      <c r="T560" s="29" t="s">
        <v>649</v>
      </c>
      <c r="U560" s="14">
        <f t="shared" si="124"/>
        <v>6</v>
      </c>
      <c r="V560" s="36">
        <f t="shared" si="128"/>
        <v>0.52200000000000002</v>
      </c>
      <c r="W560" s="17">
        <f t="shared" si="125"/>
        <v>1.0440000000000001E-2</v>
      </c>
      <c r="X560" s="14">
        <f t="shared" si="129"/>
        <v>1</v>
      </c>
      <c r="Y560" s="14">
        <f t="shared" si="130"/>
        <v>2</v>
      </c>
      <c r="Z560" s="14">
        <f t="shared" si="131"/>
        <v>0</v>
      </c>
      <c r="AA560" s="14" t="str">
        <f t="shared" si="132"/>
        <v>AtkExt</v>
      </c>
      <c r="AB560" s="14">
        <f t="shared" si="126"/>
        <v>502</v>
      </c>
      <c r="AC560" s="14" t="str">
        <f t="shared" si="133"/>
        <v>DefExt</v>
      </c>
      <c r="AD560" s="14">
        <f t="shared" si="134"/>
        <v>125</v>
      </c>
      <c r="AE560" s="14" t="str">
        <f t="shared" si="135"/>
        <v>[x]</v>
      </c>
      <c r="AF560" s="27" t="str">
        <f t="shared" si="136"/>
        <v>[x]</v>
      </c>
      <c r="AG560" s="27" t="str">
        <f t="shared" si="137"/>
        <v>[x]</v>
      </c>
    </row>
    <row r="561" spans="16:33" ht="16.5" x14ac:dyDescent="0.2">
      <c r="P561" s="13">
        <v>505</v>
      </c>
      <c r="Q561" s="14">
        <f t="shared" si="122"/>
        <v>27</v>
      </c>
      <c r="R561" s="14">
        <f t="shared" si="123"/>
        <v>1606035</v>
      </c>
      <c r="S561" s="14" t="str">
        <f t="shared" si="127"/>
        <v>神器6碎片1等级7</v>
      </c>
      <c r="T561" s="29" t="s">
        <v>649</v>
      </c>
      <c r="U561" s="14">
        <f t="shared" si="124"/>
        <v>7</v>
      </c>
      <c r="V561" s="36">
        <f t="shared" si="128"/>
        <v>0.59799999999999998</v>
      </c>
      <c r="W561" s="17">
        <f t="shared" si="125"/>
        <v>1.196E-2</v>
      </c>
      <c r="X561" s="14">
        <f t="shared" si="129"/>
        <v>1</v>
      </c>
      <c r="Y561" s="14">
        <f t="shared" si="130"/>
        <v>2</v>
      </c>
      <c r="Z561" s="14">
        <f t="shared" si="131"/>
        <v>0</v>
      </c>
      <c r="AA561" s="14" t="str">
        <f t="shared" si="132"/>
        <v>AtkExt</v>
      </c>
      <c r="AB561" s="14">
        <f t="shared" si="126"/>
        <v>576</v>
      </c>
      <c r="AC561" s="14" t="str">
        <f t="shared" si="133"/>
        <v>DefExt</v>
      </c>
      <c r="AD561" s="14">
        <f t="shared" si="134"/>
        <v>143</v>
      </c>
      <c r="AE561" s="14" t="str">
        <f t="shared" si="135"/>
        <v>[x]</v>
      </c>
      <c r="AF561" s="27" t="str">
        <f t="shared" si="136"/>
        <v>[x]</v>
      </c>
      <c r="AG561" s="27" t="str">
        <f t="shared" si="137"/>
        <v>[x]</v>
      </c>
    </row>
    <row r="562" spans="16:33" ht="16.5" x14ac:dyDescent="0.2">
      <c r="P562" s="13">
        <v>506</v>
      </c>
      <c r="Q562" s="14">
        <f t="shared" si="122"/>
        <v>27</v>
      </c>
      <c r="R562" s="14">
        <f t="shared" si="123"/>
        <v>1606035</v>
      </c>
      <c r="S562" s="14" t="str">
        <f t="shared" si="127"/>
        <v>神器6碎片1等级8</v>
      </c>
      <c r="T562" s="29" t="s">
        <v>649</v>
      </c>
      <c r="U562" s="14">
        <f t="shared" si="124"/>
        <v>8</v>
      </c>
      <c r="V562" s="36">
        <f t="shared" si="128"/>
        <v>0.67800000000000005</v>
      </c>
      <c r="W562" s="17">
        <f t="shared" si="125"/>
        <v>1.3560000000000001E-2</v>
      </c>
      <c r="X562" s="14">
        <f t="shared" si="129"/>
        <v>1</v>
      </c>
      <c r="Y562" s="14">
        <f t="shared" si="130"/>
        <v>2</v>
      </c>
      <c r="Z562" s="14">
        <f t="shared" si="131"/>
        <v>0</v>
      </c>
      <c r="AA562" s="14" t="str">
        <f t="shared" si="132"/>
        <v>AtkExt</v>
      </c>
      <c r="AB562" s="14">
        <f t="shared" si="126"/>
        <v>653</v>
      </c>
      <c r="AC562" s="14" t="str">
        <f t="shared" si="133"/>
        <v>DefExt</v>
      </c>
      <c r="AD562" s="14">
        <f t="shared" si="134"/>
        <v>162</v>
      </c>
      <c r="AE562" s="14" t="str">
        <f t="shared" si="135"/>
        <v>[x]</v>
      </c>
      <c r="AF562" s="27" t="str">
        <f t="shared" si="136"/>
        <v>[x]</v>
      </c>
      <c r="AG562" s="27" t="str">
        <f t="shared" si="137"/>
        <v>[x]</v>
      </c>
    </row>
    <row r="563" spans="16:33" ht="16.5" x14ac:dyDescent="0.2">
      <c r="P563" s="13">
        <v>507</v>
      </c>
      <c r="Q563" s="14">
        <f t="shared" si="122"/>
        <v>27</v>
      </c>
      <c r="R563" s="14">
        <f t="shared" si="123"/>
        <v>1606035</v>
      </c>
      <c r="S563" s="14" t="str">
        <f t="shared" si="127"/>
        <v>神器6碎片1等级9</v>
      </c>
      <c r="T563" s="29" t="s">
        <v>649</v>
      </c>
      <c r="U563" s="14">
        <f t="shared" si="124"/>
        <v>9</v>
      </c>
      <c r="V563" s="36">
        <f t="shared" si="128"/>
        <v>0.76200000000000001</v>
      </c>
      <c r="W563" s="17">
        <f t="shared" si="125"/>
        <v>1.524E-2</v>
      </c>
      <c r="X563" s="14">
        <f t="shared" si="129"/>
        <v>1</v>
      </c>
      <c r="Y563" s="14">
        <f t="shared" si="130"/>
        <v>2</v>
      </c>
      <c r="Z563" s="14">
        <f t="shared" si="131"/>
        <v>0</v>
      </c>
      <c r="AA563" s="14" t="str">
        <f t="shared" si="132"/>
        <v>AtkExt</v>
      </c>
      <c r="AB563" s="14">
        <f t="shared" si="126"/>
        <v>733</v>
      </c>
      <c r="AC563" s="14" t="str">
        <f t="shared" si="133"/>
        <v>DefExt</v>
      </c>
      <c r="AD563" s="14">
        <f t="shared" si="134"/>
        <v>183</v>
      </c>
      <c r="AE563" s="14" t="str">
        <f t="shared" si="135"/>
        <v>[x]</v>
      </c>
      <c r="AF563" s="27" t="str">
        <f t="shared" si="136"/>
        <v>[x]</v>
      </c>
      <c r="AG563" s="27" t="str">
        <f t="shared" si="137"/>
        <v>[x]</v>
      </c>
    </row>
    <row r="564" spans="16:33" ht="16.5" x14ac:dyDescent="0.2">
      <c r="P564" s="13">
        <v>508</v>
      </c>
      <c r="Q564" s="14">
        <f t="shared" si="122"/>
        <v>27</v>
      </c>
      <c r="R564" s="14">
        <f t="shared" si="123"/>
        <v>1606035</v>
      </c>
      <c r="S564" s="14" t="str">
        <f t="shared" si="127"/>
        <v>神器6碎片1等级10</v>
      </c>
      <c r="T564" s="29" t="s">
        <v>649</v>
      </c>
      <c r="U564" s="14">
        <f t="shared" si="124"/>
        <v>10</v>
      </c>
      <c r="V564" s="36">
        <f t="shared" si="128"/>
        <v>0.85000000000000009</v>
      </c>
      <c r="W564" s="17">
        <f t="shared" si="125"/>
        <v>1.7000000000000001E-2</v>
      </c>
      <c r="X564" s="14">
        <f t="shared" si="129"/>
        <v>1</v>
      </c>
      <c r="Y564" s="14">
        <f t="shared" si="130"/>
        <v>2</v>
      </c>
      <c r="Z564" s="14">
        <f t="shared" si="131"/>
        <v>0</v>
      </c>
      <c r="AA564" s="14" t="str">
        <f t="shared" si="132"/>
        <v>AtkExt</v>
      </c>
      <c r="AB564" s="14">
        <f t="shared" si="126"/>
        <v>818</v>
      </c>
      <c r="AC564" s="14" t="str">
        <f t="shared" si="133"/>
        <v>DefExt</v>
      </c>
      <c r="AD564" s="14">
        <f t="shared" si="134"/>
        <v>204</v>
      </c>
      <c r="AE564" s="14" t="str">
        <f t="shared" si="135"/>
        <v>[x]</v>
      </c>
      <c r="AF564" s="27" t="str">
        <f t="shared" si="136"/>
        <v>[x]</v>
      </c>
      <c r="AG564" s="27" t="str">
        <f t="shared" si="137"/>
        <v>[x]</v>
      </c>
    </row>
    <row r="565" spans="16:33" ht="16.5" x14ac:dyDescent="0.2">
      <c r="P565" s="13">
        <v>509</v>
      </c>
      <c r="Q565" s="14">
        <f t="shared" si="122"/>
        <v>27</v>
      </c>
      <c r="R565" s="14">
        <f t="shared" si="123"/>
        <v>1606035</v>
      </c>
      <c r="S565" s="14" t="str">
        <f t="shared" si="127"/>
        <v>神器6碎片1等级11</v>
      </c>
      <c r="T565" s="29" t="s">
        <v>649</v>
      </c>
      <c r="U565" s="14">
        <f t="shared" si="124"/>
        <v>11</v>
      </c>
      <c r="V565" s="36">
        <f t="shared" si="128"/>
        <v>0.94200000000000006</v>
      </c>
      <c r="W565" s="17">
        <f t="shared" si="125"/>
        <v>1.8840000000000003E-2</v>
      </c>
      <c r="X565" s="14">
        <f t="shared" si="129"/>
        <v>1</v>
      </c>
      <c r="Y565" s="14">
        <f t="shared" si="130"/>
        <v>2</v>
      </c>
      <c r="Z565" s="14">
        <f t="shared" si="131"/>
        <v>0</v>
      </c>
      <c r="AA565" s="14" t="str">
        <f t="shared" si="132"/>
        <v>AtkExt</v>
      </c>
      <c r="AB565" s="14">
        <f t="shared" si="126"/>
        <v>907</v>
      </c>
      <c r="AC565" s="14" t="str">
        <f t="shared" si="133"/>
        <v>DefExt</v>
      </c>
      <c r="AD565" s="14">
        <f t="shared" si="134"/>
        <v>226</v>
      </c>
      <c r="AE565" s="14" t="str">
        <f t="shared" si="135"/>
        <v>[x]</v>
      </c>
      <c r="AF565" s="27" t="str">
        <f t="shared" si="136"/>
        <v>[x]</v>
      </c>
      <c r="AG565" s="27" t="str">
        <f t="shared" si="137"/>
        <v>[x]</v>
      </c>
    </row>
    <row r="566" spans="16:33" ht="16.5" x14ac:dyDescent="0.2">
      <c r="P566" s="13">
        <v>510</v>
      </c>
      <c r="Q566" s="14">
        <f t="shared" si="122"/>
        <v>27</v>
      </c>
      <c r="R566" s="14">
        <f t="shared" si="123"/>
        <v>1606035</v>
      </c>
      <c r="S566" s="14" t="str">
        <f t="shared" si="127"/>
        <v>神器6碎片1等级12</v>
      </c>
      <c r="T566" s="29" t="s">
        <v>649</v>
      </c>
      <c r="U566" s="14">
        <f t="shared" si="124"/>
        <v>12</v>
      </c>
      <c r="V566" s="36">
        <f t="shared" si="128"/>
        <v>1.0380000000000003</v>
      </c>
      <c r="W566" s="17">
        <f t="shared" si="125"/>
        <v>2.0760000000000004E-2</v>
      </c>
      <c r="X566" s="14">
        <f t="shared" si="129"/>
        <v>1</v>
      </c>
      <c r="Y566" s="14">
        <f t="shared" si="130"/>
        <v>2</v>
      </c>
      <c r="Z566" s="14">
        <f t="shared" si="131"/>
        <v>0</v>
      </c>
      <c r="AA566" s="14" t="str">
        <f t="shared" si="132"/>
        <v>AtkExt</v>
      </c>
      <c r="AB566" s="14">
        <f t="shared" si="126"/>
        <v>999</v>
      </c>
      <c r="AC566" s="14" t="str">
        <f t="shared" si="133"/>
        <v>DefExt</v>
      </c>
      <c r="AD566" s="14">
        <f t="shared" si="134"/>
        <v>249</v>
      </c>
      <c r="AE566" s="14" t="str">
        <f t="shared" si="135"/>
        <v>[x]</v>
      </c>
      <c r="AF566" s="27" t="str">
        <f t="shared" si="136"/>
        <v>[x]</v>
      </c>
      <c r="AG566" s="27" t="str">
        <f t="shared" si="137"/>
        <v>[x]</v>
      </c>
    </row>
    <row r="567" spans="16:33" ht="16.5" x14ac:dyDescent="0.2">
      <c r="P567" s="13">
        <v>511</v>
      </c>
      <c r="Q567" s="14">
        <f t="shared" si="122"/>
        <v>27</v>
      </c>
      <c r="R567" s="14">
        <f t="shared" si="123"/>
        <v>1606035</v>
      </c>
      <c r="S567" s="14" t="str">
        <f t="shared" si="127"/>
        <v>神器6碎片1等级13</v>
      </c>
      <c r="T567" s="29" t="s">
        <v>649</v>
      </c>
      <c r="U567" s="14">
        <f t="shared" si="124"/>
        <v>13</v>
      </c>
      <c r="V567" s="36">
        <f t="shared" si="128"/>
        <v>1.1380000000000001</v>
      </c>
      <c r="W567" s="17">
        <f t="shared" si="125"/>
        <v>2.2760000000000002E-2</v>
      </c>
      <c r="X567" s="14">
        <f t="shared" si="129"/>
        <v>1</v>
      </c>
      <c r="Y567" s="14">
        <f t="shared" si="130"/>
        <v>2</v>
      </c>
      <c r="Z567" s="14">
        <f t="shared" si="131"/>
        <v>0</v>
      </c>
      <c r="AA567" s="14" t="str">
        <f t="shared" si="132"/>
        <v>AtkExt</v>
      </c>
      <c r="AB567" s="14">
        <f t="shared" si="126"/>
        <v>1096</v>
      </c>
      <c r="AC567" s="14" t="str">
        <f t="shared" si="133"/>
        <v>DefExt</v>
      </c>
      <c r="AD567" s="14">
        <f t="shared" si="134"/>
        <v>273</v>
      </c>
      <c r="AE567" s="14" t="str">
        <f t="shared" si="135"/>
        <v>[x]</v>
      </c>
      <c r="AF567" s="27" t="str">
        <f t="shared" si="136"/>
        <v>[x]</v>
      </c>
      <c r="AG567" s="27" t="str">
        <f t="shared" si="137"/>
        <v>[x]</v>
      </c>
    </row>
    <row r="568" spans="16:33" ht="16.5" x14ac:dyDescent="0.2">
      <c r="P568" s="13">
        <v>512</v>
      </c>
      <c r="Q568" s="14">
        <f t="shared" si="122"/>
        <v>27</v>
      </c>
      <c r="R568" s="14">
        <f t="shared" si="123"/>
        <v>1606035</v>
      </c>
      <c r="S568" s="14" t="str">
        <f t="shared" si="127"/>
        <v>神器6碎片1等级14</v>
      </c>
      <c r="T568" s="29" t="s">
        <v>649</v>
      </c>
      <c r="U568" s="14">
        <f t="shared" si="124"/>
        <v>14</v>
      </c>
      <c r="V568" s="36">
        <f t="shared" si="128"/>
        <v>1.242</v>
      </c>
      <c r="W568" s="17">
        <f t="shared" si="125"/>
        <v>2.4840000000000001E-2</v>
      </c>
      <c r="X568" s="14">
        <f t="shared" si="129"/>
        <v>1</v>
      </c>
      <c r="Y568" s="14">
        <f t="shared" si="130"/>
        <v>2</v>
      </c>
      <c r="Z568" s="14">
        <f t="shared" si="131"/>
        <v>0</v>
      </c>
      <c r="AA568" s="14" t="str">
        <f t="shared" si="132"/>
        <v>AtkExt</v>
      </c>
      <c r="AB568" s="14">
        <f t="shared" si="126"/>
        <v>1196</v>
      </c>
      <c r="AC568" s="14" t="str">
        <f t="shared" si="133"/>
        <v>DefExt</v>
      </c>
      <c r="AD568" s="14">
        <f t="shared" si="134"/>
        <v>298</v>
      </c>
      <c r="AE568" s="14" t="str">
        <f t="shared" si="135"/>
        <v>[x]</v>
      </c>
      <c r="AF568" s="27" t="str">
        <f t="shared" si="136"/>
        <v>[x]</v>
      </c>
      <c r="AG568" s="27" t="str">
        <f t="shared" si="137"/>
        <v>[x]</v>
      </c>
    </row>
    <row r="569" spans="16:33" ht="16.5" x14ac:dyDescent="0.2">
      <c r="P569" s="13">
        <v>513</v>
      </c>
      <c r="Q569" s="14">
        <f t="shared" ref="Q569:Q632" si="138">MATCH(P569-1,$X$4:$X$46,1)</f>
        <v>27</v>
      </c>
      <c r="R569" s="14">
        <f t="shared" ref="R569:R632" si="139">INDEX($S$5:$S$46,Q569)</f>
        <v>1606035</v>
      </c>
      <c r="S569" s="14" t="str">
        <f t="shared" si="127"/>
        <v>神器6碎片1等级15</v>
      </c>
      <c r="T569" s="29" t="s">
        <v>649</v>
      </c>
      <c r="U569" s="14">
        <f t="shared" ref="U569:U632" si="140">P569-INDEX($X$4:$X$46,Q569)</f>
        <v>15</v>
      </c>
      <c r="V569" s="36">
        <f t="shared" si="128"/>
        <v>1.35</v>
      </c>
      <c r="W569" s="17">
        <f t="shared" ref="W569:W632" si="141">INDEX($V$5:$V$46,Q569)*V569</f>
        <v>2.7000000000000003E-2</v>
      </c>
      <c r="X569" s="14">
        <f t="shared" si="129"/>
        <v>1</v>
      </c>
      <c r="Y569" s="14">
        <f t="shared" si="130"/>
        <v>2</v>
      </c>
      <c r="Z569" s="14">
        <f t="shared" si="131"/>
        <v>0</v>
      </c>
      <c r="AA569" s="14" t="str">
        <f t="shared" si="132"/>
        <v>AtkExt</v>
      </c>
      <c r="AB569" s="14">
        <f t="shared" ref="AB569:AB632" si="142">INT(INDEX($E$4:$G$4,X569)*W569*INDEX($Y$5:$AA$46,Q569,X569))</f>
        <v>1300</v>
      </c>
      <c r="AC569" s="14" t="str">
        <f t="shared" si="133"/>
        <v>DefExt</v>
      </c>
      <c r="AD569" s="14">
        <f t="shared" si="134"/>
        <v>324</v>
      </c>
      <c r="AE569" s="14" t="str">
        <f t="shared" si="135"/>
        <v>[x]</v>
      </c>
      <c r="AF569" s="27" t="str">
        <f t="shared" si="136"/>
        <v>[x]</v>
      </c>
      <c r="AG569" s="27" t="str">
        <f t="shared" si="137"/>
        <v>[x]</v>
      </c>
    </row>
    <row r="570" spans="16:33" ht="16.5" x14ac:dyDescent="0.2">
      <c r="P570" s="13">
        <v>514</v>
      </c>
      <c r="Q570" s="14">
        <f t="shared" si="138"/>
        <v>27</v>
      </c>
      <c r="R570" s="14">
        <f t="shared" si="139"/>
        <v>1606035</v>
      </c>
      <c r="S570" s="14" t="str">
        <f t="shared" ref="S570:S633" si="143">INDEX($P$5:$P$46,Q570)&amp;"碎片"&amp;INDEX($R$5:$R$46,Q570)&amp;"等级"&amp;U570</f>
        <v>神器6碎片1等级16</v>
      </c>
      <c r="T570" s="29" t="s">
        <v>649</v>
      </c>
      <c r="U570" s="14">
        <f t="shared" si="140"/>
        <v>16</v>
      </c>
      <c r="V570" s="36">
        <f t="shared" ref="V570:V633" si="144">15%+U570*5%+U570*U570*0.2%</f>
        <v>1.4620000000000002</v>
      </c>
      <c r="W570" s="17">
        <f t="shared" si="141"/>
        <v>2.9240000000000006E-2</v>
      </c>
      <c r="X570" s="14">
        <f t="shared" ref="X570:X633" si="145">INDEX($AB$5:$AB$46,Q570)</f>
        <v>1</v>
      </c>
      <c r="Y570" s="14">
        <f t="shared" ref="Y570:Y633" si="146">INDEX(AC$5:AC$46,$Q570)</f>
        <v>2</v>
      </c>
      <c r="Z570" s="14">
        <f t="shared" ref="Z570:Z633" si="147">INDEX(AD$5:AD$46,$Q570)</f>
        <v>0</v>
      </c>
      <c r="AA570" s="14" t="str">
        <f t="shared" ref="AA570:AA633" si="148">INDEX($Y$3:$AA$3,X570)</f>
        <v>AtkExt</v>
      </c>
      <c r="AB570" s="14">
        <f t="shared" si="142"/>
        <v>1408</v>
      </c>
      <c r="AC570" s="14" t="str">
        <f t="shared" ref="AC570:AC633" si="149">IF(Y570&gt;0,INDEX($Y$3:$AA$3,Y570),"[x]")</f>
        <v>DefExt</v>
      </c>
      <c r="AD570" s="14">
        <f t="shared" ref="AD570:AD633" si="150">IF(Y570&gt;0,INT(INDEX($E$4:$G$4,Y570)*W570*INDEX($Y$5:$AA$46,Q570,Y570)),"[x]")</f>
        <v>351</v>
      </c>
      <c r="AE570" s="14" t="str">
        <f t="shared" ref="AE570:AE633" si="151">IF(Z570&gt;0,INDEX($Y$3:$AA$3,Z570),"[x]")</f>
        <v>[x]</v>
      </c>
      <c r="AF570" s="27" t="str">
        <f t="shared" ref="AF570:AF633" si="152">IF(Z570&gt;0,INT(INDEX($E$4:$G$4,Z570)*W570*INDEX($Y$5:$AA$46,Q570,Z570)),"[x]")</f>
        <v>[x]</v>
      </c>
      <c r="AG570" s="27" t="str">
        <f t="shared" ref="AG570:AG633" si="153">IF(INDEX($AE$5:$AE$46,Q570)&gt;0,INDEX($AE$5:$AE$46,Q570)*U570,"[x]")</f>
        <v>[x]</v>
      </c>
    </row>
    <row r="571" spans="16:33" ht="16.5" x14ac:dyDescent="0.2">
      <c r="P571" s="13">
        <v>515</v>
      </c>
      <c r="Q571" s="14">
        <f t="shared" si="138"/>
        <v>27</v>
      </c>
      <c r="R571" s="14">
        <f t="shared" si="139"/>
        <v>1606035</v>
      </c>
      <c r="S571" s="14" t="str">
        <f t="shared" si="143"/>
        <v>神器6碎片1等级17</v>
      </c>
      <c r="T571" s="29" t="s">
        <v>649</v>
      </c>
      <c r="U571" s="14">
        <f t="shared" si="140"/>
        <v>17</v>
      </c>
      <c r="V571" s="36">
        <f t="shared" si="144"/>
        <v>1.5779999999999998</v>
      </c>
      <c r="W571" s="17">
        <f t="shared" si="141"/>
        <v>3.1559999999999998E-2</v>
      </c>
      <c r="X571" s="14">
        <f t="shared" si="145"/>
        <v>1</v>
      </c>
      <c r="Y571" s="14">
        <f t="shared" si="146"/>
        <v>2</v>
      </c>
      <c r="Z571" s="14">
        <f t="shared" si="147"/>
        <v>0</v>
      </c>
      <c r="AA571" s="14" t="str">
        <f t="shared" si="148"/>
        <v>AtkExt</v>
      </c>
      <c r="AB571" s="14">
        <f t="shared" si="142"/>
        <v>1519</v>
      </c>
      <c r="AC571" s="14" t="str">
        <f t="shared" si="149"/>
        <v>DefExt</v>
      </c>
      <c r="AD571" s="14">
        <f t="shared" si="150"/>
        <v>378</v>
      </c>
      <c r="AE571" s="14" t="str">
        <f t="shared" si="151"/>
        <v>[x]</v>
      </c>
      <c r="AF571" s="27" t="str">
        <f t="shared" si="152"/>
        <v>[x]</v>
      </c>
      <c r="AG571" s="27" t="str">
        <f t="shared" si="153"/>
        <v>[x]</v>
      </c>
    </row>
    <row r="572" spans="16:33" ht="16.5" x14ac:dyDescent="0.2">
      <c r="P572" s="13">
        <v>516</v>
      </c>
      <c r="Q572" s="14">
        <f t="shared" si="138"/>
        <v>27</v>
      </c>
      <c r="R572" s="14">
        <f t="shared" si="139"/>
        <v>1606035</v>
      </c>
      <c r="S572" s="14" t="str">
        <f t="shared" si="143"/>
        <v>神器6碎片1等级18</v>
      </c>
      <c r="T572" s="29" t="s">
        <v>649</v>
      </c>
      <c r="U572" s="14">
        <f t="shared" si="140"/>
        <v>18</v>
      </c>
      <c r="V572" s="36">
        <f t="shared" si="144"/>
        <v>1.698</v>
      </c>
      <c r="W572" s="17">
        <f t="shared" si="141"/>
        <v>3.3959999999999997E-2</v>
      </c>
      <c r="X572" s="14">
        <f t="shared" si="145"/>
        <v>1</v>
      </c>
      <c r="Y572" s="14">
        <f t="shared" si="146"/>
        <v>2</v>
      </c>
      <c r="Z572" s="14">
        <f t="shared" si="147"/>
        <v>0</v>
      </c>
      <c r="AA572" s="14" t="str">
        <f t="shared" si="148"/>
        <v>AtkExt</v>
      </c>
      <c r="AB572" s="14">
        <f t="shared" si="142"/>
        <v>1635</v>
      </c>
      <c r="AC572" s="14" t="str">
        <f t="shared" si="149"/>
        <v>DefExt</v>
      </c>
      <c r="AD572" s="14">
        <f t="shared" si="150"/>
        <v>407</v>
      </c>
      <c r="AE572" s="14" t="str">
        <f t="shared" si="151"/>
        <v>[x]</v>
      </c>
      <c r="AF572" s="27" t="str">
        <f t="shared" si="152"/>
        <v>[x]</v>
      </c>
      <c r="AG572" s="27" t="str">
        <f t="shared" si="153"/>
        <v>[x]</v>
      </c>
    </row>
    <row r="573" spans="16:33" ht="16.5" x14ac:dyDescent="0.2">
      <c r="P573" s="13">
        <v>517</v>
      </c>
      <c r="Q573" s="14">
        <f t="shared" si="138"/>
        <v>27</v>
      </c>
      <c r="R573" s="14">
        <f t="shared" si="139"/>
        <v>1606035</v>
      </c>
      <c r="S573" s="14" t="str">
        <f t="shared" si="143"/>
        <v>神器6碎片1等级19</v>
      </c>
      <c r="T573" s="29" t="s">
        <v>649</v>
      </c>
      <c r="U573" s="14">
        <f t="shared" si="140"/>
        <v>19</v>
      </c>
      <c r="V573" s="36">
        <f t="shared" si="144"/>
        <v>1.8220000000000001</v>
      </c>
      <c r="W573" s="17">
        <f t="shared" si="141"/>
        <v>3.644E-2</v>
      </c>
      <c r="X573" s="14">
        <f t="shared" si="145"/>
        <v>1</v>
      </c>
      <c r="Y573" s="14">
        <f t="shared" si="146"/>
        <v>2</v>
      </c>
      <c r="Z573" s="14">
        <f t="shared" si="147"/>
        <v>0</v>
      </c>
      <c r="AA573" s="14" t="str">
        <f t="shared" si="148"/>
        <v>AtkExt</v>
      </c>
      <c r="AB573" s="14">
        <f t="shared" si="142"/>
        <v>1755</v>
      </c>
      <c r="AC573" s="14" t="str">
        <f t="shared" si="149"/>
        <v>DefExt</v>
      </c>
      <c r="AD573" s="14">
        <f t="shared" si="150"/>
        <v>437</v>
      </c>
      <c r="AE573" s="14" t="str">
        <f t="shared" si="151"/>
        <v>[x]</v>
      </c>
      <c r="AF573" s="27" t="str">
        <f t="shared" si="152"/>
        <v>[x]</v>
      </c>
      <c r="AG573" s="27" t="str">
        <f t="shared" si="153"/>
        <v>[x]</v>
      </c>
    </row>
    <row r="574" spans="16:33" ht="16.5" x14ac:dyDescent="0.2">
      <c r="P574" s="13">
        <v>518</v>
      </c>
      <c r="Q574" s="14">
        <f t="shared" si="138"/>
        <v>27</v>
      </c>
      <c r="R574" s="14">
        <f t="shared" si="139"/>
        <v>1606035</v>
      </c>
      <c r="S574" s="14" t="str">
        <f t="shared" si="143"/>
        <v>神器6碎片1等级20</v>
      </c>
      <c r="T574" s="29" t="s">
        <v>649</v>
      </c>
      <c r="U574" s="14">
        <f t="shared" si="140"/>
        <v>20</v>
      </c>
      <c r="V574" s="36">
        <f t="shared" si="144"/>
        <v>1.95</v>
      </c>
      <c r="W574" s="17">
        <f t="shared" si="141"/>
        <v>3.9E-2</v>
      </c>
      <c r="X574" s="14">
        <f t="shared" si="145"/>
        <v>1</v>
      </c>
      <c r="Y574" s="14">
        <f t="shared" si="146"/>
        <v>2</v>
      </c>
      <c r="Z574" s="14">
        <f t="shared" si="147"/>
        <v>0</v>
      </c>
      <c r="AA574" s="14" t="str">
        <f t="shared" si="148"/>
        <v>AtkExt</v>
      </c>
      <c r="AB574" s="14">
        <f t="shared" si="142"/>
        <v>1878</v>
      </c>
      <c r="AC574" s="14" t="str">
        <f t="shared" si="149"/>
        <v>DefExt</v>
      </c>
      <c r="AD574" s="14">
        <f t="shared" si="150"/>
        <v>468</v>
      </c>
      <c r="AE574" s="14" t="str">
        <f t="shared" si="151"/>
        <v>[x]</v>
      </c>
      <c r="AF574" s="27" t="str">
        <f t="shared" si="152"/>
        <v>[x]</v>
      </c>
      <c r="AG574" s="27" t="str">
        <f t="shared" si="153"/>
        <v>[x]</v>
      </c>
    </row>
    <row r="575" spans="16:33" ht="16.5" x14ac:dyDescent="0.2">
      <c r="P575" s="13">
        <v>519</v>
      </c>
      <c r="Q575" s="14">
        <f t="shared" si="138"/>
        <v>27</v>
      </c>
      <c r="R575" s="14">
        <f t="shared" si="139"/>
        <v>1606035</v>
      </c>
      <c r="S575" s="14" t="str">
        <f t="shared" si="143"/>
        <v>神器6碎片1等级21</v>
      </c>
      <c r="T575" s="29" t="s">
        <v>649</v>
      </c>
      <c r="U575" s="14">
        <f t="shared" si="140"/>
        <v>21</v>
      </c>
      <c r="V575" s="36">
        <f t="shared" si="144"/>
        <v>2.0819999999999999</v>
      </c>
      <c r="W575" s="17">
        <f t="shared" si="141"/>
        <v>4.1639999999999996E-2</v>
      </c>
      <c r="X575" s="14">
        <f t="shared" si="145"/>
        <v>1</v>
      </c>
      <c r="Y575" s="14">
        <f t="shared" si="146"/>
        <v>2</v>
      </c>
      <c r="Z575" s="14">
        <f t="shared" si="147"/>
        <v>0</v>
      </c>
      <c r="AA575" s="14" t="str">
        <f t="shared" si="148"/>
        <v>AtkExt</v>
      </c>
      <c r="AB575" s="14">
        <f t="shared" si="142"/>
        <v>2005</v>
      </c>
      <c r="AC575" s="14" t="str">
        <f t="shared" si="149"/>
        <v>DefExt</v>
      </c>
      <c r="AD575" s="14">
        <f t="shared" si="150"/>
        <v>500</v>
      </c>
      <c r="AE575" s="14" t="str">
        <f t="shared" si="151"/>
        <v>[x]</v>
      </c>
      <c r="AF575" s="27" t="str">
        <f t="shared" si="152"/>
        <v>[x]</v>
      </c>
      <c r="AG575" s="27" t="str">
        <f t="shared" si="153"/>
        <v>[x]</v>
      </c>
    </row>
    <row r="576" spans="16:33" ht="16.5" x14ac:dyDescent="0.2">
      <c r="P576" s="13">
        <v>520</v>
      </c>
      <c r="Q576" s="14">
        <f t="shared" si="138"/>
        <v>28</v>
      </c>
      <c r="R576" s="14">
        <f t="shared" si="139"/>
        <v>1606036</v>
      </c>
      <c r="S576" s="14" t="str">
        <f t="shared" si="143"/>
        <v>神器6碎片2等级1</v>
      </c>
      <c r="T576" s="29" t="s">
        <v>649</v>
      </c>
      <c r="U576" s="14">
        <f t="shared" si="140"/>
        <v>1</v>
      </c>
      <c r="V576" s="36">
        <f t="shared" si="144"/>
        <v>0.20200000000000001</v>
      </c>
      <c r="W576" s="17">
        <f t="shared" si="141"/>
        <v>4.0400000000000002E-3</v>
      </c>
      <c r="X576" s="14">
        <f t="shared" si="145"/>
        <v>2</v>
      </c>
      <c r="Y576" s="14">
        <f t="shared" si="146"/>
        <v>3</v>
      </c>
      <c r="Z576" s="14">
        <f t="shared" si="147"/>
        <v>0</v>
      </c>
      <c r="AA576" s="14" t="str">
        <f t="shared" si="148"/>
        <v>DefExt</v>
      </c>
      <c r="AB576" s="14">
        <f t="shared" si="142"/>
        <v>97</v>
      </c>
      <c r="AC576" s="14" t="str">
        <f t="shared" si="149"/>
        <v>HPExt</v>
      </c>
      <c r="AD576" s="14">
        <f t="shared" si="150"/>
        <v>292</v>
      </c>
      <c r="AE576" s="14" t="str">
        <f t="shared" si="151"/>
        <v>[x]</v>
      </c>
      <c r="AF576" s="27" t="str">
        <f t="shared" si="152"/>
        <v>[x]</v>
      </c>
      <c r="AG576" s="27" t="str">
        <f t="shared" si="153"/>
        <v>[x]</v>
      </c>
    </row>
    <row r="577" spans="16:33" ht="16.5" x14ac:dyDescent="0.2">
      <c r="P577" s="13">
        <v>521</v>
      </c>
      <c r="Q577" s="14">
        <f t="shared" si="138"/>
        <v>28</v>
      </c>
      <c r="R577" s="14">
        <f t="shared" si="139"/>
        <v>1606036</v>
      </c>
      <c r="S577" s="14" t="str">
        <f t="shared" si="143"/>
        <v>神器6碎片2等级2</v>
      </c>
      <c r="T577" s="29" t="s">
        <v>649</v>
      </c>
      <c r="U577" s="14">
        <f t="shared" si="140"/>
        <v>2</v>
      </c>
      <c r="V577" s="36">
        <f t="shared" si="144"/>
        <v>0.25800000000000001</v>
      </c>
      <c r="W577" s="17">
        <f t="shared" si="141"/>
        <v>5.1600000000000005E-3</v>
      </c>
      <c r="X577" s="14">
        <f t="shared" si="145"/>
        <v>2</v>
      </c>
      <c r="Y577" s="14">
        <f t="shared" si="146"/>
        <v>3</v>
      </c>
      <c r="Z577" s="14">
        <f t="shared" si="147"/>
        <v>0</v>
      </c>
      <c r="AA577" s="14" t="str">
        <f t="shared" si="148"/>
        <v>DefExt</v>
      </c>
      <c r="AB577" s="14">
        <f t="shared" si="142"/>
        <v>123</v>
      </c>
      <c r="AC577" s="14" t="str">
        <f t="shared" si="149"/>
        <v>HPExt</v>
      </c>
      <c r="AD577" s="14">
        <f t="shared" si="150"/>
        <v>373</v>
      </c>
      <c r="AE577" s="14" t="str">
        <f t="shared" si="151"/>
        <v>[x]</v>
      </c>
      <c r="AF577" s="27" t="str">
        <f t="shared" si="152"/>
        <v>[x]</v>
      </c>
      <c r="AG577" s="27" t="str">
        <f t="shared" si="153"/>
        <v>[x]</v>
      </c>
    </row>
    <row r="578" spans="16:33" ht="16.5" x14ac:dyDescent="0.2">
      <c r="P578" s="13">
        <v>522</v>
      </c>
      <c r="Q578" s="14">
        <f t="shared" si="138"/>
        <v>28</v>
      </c>
      <c r="R578" s="14">
        <f t="shared" si="139"/>
        <v>1606036</v>
      </c>
      <c r="S578" s="14" t="str">
        <f t="shared" si="143"/>
        <v>神器6碎片2等级3</v>
      </c>
      <c r="T578" s="29" t="s">
        <v>649</v>
      </c>
      <c r="U578" s="14">
        <f t="shared" si="140"/>
        <v>3</v>
      </c>
      <c r="V578" s="36">
        <f t="shared" si="144"/>
        <v>0.31800000000000006</v>
      </c>
      <c r="W578" s="17">
        <f t="shared" si="141"/>
        <v>6.3600000000000011E-3</v>
      </c>
      <c r="X578" s="14">
        <f t="shared" si="145"/>
        <v>2</v>
      </c>
      <c r="Y578" s="14">
        <f t="shared" si="146"/>
        <v>3</v>
      </c>
      <c r="Z578" s="14">
        <f t="shared" si="147"/>
        <v>0</v>
      </c>
      <c r="AA578" s="14" t="str">
        <f t="shared" si="148"/>
        <v>DefExt</v>
      </c>
      <c r="AB578" s="14">
        <f t="shared" si="142"/>
        <v>152</v>
      </c>
      <c r="AC578" s="14" t="str">
        <f t="shared" si="149"/>
        <v>HPExt</v>
      </c>
      <c r="AD578" s="14">
        <f t="shared" si="150"/>
        <v>460</v>
      </c>
      <c r="AE578" s="14" t="str">
        <f t="shared" si="151"/>
        <v>[x]</v>
      </c>
      <c r="AF578" s="27" t="str">
        <f t="shared" si="152"/>
        <v>[x]</v>
      </c>
      <c r="AG578" s="27" t="str">
        <f t="shared" si="153"/>
        <v>[x]</v>
      </c>
    </row>
    <row r="579" spans="16:33" ht="16.5" x14ac:dyDescent="0.2">
      <c r="P579" s="13">
        <v>523</v>
      </c>
      <c r="Q579" s="14">
        <f t="shared" si="138"/>
        <v>28</v>
      </c>
      <c r="R579" s="14">
        <f t="shared" si="139"/>
        <v>1606036</v>
      </c>
      <c r="S579" s="14" t="str">
        <f t="shared" si="143"/>
        <v>神器6碎片2等级4</v>
      </c>
      <c r="T579" s="29" t="s">
        <v>649</v>
      </c>
      <c r="U579" s="14">
        <f t="shared" si="140"/>
        <v>4</v>
      </c>
      <c r="V579" s="36">
        <f t="shared" si="144"/>
        <v>0.38200000000000001</v>
      </c>
      <c r="W579" s="17">
        <f t="shared" si="141"/>
        <v>7.6400000000000001E-3</v>
      </c>
      <c r="X579" s="14">
        <f t="shared" si="145"/>
        <v>2</v>
      </c>
      <c r="Y579" s="14">
        <f t="shared" si="146"/>
        <v>3</v>
      </c>
      <c r="Z579" s="14">
        <f t="shared" si="147"/>
        <v>0</v>
      </c>
      <c r="AA579" s="14" t="str">
        <f t="shared" si="148"/>
        <v>DefExt</v>
      </c>
      <c r="AB579" s="14">
        <f t="shared" si="142"/>
        <v>183</v>
      </c>
      <c r="AC579" s="14" t="str">
        <f t="shared" si="149"/>
        <v>HPExt</v>
      </c>
      <c r="AD579" s="14">
        <f t="shared" si="150"/>
        <v>553</v>
      </c>
      <c r="AE579" s="14" t="str">
        <f t="shared" si="151"/>
        <v>[x]</v>
      </c>
      <c r="AF579" s="27" t="str">
        <f t="shared" si="152"/>
        <v>[x]</v>
      </c>
      <c r="AG579" s="27" t="str">
        <f t="shared" si="153"/>
        <v>[x]</v>
      </c>
    </row>
    <row r="580" spans="16:33" ht="16.5" x14ac:dyDescent="0.2">
      <c r="P580" s="13">
        <v>524</v>
      </c>
      <c r="Q580" s="14">
        <f t="shared" si="138"/>
        <v>28</v>
      </c>
      <c r="R580" s="14">
        <f t="shared" si="139"/>
        <v>1606036</v>
      </c>
      <c r="S580" s="14" t="str">
        <f t="shared" si="143"/>
        <v>神器6碎片2等级5</v>
      </c>
      <c r="T580" s="29" t="s">
        <v>649</v>
      </c>
      <c r="U580" s="14">
        <f t="shared" si="140"/>
        <v>5</v>
      </c>
      <c r="V580" s="36">
        <f t="shared" si="144"/>
        <v>0.45</v>
      </c>
      <c r="W580" s="17">
        <f t="shared" si="141"/>
        <v>9.0000000000000011E-3</v>
      </c>
      <c r="X580" s="14">
        <f t="shared" si="145"/>
        <v>2</v>
      </c>
      <c r="Y580" s="14">
        <f t="shared" si="146"/>
        <v>3</v>
      </c>
      <c r="Z580" s="14">
        <f t="shared" si="147"/>
        <v>0</v>
      </c>
      <c r="AA580" s="14" t="str">
        <f t="shared" si="148"/>
        <v>DefExt</v>
      </c>
      <c r="AB580" s="14">
        <f t="shared" si="142"/>
        <v>216</v>
      </c>
      <c r="AC580" s="14" t="str">
        <f t="shared" si="149"/>
        <v>HPExt</v>
      </c>
      <c r="AD580" s="14">
        <f t="shared" si="150"/>
        <v>651</v>
      </c>
      <c r="AE580" s="14" t="str">
        <f t="shared" si="151"/>
        <v>[x]</v>
      </c>
      <c r="AF580" s="27" t="str">
        <f t="shared" si="152"/>
        <v>[x]</v>
      </c>
      <c r="AG580" s="27" t="str">
        <f t="shared" si="153"/>
        <v>[x]</v>
      </c>
    </row>
    <row r="581" spans="16:33" ht="16.5" x14ac:dyDescent="0.2">
      <c r="P581" s="13">
        <v>525</v>
      </c>
      <c r="Q581" s="14">
        <f t="shared" si="138"/>
        <v>28</v>
      </c>
      <c r="R581" s="14">
        <f t="shared" si="139"/>
        <v>1606036</v>
      </c>
      <c r="S581" s="14" t="str">
        <f t="shared" si="143"/>
        <v>神器6碎片2等级6</v>
      </c>
      <c r="T581" s="29" t="s">
        <v>649</v>
      </c>
      <c r="U581" s="14">
        <f t="shared" si="140"/>
        <v>6</v>
      </c>
      <c r="V581" s="36">
        <f t="shared" si="144"/>
        <v>0.52200000000000002</v>
      </c>
      <c r="W581" s="17">
        <f t="shared" si="141"/>
        <v>1.0440000000000001E-2</v>
      </c>
      <c r="X581" s="14">
        <f t="shared" si="145"/>
        <v>2</v>
      </c>
      <c r="Y581" s="14">
        <f t="shared" si="146"/>
        <v>3</v>
      </c>
      <c r="Z581" s="14">
        <f t="shared" si="147"/>
        <v>0</v>
      </c>
      <c r="AA581" s="14" t="str">
        <f t="shared" si="148"/>
        <v>DefExt</v>
      </c>
      <c r="AB581" s="14">
        <f t="shared" si="142"/>
        <v>250</v>
      </c>
      <c r="AC581" s="14" t="str">
        <f t="shared" si="149"/>
        <v>HPExt</v>
      </c>
      <c r="AD581" s="14">
        <f t="shared" si="150"/>
        <v>756</v>
      </c>
      <c r="AE581" s="14" t="str">
        <f t="shared" si="151"/>
        <v>[x]</v>
      </c>
      <c r="AF581" s="27" t="str">
        <f t="shared" si="152"/>
        <v>[x]</v>
      </c>
      <c r="AG581" s="27" t="str">
        <f t="shared" si="153"/>
        <v>[x]</v>
      </c>
    </row>
    <row r="582" spans="16:33" ht="16.5" x14ac:dyDescent="0.2">
      <c r="P582" s="13">
        <v>526</v>
      </c>
      <c r="Q582" s="14">
        <f t="shared" si="138"/>
        <v>28</v>
      </c>
      <c r="R582" s="14">
        <f t="shared" si="139"/>
        <v>1606036</v>
      </c>
      <c r="S582" s="14" t="str">
        <f t="shared" si="143"/>
        <v>神器6碎片2等级7</v>
      </c>
      <c r="T582" s="29" t="s">
        <v>649</v>
      </c>
      <c r="U582" s="14">
        <f t="shared" si="140"/>
        <v>7</v>
      </c>
      <c r="V582" s="36">
        <f t="shared" si="144"/>
        <v>0.59799999999999998</v>
      </c>
      <c r="W582" s="17">
        <f t="shared" si="141"/>
        <v>1.196E-2</v>
      </c>
      <c r="X582" s="14">
        <f t="shared" si="145"/>
        <v>2</v>
      </c>
      <c r="Y582" s="14">
        <f t="shared" si="146"/>
        <v>3</v>
      </c>
      <c r="Z582" s="14">
        <f t="shared" si="147"/>
        <v>0</v>
      </c>
      <c r="AA582" s="14" t="str">
        <f t="shared" si="148"/>
        <v>DefExt</v>
      </c>
      <c r="AB582" s="14">
        <f t="shared" si="142"/>
        <v>287</v>
      </c>
      <c r="AC582" s="14" t="str">
        <f t="shared" si="149"/>
        <v>HPExt</v>
      </c>
      <c r="AD582" s="14">
        <f t="shared" si="150"/>
        <v>866</v>
      </c>
      <c r="AE582" s="14" t="str">
        <f t="shared" si="151"/>
        <v>[x]</v>
      </c>
      <c r="AF582" s="27" t="str">
        <f t="shared" si="152"/>
        <v>[x]</v>
      </c>
      <c r="AG582" s="27" t="str">
        <f t="shared" si="153"/>
        <v>[x]</v>
      </c>
    </row>
    <row r="583" spans="16:33" ht="16.5" x14ac:dyDescent="0.2">
      <c r="P583" s="13">
        <v>527</v>
      </c>
      <c r="Q583" s="14">
        <f t="shared" si="138"/>
        <v>28</v>
      </c>
      <c r="R583" s="14">
        <f t="shared" si="139"/>
        <v>1606036</v>
      </c>
      <c r="S583" s="14" t="str">
        <f t="shared" si="143"/>
        <v>神器6碎片2等级8</v>
      </c>
      <c r="T583" s="29" t="s">
        <v>649</v>
      </c>
      <c r="U583" s="14">
        <f t="shared" si="140"/>
        <v>8</v>
      </c>
      <c r="V583" s="36">
        <f t="shared" si="144"/>
        <v>0.67800000000000005</v>
      </c>
      <c r="W583" s="17">
        <f t="shared" si="141"/>
        <v>1.3560000000000001E-2</v>
      </c>
      <c r="X583" s="14">
        <f t="shared" si="145"/>
        <v>2</v>
      </c>
      <c r="Y583" s="14">
        <f t="shared" si="146"/>
        <v>3</v>
      </c>
      <c r="Z583" s="14">
        <f t="shared" si="147"/>
        <v>0</v>
      </c>
      <c r="AA583" s="14" t="str">
        <f t="shared" si="148"/>
        <v>DefExt</v>
      </c>
      <c r="AB583" s="14">
        <f t="shared" si="142"/>
        <v>325</v>
      </c>
      <c r="AC583" s="14" t="str">
        <f t="shared" si="149"/>
        <v>HPExt</v>
      </c>
      <c r="AD583" s="14">
        <f t="shared" si="150"/>
        <v>981</v>
      </c>
      <c r="AE583" s="14" t="str">
        <f t="shared" si="151"/>
        <v>[x]</v>
      </c>
      <c r="AF583" s="27" t="str">
        <f t="shared" si="152"/>
        <v>[x]</v>
      </c>
      <c r="AG583" s="27" t="str">
        <f t="shared" si="153"/>
        <v>[x]</v>
      </c>
    </row>
    <row r="584" spans="16:33" ht="16.5" x14ac:dyDescent="0.2">
      <c r="P584" s="13">
        <v>528</v>
      </c>
      <c r="Q584" s="14">
        <f t="shared" si="138"/>
        <v>28</v>
      </c>
      <c r="R584" s="14">
        <f t="shared" si="139"/>
        <v>1606036</v>
      </c>
      <c r="S584" s="14" t="str">
        <f t="shared" si="143"/>
        <v>神器6碎片2等级9</v>
      </c>
      <c r="T584" s="29" t="s">
        <v>649</v>
      </c>
      <c r="U584" s="14">
        <f t="shared" si="140"/>
        <v>9</v>
      </c>
      <c r="V584" s="36">
        <f t="shared" si="144"/>
        <v>0.76200000000000001</v>
      </c>
      <c r="W584" s="17">
        <f t="shared" si="141"/>
        <v>1.524E-2</v>
      </c>
      <c r="X584" s="14">
        <f t="shared" si="145"/>
        <v>2</v>
      </c>
      <c r="Y584" s="14">
        <f t="shared" si="146"/>
        <v>3</v>
      </c>
      <c r="Z584" s="14">
        <f t="shared" si="147"/>
        <v>0</v>
      </c>
      <c r="AA584" s="14" t="str">
        <f t="shared" si="148"/>
        <v>DefExt</v>
      </c>
      <c r="AB584" s="14">
        <f t="shared" si="142"/>
        <v>366</v>
      </c>
      <c r="AC584" s="14" t="str">
        <f t="shared" si="149"/>
        <v>HPExt</v>
      </c>
      <c r="AD584" s="14">
        <f t="shared" si="150"/>
        <v>1103</v>
      </c>
      <c r="AE584" s="14" t="str">
        <f t="shared" si="151"/>
        <v>[x]</v>
      </c>
      <c r="AF584" s="27" t="str">
        <f t="shared" si="152"/>
        <v>[x]</v>
      </c>
      <c r="AG584" s="27" t="str">
        <f t="shared" si="153"/>
        <v>[x]</v>
      </c>
    </row>
    <row r="585" spans="16:33" ht="16.5" x14ac:dyDescent="0.2">
      <c r="P585" s="13">
        <v>529</v>
      </c>
      <c r="Q585" s="14">
        <f t="shared" si="138"/>
        <v>28</v>
      </c>
      <c r="R585" s="14">
        <f t="shared" si="139"/>
        <v>1606036</v>
      </c>
      <c r="S585" s="14" t="str">
        <f t="shared" si="143"/>
        <v>神器6碎片2等级10</v>
      </c>
      <c r="T585" s="29" t="s">
        <v>649</v>
      </c>
      <c r="U585" s="14">
        <f t="shared" si="140"/>
        <v>10</v>
      </c>
      <c r="V585" s="36">
        <f t="shared" si="144"/>
        <v>0.85000000000000009</v>
      </c>
      <c r="W585" s="17">
        <f t="shared" si="141"/>
        <v>1.7000000000000001E-2</v>
      </c>
      <c r="X585" s="14">
        <f t="shared" si="145"/>
        <v>2</v>
      </c>
      <c r="Y585" s="14">
        <f t="shared" si="146"/>
        <v>3</v>
      </c>
      <c r="Z585" s="14">
        <f t="shared" si="147"/>
        <v>0</v>
      </c>
      <c r="AA585" s="14" t="str">
        <f t="shared" si="148"/>
        <v>DefExt</v>
      </c>
      <c r="AB585" s="14">
        <f t="shared" si="142"/>
        <v>408</v>
      </c>
      <c r="AC585" s="14" t="str">
        <f t="shared" si="149"/>
        <v>HPExt</v>
      </c>
      <c r="AD585" s="14">
        <f t="shared" si="150"/>
        <v>1231</v>
      </c>
      <c r="AE585" s="14" t="str">
        <f t="shared" si="151"/>
        <v>[x]</v>
      </c>
      <c r="AF585" s="27" t="str">
        <f t="shared" si="152"/>
        <v>[x]</v>
      </c>
      <c r="AG585" s="27" t="str">
        <f t="shared" si="153"/>
        <v>[x]</v>
      </c>
    </row>
    <row r="586" spans="16:33" ht="16.5" x14ac:dyDescent="0.2">
      <c r="P586" s="13">
        <v>530</v>
      </c>
      <c r="Q586" s="14">
        <f t="shared" si="138"/>
        <v>28</v>
      </c>
      <c r="R586" s="14">
        <f t="shared" si="139"/>
        <v>1606036</v>
      </c>
      <c r="S586" s="14" t="str">
        <f t="shared" si="143"/>
        <v>神器6碎片2等级11</v>
      </c>
      <c r="T586" s="29" t="s">
        <v>649</v>
      </c>
      <c r="U586" s="14">
        <f t="shared" si="140"/>
        <v>11</v>
      </c>
      <c r="V586" s="36">
        <f t="shared" si="144"/>
        <v>0.94200000000000006</v>
      </c>
      <c r="W586" s="17">
        <f t="shared" si="141"/>
        <v>1.8840000000000003E-2</v>
      </c>
      <c r="X586" s="14">
        <f t="shared" si="145"/>
        <v>2</v>
      </c>
      <c r="Y586" s="14">
        <f t="shared" si="146"/>
        <v>3</v>
      </c>
      <c r="Z586" s="14">
        <f t="shared" si="147"/>
        <v>0</v>
      </c>
      <c r="AA586" s="14" t="str">
        <f t="shared" si="148"/>
        <v>DefExt</v>
      </c>
      <c r="AB586" s="14">
        <f t="shared" si="142"/>
        <v>452</v>
      </c>
      <c r="AC586" s="14" t="str">
        <f t="shared" si="149"/>
        <v>HPExt</v>
      </c>
      <c r="AD586" s="14">
        <f t="shared" si="150"/>
        <v>1364</v>
      </c>
      <c r="AE586" s="14" t="str">
        <f t="shared" si="151"/>
        <v>[x]</v>
      </c>
      <c r="AF586" s="27" t="str">
        <f t="shared" si="152"/>
        <v>[x]</v>
      </c>
      <c r="AG586" s="27" t="str">
        <f t="shared" si="153"/>
        <v>[x]</v>
      </c>
    </row>
    <row r="587" spans="16:33" ht="16.5" x14ac:dyDescent="0.2">
      <c r="P587" s="13">
        <v>531</v>
      </c>
      <c r="Q587" s="14">
        <f t="shared" si="138"/>
        <v>28</v>
      </c>
      <c r="R587" s="14">
        <f t="shared" si="139"/>
        <v>1606036</v>
      </c>
      <c r="S587" s="14" t="str">
        <f t="shared" si="143"/>
        <v>神器6碎片2等级12</v>
      </c>
      <c r="T587" s="29" t="s">
        <v>649</v>
      </c>
      <c r="U587" s="14">
        <f t="shared" si="140"/>
        <v>12</v>
      </c>
      <c r="V587" s="36">
        <f t="shared" si="144"/>
        <v>1.0380000000000003</v>
      </c>
      <c r="W587" s="17">
        <f t="shared" si="141"/>
        <v>2.0760000000000004E-2</v>
      </c>
      <c r="X587" s="14">
        <f t="shared" si="145"/>
        <v>2</v>
      </c>
      <c r="Y587" s="14">
        <f t="shared" si="146"/>
        <v>3</v>
      </c>
      <c r="Z587" s="14">
        <f t="shared" si="147"/>
        <v>0</v>
      </c>
      <c r="AA587" s="14" t="str">
        <f t="shared" si="148"/>
        <v>DefExt</v>
      </c>
      <c r="AB587" s="14">
        <f t="shared" si="142"/>
        <v>498</v>
      </c>
      <c r="AC587" s="14" t="str">
        <f t="shared" si="149"/>
        <v>HPExt</v>
      </c>
      <c r="AD587" s="14">
        <f t="shared" si="150"/>
        <v>1503</v>
      </c>
      <c r="AE587" s="14" t="str">
        <f t="shared" si="151"/>
        <v>[x]</v>
      </c>
      <c r="AF587" s="27" t="str">
        <f t="shared" si="152"/>
        <v>[x]</v>
      </c>
      <c r="AG587" s="27" t="str">
        <f t="shared" si="153"/>
        <v>[x]</v>
      </c>
    </row>
    <row r="588" spans="16:33" ht="16.5" x14ac:dyDescent="0.2">
      <c r="P588" s="13">
        <v>532</v>
      </c>
      <c r="Q588" s="14">
        <f t="shared" si="138"/>
        <v>28</v>
      </c>
      <c r="R588" s="14">
        <f t="shared" si="139"/>
        <v>1606036</v>
      </c>
      <c r="S588" s="14" t="str">
        <f t="shared" si="143"/>
        <v>神器6碎片2等级13</v>
      </c>
      <c r="T588" s="29" t="s">
        <v>649</v>
      </c>
      <c r="U588" s="14">
        <f t="shared" si="140"/>
        <v>13</v>
      </c>
      <c r="V588" s="36">
        <f t="shared" si="144"/>
        <v>1.1380000000000001</v>
      </c>
      <c r="W588" s="17">
        <f t="shared" si="141"/>
        <v>2.2760000000000002E-2</v>
      </c>
      <c r="X588" s="14">
        <f t="shared" si="145"/>
        <v>2</v>
      </c>
      <c r="Y588" s="14">
        <f t="shared" si="146"/>
        <v>3</v>
      </c>
      <c r="Z588" s="14">
        <f t="shared" si="147"/>
        <v>0</v>
      </c>
      <c r="AA588" s="14" t="str">
        <f t="shared" si="148"/>
        <v>DefExt</v>
      </c>
      <c r="AB588" s="14">
        <f t="shared" si="142"/>
        <v>546</v>
      </c>
      <c r="AC588" s="14" t="str">
        <f t="shared" si="149"/>
        <v>HPExt</v>
      </c>
      <c r="AD588" s="14">
        <f t="shared" si="150"/>
        <v>1648</v>
      </c>
      <c r="AE588" s="14" t="str">
        <f t="shared" si="151"/>
        <v>[x]</v>
      </c>
      <c r="AF588" s="27" t="str">
        <f t="shared" si="152"/>
        <v>[x]</v>
      </c>
      <c r="AG588" s="27" t="str">
        <f t="shared" si="153"/>
        <v>[x]</v>
      </c>
    </row>
    <row r="589" spans="16:33" ht="16.5" x14ac:dyDescent="0.2">
      <c r="P589" s="13">
        <v>533</v>
      </c>
      <c r="Q589" s="14">
        <f t="shared" si="138"/>
        <v>28</v>
      </c>
      <c r="R589" s="14">
        <f t="shared" si="139"/>
        <v>1606036</v>
      </c>
      <c r="S589" s="14" t="str">
        <f t="shared" si="143"/>
        <v>神器6碎片2等级14</v>
      </c>
      <c r="T589" s="29" t="s">
        <v>649</v>
      </c>
      <c r="U589" s="14">
        <f t="shared" si="140"/>
        <v>14</v>
      </c>
      <c r="V589" s="36">
        <f t="shared" si="144"/>
        <v>1.242</v>
      </c>
      <c r="W589" s="17">
        <f t="shared" si="141"/>
        <v>2.4840000000000001E-2</v>
      </c>
      <c r="X589" s="14">
        <f t="shared" si="145"/>
        <v>2</v>
      </c>
      <c r="Y589" s="14">
        <f t="shared" si="146"/>
        <v>3</v>
      </c>
      <c r="Z589" s="14">
        <f t="shared" si="147"/>
        <v>0</v>
      </c>
      <c r="AA589" s="14" t="str">
        <f t="shared" si="148"/>
        <v>DefExt</v>
      </c>
      <c r="AB589" s="14">
        <f t="shared" si="142"/>
        <v>596</v>
      </c>
      <c r="AC589" s="14" t="str">
        <f t="shared" si="149"/>
        <v>HPExt</v>
      </c>
      <c r="AD589" s="14">
        <f t="shared" si="150"/>
        <v>1798</v>
      </c>
      <c r="AE589" s="14" t="str">
        <f t="shared" si="151"/>
        <v>[x]</v>
      </c>
      <c r="AF589" s="27" t="str">
        <f t="shared" si="152"/>
        <v>[x]</v>
      </c>
      <c r="AG589" s="27" t="str">
        <f t="shared" si="153"/>
        <v>[x]</v>
      </c>
    </row>
    <row r="590" spans="16:33" ht="16.5" x14ac:dyDescent="0.2">
      <c r="P590" s="13">
        <v>534</v>
      </c>
      <c r="Q590" s="14">
        <f t="shared" si="138"/>
        <v>28</v>
      </c>
      <c r="R590" s="14">
        <f t="shared" si="139"/>
        <v>1606036</v>
      </c>
      <c r="S590" s="14" t="str">
        <f t="shared" si="143"/>
        <v>神器6碎片2等级15</v>
      </c>
      <c r="T590" s="29" t="s">
        <v>649</v>
      </c>
      <c r="U590" s="14">
        <f t="shared" si="140"/>
        <v>15</v>
      </c>
      <c r="V590" s="36">
        <f t="shared" si="144"/>
        <v>1.35</v>
      </c>
      <c r="W590" s="17">
        <f t="shared" si="141"/>
        <v>2.7000000000000003E-2</v>
      </c>
      <c r="X590" s="14">
        <f t="shared" si="145"/>
        <v>2</v>
      </c>
      <c r="Y590" s="14">
        <f t="shared" si="146"/>
        <v>3</v>
      </c>
      <c r="Z590" s="14">
        <f t="shared" si="147"/>
        <v>0</v>
      </c>
      <c r="AA590" s="14" t="str">
        <f t="shared" si="148"/>
        <v>DefExt</v>
      </c>
      <c r="AB590" s="14">
        <f t="shared" si="142"/>
        <v>648</v>
      </c>
      <c r="AC590" s="14" t="str">
        <f t="shared" si="149"/>
        <v>HPExt</v>
      </c>
      <c r="AD590" s="14">
        <f t="shared" si="150"/>
        <v>1955</v>
      </c>
      <c r="AE590" s="14" t="str">
        <f t="shared" si="151"/>
        <v>[x]</v>
      </c>
      <c r="AF590" s="27" t="str">
        <f t="shared" si="152"/>
        <v>[x]</v>
      </c>
      <c r="AG590" s="27" t="str">
        <f t="shared" si="153"/>
        <v>[x]</v>
      </c>
    </row>
    <row r="591" spans="16:33" ht="16.5" x14ac:dyDescent="0.2">
      <c r="P591" s="13">
        <v>535</v>
      </c>
      <c r="Q591" s="14">
        <f t="shared" si="138"/>
        <v>28</v>
      </c>
      <c r="R591" s="14">
        <f t="shared" si="139"/>
        <v>1606036</v>
      </c>
      <c r="S591" s="14" t="str">
        <f t="shared" si="143"/>
        <v>神器6碎片2等级16</v>
      </c>
      <c r="T591" s="29" t="s">
        <v>649</v>
      </c>
      <c r="U591" s="14">
        <f t="shared" si="140"/>
        <v>16</v>
      </c>
      <c r="V591" s="36">
        <f t="shared" si="144"/>
        <v>1.4620000000000002</v>
      </c>
      <c r="W591" s="17">
        <f t="shared" si="141"/>
        <v>2.9240000000000006E-2</v>
      </c>
      <c r="X591" s="14">
        <f t="shared" si="145"/>
        <v>2</v>
      </c>
      <c r="Y591" s="14">
        <f t="shared" si="146"/>
        <v>3</v>
      </c>
      <c r="Z591" s="14">
        <f t="shared" si="147"/>
        <v>0</v>
      </c>
      <c r="AA591" s="14" t="str">
        <f t="shared" si="148"/>
        <v>DefExt</v>
      </c>
      <c r="AB591" s="14">
        <f t="shared" si="142"/>
        <v>702</v>
      </c>
      <c r="AC591" s="14" t="str">
        <f t="shared" si="149"/>
        <v>HPExt</v>
      </c>
      <c r="AD591" s="14">
        <f t="shared" si="150"/>
        <v>2117</v>
      </c>
      <c r="AE591" s="14" t="str">
        <f t="shared" si="151"/>
        <v>[x]</v>
      </c>
      <c r="AF591" s="27" t="str">
        <f t="shared" si="152"/>
        <v>[x]</v>
      </c>
      <c r="AG591" s="27" t="str">
        <f t="shared" si="153"/>
        <v>[x]</v>
      </c>
    </row>
    <row r="592" spans="16:33" ht="16.5" x14ac:dyDescent="0.2">
      <c r="P592" s="13">
        <v>536</v>
      </c>
      <c r="Q592" s="14">
        <f t="shared" si="138"/>
        <v>28</v>
      </c>
      <c r="R592" s="14">
        <f t="shared" si="139"/>
        <v>1606036</v>
      </c>
      <c r="S592" s="14" t="str">
        <f t="shared" si="143"/>
        <v>神器6碎片2等级17</v>
      </c>
      <c r="T592" s="29" t="s">
        <v>649</v>
      </c>
      <c r="U592" s="14">
        <f t="shared" si="140"/>
        <v>17</v>
      </c>
      <c r="V592" s="36">
        <f t="shared" si="144"/>
        <v>1.5779999999999998</v>
      </c>
      <c r="W592" s="17">
        <f t="shared" si="141"/>
        <v>3.1559999999999998E-2</v>
      </c>
      <c r="X592" s="14">
        <f t="shared" si="145"/>
        <v>2</v>
      </c>
      <c r="Y592" s="14">
        <f t="shared" si="146"/>
        <v>3</v>
      </c>
      <c r="Z592" s="14">
        <f t="shared" si="147"/>
        <v>0</v>
      </c>
      <c r="AA592" s="14" t="str">
        <f t="shared" si="148"/>
        <v>DefExt</v>
      </c>
      <c r="AB592" s="14">
        <f t="shared" si="142"/>
        <v>757</v>
      </c>
      <c r="AC592" s="14" t="str">
        <f t="shared" si="149"/>
        <v>HPExt</v>
      </c>
      <c r="AD592" s="14">
        <f t="shared" si="150"/>
        <v>2285</v>
      </c>
      <c r="AE592" s="14" t="str">
        <f t="shared" si="151"/>
        <v>[x]</v>
      </c>
      <c r="AF592" s="27" t="str">
        <f t="shared" si="152"/>
        <v>[x]</v>
      </c>
      <c r="AG592" s="27" t="str">
        <f t="shared" si="153"/>
        <v>[x]</v>
      </c>
    </row>
    <row r="593" spans="16:33" ht="16.5" x14ac:dyDescent="0.2">
      <c r="P593" s="13">
        <v>537</v>
      </c>
      <c r="Q593" s="14">
        <f t="shared" si="138"/>
        <v>28</v>
      </c>
      <c r="R593" s="14">
        <f t="shared" si="139"/>
        <v>1606036</v>
      </c>
      <c r="S593" s="14" t="str">
        <f t="shared" si="143"/>
        <v>神器6碎片2等级18</v>
      </c>
      <c r="T593" s="29" t="s">
        <v>649</v>
      </c>
      <c r="U593" s="14">
        <f t="shared" si="140"/>
        <v>18</v>
      </c>
      <c r="V593" s="36">
        <f t="shared" si="144"/>
        <v>1.698</v>
      </c>
      <c r="W593" s="17">
        <f t="shared" si="141"/>
        <v>3.3959999999999997E-2</v>
      </c>
      <c r="X593" s="14">
        <f t="shared" si="145"/>
        <v>2</v>
      </c>
      <c r="Y593" s="14">
        <f t="shared" si="146"/>
        <v>3</v>
      </c>
      <c r="Z593" s="14">
        <f t="shared" si="147"/>
        <v>0</v>
      </c>
      <c r="AA593" s="14" t="str">
        <f t="shared" si="148"/>
        <v>DefExt</v>
      </c>
      <c r="AB593" s="14">
        <f t="shared" si="142"/>
        <v>815</v>
      </c>
      <c r="AC593" s="14" t="str">
        <f t="shared" si="149"/>
        <v>HPExt</v>
      </c>
      <c r="AD593" s="14">
        <f t="shared" si="150"/>
        <v>2459</v>
      </c>
      <c r="AE593" s="14" t="str">
        <f t="shared" si="151"/>
        <v>[x]</v>
      </c>
      <c r="AF593" s="27" t="str">
        <f t="shared" si="152"/>
        <v>[x]</v>
      </c>
      <c r="AG593" s="27" t="str">
        <f t="shared" si="153"/>
        <v>[x]</v>
      </c>
    </row>
    <row r="594" spans="16:33" ht="16.5" x14ac:dyDescent="0.2">
      <c r="P594" s="13">
        <v>538</v>
      </c>
      <c r="Q594" s="14">
        <f t="shared" si="138"/>
        <v>28</v>
      </c>
      <c r="R594" s="14">
        <f t="shared" si="139"/>
        <v>1606036</v>
      </c>
      <c r="S594" s="14" t="str">
        <f t="shared" si="143"/>
        <v>神器6碎片2等级19</v>
      </c>
      <c r="T594" s="29" t="s">
        <v>649</v>
      </c>
      <c r="U594" s="14">
        <f t="shared" si="140"/>
        <v>19</v>
      </c>
      <c r="V594" s="36">
        <f t="shared" si="144"/>
        <v>1.8220000000000001</v>
      </c>
      <c r="W594" s="17">
        <f t="shared" si="141"/>
        <v>3.644E-2</v>
      </c>
      <c r="X594" s="14">
        <f t="shared" si="145"/>
        <v>2</v>
      </c>
      <c r="Y594" s="14">
        <f t="shared" si="146"/>
        <v>3</v>
      </c>
      <c r="Z594" s="14">
        <f t="shared" si="147"/>
        <v>0</v>
      </c>
      <c r="AA594" s="14" t="str">
        <f t="shared" si="148"/>
        <v>DefExt</v>
      </c>
      <c r="AB594" s="14">
        <f t="shared" si="142"/>
        <v>875</v>
      </c>
      <c r="AC594" s="14" t="str">
        <f t="shared" si="149"/>
        <v>HPExt</v>
      </c>
      <c r="AD594" s="14">
        <f t="shared" si="150"/>
        <v>2638</v>
      </c>
      <c r="AE594" s="14" t="str">
        <f t="shared" si="151"/>
        <v>[x]</v>
      </c>
      <c r="AF594" s="27" t="str">
        <f t="shared" si="152"/>
        <v>[x]</v>
      </c>
      <c r="AG594" s="27" t="str">
        <f t="shared" si="153"/>
        <v>[x]</v>
      </c>
    </row>
    <row r="595" spans="16:33" ht="16.5" x14ac:dyDescent="0.2">
      <c r="P595" s="13">
        <v>539</v>
      </c>
      <c r="Q595" s="14">
        <f t="shared" si="138"/>
        <v>28</v>
      </c>
      <c r="R595" s="14">
        <f t="shared" si="139"/>
        <v>1606036</v>
      </c>
      <c r="S595" s="14" t="str">
        <f t="shared" si="143"/>
        <v>神器6碎片2等级20</v>
      </c>
      <c r="T595" s="29" t="s">
        <v>649</v>
      </c>
      <c r="U595" s="14">
        <f t="shared" si="140"/>
        <v>20</v>
      </c>
      <c r="V595" s="36">
        <f t="shared" si="144"/>
        <v>1.95</v>
      </c>
      <c r="W595" s="17">
        <f t="shared" si="141"/>
        <v>3.9E-2</v>
      </c>
      <c r="X595" s="14">
        <f t="shared" si="145"/>
        <v>2</v>
      </c>
      <c r="Y595" s="14">
        <f t="shared" si="146"/>
        <v>3</v>
      </c>
      <c r="Z595" s="14">
        <f t="shared" si="147"/>
        <v>0</v>
      </c>
      <c r="AA595" s="14" t="str">
        <f t="shared" si="148"/>
        <v>DefExt</v>
      </c>
      <c r="AB595" s="14">
        <f t="shared" si="142"/>
        <v>936</v>
      </c>
      <c r="AC595" s="14" t="str">
        <f t="shared" si="149"/>
        <v>HPExt</v>
      </c>
      <c r="AD595" s="14">
        <f t="shared" si="150"/>
        <v>2824</v>
      </c>
      <c r="AE595" s="14" t="str">
        <f t="shared" si="151"/>
        <v>[x]</v>
      </c>
      <c r="AF595" s="27" t="str">
        <f t="shared" si="152"/>
        <v>[x]</v>
      </c>
      <c r="AG595" s="27" t="str">
        <f t="shared" si="153"/>
        <v>[x]</v>
      </c>
    </row>
    <row r="596" spans="16:33" ht="16.5" x14ac:dyDescent="0.2">
      <c r="P596" s="13">
        <v>540</v>
      </c>
      <c r="Q596" s="14">
        <f t="shared" si="138"/>
        <v>28</v>
      </c>
      <c r="R596" s="14">
        <f t="shared" si="139"/>
        <v>1606036</v>
      </c>
      <c r="S596" s="14" t="str">
        <f t="shared" si="143"/>
        <v>神器6碎片2等级21</v>
      </c>
      <c r="T596" s="29" t="s">
        <v>649</v>
      </c>
      <c r="U596" s="14">
        <f t="shared" si="140"/>
        <v>21</v>
      </c>
      <c r="V596" s="36">
        <f t="shared" si="144"/>
        <v>2.0819999999999999</v>
      </c>
      <c r="W596" s="17">
        <f t="shared" si="141"/>
        <v>4.1639999999999996E-2</v>
      </c>
      <c r="X596" s="14">
        <f t="shared" si="145"/>
        <v>2</v>
      </c>
      <c r="Y596" s="14">
        <f t="shared" si="146"/>
        <v>3</v>
      </c>
      <c r="Z596" s="14">
        <f t="shared" si="147"/>
        <v>0</v>
      </c>
      <c r="AA596" s="14" t="str">
        <f t="shared" si="148"/>
        <v>DefExt</v>
      </c>
      <c r="AB596" s="14">
        <f t="shared" si="142"/>
        <v>1000</v>
      </c>
      <c r="AC596" s="14" t="str">
        <f t="shared" si="149"/>
        <v>HPExt</v>
      </c>
      <c r="AD596" s="14">
        <f t="shared" si="150"/>
        <v>3015</v>
      </c>
      <c r="AE596" s="14" t="str">
        <f t="shared" si="151"/>
        <v>[x]</v>
      </c>
      <c r="AF596" s="27" t="str">
        <f t="shared" si="152"/>
        <v>[x]</v>
      </c>
      <c r="AG596" s="27" t="str">
        <f t="shared" si="153"/>
        <v>[x]</v>
      </c>
    </row>
    <row r="597" spans="16:33" ht="16.5" x14ac:dyDescent="0.2">
      <c r="P597" s="13">
        <v>541</v>
      </c>
      <c r="Q597" s="14">
        <f t="shared" si="138"/>
        <v>29</v>
      </c>
      <c r="R597" s="14">
        <f t="shared" si="139"/>
        <v>1606037</v>
      </c>
      <c r="S597" s="14" t="str">
        <f t="shared" si="143"/>
        <v>神器6碎片3等级1</v>
      </c>
      <c r="T597" s="29" t="s">
        <v>649</v>
      </c>
      <c r="U597" s="14">
        <f t="shared" si="140"/>
        <v>1</v>
      </c>
      <c r="V597" s="36">
        <f t="shared" si="144"/>
        <v>0.20200000000000001</v>
      </c>
      <c r="W597" s="17">
        <f t="shared" si="141"/>
        <v>4.0400000000000002E-3</v>
      </c>
      <c r="X597" s="14">
        <f t="shared" si="145"/>
        <v>1</v>
      </c>
      <c r="Y597" s="14">
        <f t="shared" si="146"/>
        <v>2</v>
      </c>
      <c r="Z597" s="14">
        <f t="shared" si="147"/>
        <v>3</v>
      </c>
      <c r="AA597" s="14" t="str">
        <f t="shared" si="148"/>
        <v>AtkExt</v>
      </c>
      <c r="AB597" s="14">
        <f t="shared" si="142"/>
        <v>97</v>
      </c>
      <c r="AC597" s="14" t="str">
        <f t="shared" si="149"/>
        <v>DefExt</v>
      </c>
      <c r="AD597" s="14">
        <f t="shared" si="150"/>
        <v>48</v>
      </c>
      <c r="AE597" s="14" t="str">
        <f t="shared" si="151"/>
        <v>HPExt</v>
      </c>
      <c r="AF597" s="27">
        <f t="shared" si="152"/>
        <v>292</v>
      </c>
      <c r="AG597" s="27" t="str">
        <f t="shared" si="153"/>
        <v>[x]</v>
      </c>
    </row>
    <row r="598" spans="16:33" ht="16.5" x14ac:dyDescent="0.2">
      <c r="P598" s="13">
        <v>542</v>
      </c>
      <c r="Q598" s="14">
        <f t="shared" si="138"/>
        <v>29</v>
      </c>
      <c r="R598" s="14">
        <f t="shared" si="139"/>
        <v>1606037</v>
      </c>
      <c r="S598" s="14" t="str">
        <f t="shared" si="143"/>
        <v>神器6碎片3等级2</v>
      </c>
      <c r="T598" s="29" t="s">
        <v>649</v>
      </c>
      <c r="U598" s="14">
        <f t="shared" si="140"/>
        <v>2</v>
      </c>
      <c r="V598" s="36">
        <f t="shared" si="144"/>
        <v>0.25800000000000001</v>
      </c>
      <c r="W598" s="17">
        <f t="shared" si="141"/>
        <v>5.1600000000000005E-3</v>
      </c>
      <c r="X598" s="14">
        <f t="shared" si="145"/>
        <v>1</v>
      </c>
      <c r="Y598" s="14">
        <f t="shared" si="146"/>
        <v>2</v>
      </c>
      <c r="Z598" s="14">
        <f t="shared" si="147"/>
        <v>3</v>
      </c>
      <c r="AA598" s="14" t="str">
        <f t="shared" si="148"/>
        <v>AtkExt</v>
      </c>
      <c r="AB598" s="14">
        <f t="shared" si="142"/>
        <v>124</v>
      </c>
      <c r="AC598" s="14" t="str">
        <f t="shared" si="149"/>
        <v>DefExt</v>
      </c>
      <c r="AD598" s="14">
        <f t="shared" si="150"/>
        <v>61</v>
      </c>
      <c r="AE598" s="14" t="str">
        <f t="shared" si="151"/>
        <v>HPExt</v>
      </c>
      <c r="AF598" s="27">
        <f t="shared" si="152"/>
        <v>373</v>
      </c>
      <c r="AG598" s="27" t="str">
        <f t="shared" si="153"/>
        <v>[x]</v>
      </c>
    </row>
    <row r="599" spans="16:33" ht="16.5" x14ac:dyDescent="0.2">
      <c r="P599" s="13">
        <v>543</v>
      </c>
      <c r="Q599" s="14">
        <f t="shared" si="138"/>
        <v>29</v>
      </c>
      <c r="R599" s="14">
        <f t="shared" si="139"/>
        <v>1606037</v>
      </c>
      <c r="S599" s="14" t="str">
        <f t="shared" si="143"/>
        <v>神器6碎片3等级3</v>
      </c>
      <c r="T599" s="29" t="s">
        <v>649</v>
      </c>
      <c r="U599" s="14">
        <f t="shared" si="140"/>
        <v>3</v>
      </c>
      <c r="V599" s="36">
        <f t="shared" si="144"/>
        <v>0.31800000000000006</v>
      </c>
      <c r="W599" s="17">
        <f t="shared" si="141"/>
        <v>6.3600000000000011E-3</v>
      </c>
      <c r="X599" s="14">
        <f t="shared" si="145"/>
        <v>1</v>
      </c>
      <c r="Y599" s="14">
        <f t="shared" si="146"/>
        <v>2</v>
      </c>
      <c r="Z599" s="14">
        <f t="shared" si="147"/>
        <v>3</v>
      </c>
      <c r="AA599" s="14" t="str">
        <f t="shared" si="148"/>
        <v>AtkExt</v>
      </c>
      <c r="AB599" s="14">
        <f t="shared" si="142"/>
        <v>153</v>
      </c>
      <c r="AC599" s="14" t="str">
        <f t="shared" si="149"/>
        <v>DefExt</v>
      </c>
      <c r="AD599" s="14">
        <f t="shared" si="150"/>
        <v>76</v>
      </c>
      <c r="AE599" s="14" t="str">
        <f t="shared" si="151"/>
        <v>HPExt</v>
      </c>
      <c r="AF599" s="27">
        <f t="shared" si="152"/>
        <v>460</v>
      </c>
      <c r="AG599" s="27" t="str">
        <f t="shared" si="153"/>
        <v>[x]</v>
      </c>
    </row>
    <row r="600" spans="16:33" ht="16.5" x14ac:dyDescent="0.2">
      <c r="P600" s="13">
        <v>544</v>
      </c>
      <c r="Q600" s="14">
        <f t="shared" si="138"/>
        <v>29</v>
      </c>
      <c r="R600" s="14">
        <f t="shared" si="139"/>
        <v>1606037</v>
      </c>
      <c r="S600" s="14" t="str">
        <f t="shared" si="143"/>
        <v>神器6碎片3等级4</v>
      </c>
      <c r="T600" s="29" t="s">
        <v>649</v>
      </c>
      <c r="U600" s="14">
        <f t="shared" si="140"/>
        <v>4</v>
      </c>
      <c r="V600" s="36">
        <f t="shared" si="144"/>
        <v>0.38200000000000001</v>
      </c>
      <c r="W600" s="17">
        <f t="shared" si="141"/>
        <v>7.6400000000000001E-3</v>
      </c>
      <c r="X600" s="14">
        <f t="shared" si="145"/>
        <v>1</v>
      </c>
      <c r="Y600" s="14">
        <f t="shared" si="146"/>
        <v>2</v>
      </c>
      <c r="Z600" s="14">
        <f t="shared" si="147"/>
        <v>3</v>
      </c>
      <c r="AA600" s="14" t="str">
        <f t="shared" si="148"/>
        <v>AtkExt</v>
      </c>
      <c r="AB600" s="14">
        <f t="shared" si="142"/>
        <v>183</v>
      </c>
      <c r="AC600" s="14" t="str">
        <f t="shared" si="149"/>
        <v>DefExt</v>
      </c>
      <c r="AD600" s="14">
        <f t="shared" si="150"/>
        <v>91</v>
      </c>
      <c r="AE600" s="14" t="str">
        <f t="shared" si="151"/>
        <v>HPExt</v>
      </c>
      <c r="AF600" s="27">
        <f t="shared" si="152"/>
        <v>553</v>
      </c>
      <c r="AG600" s="27" t="str">
        <f t="shared" si="153"/>
        <v>[x]</v>
      </c>
    </row>
    <row r="601" spans="16:33" ht="16.5" x14ac:dyDescent="0.2">
      <c r="P601" s="13">
        <v>545</v>
      </c>
      <c r="Q601" s="14">
        <f t="shared" si="138"/>
        <v>29</v>
      </c>
      <c r="R601" s="14">
        <f t="shared" si="139"/>
        <v>1606037</v>
      </c>
      <c r="S601" s="14" t="str">
        <f t="shared" si="143"/>
        <v>神器6碎片3等级5</v>
      </c>
      <c r="T601" s="29" t="s">
        <v>649</v>
      </c>
      <c r="U601" s="14">
        <f t="shared" si="140"/>
        <v>5</v>
      </c>
      <c r="V601" s="36">
        <f t="shared" si="144"/>
        <v>0.45</v>
      </c>
      <c r="W601" s="17">
        <f t="shared" si="141"/>
        <v>9.0000000000000011E-3</v>
      </c>
      <c r="X601" s="14">
        <f t="shared" si="145"/>
        <v>1</v>
      </c>
      <c r="Y601" s="14">
        <f t="shared" si="146"/>
        <v>2</v>
      </c>
      <c r="Z601" s="14">
        <f t="shared" si="147"/>
        <v>3</v>
      </c>
      <c r="AA601" s="14" t="str">
        <f t="shared" si="148"/>
        <v>AtkExt</v>
      </c>
      <c r="AB601" s="14">
        <f t="shared" si="142"/>
        <v>216</v>
      </c>
      <c r="AC601" s="14" t="str">
        <f t="shared" si="149"/>
        <v>DefExt</v>
      </c>
      <c r="AD601" s="14">
        <f t="shared" si="150"/>
        <v>108</v>
      </c>
      <c r="AE601" s="14" t="str">
        <f t="shared" si="151"/>
        <v>HPExt</v>
      </c>
      <c r="AF601" s="27">
        <f t="shared" si="152"/>
        <v>651</v>
      </c>
      <c r="AG601" s="27" t="str">
        <f t="shared" si="153"/>
        <v>[x]</v>
      </c>
    </row>
    <row r="602" spans="16:33" ht="16.5" x14ac:dyDescent="0.2">
      <c r="P602" s="13">
        <v>546</v>
      </c>
      <c r="Q602" s="14">
        <f t="shared" si="138"/>
        <v>29</v>
      </c>
      <c r="R602" s="14">
        <f t="shared" si="139"/>
        <v>1606037</v>
      </c>
      <c r="S602" s="14" t="str">
        <f t="shared" si="143"/>
        <v>神器6碎片3等级6</v>
      </c>
      <c r="T602" s="29" t="s">
        <v>649</v>
      </c>
      <c r="U602" s="14">
        <f t="shared" si="140"/>
        <v>6</v>
      </c>
      <c r="V602" s="36">
        <f t="shared" si="144"/>
        <v>0.52200000000000002</v>
      </c>
      <c r="W602" s="17">
        <f t="shared" si="141"/>
        <v>1.0440000000000001E-2</v>
      </c>
      <c r="X602" s="14">
        <f t="shared" si="145"/>
        <v>1</v>
      </c>
      <c r="Y602" s="14">
        <f t="shared" si="146"/>
        <v>2</v>
      </c>
      <c r="Z602" s="14">
        <f t="shared" si="147"/>
        <v>3</v>
      </c>
      <c r="AA602" s="14" t="str">
        <f t="shared" si="148"/>
        <v>AtkExt</v>
      </c>
      <c r="AB602" s="14">
        <f t="shared" si="142"/>
        <v>251</v>
      </c>
      <c r="AC602" s="14" t="str">
        <f t="shared" si="149"/>
        <v>DefExt</v>
      </c>
      <c r="AD602" s="14">
        <f t="shared" si="150"/>
        <v>125</v>
      </c>
      <c r="AE602" s="14" t="str">
        <f t="shared" si="151"/>
        <v>HPExt</v>
      </c>
      <c r="AF602" s="27">
        <f t="shared" si="152"/>
        <v>756</v>
      </c>
      <c r="AG602" s="27" t="str">
        <f t="shared" si="153"/>
        <v>[x]</v>
      </c>
    </row>
    <row r="603" spans="16:33" ht="16.5" x14ac:dyDescent="0.2">
      <c r="P603" s="13">
        <v>547</v>
      </c>
      <c r="Q603" s="14">
        <f t="shared" si="138"/>
        <v>29</v>
      </c>
      <c r="R603" s="14">
        <f t="shared" si="139"/>
        <v>1606037</v>
      </c>
      <c r="S603" s="14" t="str">
        <f t="shared" si="143"/>
        <v>神器6碎片3等级7</v>
      </c>
      <c r="T603" s="29" t="s">
        <v>649</v>
      </c>
      <c r="U603" s="14">
        <f t="shared" si="140"/>
        <v>7</v>
      </c>
      <c r="V603" s="36">
        <f t="shared" si="144"/>
        <v>0.59799999999999998</v>
      </c>
      <c r="W603" s="17">
        <f t="shared" si="141"/>
        <v>1.196E-2</v>
      </c>
      <c r="X603" s="14">
        <f t="shared" si="145"/>
        <v>1</v>
      </c>
      <c r="Y603" s="14">
        <f t="shared" si="146"/>
        <v>2</v>
      </c>
      <c r="Z603" s="14">
        <f t="shared" si="147"/>
        <v>3</v>
      </c>
      <c r="AA603" s="14" t="str">
        <f t="shared" si="148"/>
        <v>AtkExt</v>
      </c>
      <c r="AB603" s="14">
        <f t="shared" si="142"/>
        <v>288</v>
      </c>
      <c r="AC603" s="14" t="str">
        <f t="shared" si="149"/>
        <v>DefExt</v>
      </c>
      <c r="AD603" s="14">
        <f t="shared" si="150"/>
        <v>143</v>
      </c>
      <c r="AE603" s="14" t="str">
        <f t="shared" si="151"/>
        <v>HPExt</v>
      </c>
      <c r="AF603" s="27">
        <f t="shared" si="152"/>
        <v>866</v>
      </c>
      <c r="AG603" s="27" t="str">
        <f t="shared" si="153"/>
        <v>[x]</v>
      </c>
    </row>
    <row r="604" spans="16:33" ht="16.5" x14ac:dyDescent="0.2">
      <c r="P604" s="13">
        <v>548</v>
      </c>
      <c r="Q604" s="14">
        <f t="shared" si="138"/>
        <v>29</v>
      </c>
      <c r="R604" s="14">
        <f t="shared" si="139"/>
        <v>1606037</v>
      </c>
      <c r="S604" s="14" t="str">
        <f t="shared" si="143"/>
        <v>神器6碎片3等级8</v>
      </c>
      <c r="T604" s="29" t="s">
        <v>649</v>
      </c>
      <c r="U604" s="14">
        <f t="shared" si="140"/>
        <v>8</v>
      </c>
      <c r="V604" s="36">
        <f t="shared" si="144"/>
        <v>0.67800000000000005</v>
      </c>
      <c r="W604" s="17">
        <f t="shared" si="141"/>
        <v>1.3560000000000001E-2</v>
      </c>
      <c r="X604" s="14">
        <f t="shared" si="145"/>
        <v>1</v>
      </c>
      <c r="Y604" s="14">
        <f t="shared" si="146"/>
        <v>2</v>
      </c>
      <c r="Z604" s="14">
        <f t="shared" si="147"/>
        <v>3</v>
      </c>
      <c r="AA604" s="14" t="str">
        <f t="shared" si="148"/>
        <v>AtkExt</v>
      </c>
      <c r="AB604" s="14">
        <f t="shared" si="142"/>
        <v>326</v>
      </c>
      <c r="AC604" s="14" t="str">
        <f t="shared" si="149"/>
        <v>DefExt</v>
      </c>
      <c r="AD604" s="14">
        <f t="shared" si="150"/>
        <v>162</v>
      </c>
      <c r="AE604" s="14" t="str">
        <f t="shared" si="151"/>
        <v>HPExt</v>
      </c>
      <c r="AF604" s="27">
        <f t="shared" si="152"/>
        <v>981</v>
      </c>
      <c r="AG604" s="27" t="str">
        <f t="shared" si="153"/>
        <v>[x]</v>
      </c>
    </row>
    <row r="605" spans="16:33" ht="16.5" x14ac:dyDescent="0.2">
      <c r="P605" s="13">
        <v>549</v>
      </c>
      <c r="Q605" s="14">
        <f t="shared" si="138"/>
        <v>29</v>
      </c>
      <c r="R605" s="14">
        <f t="shared" si="139"/>
        <v>1606037</v>
      </c>
      <c r="S605" s="14" t="str">
        <f t="shared" si="143"/>
        <v>神器6碎片3等级9</v>
      </c>
      <c r="T605" s="29" t="s">
        <v>649</v>
      </c>
      <c r="U605" s="14">
        <f t="shared" si="140"/>
        <v>9</v>
      </c>
      <c r="V605" s="36">
        <f t="shared" si="144"/>
        <v>0.76200000000000001</v>
      </c>
      <c r="W605" s="17">
        <f t="shared" si="141"/>
        <v>1.524E-2</v>
      </c>
      <c r="X605" s="14">
        <f t="shared" si="145"/>
        <v>1</v>
      </c>
      <c r="Y605" s="14">
        <f t="shared" si="146"/>
        <v>2</v>
      </c>
      <c r="Z605" s="14">
        <f t="shared" si="147"/>
        <v>3</v>
      </c>
      <c r="AA605" s="14" t="str">
        <f t="shared" si="148"/>
        <v>AtkExt</v>
      </c>
      <c r="AB605" s="14">
        <f t="shared" si="142"/>
        <v>366</v>
      </c>
      <c r="AC605" s="14" t="str">
        <f t="shared" si="149"/>
        <v>DefExt</v>
      </c>
      <c r="AD605" s="14">
        <f t="shared" si="150"/>
        <v>183</v>
      </c>
      <c r="AE605" s="14" t="str">
        <f t="shared" si="151"/>
        <v>HPExt</v>
      </c>
      <c r="AF605" s="27">
        <f t="shared" si="152"/>
        <v>1103</v>
      </c>
      <c r="AG605" s="27" t="str">
        <f t="shared" si="153"/>
        <v>[x]</v>
      </c>
    </row>
    <row r="606" spans="16:33" ht="16.5" x14ac:dyDescent="0.2">
      <c r="P606" s="13">
        <v>550</v>
      </c>
      <c r="Q606" s="14">
        <f t="shared" si="138"/>
        <v>29</v>
      </c>
      <c r="R606" s="14">
        <f t="shared" si="139"/>
        <v>1606037</v>
      </c>
      <c r="S606" s="14" t="str">
        <f t="shared" si="143"/>
        <v>神器6碎片3等级10</v>
      </c>
      <c r="T606" s="29" t="s">
        <v>649</v>
      </c>
      <c r="U606" s="14">
        <f t="shared" si="140"/>
        <v>10</v>
      </c>
      <c r="V606" s="36">
        <f t="shared" si="144"/>
        <v>0.85000000000000009</v>
      </c>
      <c r="W606" s="17">
        <f t="shared" si="141"/>
        <v>1.7000000000000001E-2</v>
      </c>
      <c r="X606" s="14">
        <f t="shared" si="145"/>
        <v>1</v>
      </c>
      <c r="Y606" s="14">
        <f t="shared" si="146"/>
        <v>2</v>
      </c>
      <c r="Z606" s="14">
        <f t="shared" si="147"/>
        <v>3</v>
      </c>
      <c r="AA606" s="14" t="str">
        <f t="shared" si="148"/>
        <v>AtkExt</v>
      </c>
      <c r="AB606" s="14">
        <f t="shared" si="142"/>
        <v>409</v>
      </c>
      <c r="AC606" s="14" t="str">
        <f t="shared" si="149"/>
        <v>DefExt</v>
      </c>
      <c r="AD606" s="14">
        <f t="shared" si="150"/>
        <v>204</v>
      </c>
      <c r="AE606" s="14" t="str">
        <f t="shared" si="151"/>
        <v>HPExt</v>
      </c>
      <c r="AF606" s="27">
        <f t="shared" si="152"/>
        <v>1231</v>
      </c>
      <c r="AG606" s="27" t="str">
        <f t="shared" si="153"/>
        <v>[x]</v>
      </c>
    </row>
    <row r="607" spans="16:33" ht="16.5" x14ac:dyDescent="0.2">
      <c r="P607" s="13">
        <v>551</v>
      </c>
      <c r="Q607" s="14">
        <f t="shared" si="138"/>
        <v>29</v>
      </c>
      <c r="R607" s="14">
        <f t="shared" si="139"/>
        <v>1606037</v>
      </c>
      <c r="S607" s="14" t="str">
        <f t="shared" si="143"/>
        <v>神器6碎片3等级11</v>
      </c>
      <c r="T607" s="29" t="s">
        <v>649</v>
      </c>
      <c r="U607" s="14">
        <f t="shared" si="140"/>
        <v>11</v>
      </c>
      <c r="V607" s="36">
        <f t="shared" si="144"/>
        <v>0.94200000000000006</v>
      </c>
      <c r="W607" s="17">
        <f t="shared" si="141"/>
        <v>1.8840000000000003E-2</v>
      </c>
      <c r="X607" s="14">
        <f t="shared" si="145"/>
        <v>1</v>
      </c>
      <c r="Y607" s="14">
        <f t="shared" si="146"/>
        <v>2</v>
      </c>
      <c r="Z607" s="14">
        <f t="shared" si="147"/>
        <v>3</v>
      </c>
      <c r="AA607" s="14" t="str">
        <f t="shared" si="148"/>
        <v>AtkExt</v>
      </c>
      <c r="AB607" s="14">
        <f t="shared" si="142"/>
        <v>453</v>
      </c>
      <c r="AC607" s="14" t="str">
        <f t="shared" si="149"/>
        <v>DefExt</v>
      </c>
      <c r="AD607" s="14">
        <f t="shared" si="150"/>
        <v>226</v>
      </c>
      <c r="AE607" s="14" t="str">
        <f t="shared" si="151"/>
        <v>HPExt</v>
      </c>
      <c r="AF607" s="27">
        <f t="shared" si="152"/>
        <v>1364</v>
      </c>
      <c r="AG607" s="27" t="str">
        <f t="shared" si="153"/>
        <v>[x]</v>
      </c>
    </row>
    <row r="608" spans="16:33" ht="16.5" x14ac:dyDescent="0.2">
      <c r="P608" s="13">
        <v>552</v>
      </c>
      <c r="Q608" s="14">
        <f t="shared" si="138"/>
        <v>29</v>
      </c>
      <c r="R608" s="14">
        <f t="shared" si="139"/>
        <v>1606037</v>
      </c>
      <c r="S608" s="14" t="str">
        <f t="shared" si="143"/>
        <v>神器6碎片3等级12</v>
      </c>
      <c r="T608" s="29" t="s">
        <v>649</v>
      </c>
      <c r="U608" s="14">
        <f t="shared" si="140"/>
        <v>12</v>
      </c>
      <c r="V608" s="36">
        <f t="shared" si="144"/>
        <v>1.0380000000000003</v>
      </c>
      <c r="W608" s="17">
        <f t="shared" si="141"/>
        <v>2.0760000000000004E-2</v>
      </c>
      <c r="X608" s="14">
        <f t="shared" si="145"/>
        <v>1</v>
      </c>
      <c r="Y608" s="14">
        <f t="shared" si="146"/>
        <v>2</v>
      </c>
      <c r="Z608" s="14">
        <f t="shared" si="147"/>
        <v>3</v>
      </c>
      <c r="AA608" s="14" t="str">
        <f t="shared" si="148"/>
        <v>AtkExt</v>
      </c>
      <c r="AB608" s="14">
        <f t="shared" si="142"/>
        <v>499</v>
      </c>
      <c r="AC608" s="14" t="str">
        <f t="shared" si="149"/>
        <v>DefExt</v>
      </c>
      <c r="AD608" s="14">
        <f t="shared" si="150"/>
        <v>249</v>
      </c>
      <c r="AE608" s="14" t="str">
        <f t="shared" si="151"/>
        <v>HPExt</v>
      </c>
      <c r="AF608" s="27">
        <f t="shared" si="152"/>
        <v>1503</v>
      </c>
      <c r="AG608" s="27" t="str">
        <f t="shared" si="153"/>
        <v>[x]</v>
      </c>
    </row>
    <row r="609" spans="16:33" ht="16.5" x14ac:dyDescent="0.2">
      <c r="P609" s="13">
        <v>553</v>
      </c>
      <c r="Q609" s="14">
        <f t="shared" si="138"/>
        <v>29</v>
      </c>
      <c r="R609" s="14">
        <f t="shared" si="139"/>
        <v>1606037</v>
      </c>
      <c r="S609" s="14" t="str">
        <f t="shared" si="143"/>
        <v>神器6碎片3等级13</v>
      </c>
      <c r="T609" s="29" t="s">
        <v>649</v>
      </c>
      <c r="U609" s="14">
        <f t="shared" si="140"/>
        <v>13</v>
      </c>
      <c r="V609" s="36">
        <f t="shared" si="144"/>
        <v>1.1380000000000001</v>
      </c>
      <c r="W609" s="17">
        <f t="shared" si="141"/>
        <v>2.2760000000000002E-2</v>
      </c>
      <c r="X609" s="14">
        <f t="shared" si="145"/>
        <v>1</v>
      </c>
      <c r="Y609" s="14">
        <f t="shared" si="146"/>
        <v>2</v>
      </c>
      <c r="Z609" s="14">
        <f t="shared" si="147"/>
        <v>3</v>
      </c>
      <c r="AA609" s="14" t="str">
        <f t="shared" si="148"/>
        <v>AtkExt</v>
      </c>
      <c r="AB609" s="14">
        <f t="shared" si="142"/>
        <v>548</v>
      </c>
      <c r="AC609" s="14" t="str">
        <f t="shared" si="149"/>
        <v>DefExt</v>
      </c>
      <c r="AD609" s="14">
        <f t="shared" si="150"/>
        <v>273</v>
      </c>
      <c r="AE609" s="14" t="str">
        <f t="shared" si="151"/>
        <v>HPExt</v>
      </c>
      <c r="AF609" s="27">
        <f t="shared" si="152"/>
        <v>1648</v>
      </c>
      <c r="AG609" s="27" t="str">
        <f t="shared" si="153"/>
        <v>[x]</v>
      </c>
    </row>
    <row r="610" spans="16:33" ht="16.5" x14ac:dyDescent="0.2">
      <c r="P610" s="13">
        <v>554</v>
      </c>
      <c r="Q610" s="14">
        <f t="shared" si="138"/>
        <v>29</v>
      </c>
      <c r="R610" s="14">
        <f t="shared" si="139"/>
        <v>1606037</v>
      </c>
      <c r="S610" s="14" t="str">
        <f t="shared" si="143"/>
        <v>神器6碎片3等级14</v>
      </c>
      <c r="T610" s="29" t="s">
        <v>649</v>
      </c>
      <c r="U610" s="14">
        <f t="shared" si="140"/>
        <v>14</v>
      </c>
      <c r="V610" s="36">
        <f t="shared" si="144"/>
        <v>1.242</v>
      </c>
      <c r="W610" s="17">
        <f t="shared" si="141"/>
        <v>2.4840000000000001E-2</v>
      </c>
      <c r="X610" s="14">
        <f t="shared" si="145"/>
        <v>1</v>
      </c>
      <c r="Y610" s="14">
        <f t="shared" si="146"/>
        <v>2</v>
      </c>
      <c r="Z610" s="14">
        <f t="shared" si="147"/>
        <v>3</v>
      </c>
      <c r="AA610" s="14" t="str">
        <f t="shared" si="148"/>
        <v>AtkExt</v>
      </c>
      <c r="AB610" s="14">
        <f t="shared" si="142"/>
        <v>598</v>
      </c>
      <c r="AC610" s="14" t="str">
        <f t="shared" si="149"/>
        <v>DefExt</v>
      </c>
      <c r="AD610" s="14">
        <f t="shared" si="150"/>
        <v>298</v>
      </c>
      <c r="AE610" s="14" t="str">
        <f t="shared" si="151"/>
        <v>HPExt</v>
      </c>
      <c r="AF610" s="27">
        <f t="shared" si="152"/>
        <v>1798</v>
      </c>
      <c r="AG610" s="27" t="str">
        <f t="shared" si="153"/>
        <v>[x]</v>
      </c>
    </row>
    <row r="611" spans="16:33" ht="16.5" x14ac:dyDescent="0.2">
      <c r="P611" s="13">
        <v>555</v>
      </c>
      <c r="Q611" s="14">
        <f t="shared" si="138"/>
        <v>29</v>
      </c>
      <c r="R611" s="14">
        <f t="shared" si="139"/>
        <v>1606037</v>
      </c>
      <c r="S611" s="14" t="str">
        <f t="shared" si="143"/>
        <v>神器6碎片3等级15</v>
      </c>
      <c r="T611" s="29" t="s">
        <v>649</v>
      </c>
      <c r="U611" s="14">
        <f t="shared" si="140"/>
        <v>15</v>
      </c>
      <c r="V611" s="36">
        <f t="shared" si="144"/>
        <v>1.35</v>
      </c>
      <c r="W611" s="17">
        <f t="shared" si="141"/>
        <v>2.7000000000000003E-2</v>
      </c>
      <c r="X611" s="14">
        <f t="shared" si="145"/>
        <v>1</v>
      </c>
      <c r="Y611" s="14">
        <f t="shared" si="146"/>
        <v>2</v>
      </c>
      <c r="Z611" s="14">
        <f t="shared" si="147"/>
        <v>3</v>
      </c>
      <c r="AA611" s="14" t="str">
        <f t="shared" si="148"/>
        <v>AtkExt</v>
      </c>
      <c r="AB611" s="14">
        <f t="shared" si="142"/>
        <v>650</v>
      </c>
      <c r="AC611" s="14" t="str">
        <f t="shared" si="149"/>
        <v>DefExt</v>
      </c>
      <c r="AD611" s="14">
        <f t="shared" si="150"/>
        <v>324</v>
      </c>
      <c r="AE611" s="14" t="str">
        <f t="shared" si="151"/>
        <v>HPExt</v>
      </c>
      <c r="AF611" s="27">
        <f t="shared" si="152"/>
        <v>1955</v>
      </c>
      <c r="AG611" s="27" t="str">
        <f t="shared" si="153"/>
        <v>[x]</v>
      </c>
    </row>
    <row r="612" spans="16:33" ht="16.5" x14ac:dyDescent="0.2">
      <c r="P612" s="13">
        <v>556</v>
      </c>
      <c r="Q612" s="14">
        <f t="shared" si="138"/>
        <v>29</v>
      </c>
      <c r="R612" s="14">
        <f t="shared" si="139"/>
        <v>1606037</v>
      </c>
      <c r="S612" s="14" t="str">
        <f t="shared" si="143"/>
        <v>神器6碎片3等级16</v>
      </c>
      <c r="T612" s="29" t="s">
        <v>649</v>
      </c>
      <c r="U612" s="14">
        <f t="shared" si="140"/>
        <v>16</v>
      </c>
      <c r="V612" s="36">
        <f t="shared" si="144"/>
        <v>1.4620000000000002</v>
      </c>
      <c r="W612" s="17">
        <f t="shared" si="141"/>
        <v>2.9240000000000006E-2</v>
      </c>
      <c r="X612" s="14">
        <f t="shared" si="145"/>
        <v>1</v>
      </c>
      <c r="Y612" s="14">
        <f t="shared" si="146"/>
        <v>2</v>
      </c>
      <c r="Z612" s="14">
        <f t="shared" si="147"/>
        <v>3</v>
      </c>
      <c r="AA612" s="14" t="str">
        <f t="shared" si="148"/>
        <v>AtkExt</v>
      </c>
      <c r="AB612" s="14">
        <f t="shared" si="142"/>
        <v>704</v>
      </c>
      <c r="AC612" s="14" t="str">
        <f t="shared" si="149"/>
        <v>DefExt</v>
      </c>
      <c r="AD612" s="14">
        <f t="shared" si="150"/>
        <v>351</v>
      </c>
      <c r="AE612" s="14" t="str">
        <f t="shared" si="151"/>
        <v>HPExt</v>
      </c>
      <c r="AF612" s="27">
        <f t="shared" si="152"/>
        <v>2117</v>
      </c>
      <c r="AG612" s="27" t="str">
        <f t="shared" si="153"/>
        <v>[x]</v>
      </c>
    </row>
    <row r="613" spans="16:33" ht="16.5" x14ac:dyDescent="0.2">
      <c r="P613" s="13">
        <v>557</v>
      </c>
      <c r="Q613" s="14">
        <f t="shared" si="138"/>
        <v>29</v>
      </c>
      <c r="R613" s="14">
        <f t="shared" si="139"/>
        <v>1606037</v>
      </c>
      <c r="S613" s="14" t="str">
        <f t="shared" si="143"/>
        <v>神器6碎片3等级17</v>
      </c>
      <c r="T613" s="29" t="s">
        <v>649</v>
      </c>
      <c r="U613" s="14">
        <f t="shared" si="140"/>
        <v>17</v>
      </c>
      <c r="V613" s="36">
        <f t="shared" si="144"/>
        <v>1.5779999999999998</v>
      </c>
      <c r="W613" s="17">
        <f t="shared" si="141"/>
        <v>3.1559999999999998E-2</v>
      </c>
      <c r="X613" s="14">
        <f t="shared" si="145"/>
        <v>1</v>
      </c>
      <c r="Y613" s="14">
        <f t="shared" si="146"/>
        <v>2</v>
      </c>
      <c r="Z613" s="14">
        <f t="shared" si="147"/>
        <v>3</v>
      </c>
      <c r="AA613" s="14" t="str">
        <f t="shared" si="148"/>
        <v>AtkExt</v>
      </c>
      <c r="AB613" s="14">
        <f t="shared" si="142"/>
        <v>759</v>
      </c>
      <c r="AC613" s="14" t="str">
        <f t="shared" si="149"/>
        <v>DefExt</v>
      </c>
      <c r="AD613" s="14">
        <f t="shared" si="150"/>
        <v>378</v>
      </c>
      <c r="AE613" s="14" t="str">
        <f t="shared" si="151"/>
        <v>HPExt</v>
      </c>
      <c r="AF613" s="27">
        <f t="shared" si="152"/>
        <v>2285</v>
      </c>
      <c r="AG613" s="27" t="str">
        <f t="shared" si="153"/>
        <v>[x]</v>
      </c>
    </row>
    <row r="614" spans="16:33" ht="16.5" x14ac:dyDescent="0.2">
      <c r="P614" s="13">
        <v>558</v>
      </c>
      <c r="Q614" s="14">
        <f t="shared" si="138"/>
        <v>29</v>
      </c>
      <c r="R614" s="14">
        <f t="shared" si="139"/>
        <v>1606037</v>
      </c>
      <c r="S614" s="14" t="str">
        <f t="shared" si="143"/>
        <v>神器6碎片3等级18</v>
      </c>
      <c r="T614" s="29" t="s">
        <v>649</v>
      </c>
      <c r="U614" s="14">
        <f t="shared" si="140"/>
        <v>18</v>
      </c>
      <c r="V614" s="36">
        <f t="shared" si="144"/>
        <v>1.698</v>
      </c>
      <c r="W614" s="17">
        <f t="shared" si="141"/>
        <v>3.3959999999999997E-2</v>
      </c>
      <c r="X614" s="14">
        <f t="shared" si="145"/>
        <v>1</v>
      </c>
      <c r="Y614" s="14">
        <f t="shared" si="146"/>
        <v>2</v>
      </c>
      <c r="Z614" s="14">
        <f t="shared" si="147"/>
        <v>3</v>
      </c>
      <c r="AA614" s="14" t="str">
        <f t="shared" si="148"/>
        <v>AtkExt</v>
      </c>
      <c r="AB614" s="14">
        <f t="shared" si="142"/>
        <v>817</v>
      </c>
      <c r="AC614" s="14" t="str">
        <f t="shared" si="149"/>
        <v>DefExt</v>
      </c>
      <c r="AD614" s="14">
        <f t="shared" si="150"/>
        <v>407</v>
      </c>
      <c r="AE614" s="14" t="str">
        <f t="shared" si="151"/>
        <v>HPExt</v>
      </c>
      <c r="AF614" s="27">
        <f t="shared" si="152"/>
        <v>2459</v>
      </c>
      <c r="AG614" s="27" t="str">
        <f t="shared" si="153"/>
        <v>[x]</v>
      </c>
    </row>
    <row r="615" spans="16:33" ht="16.5" x14ac:dyDescent="0.2">
      <c r="P615" s="13">
        <v>559</v>
      </c>
      <c r="Q615" s="14">
        <f t="shared" si="138"/>
        <v>29</v>
      </c>
      <c r="R615" s="14">
        <f t="shared" si="139"/>
        <v>1606037</v>
      </c>
      <c r="S615" s="14" t="str">
        <f t="shared" si="143"/>
        <v>神器6碎片3等级19</v>
      </c>
      <c r="T615" s="29" t="s">
        <v>649</v>
      </c>
      <c r="U615" s="14">
        <f t="shared" si="140"/>
        <v>19</v>
      </c>
      <c r="V615" s="36">
        <f t="shared" si="144"/>
        <v>1.8220000000000001</v>
      </c>
      <c r="W615" s="17">
        <f t="shared" si="141"/>
        <v>3.644E-2</v>
      </c>
      <c r="X615" s="14">
        <f t="shared" si="145"/>
        <v>1</v>
      </c>
      <c r="Y615" s="14">
        <f t="shared" si="146"/>
        <v>2</v>
      </c>
      <c r="Z615" s="14">
        <f t="shared" si="147"/>
        <v>3</v>
      </c>
      <c r="AA615" s="14" t="str">
        <f t="shared" si="148"/>
        <v>AtkExt</v>
      </c>
      <c r="AB615" s="14">
        <f t="shared" si="142"/>
        <v>877</v>
      </c>
      <c r="AC615" s="14" t="str">
        <f t="shared" si="149"/>
        <v>DefExt</v>
      </c>
      <c r="AD615" s="14">
        <f t="shared" si="150"/>
        <v>437</v>
      </c>
      <c r="AE615" s="14" t="str">
        <f t="shared" si="151"/>
        <v>HPExt</v>
      </c>
      <c r="AF615" s="27">
        <f t="shared" si="152"/>
        <v>2638</v>
      </c>
      <c r="AG615" s="27" t="str">
        <f t="shared" si="153"/>
        <v>[x]</v>
      </c>
    </row>
    <row r="616" spans="16:33" ht="16.5" x14ac:dyDescent="0.2">
      <c r="P616" s="13">
        <v>560</v>
      </c>
      <c r="Q616" s="14">
        <f t="shared" si="138"/>
        <v>29</v>
      </c>
      <c r="R616" s="14">
        <f t="shared" si="139"/>
        <v>1606037</v>
      </c>
      <c r="S616" s="14" t="str">
        <f t="shared" si="143"/>
        <v>神器6碎片3等级20</v>
      </c>
      <c r="T616" s="29" t="s">
        <v>649</v>
      </c>
      <c r="U616" s="14">
        <f t="shared" si="140"/>
        <v>20</v>
      </c>
      <c r="V616" s="36">
        <f t="shared" si="144"/>
        <v>1.95</v>
      </c>
      <c r="W616" s="17">
        <f t="shared" si="141"/>
        <v>3.9E-2</v>
      </c>
      <c r="X616" s="14">
        <f t="shared" si="145"/>
        <v>1</v>
      </c>
      <c r="Y616" s="14">
        <f t="shared" si="146"/>
        <v>2</v>
      </c>
      <c r="Z616" s="14">
        <f t="shared" si="147"/>
        <v>3</v>
      </c>
      <c r="AA616" s="14" t="str">
        <f t="shared" si="148"/>
        <v>AtkExt</v>
      </c>
      <c r="AB616" s="14">
        <f t="shared" si="142"/>
        <v>939</v>
      </c>
      <c r="AC616" s="14" t="str">
        <f t="shared" si="149"/>
        <v>DefExt</v>
      </c>
      <c r="AD616" s="14">
        <f t="shared" si="150"/>
        <v>468</v>
      </c>
      <c r="AE616" s="14" t="str">
        <f t="shared" si="151"/>
        <v>HPExt</v>
      </c>
      <c r="AF616" s="27">
        <f t="shared" si="152"/>
        <v>2824</v>
      </c>
      <c r="AG616" s="27" t="str">
        <f t="shared" si="153"/>
        <v>[x]</v>
      </c>
    </row>
    <row r="617" spans="16:33" ht="16.5" x14ac:dyDescent="0.2">
      <c r="P617" s="13">
        <v>561</v>
      </c>
      <c r="Q617" s="14">
        <f t="shared" si="138"/>
        <v>29</v>
      </c>
      <c r="R617" s="14">
        <f t="shared" si="139"/>
        <v>1606037</v>
      </c>
      <c r="S617" s="14" t="str">
        <f t="shared" si="143"/>
        <v>神器6碎片3等级21</v>
      </c>
      <c r="T617" s="29" t="s">
        <v>649</v>
      </c>
      <c r="U617" s="14">
        <f t="shared" si="140"/>
        <v>21</v>
      </c>
      <c r="V617" s="36">
        <f t="shared" si="144"/>
        <v>2.0819999999999999</v>
      </c>
      <c r="W617" s="17">
        <f t="shared" si="141"/>
        <v>4.1639999999999996E-2</v>
      </c>
      <c r="X617" s="14">
        <f t="shared" si="145"/>
        <v>1</v>
      </c>
      <c r="Y617" s="14">
        <f t="shared" si="146"/>
        <v>2</v>
      </c>
      <c r="Z617" s="14">
        <f t="shared" si="147"/>
        <v>3</v>
      </c>
      <c r="AA617" s="14" t="str">
        <f t="shared" si="148"/>
        <v>AtkExt</v>
      </c>
      <c r="AB617" s="14">
        <f t="shared" si="142"/>
        <v>1002</v>
      </c>
      <c r="AC617" s="14" t="str">
        <f t="shared" si="149"/>
        <v>DefExt</v>
      </c>
      <c r="AD617" s="14">
        <f t="shared" si="150"/>
        <v>500</v>
      </c>
      <c r="AE617" s="14" t="str">
        <f t="shared" si="151"/>
        <v>HPExt</v>
      </c>
      <c r="AF617" s="27">
        <f t="shared" si="152"/>
        <v>3015</v>
      </c>
      <c r="AG617" s="27" t="str">
        <f t="shared" si="153"/>
        <v>[x]</v>
      </c>
    </row>
    <row r="618" spans="16:33" ht="16.5" x14ac:dyDescent="0.2">
      <c r="P618" s="13">
        <v>562</v>
      </c>
      <c r="Q618" s="14">
        <f t="shared" si="138"/>
        <v>30</v>
      </c>
      <c r="R618" s="14">
        <f t="shared" si="139"/>
        <v>1606038</v>
      </c>
      <c r="S618" s="14" t="str">
        <f t="shared" si="143"/>
        <v>神器6碎片4等级1</v>
      </c>
      <c r="T618" s="29" t="s">
        <v>649</v>
      </c>
      <c r="U618" s="14">
        <f t="shared" si="140"/>
        <v>1</v>
      </c>
      <c r="V618" s="36">
        <f t="shared" si="144"/>
        <v>0.20200000000000001</v>
      </c>
      <c r="W618" s="17">
        <f t="shared" si="141"/>
        <v>6.0600000000000003E-3</v>
      </c>
      <c r="X618" s="14">
        <f t="shared" si="145"/>
        <v>1</v>
      </c>
      <c r="Y618" s="14">
        <f t="shared" si="146"/>
        <v>2</v>
      </c>
      <c r="Z618" s="14">
        <f t="shared" si="147"/>
        <v>0</v>
      </c>
      <c r="AA618" s="14" t="str">
        <f t="shared" si="148"/>
        <v>AtkExt</v>
      </c>
      <c r="AB618" s="14">
        <f t="shared" si="142"/>
        <v>145</v>
      </c>
      <c r="AC618" s="14" t="str">
        <f t="shared" si="149"/>
        <v>DefExt</v>
      </c>
      <c r="AD618" s="14">
        <f t="shared" si="150"/>
        <v>145</v>
      </c>
      <c r="AE618" s="14" t="str">
        <f t="shared" si="151"/>
        <v>[x]</v>
      </c>
      <c r="AF618" s="27" t="str">
        <f t="shared" si="152"/>
        <v>[x]</v>
      </c>
      <c r="AG618" s="27" t="str">
        <f t="shared" si="153"/>
        <v>[x]</v>
      </c>
    </row>
    <row r="619" spans="16:33" ht="16.5" x14ac:dyDescent="0.2">
      <c r="P619" s="13">
        <v>563</v>
      </c>
      <c r="Q619" s="14">
        <f t="shared" si="138"/>
        <v>30</v>
      </c>
      <c r="R619" s="14">
        <f t="shared" si="139"/>
        <v>1606038</v>
      </c>
      <c r="S619" s="14" t="str">
        <f t="shared" si="143"/>
        <v>神器6碎片4等级2</v>
      </c>
      <c r="T619" s="29" t="s">
        <v>649</v>
      </c>
      <c r="U619" s="14">
        <f t="shared" si="140"/>
        <v>2</v>
      </c>
      <c r="V619" s="36">
        <f t="shared" si="144"/>
        <v>0.25800000000000001</v>
      </c>
      <c r="W619" s="17">
        <f t="shared" si="141"/>
        <v>7.7400000000000004E-3</v>
      </c>
      <c r="X619" s="14">
        <f t="shared" si="145"/>
        <v>1</v>
      </c>
      <c r="Y619" s="14">
        <f t="shared" si="146"/>
        <v>2</v>
      </c>
      <c r="Z619" s="14">
        <f t="shared" si="147"/>
        <v>0</v>
      </c>
      <c r="AA619" s="14" t="str">
        <f t="shared" si="148"/>
        <v>AtkExt</v>
      </c>
      <c r="AB619" s="14">
        <f t="shared" si="142"/>
        <v>186</v>
      </c>
      <c r="AC619" s="14" t="str">
        <f t="shared" si="149"/>
        <v>DefExt</v>
      </c>
      <c r="AD619" s="14">
        <f t="shared" si="150"/>
        <v>185</v>
      </c>
      <c r="AE619" s="14" t="str">
        <f t="shared" si="151"/>
        <v>[x]</v>
      </c>
      <c r="AF619" s="27" t="str">
        <f t="shared" si="152"/>
        <v>[x]</v>
      </c>
      <c r="AG619" s="27" t="str">
        <f t="shared" si="153"/>
        <v>[x]</v>
      </c>
    </row>
    <row r="620" spans="16:33" ht="16.5" x14ac:dyDescent="0.2">
      <c r="P620" s="13">
        <v>564</v>
      </c>
      <c r="Q620" s="14">
        <f t="shared" si="138"/>
        <v>30</v>
      </c>
      <c r="R620" s="14">
        <f t="shared" si="139"/>
        <v>1606038</v>
      </c>
      <c r="S620" s="14" t="str">
        <f t="shared" si="143"/>
        <v>神器6碎片4等级3</v>
      </c>
      <c r="T620" s="29" t="s">
        <v>649</v>
      </c>
      <c r="U620" s="14">
        <f t="shared" si="140"/>
        <v>3</v>
      </c>
      <c r="V620" s="36">
        <f t="shared" si="144"/>
        <v>0.31800000000000006</v>
      </c>
      <c r="W620" s="17">
        <f t="shared" si="141"/>
        <v>9.5400000000000016E-3</v>
      </c>
      <c r="X620" s="14">
        <f t="shared" si="145"/>
        <v>1</v>
      </c>
      <c r="Y620" s="14">
        <f t="shared" si="146"/>
        <v>2</v>
      </c>
      <c r="Z620" s="14">
        <f t="shared" si="147"/>
        <v>0</v>
      </c>
      <c r="AA620" s="14" t="str">
        <f t="shared" si="148"/>
        <v>AtkExt</v>
      </c>
      <c r="AB620" s="14">
        <f t="shared" si="142"/>
        <v>229</v>
      </c>
      <c r="AC620" s="14" t="str">
        <f t="shared" si="149"/>
        <v>DefExt</v>
      </c>
      <c r="AD620" s="14">
        <f t="shared" si="150"/>
        <v>229</v>
      </c>
      <c r="AE620" s="14" t="str">
        <f t="shared" si="151"/>
        <v>[x]</v>
      </c>
      <c r="AF620" s="27" t="str">
        <f t="shared" si="152"/>
        <v>[x]</v>
      </c>
      <c r="AG620" s="27" t="str">
        <f t="shared" si="153"/>
        <v>[x]</v>
      </c>
    </row>
    <row r="621" spans="16:33" ht="16.5" x14ac:dyDescent="0.2">
      <c r="P621" s="13">
        <v>565</v>
      </c>
      <c r="Q621" s="14">
        <f t="shared" si="138"/>
        <v>30</v>
      </c>
      <c r="R621" s="14">
        <f t="shared" si="139"/>
        <v>1606038</v>
      </c>
      <c r="S621" s="14" t="str">
        <f t="shared" si="143"/>
        <v>神器6碎片4等级4</v>
      </c>
      <c r="T621" s="29" t="s">
        <v>649</v>
      </c>
      <c r="U621" s="14">
        <f t="shared" si="140"/>
        <v>4</v>
      </c>
      <c r="V621" s="36">
        <f t="shared" si="144"/>
        <v>0.38200000000000001</v>
      </c>
      <c r="W621" s="17">
        <f t="shared" si="141"/>
        <v>1.146E-2</v>
      </c>
      <c r="X621" s="14">
        <f t="shared" si="145"/>
        <v>1</v>
      </c>
      <c r="Y621" s="14">
        <f t="shared" si="146"/>
        <v>2</v>
      </c>
      <c r="Z621" s="14">
        <f t="shared" si="147"/>
        <v>0</v>
      </c>
      <c r="AA621" s="14" t="str">
        <f t="shared" si="148"/>
        <v>AtkExt</v>
      </c>
      <c r="AB621" s="14">
        <f t="shared" si="142"/>
        <v>275</v>
      </c>
      <c r="AC621" s="14" t="str">
        <f t="shared" si="149"/>
        <v>DefExt</v>
      </c>
      <c r="AD621" s="14">
        <f t="shared" si="150"/>
        <v>275</v>
      </c>
      <c r="AE621" s="14" t="str">
        <f t="shared" si="151"/>
        <v>[x]</v>
      </c>
      <c r="AF621" s="27" t="str">
        <f t="shared" si="152"/>
        <v>[x]</v>
      </c>
      <c r="AG621" s="27" t="str">
        <f t="shared" si="153"/>
        <v>[x]</v>
      </c>
    </row>
    <row r="622" spans="16:33" ht="16.5" x14ac:dyDescent="0.2">
      <c r="P622" s="13">
        <v>566</v>
      </c>
      <c r="Q622" s="14">
        <f t="shared" si="138"/>
        <v>30</v>
      </c>
      <c r="R622" s="14">
        <f t="shared" si="139"/>
        <v>1606038</v>
      </c>
      <c r="S622" s="14" t="str">
        <f t="shared" si="143"/>
        <v>神器6碎片4等级5</v>
      </c>
      <c r="T622" s="29" t="s">
        <v>649</v>
      </c>
      <c r="U622" s="14">
        <f t="shared" si="140"/>
        <v>5</v>
      </c>
      <c r="V622" s="36">
        <f t="shared" si="144"/>
        <v>0.45</v>
      </c>
      <c r="W622" s="17">
        <f t="shared" si="141"/>
        <v>1.35E-2</v>
      </c>
      <c r="X622" s="14">
        <f t="shared" si="145"/>
        <v>1</v>
      </c>
      <c r="Y622" s="14">
        <f t="shared" si="146"/>
        <v>2</v>
      </c>
      <c r="Z622" s="14">
        <f t="shared" si="147"/>
        <v>0</v>
      </c>
      <c r="AA622" s="14" t="str">
        <f t="shared" si="148"/>
        <v>AtkExt</v>
      </c>
      <c r="AB622" s="14">
        <f t="shared" si="142"/>
        <v>325</v>
      </c>
      <c r="AC622" s="14" t="str">
        <f t="shared" si="149"/>
        <v>DefExt</v>
      </c>
      <c r="AD622" s="14">
        <f t="shared" si="150"/>
        <v>324</v>
      </c>
      <c r="AE622" s="14" t="str">
        <f t="shared" si="151"/>
        <v>[x]</v>
      </c>
      <c r="AF622" s="27" t="str">
        <f t="shared" si="152"/>
        <v>[x]</v>
      </c>
      <c r="AG622" s="27" t="str">
        <f t="shared" si="153"/>
        <v>[x]</v>
      </c>
    </row>
    <row r="623" spans="16:33" ht="16.5" x14ac:dyDescent="0.2">
      <c r="P623" s="13">
        <v>567</v>
      </c>
      <c r="Q623" s="14">
        <f t="shared" si="138"/>
        <v>30</v>
      </c>
      <c r="R623" s="14">
        <f t="shared" si="139"/>
        <v>1606038</v>
      </c>
      <c r="S623" s="14" t="str">
        <f t="shared" si="143"/>
        <v>神器6碎片4等级6</v>
      </c>
      <c r="T623" s="29" t="s">
        <v>649</v>
      </c>
      <c r="U623" s="14">
        <f t="shared" si="140"/>
        <v>6</v>
      </c>
      <c r="V623" s="36">
        <f t="shared" si="144"/>
        <v>0.52200000000000002</v>
      </c>
      <c r="W623" s="17">
        <f t="shared" si="141"/>
        <v>1.566E-2</v>
      </c>
      <c r="X623" s="14">
        <f t="shared" si="145"/>
        <v>1</v>
      </c>
      <c r="Y623" s="14">
        <f t="shared" si="146"/>
        <v>2</v>
      </c>
      <c r="Z623" s="14">
        <f t="shared" si="147"/>
        <v>0</v>
      </c>
      <c r="AA623" s="14" t="str">
        <f t="shared" si="148"/>
        <v>AtkExt</v>
      </c>
      <c r="AB623" s="14">
        <f t="shared" si="142"/>
        <v>377</v>
      </c>
      <c r="AC623" s="14" t="str">
        <f t="shared" si="149"/>
        <v>DefExt</v>
      </c>
      <c r="AD623" s="14">
        <f t="shared" si="150"/>
        <v>376</v>
      </c>
      <c r="AE623" s="14" t="str">
        <f t="shared" si="151"/>
        <v>[x]</v>
      </c>
      <c r="AF623" s="27" t="str">
        <f t="shared" si="152"/>
        <v>[x]</v>
      </c>
      <c r="AG623" s="27" t="str">
        <f t="shared" si="153"/>
        <v>[x]</v>
      </c>
    </row>
    <row r="624" spans="16:33" ht="16.5" x14ac:dyDescent="0.2">
      <c r="P624" s="13">
        <v>568</v>
      </c>
      <c r="Q624" s="14">
        <f t="shared" si="138"/>
        <v>30</v>
      </c>
      <c r="R624" s="14">
        <f t="shared" si="139"/>
        <v>1606038</v>
      </c>
      <c r="S624" s="14" t="str">
        <f t="shared" si="143"/>
        <v>神器6碎片4等级7</v>
      </c>
      <c r="T624" s="29" t="s">
        <v>649</v>
      </c>
      <c r="U624" s="14">
        <f t="shared" si="140"/>
        <v>7</v>
      </c>
      <c r="V624" s="36">
        <f t="shared" si="144"/>
        <v>0.59799999999999998</v>
      </c>
      <c r="W624" s="17">
        <f t="shared" si="141"/>
        <v>1.7939999999999998E-2</v>
      </c>
      <c r="X624" s="14">
        <f t="shared" si="145"/>
        <v>1</v>
      </c>
      <c r="Y624" s="14">
        <f t="shared" si="146"/>
        <v>2</v>
      </c>
      <c r="Z624" s="14">
        <f t="shared" si="147"/>
        <v>0</v>
      </c>
      <c r="AA624" s="14" t="str">
        <f t="shared" si="148"/>
        <v>AtkExt</v>
      </c>
      <c r="AB624" s="14">
        <f t="shared" si="142"/>
        <v>432</v>
      </c>
      <c r="AC624" s="14" t="str">
        <f t="shared" si="149"/>
        <v>DefExt</v>
      </c>
      <c r="AD624" s="14">
        <f t="shared" si="150"/>
        <v>430</v>
      </c>
      <c r="AE624" s="14" t="str">
        <f t="shared" si="151"/>
        <v>[x]</v>
      </c>
      <c r="AF624" s="27" t="str">
        <f t="shared" si="152"/>
        <v>[x]</v>
      </c>
      <c r="AG624" s="27" t="str">
        <f t="shared" si="153"/>
        <v>[x]</v>
      </c>
    </row>
    <row r="625" spans="16:33" ht="16.5" x14ac:dyDescent="0.2">
      <c r="P625" s="13">
        <v>569</v>
      </c>
      <c r="Q625" s="14">
        <f t="shared" si="138"/>
        <v>30</v>
      </c>
      <c r="R625" s="14">
        <f t="shared" si="139"/>
        <v>1606038</v>
      </c>
      <c r="S625" s="14" t="str">
        <f t="shared" si="143"/>
        <v>神器6碎片4等级8</v>
      </c>
      <c r="T625" s="29" t="s">
        <v>649</v>
      </c>
      <c r="U625" s="14">
        <f t="shared" si="140"/>
        <v>8</v>
      </c>
      <c r="V625" s="36">
        <f t="shared" si="144"/>
        <v>0.67800000000000005</v>
      </c>
      <c r="W625" s="17">
        <f t="shared" si="141"/>
        <v>2.034E-2</v>
      </c>
      <c r="X625" s="14">
        <f t="shared" si="145"/>
        <v>1</v>
      </c>
      <c r="Y625" s="14">
        <f t="shared" si="146"/>
        <v>2</v>
      </c>
      <c r="Z625" s="14">
        <f t="shared" si="147"/>
        <v>0</v>
      </c>
      <c r="AA625" s="14" t="str">
        <f t="shared" si="148"/>
        <v>AtkExt</v>
      </c>
      <c r="AB625" s="14">
        <f t="shared" si="142"/>
        <v>489</v>
      </c>
      <c r="AC625" s="14" t="str">
        <f t="shared" si="149"/>
        <v>DefExt</v>
      </c>
      <c r="AD625" s="14">
        <f t="shared" si="150"/>
        <v>488</v>
      </c>
      <c r="AE625" s="14" t="str">
        <f t="shared" si="151"/>
        <v>[x]</v>
      </c>
      <c r="AF625" s="27" t="str">
        <f t="shared" si="152"/>
        <v>[x]</v>
      </c>
      <c r="AG625" s="27" t="str">
        <f t="shared" si="153"/>
        <v>[x]</v>
      </c>
    </row>
    <row r="626" spans="16:33" ht="16.5" x14ac:dyDescent="0.2">
      <c r="P626" s="13">
        <v>570</v>
      </c>
      <c r="Q626" s="14">
        <f t="shared" si="138"/>
        <v>30</v>
      </c>
      <c r="R626" s="14">
        <f t="shared" si="139"/>
        <v>1606038</v>
      </c>
      <c r="S626" s="14" t="str">
        <f t="shared" si="143"/>
        <v>神器6碎片4等级9</v>
      </c>
      <c r="T626" s="29" t="s">
        <v>649</v>
      </c>
      <c r="U626" s="14">
        <f t="shared" si="140"/>
        <v>9</v>
      </c>
      <c r="V626" s="36">
        <f t="shared" si="144"/>
        <v>0.76200000000000001</v>
      </c>
      <c r="W626" s="17">
        <f t="shared" si="141"/>
        <v>2.2859999999999998E-2</v>
      </c>
      <c r="X626" s="14">
        <f t="shared" si="145"/>
        <v>1</v>
      </c>
      <c r="Y626" s="14">
        <f t="shared" si="146"/>
        <v>2</v>
      </c>
      <c r="Z626" s="14">
        <f t="shared" si="147"/>
        <v>0</v>
      </c>
      <c r="AA626" s="14" t="str">
        <f t="shared" si="148"/>
        <v>AtkExt</v>
      </c>
      <c r="AB626" s="14">
        <f t="shared" si="142"/>
        <v>550</v>
      </c>
      <c r="AC626" s="14" t="str">
        <f t="shared" si="149"/>
        <v>DefExt</v>
      </c>
      <c r="AD626" s="14">
        <f t="shared" si="150"/>
        <v>549</v>
      </c>
      <c r="AE626" s="14" t="str">
        <f t="shared" si="151"/>
        <v>[x]</v>
      </c>
      <c r="AF626" s="27" t="str">
        <f t="shared" si="152"/>
        <v>[x]</v>
      </c>
      <c r="AG626" s="27" t="str">
        <f t="shared" si="153"/>
        <v>[x]</v>
      </c>
    </row>
    <row r="627" spans="16:33" ht="16.5" x14ac:dyDescent="0.2">
      <c r="P627" s="13">
        <v>571</v>
      </c>
      <c r="Q627" s="14">
        <f t="shared" si="138"/>
        <v>30</v>
      </c>
      <c r="R627" s="14">
        <f t="shared" si="139"/>
        <v>1606038</v>
      </c>
      <c r="S627" s="14" t="str">
        <f t="shared" si="143"/>
        <v>神器6碎片4等级10</v>
      </c>
      <c r="T627" s="29" t="s">
        <v>649</v>
      </c>
      <c r="U627" s="14">
        <f t="shared" si="140"/>
        <v>10</v>
      </c>
      <c r="V627" s="36">
        <f t="shared" si="144"/>
        <v>0.85000000000000009</v>
      </c>
      <c r="W627" s="17">
        <f t="shared" si="141"/>
        <v>2.5500000000000002E-2</v>
      </c>
      <c r="X627" s="14">
        <f t="shared" si="145"/>
        <v>1</v>
      </c>
      <c r="Y627" s="14">
        <f t="shared" si="146"/>
        <v>2</v>
      </c>
      <c r="Z627" s="14">
        <f t="shared" si="147"/>
        <v>0</v>
      </c>
      <c r="AA627" s="14" t="str">
        <f t="shared" si="148"/>
        <v>AtkExt</v>
      </c>
      <c r="AB627" s="14">
        <f t="shared" si="142"/>
        <v>614</v>
      </c>
      <c r="AC627" s="14" t="str">
        <f t="shared" si="149"/>
        <v>DefExt</v>
      </c>
      <c r="AD627" s="14">
        <f t="shared" si="150"/>
        <v>612</v>
      </c>
      <c r="AE627" s="14" t="str">
        <f t="shared" si="151"/>
        <v>[x]</v>
      </c>
      <c r="AF627" s="27" t="str">
        <f t="shared" si="152"/>
        <v>[x]</v>
      </c>
      <c r="AG627" s="27" t="str">
        <f t="shared" si="153"/>
        <v>[x]</v>
      </c>
    </row>
    <row r="628" spans="16:33" ht="16.5" x14ac:dyDescent="0.2">
      <c r="P628" s="13">
        <v>572</v>
      </c>
      <c r="Q628" s="14">
        <f t="shared" si="138"/>
        <v>30</v>
      </c>
      <c r="R628" s="14">
        <f t="shared" si="139"/>
        <v>1606038</v>
      </c>
      <c r="S628" s="14" t="str">
        <f t="shared" si="143"/>
        <v>神器6碎片4等级11</v>
      </c>
      <c r="T628" s="29" t="s">
        <v>649</v>
      </c>
      <c r="U628" s="14">
        <f t="shared" si="140"/>
        <v>11</v>
      </c>
      <c r="V628" s="36">
        <f t="shared" si="144"/>
        <v>0.94200000000000006</v>
      </c>
      <c r="W628" s="17">
        <f t="shared" si="141"/>
        <v>2.826E-2</v>
      </c>
      <c r="X628" s="14">
        <f t="shared" si="145"/>
        <v>1</v>
      </c>
      <c r="Y628" s="14">
        <f t="shared" si="146"/>
        <v>2</v>
      </c>
      <c r="Z628" s="14">
        <f t="shared" si="147"/>
        <v>0</v>
      </c>
      <c r="AA628" s="14" t="str">
        <f t="shared" si="148"/>
        <v>AtkExt</v>
      </c>
      <c r="AB628" s="14">
        <f t="shared" si="142"/>
        <v>680</v>
      </c>
      <c r="AC628" s="14" t="str">
        <f t="shared" si="149"/>
        <v>DefExt</v>
      </c>
      <c r="AD628" s="14">
        <f t="shared" si="150"/>
        <v>678</v>
      </c>
      <c r="AE628" s="14" t="str">
        <f t="shared" si="151"/>
        <v>[x]</v>
      </c>
      <c r="AF628" s="27" t="str">
        <f t="shared" si="152"/>
        <v>[x]</v>
      </c>
      <c r="AG628" s="27" t="str">
        <f t="shared" si="153"/>
        <v>[x]</v>
      </c>
    </row>
    <row r="629" spans="16:33" ht="16.5" x14ac:dyDescent="0.2">
      <c r="P629" s="13">
        <v>573</v>
      </c>
      <c r="Q629" s="14">
        <f t="shared" si="138"/>
        <v>30</v>
      </c>
      <c r="R629" s="14">
        <f t="shared" si="139"/>
        <v>1606038</v>
      </c>
      <c r="S629" s="14" t="str">
        <f t="shared" si="143"/>
        <v>神器6碎片4等级12</v>
      </c>
      <c r="T629" s="29" t="s">
        <v>649</v>
      </c>
      <c r="U629" s="14">
        <f t="shared" si="140"/>
        <v>12</v>
      </c>
      <c r="V629" s="36">
        <f t="shared" si="144"/>
        <v>1.0380000000000003</v>
      </c>
      <c r="W629" s="17">
        <f t="shared" si="141"/>
        <v>3.1140000000000008E-2</v>
      </c>
      <c r="X629" s="14">
        <f t="shared" si="145"/>
        <v>1</v>
      </c>
      <c r="Y629" s="14">
        <f t="shared" si="146"/>
        <v>2</v>
      </c>
      <c r="Z629" s="14">
        <f t="shared" si="147"/>
        <v>0</v>
      </c>
      <c r="AA629" s="14" t="str">
        <f t="shared" si="148"/>
        <v>AtkExt</v>
      </c>
      <c r="AB629" s="14">
        <f t="shared" si="142"/>
        <v>749</v>
      </c>
      <c r="AC629" s="14" t="str">
        <f t="shared" si="149"/>
        <v>DefExt</v>
      </c>
      <c r="AD629" s="14">
        <f t="shared" si="150"/>
        <v>747</v>
      </c>
      <c r="AE629" s="14" t="str">
        <f t="shared" si="151"/>
        <v>[x]</v>
      </c>
      <c r="AF629" s="27" t="str">
        <f t="shared" si="152"/>
        <v>[x]</v>
      </c>
      <c r="AG629" s="27" t="str">
        <f t="shared" si="153"/>
        <v>[x]</v>
      </c>
    </row>
    <row r="630" spans="16:33" ht="16.5" x14ac:dyDescent="0.2">
      <c r="P630" s="13">
        <v>574</v>
      </c>
      <c r="Q630" s="14">
        <f t="shared" si="138"/>
        <v>30</v>
      </c>
      <c r="R630" s="14">
        <f t="shared" si="139"/>
        <v>1606038</v>
      </c>
      <c r="S630" s="14" t="str">
        <f t="shared" si="143"/>
        <v>神器6碎片4等级13</v>
      </c>
      <c r="T630" s="29" t="s">
        <v>649</v>
      </c>
      <c r="U630" s="14">
        <f t="shared" si="140"/>
        <v>13</v>
      </c>
      <c r="V630" s="36">
        <f t="shared" si="144"/>
        <v>1.1380000000000001</v>
      </c>
      <c r="W630" s="17">
        <f t="shared" si="141"/>
        <v>3.4140000000000004E-2</v>
      </c>
      <c r="X630" s="14">
        <f t="shared" si="145"/>
        <v>1</v>
      </c>
      <c r="Y630" s="14">
        <f t="shared" si="146"/>
        <v>2</v>
      </c>
      <c r="Z630" s="14">
        <f t="shared" si="147"/>
        <v>0</v>
      </c>
      <c r="AA630" s="14" t="str">
        <f t="shared" si="148"/>
        <v>AtkExt</v>
      </c>
      <c r="AB630" s="14">
        <f t="shared" si="142"/>
        <v>822</v>
      </c>
      <c r="AC630" s="14" t="str">
        <f t="shared" si="149"/>
        <v>DefExt</v>
      </c>
      <c r="AD630" s="14">
        <f t="shared" si="150"/>
        <v>819</v>
      </c>
      <c r="AE630" s="14" t="str">
        <f t="shared" si="151"/>
        <v>[x]</v>
      </c>
      <c r="AF630" s="27" t="str">
        <f t="shared" si="152"/>
        <v>[x]</v>
      </c>
      <c r="AG630" s="27" t="str">
        <f t="shared" si="153"/>
        <v>[x]</v>
      </c>
    </row>
    <row r="631" spans="16:33" ht="16.5" x14ac:dyDescent="0.2">
      <c r="P631" s="13">
        <v>575</v>
      </c>
      <c r="Q631" s="14">
        <f t="shared" si="138"/>
        <v>30</v>
      </c>
      <c r="R631" s="14">
        <f t="shared" si="139"/>
        <v>1606038</v>
      </c>
      <c r="S631" s="14" t="str">
        <f t="shared" si="143"/>
        <v>神器6碎片4等级14</v>
      </c>
      <c r="T631" s="29" t="s">
        <v>649</v>
      </c>
      <c r="U631" s="14">
        <f t="shared" si="140"/>
        <v>14</v>
      </c>
      <c r="V631" s="36">
        <f t="shared" si="144"/>
        <v>1.242</v>
      </c>
      <c r="W631" s="17">
        <f t="shared" si="141"/>
        <v>3.7260000000000001E-2</v>
      </c>
      <c r="X631" s="14">
        <f t="shared" si="145"/>
        <v>1</v>
      </c>
      <c r="Y631" s="14">
        <f t="shared" si="146"/>
        <v>2</v>
      </c>
      <c r="Z631" s="14">
        <f t="shared" si="147"/>
        <v>0</v>
      </c>
      <c r="AA631" s="14" t="str">
        <f t="shared" si="148"/>
        <v>AtkExt</v>
      </c>
      <c r="AB631" s="14">
        <f t="shared" si="142"/>
        <v>897</v>
      </c>
      <c r="AC631" s="14" t="str">
        <f t="shared" si="149"/>
        <v>DefExt</v>
      </c>
      <c r="AD631" s="14">
        <f t="shared" si="150"/>
        <v>894</v>
      </c>
      <c r="AE631" s="14" t="str">
        <f t="shared" si="151"/>
        <v>[x]</v>
      </c>
      <c r="AF631" s="27" t="str">
        <f t="shared" si="152"/>
        <v>[x]</v>
      </c>
      <c r="AG631" s="27" t="str">
        <f t="shared" si="153"/>
        <v>[x]</v>
      </c>
    </row>
    <row r="632" spans="16:33" ht="16.5" x14ac:dyDescent="0.2">
      <c r="P632" s="13">
        <v>576</v>
      </c>
      <c r="Q632" s="14">
        <f t="shared" si="138"/>
        <v>30</v>
      </c>
      <c r="R632" s="14">
        <f t="shared" si="139"/>
        <v>1606038</v>
      </c>
      <c r="S632" s="14" t="str">
        <f t="shared" si="143"/>
        <v>神器6碎片4等级15</v>
      </c>
      <c r="T632" s="29" t="s">
        <v>649</v>
      </c>
      <c r="U632" s="14">
        <f t="shared" si="140"/>
        <v>15</v>
      </c>
      <c r="V632" s="36">
        <f t="shared" si="144"/>
        <v>1.35</v>
      </c>
      <c r="W632" s="17">
        <f t="shared" si="141"/>
        <v>4.0500000000000001E-2</v>
      </c>
      <c r="X632" s="14">
        <f t="shared" si="145"/>
        <v>1</v>
      </c>
      <c r="Y632" s="14">
        <f t="shared" si="146"/>
        <v>2</v>
      </c>
      <c r="Z632" s="14">
        <f t="shared" si="147"/>
        <v>0</v>
      </c>
      <c r="AA632" s="14" t="str">
        <f t="shared" si="148"/>
        <v>AtkExt</v>
      </c>
      <c r="AB632" s="14">
        <f t="shared" si="142"/>
        <v>975</v>
      </c>
      <c r="AC632" s="14" t="str">
        <f t="shared" si="149"/>
        <v>DefExt</v>
      </c>
      <c r="AD632" s="14">
        <f t="shared" si="150"/>
        <v>972</v>
      </c>
      <c r="AE632" s="14" t="str">
        <f t="shared" si="151"/>
        <v>[x]</v>
      </c>
      <c r="AF632" s="27" t="str">
        <f t="shared" si="152"/>
        <v>[x]</v>
      </c>
      <c r="AG632" s="27" t="str">
        <f t="shared" si="153"/>
        <v>[x]</v>
      </c>
    </row>
    <row r="633" spans="16:33" ht="16.5" x14ac:dyDescent="0.2">
      <c r="P633" s="13">
        <v>577</v>
      </c>
      <c r="Q633" s="14">
        <f t="shared" ref="Q633:Q696" si="154">MATCH(P633-1,$X$4:$X$46,1)</f>
        <v>30</v>
      </c>
      <c r="R633" s="14">
        <f t="shared" ref="R633:R696" si="155">INDEX($S$5:$S$46,Q633)</f>
        <v>1606038</v>
      </c>
      <c r="S633" s="14" t="str">
        <f t="shared" si="143"/>
        <v>神器6碎片4等级16</v>
      </c>
      <c r="T633" s="29" t="s">
        <v>649</v>
      </c>
      <c r="U633" s="14">
        <f t="shared" ref="U633:U696" si="156">P633-INDEX($X$4:$X$46,Q633)</f>
        <v>16</v>
      </c>
      <c r="V633" s="36">
        <f t="shared" si="144"/>
        <v>1.4620000000000002</v>
      </c>
      <c r="W633" s="17">
        <f t="shared" ref="W633:W696" si="157">INDEX($V$5:$V$46,Q633)*V633</f>
        <v>4.3860000000000003E-2</v>
      </c>
      <c r="X633" s="14">
        <f t="shared" si="145"/>
        <v>1</v>
      </c>
      <c r="Y633" s="14">
        <f t="shared" si="146"/>
        <v>2</v>
      </c>
      <c r="Z633" s="14">
        <f t="shared" si="147"/>
        <v>0</v>
      </c>
      <c r="AA633" s="14" t="str">
        <f t="shared" si="148"/>
        <v>AtkExt</v>
      </c>
      <c r="AB633" s="14">
        <f t="shared" ref="AB633:AB696" si="158">INT(INDEX($E$4:$G$4,X633)*W633*INDEX($Y$5:$AA$46,Q633,X633))</f>
        <v>1056</v>
      </c>
      <c r="AC633" s="14" t="str">
        <f t="shared" si="149"/>
        <v>DefExt</v>
      </c>
      <c r="AD633" s="14">
        <f t="shared" si="150"/>
        <v>1053</v>
      </c>
      <c r="AE633" s="14" t="str">
        <f t="shared" si="151"/>
        <v>[x]</v>
      </c>
      <c r="AF633" s="27" t="str">
        <f t="shared" si="152"/>
        <v>[x]</v>
      </c>
      <c r="AG633" s="27" t="str">
        <f t="shared" si="153"/>
        <v>[x]</v>
      </c>
    </row>
    <row r="634" spans="16:33" ht="16.5" x14ac:dyDescent="0.2">
      <c r="P634" s="13">
        <v>578</v>
      </c>
      <c r="Q634" s="14">
        <f t="shared" si="154"/>
        <v>30</v>
      </c>
      <c r="R634" s="14">
        <f t="shared" si="155"/>
        <v>1606038</v>
      </c>
      <c r="S634" s="14" t="str">
        <f t="shared" ref="S634:S697" si="159">INDEX($P$5:$P$46,Q634)&amp;"碎片"&amp;INDEX($R$5:$R$46,Q634)&amp;"等级"&amp;U634</f>
        <v>神器6碎片4等级17</v>
      </c>
      <c r="T634" s="29" t="s">
        <v>649</v>
      </c>
      <c r="U634" s="14">
        <f t="shared" si="156"/>
        <v>17</v>
      </c>
      <c r="V634" s="36">
        <f t="shared" ref="V634:V697" si="160">15%+U634*5%+U634*U634*0.2%</f>
        <v>1.5779999999999998</v>
      </c>
      <c r="W634" s="17">
        <f t="shared" si="157"/>
        <v>4.7339999999999993E-2</v>
      </c>
      <c r="X634" s="14">
        <f t="shared" ref="X634:X697" si="161">INDEX($AB$5:$AB$46,Q634)</f>
        <v>1</v>
      </c>
      <c r="Y634" s="14">
        <f t="shared" ref="Y634:Y697" si="162">INDEX(AC$5:AC$46,$Q634)</f>
        <v>2</v>
      </c>
      <c r="Z634" s="14">
        <f t="shared" ref="Z634:Z697" si="163">INDEX(AD$5:AD$46,$Q634)</f>
        <v>0</v>
      </c>
      <c r="AA634" s="14" t="str">
        <f t="shared" ref="AA634:AA697" si="164">INDEX($Y$3:$AA$3,X634)</f>
        <v>AtkExt</v>
      </c>
      <c r="AB634" s="14">
        <f t="shared" si="158"/>
        <v>1139</v>
      </c>
      <c r="AC634" s="14" t="str">
        <f t="shared" ref="AC634:AC697" si="165">IF(Y634&gt;0,INDEX($Y$3:$AA$3,Y634),"[x]")</f>
        <v>DefExt</v>
      </c>
      <c r="AD634" s="14">
        <f t="shared" ref="AD634:AD697" si="166">IF(Y634&gt;0,INT(INDEX($E$4:$G$4,Y634)*W634*INDEX($Y$5:$AA$46,Q634,Y634)),"[x]")</f>
        <v>1136</v>
      </c>
      <c r="AE634" s="14" t="str">
        <f t="shared" ref="AE634:AE697" si="167">IF(Z634&gt;0,INDEX($Y$3:$AA$3,Z634),"[x]")</f>
        <v>[x]</v>
      </c>
      <c r="AF634" s="27" t="str">
        <f t="shared" ref="AF634:AF697" si="168">IF(Z634&gt;0,INT(INDEX($E$4:$G$4,Z634)*W634*INDEX($Y$5:$AA$46,Q634,Z634)),"[x]")</f>
        <v>[x]</v>
      </c>
      <c r="AG634" s="27" t="str">
        <f t="shared" ref="AG634:AG697" si="169">IF(INDEX($AE$5:$AE$46,Q634)&gt;0,INDEX($AE$5:$AE$46,Q634)*U634,"[x]")</f>
        <v>[x]</v>
      </c>
    </row>
    <row r="635" spans="16:33" ht="16.5" x14ac:dyDescent="0.2">
      <c r="P635" s="13">
        <v>579</v>
      </c>
      <c r="Q635" s="14">
        <f t="shared" si="154"/>
        <v>30</v>
      </c>
      <c r="R635" s="14">
        <f t="shared" si="155"/>
        <v>1606038</v>
      </c>
      <c r="S635" s="14" t="str">
        <f t="shared" si="159"/>
        <v>神器6碎片4等级18</v>
      </c>
      <c r="T635" s="29" t="s">
        <v>649</v>
      </c>
      <c r="U635" s="14">
        <f t="shared" si="156"/>
        <v>18</v>
      </c>
      <c r="V635" s="36">
        <f t="shared" si="160"/>
        <v>1.698</v>
      </c>
      <c r="W635" s="17">
        <f t="shared" si="157"/>
        <v>5.0939999999999999E-2</v>
      </c>
      <c r="X635" s="14">
        <f t="shared" si="161"/>
        <v>1</v>
      </c>
      <c r="Y635" s="14">
        <f t="shared" si="162"/>
        <v>2</v>
      </c>
      <c r="Z635" s="14">
        <f t="shared" si="163"/>
        <v>0</v>
      </c>
      <c r="AA635" s="14" t="str">
        <f t="shared" si="164"/>
        <v>AtkExt</v>
      </c>
      <c r="AB635" s="14">
        <f t="shared" si="158"/>
        <v>1226</v>
      </c>
      <c r="AC635" s="14" t="str">
        <f t="shared" si="165"/>
        <v>DefExt</v>
      </c>
      <c r="AD635" s="14">
        <f t="shared" si="166"/>
        <v>1223</v>
      </c>
      <c r="AE635" s="14" t="str">
        <f t="shared" si="167"/>
        <v>[x]</v>
      </c>
      <c r="AF635" s="27" t="str">
        <f t="shared" si="168"/>
        <v>[x]</v>
      </c>
      <c r="AG635" s="27" t="str">
        <f t="shared" si="169"/>
        <v>[x]</v>
      </c>
    </row>
    <row r="636" spans="16:33" ht="16.5" x14ac:dyDescent="0.2">
      <c r="P636" s="13">
        <v>580</v>
      </c>
      <c r="Q636" s="14">
        <f t="shared" si="154"/>
        <v>30</v>
      </c>
      <c r="R636" s="14">
        <f t="shared" si="155"/>
        <v>1606038</v>
      </c>
      <c r="S636" s="14" t="str">
        <f t="shared" si="159"/>
        <v>神器6碎片4等级19</v>
      </c>
      <c r="T636" s="29" t="s">
        <v>649</v>
      </c>
      <c r="U636" s="14">
        <f t="shared" si="156"/>
        <v>19</v>
      </c>
      <c r="V636" s="36">
        <f t="shared" si="160"/>
        <v>1.8220000000000001</v>
      </c>
      <c r="W636" s="17">
        <f t="shared" si="157"/>
        <v>5.466E-2</v>
      </c>
      <c r="X636" s="14">
        <f t="shared" si="161"/>
        <v>1</v>
      </c>
      <c r="Y636" s="14">
        <f t="shared" si="162"/>
        <v>2</v>
      </c>
      <c r="Z636" s="14">
        <f t="shared" si="163"/>
        <v>0</v>
      </c>
      <c r="AA636" s="14" t="str">
        <f t="shared" si="164"/>
        <v>AtkExt</v>
      </c>
      <c r="AB636" s="14">
        <f t="shared" si="158"/>
        <v>1316</v>
      </c>
      <c r="AC636" s="14" t="str">
        <f t="shared" si="165"/>
        <v>DefExt</v>
      </c>
      <c r="AD636" s="14">
        <f t="shared" si="166"/>
        <v>1312</v>
      </c>
      <c r="AE636" s="14" t="str">
        <f t="shared" si="167"/>
        <v>[x]</v>
      </c>
      <c r="AF636" s="27" t="str">
        <f t="shared" si="168"/>
        <v>[x]</v>
      </c>
      <c r="AG636" s="27" t="str">
        <f t="shared" si="169"/>
        <v>[x]</v>
      </c>
    </row>
    <row r="637" spans="16:33" ht="16.5" x14ac:dyDescent="0.2">
      <c r="P637" s="13">
        <v>581</v>
      </c>
      <c r="Q637" s="14">
        <f t="shared" si="154"/>
        <v>30</v>
      </c>
      <c r="R637" s="14">
        <f t="shared" si="155"/>
        <v>1606038</v>
      </c>
      <c r="S637" s="14" t="str">
        <f t="shared" si="159"/>
        <v>神器6碎片4等级20</v>
      </c>
      <c r="T637" s="29" t="s">
        <v>649</v>
      </c>
      <c r="U637" s="14">
        <f t="shared" si="156"/>
        <v>20</v>
      </c>
      <c r="V637" s="36">
        <f t="shared" si="160"/>
        <v>1.95</v>
      </c>
      <c r="W637" s="17">
        <f t="shared" si="157"/>
        <v>5.8499999999999996E-2</v>
      </c>
      <c r="X637" s="14">
        <f t="shared" si="161"/>
        <v>1</v>
      </c>
      <c r="Y637" s="14">
        <f t="shared" si="162"/>
        <v>2</v>
      </c>
      <c r="Z637" s="14">
        <f t="shared" si="163"/>
        <v>0</v>
      </c>
      <c r="AA637" s="14" t="str">
        <f t="shared" si="164"/>
        <v>AtkExt</v>
      </c>
      <c r="AB637" s="14">
        <f t="shared" si="158"/>
        <v>1408</v>
      </c>
      <c r="AC637" s="14" t="str">
        <f t="shared" si="165"/>
        <v>DefExt</v>
      </c>
      <c r="AD637" s="14">
        <f t="shared" si="166"/>
        <v>1404</v>
      </c>
      <c r="AE637" s="14" t="str">
        <f t="shared" si="167"/>
        <v>[x]</v>
      </c>
      <c r="AF637" s="27" t="str">
        <f t="shared" si="168"/>
        <v>[x]</v>
      </c>
      <c r="AG637" s="27" t="str">
        <f t="shared" si="169"/>
        <v>[x]</v>
      </c>
    </row>
    <row r="638" spans="16:33" ht="16.5" x14ac:dyDescent="0.2">
      <c r="P638" s="13">
        <v>582</v>
      </c>
      <c r="Q638" s="14">
        <f t="shared" si="154"/>
        <v>30</v>
      </c>
      <c r="R638" s="14">
        <f t="shared" si="155"/>
        <v>1606038</v>
      </c>
      <c r="S638" s="14" t="str">
        <f t="shared" si="159"/>
        <v>神器6碎片4等级21</v>
      </c>
      <c r="T638" s="29" t="s">
        <v>649</v>
      </c>
      <c r="U638" s="14">
        <f t="shared" si="156"/>
        <v>21</v>
      </c>
      <c r="V638" s="36">
        <f t="shared" si="160"/>
        <v>2.0819999999999999</v>
      </c>
      <c r="W638" s="17">
        <f t="shared" si="157"/>
        <v>6.2459999999999995E-2</v>
      </c>
      <c r="X638" s="14">
        <f t="shared" si="161"/>
        <v>1</v>
      </c>
      <c r="Y638" s="14">
        <f t="shared" si="162"/>
        <v>2</v>
      </c>
      <c r="Z638" s="14">
        <f t="shared" si="163"/>
        <v>0</v>
      </c>
      <c r="AA638" s="14" t="str">
        <f t="shared" si="164"/>
        <v>AtkExt</v>
      </c>
      <c r="AB638" s="14">
        <f t="shared" si="158"/>
        <v>1504</v>
      </c>
      <c r="AC638" s="14" t="str">
        <f t="shared" si="165"/>
        <v>DefExt</v>
      </c>
      <c r="AD638" s="14">
        <f t="shared" si="166"/>
        <v>1500</v>
      </c>
      <c r="AE638" s="14" t="str">
        <f t="shared" si="167"/>
        <v>[x]</v>
      </c>
      <c r="AF638" s="27" t="str">
        <f t="shared" si="168"/>
        <v>[x]</v>
      </c>
      <c r="AG638" s="27" t="str">
        <f t="shared" si="169"/>
        <v>[x]</v>
      </c>
    </row>
    <row r="639" spans="16:33" ht="16.5" x14ac:dyDescent="0.2">
      <c r="P639" s="13">
        <v>583</v>
      </c>
      <c r="Q639" s="14">
        <f t="shared" si="154"/>
        <v>31</v>
      </c>
      <c r="R639" s="14">
        <f t="shared" si="155"/>
        <v>1606039</v>
      </c>
      <c r="S639" s="14" t="str">
        <f t="shared" si="159"/>
        <v>神器6碎片5等级1</v>
      </c>
      <c r="T639" s="29" t="s">
        <v>649</v>
      </c>
      <c r="U639" s="14">
        <f t="shared" si="156"/>
        <v>1</v>
      </c>
      <c r="V639" s="36">
        <f t="shared" si="160"/>
        <v>0.20200000000000001</v>
      </c>
      <c r="W639" s="17">
        <f t="shared" si="157"/>
        <v>6.0600000000000003E-3</v>
      </c>
      <c r="X639" s="14">
        <f t="shared" si="161"/>
        <v>1</v>
      </c>
      <c r="Y639" s="14">
        <f t="shared" si="162"/>
        <v>3</v>
      </c>
      <c r="Z639" s="14">
        <f t="shared" si="163"/>
        <v>0</v>
      </c>
      <c r="AA639" s="14" t="str">
        <f t="shared" si="164"/>
        <v>AtkExt</v>
      </c>
      <c r="AB639" s="14">
        <f t="shared" si="158"/>
        <v>145</v>
      </c>
      <c r="AC639" s="14" t="str">
        <f t="shared" si="165"/>
        <v>HPExt</v>
      </c>
      <c r="AD639" s="14">
        <f t="shared" si="166"/>
        <v>877</v>
      </c>
      <c r="AE639" s="14" t="str">
        <f t="shared" si="167"/>
        <v>[x]</v>
      </c>
      <c r="AF639" s="27" t="str">
        <f t="shared" si="168"/>
        <v>[x]</v>
      </c>
      <c r="AG639" s="27" t="str">
        <f t="shared" si="169"/>
        <v>[x]</v>
      </c>
    </row>
    <row r="640" spans="16:33" ht="16.5" x14ac:dyDescent="0.2">
      <c r="P640" s="13">
        <v>584</v>
      </c>
      <c r="Q640" s="14">
        <f t="shared" si="154"/>
        <v>31</v>
      </c>
      <c r="R640" s="14">
        <f t="shared" si="155"/>
        <v>1606039</v>
      </c>
      <c r="S640" s="14" t="str">
        <f t="shared" si="159"/>
        <v>神器6碎片5等级2</v>
      </c>
      <c r="T640" s="29" t="s">
        <v>649</v>
      </c>
      <c r="U640" s="14">
        <f t="shared" si="156"/>
        <v>2</v>
      </c>
      <c r="V640" s="36">
        <f t="shared" si="160"/>
        <v>0.25800000000000001</v>
      </c>
      <c r="W640" s="17">
        <f t="shared" si="157"/>
        <v>7.7400000000000004E-3</v>
      </c>
      <c r="X640" s="14">
        <f t="shared" si="161"/>
        <v>1</v>
      </c>
      <c r="Y640" s="14">
        <f t="shared" si="162"/>
        <v>3</v>
      </c>
      <c r="Z640" s="14">
        <f t="shared" si="163"/>
        <v>0</v>
      </c>
      <c r="AA640" s="14" t="str">
        <f t="shared" si="164"/>
        <v>AtkExt</v>
      </c>
      <c r="AB640" s="14">
        <f t="shared" si="158"/>
        <v>186</v>
      </c>
      <c r="AC640" s="14" t="str">
        <f t="shared" si="165"/>
        <v>HPExt</v>
      </c>
      <c r="AD640" s="14">
        <f t="shared" si="166"/>
        <v>1121</v>
      </c>
      <c r="AE640" s="14" t="str">
        <f t="shared" si="167"/>
        <v>[x]</v>
      </c>
      <c r="AF640" s="27" t="str">
        <f t="shared" si="168"/>
        <v>[x]</v>
      </c>
      <c r="AG640" s="27" t="str">
        <f t="shared" si="169"/>
        <v>[x]</v>
      </c>
    </row>
    <row r="641" spans="16:33" ht="16.5" x14ac:dyDescent="0.2">
      <c r="P641" s="13">
        <v>585</v>
      </c>
      <c r="Q641" s="14">
        <f t="shared" si="154"/>
        <v>31</v>
      </c>
      <c r="R641" s="14">
        <f t="shared" si="155"/>
        <v>1606039</v>
      </c>
      <c r="S641" s="14" t="str">
        <f t="shared" si="159"/>
        <v>神器6碎片5等级3</v>
      </c>
      <c r="T641" s="29" t="s">
        <v>649</v>
      </c>
      <c r="U641" s="14">
        <f t="shared" si="156"/>
        <v>3</v>
      </c>
      <c r="V641" s="36">
        <f t="shared" si="160"/>
        <v>0.31800000000000006</v>
      </c>
      <c r="W641" s="17">
        <f t="shared" si="157"/>
        <v>9.5400000000000016E-3</v>
      </c>
      <c r="X641" s="14">
        <f t="shared" si="161"/>
        <v>1</v>
      </c>
      <c r="Y641" s="14">
        <f t="shared" si="162"/>
        <v>3</v>
      </c>
      <c r="Z641" s="14">
        <f t="shared" si="163"/>
        <v>0</v>
      </c>
      <c r="AA641" s="14" t="str">
        <f t="shared" si="164"/>
        <v>AtkExt</v>
      </c>
      <c r="AB641" s="14">
        <f t="shared" si="158"/>
        <v>229</v>
      </c>
      <c r="AC641" s="14" t="str">
        <f t="shared" si="165"/>
        <v>HPExt</v>
      </c>
      <c r="AD641" s="14">
        <f t="shared" si="166"/>
        <v>1381</v>
      </c>
      <c r="AE641" s="14" t="str">
        <f t="shared" si="167"/>
        <v>[x]</v>
      </c>
      <c r="AF641" s="27" t="str">
        <f t="shared" si="168"/>
        <v>[x]</v>
      </c>
      <c r="AG641" s="27" t="str">
        <f t="shared" si="169"/>
        <v>[x]</v>
      </c>
    </row>
    <row r="642" spans="16:33" ht="16.5" x14ac:dyDescent="0.2">
      <c r="P642" s="13">
        <v>586</v>
      </c>
      <c r="Q642" s="14">
        <f t="shared" si="154"/>
        <v>31</v>
      </c>
      <c r="R642" s="14">
        <f t="shared" si="155"/>
        <v>1606039</v>
      </c>
      <c r="S642" s="14" t="str">
        <f t="shared" si="159"/>
        <v>神器6碎片5等级4</v>
      </c>
      <c r="T642" s="29" t="s">
        <v>649</v>
      </c>
      <c r="U642" s="14">
        <f t="shared" si="156"/>
        <v>4</v>
      </c>
      <c r="V642" s="36">
        <f t="shared" si="160"/>
        <v>0.38200000000000001</v>
      </c>
      <c r="W642" s="17">
        <f t="shared" si="157"/>
        <v>1.146E-2</v>
      </c>
      <c r="X642" s="14">
        <f t="shared" si="161"/>
        <v>1</v>
      </c>
      <c r="Y642" s="14">
        <f t="shared" si="162"/>
        <v>3</v>
      </c>
      <c r="Z642" s="14">
        <f t="shared" si="163"/>
        <v>0</v>
      </c>
      <c r="AA642" s="14" t="str">
        <f t="shared" si="164"/>
        <v>AtkExt</v>
      </c>
      <c r="AB642" s="14">
        <f t="shared" si="158"/>
        <v>275</v>
      </c>
      <c r="AC642" s="14" t="str">
        <f t="shared" si="165"/>
        <v>HPExt</v>
      </c>
      <c r="AD642" s="14">
        <f t="shared" si="166"/>
        <v>1659</v>
      </c>
      <c r="AE642" s="14" t="str">
        <f t="shared" si="167"/>
        <v>[x]</v>
      </c>
      <c r="AF642" s="27" t="str">
        <f t="shared" si="168"/>
        <v>[x]</v>
      </c>
      <c r="AG642" s="27" t="str">
        <f t="shared" si="169"/>
        <v>[x]</v>
      </c>
    </row>
    <row r="643" spans="16:33" ht="16.5" x14ac:dyDescent="0.2">
      <c r="P643" s="13">
        <v>587</v>
      </c>
      <c r="Q643" s="14">
        <f t="shared" si="154"/>
        <v>31</v>
      </c>
      <c r="R643" s="14">
        <f t="shared" si="155"/>
        <v>1606039</v>
      </c>
      <c r="S643" s="14" t="str">
        <f t="shared" si="159"/>
        <v>神器6碎片5等级5</v>
      </c>
      <c r="T643" s="29" t="s">
        <v>649</v>
      </c>
      <c r="U643" s="14">
        <f t="shared" si="156"/>
        <v>5</v>
      </c>
      <c r="V643" s="36">
        <f t="shared" si="160"/>
        <v>0.45</v>
      </c>
      <c r="W643" s="17">
        <f t="shared" si="157"/>
        <v>1.35E-2</v>
      </c>
      <c r="X643" s="14">
        <f t="shared" si="161"/>
        <v>1</v>
      </c>
      <c r="Y643" s="14">
        <f t="shared" si="162"/>
        <v>3</v>
      </c>
      <c r="Z643" s="14">
        <f t="shared" si="163"/>
        <v>0</v>
      </c>
      <c r="AA643" s="14" t="str">
        <f t="shared" si="164"/>
        <v>AtkExt</v>
      </c>
      <c r="AB643" s="14">
        <f t="shared" si="158"/>
        <v>325</v>
      </c>
      <c r="AC643" s="14" t="str">
        <f t="shared" si="165"/>
        <v>HPExt</v>
      </c>
      <c r="AD643" s="14">
        <f t="shared" si="166"/>
        <v>1955</v>
      </c>
      <c r="AE643" s="14" t="str">
        <f t="shared" si="167"/>
        <v>[x]</v>
      </c>
      <c r="AF643" s="27" t="str">
        <f t="shared" si="168"/>
        <v>[x]</v>
      </c>
      <c r="AG643" s="27" t="str">
        <f t="shared" si="169"/>
        <v>[x]</v>
      </c>
    </row>
    <row r="644" spans="16:33" ht="16.5" x14ac:dyDescent="0.2">
      <c r="P644" s="13">
        <v>588</v>
      </c>
      <c r="Q644" s="14">
        <f t="shared" si="154"/>
        <v>31</v>
      </c>
      <c r="R644" s="14">
        <f t="shared" si="155"/>
        <v>1606039</v>
      </c>
      <c r="S644" s="14" t="str">
        <f t="shared" si="159"/>
        <v>神器6碎片5等级6</v>
      </c>
      <c r="T644" s="29" t="s">
        <v>649</v>
      </c>
      <c r="U644" s="14">
        <f t="shared" si="156"/>
        <v>6</v>
      </c>
      <c r="V644" s="36">
        <f t="shared" si="160"/>
        <v>0.52200000000000002</v>
      </c>
      <c r="W644" s="17">
        <f t="shared" si="157"/>
        <v>1.566E-2</v>
      </c>
      <c r="X644" s="14">
        <f t="shared" si="161"/>
        <v>1</v>
      </c>
      <c r="Y644" s="14">
        <f t="shared" si="162"/>
        <v>3</v>
      </c>
      <c r="Z644" s="14">
        <f t="shared" si="163"/>
        <v>0</v>
      </c>
      <c r="AA644" s="14" t="str">
        <f t="shared" si="164"/>
        <v>AtkExt</v>
      </c>
      <c r="AB644" s="14">
        <f t="shared" si="158"/>
        <v>377</v>
      </c>
      <c r="AC644" s="14" t="str">
        <f t="shared" si="165"/>
        <v>HPExt</v>
      </c>
      <c r="AD644" s="14">
        <f t="shared" si="166"/>
        <v>2268</v>
      </c>
      <c r="AE644" s="14" t="str">
        <f t="shared" si="167"/>
        <v>[x]</v>
      </c>
      <c r="AF644" s="27" t="str">
        <f t="shared" si="168"/>
        <v>[x]</v>
      </c>
      <c r="AG644" s="27" t="str">
        <f t="shared" si="169"/>
        <v>[x]</v>
      </c>
    </row>
    <row r="645" spans="16:33" ht="16.5" x14ac:dyDescent="0.2">
      <c r="P645" s="13">
        <v>589</v>
      </c>
      <c r="Q645" s="14">
        <f t="shared" si="154"/>
        <v>31</v>
      </c>
      <c r="R645" s="14">
        <f t="shared" si="155"/>
        <v>1606039</v>
      </c>
      <c r="S645" s="14" t="str">
        <f t="shared" si="159"/>
        <v>神器6碎片5等级7</v>
      </c>
      <c r="T645" s="29" t="s">
        <v>649</v>
      </c>
      <c r="U645" s="14">
        <f t="shared" si="156"/>
        <v>7</v>
      </c>
      <c r="V645" s="36">
        <f t="shared" si="160"/>
        <v>0.59799999999999998</v>
      </c>
      <c r="W645" s="17">
        <f t="shared" si="157"/>
        <v>1.7939999999999998E-2</v>
      </c>
      <c r="X645" s="14">
        <f t="shared" si="161"/>
        <v>1</v>
      </c>
      <c r="Y645" s="14">
        <f t="shared" si="162"/>
        <v>3</v>
      </c>
      <c r="Z645" s="14">
        <f t="shared" si="163"/>
        <v>0</v>
      </c>
      <c r="AA645" s="14" t="str">
        <f t="shared" si="164"/>
        <v>AtkExt</v>
      </c>
      <c r="AB645" s="14">
        <f t="shared" si="158"/>
        <v>432</v>
      </c>
      <c r="AC645" s="14" t="str">
        <f t="shared" si="165"/>
        <v>HPExt</v>
      </c>
      <c r="AD645" s="14">
        <f t="shared" si="166"/>
        <v>2598</v>
      </c>
      <c r="AE645" s="14" t="str">
        <f t="shared" si="167"/>
        <v>[x]</v>
      </c>
      <c r="AF645" s="27" t="str">
        <f t="shared" si="168"/>
        <v>[x]</v>
      </c>
      <c r="AG645" s="27" t="str">
        <f t="shared" si="169"/>
        <v>[x]</v>
      </c>
    </row>
    <row r="646" spans="16:33" ht="16.5" x14ac:dyDescent="0.2">
      <c r="P646" s="13">
        <v>590</v>
      </c>
      <c r="Q646" s="14">
        <f t="shared" si="154"/>
        <v>31</v>
      </c>
      <c r="R646" s="14">
        <f t="shared" si="155"/>
        <v>1606039</v>
      </c>
      <c r="S646" s="14" t="str">
        <f t="shared" si="159"/>
        <v>神器6碎片5等级8</v>
      </c>
      <c r="T646" s="29" t="s">
        <v>649</v>
      </c>
      <c r="U646" s="14">
        <f t="shared" si="156"/>
        <v>8</v>
      </c>
      <c r="V646" s="36">
        <f t="shared" si="160"/>
        <v>0.67800000000000005</v>
      </c>
      <c r="W646" s="17">
        <f t="shared" si="157"/>
        <v>2.034E-2</v>
      </c>
      <c r="X646" s="14">
        <f t="shared" si="161"/>
        <v>1</v>
      </c>
      <c r="Y646" s="14">
        <f t="shared" si="162"/>
        <v>3</v>
      </c>
      <c r="Z646" s="14">
        <f t="shared" si="163"/>
        <v>0</v>
      </c>
      <c r="AA646" s="14" t="str">
        <f t="shared" si="164"/>
        <v>AtkExt</v>
      </c>
      <c r="AB646" s="14">
        <f t="shared" si="158"/>
        <v>489</v>
      </c>
      <c r="AC646" s="14" t="str">
        <f t="shared" si="165"/>
        <v>HPExt</v>
      </c>
      <c r="AD646" s="14">
        <f t="shared" si="166"/>
        <v>2945</v>
      </c>
      <c r="AE646" s="14" t="str">
        <f t="shared" si="167"/>
        <v>[x]</v>
      </c>
      <c r="AF646" s="27" t="str">
        <f t="shared" si="168"/>
        <v>[x]</v>
      </c>
      <c r="AG646" s="27" t="str">
        <f t="shared" si="169"/>
        <v>[x]</v>
      </c>
    </row>
    <row r="647" spans="16:33" ht="16.5" x14ac:dyDescent="0.2">
      <c r="P647" s="13">
        <v>591</v>
      </c>
      <c r="Q647" s="14">
        <f t="shared" si="154"/>
        <v>31</v>
      </c>
      <c r="R647" s="14">
        <f t="shared" si="155"/>
        <v>1606039</v>
      </c>
      <c r="S647" s="14" t="str">
        <f t="shared" si="159"/>
        <v>神器6碎片5等级9</v>
      </c>
      <c r="T647" s="29" t="s">
        <v>649</v>
      </c>
      <c r="U647" s="14">
        <f t="shared" si="156"/>
        <v>9</v>
      </c>
      <c r="V647" s="36">
        <f t="shared" si="160"/>
        <v>0.76200000000000001</v>
      </c>
      <c r="W647" s="17">
        <f t="shared" si="157"/>
        <v>2.2859999999999998E-2</v>
      </c>
      <c r="X647" s="14">
        <f t="shared" si="161"/>
        <v>1</v>
      </c>
      <c r="Y647" s="14">
        <f t="shared" si="162"/>
        <v>3</v>
      </c>
      <c r="Z647" s="14">
        <f t="shared" si="163"/>
        <v>0</v>
      </c>
      <c r="AA647" s="14" t="str">
        <f t="shared" si="164"/>
        <v>AtkExt</v>
      </c>
      <c r="AB647" s="14">
        <f t="shared" si="158"/>
        <v>550</v>
      </c>
      <c r="AC647" s="14" t="str">
        <f t="shared" si="165"/>
        <v>HPExt</v>
      </c>
      <c r="AD647" s="14">
        <f t="shared" si="166"/>
        <v>3310</v>
      </c>
      <c r="AE647" s="14" t="str">
        <f t="shared" si="167"/>
        <v>[x]</v>
      </c>
      <c r="AF647" s="27" t="str">
        <f t="shared" si="168"/>
        <v>[x]</v>
      </c>
      <c r="AG647" s="27" t="str">
        <f t="shared" si="169"/>
        <v>[x]</v>
      </c>
    </row>
    <row r="648" spans="16:33" ht="16.5" x14ac:dyDescent="0.2">
      <c r="P648" s="13">
        <v>592</v>
      </c>
      <c r="Q648" s="14">
        <f t="shared" si="154"/>
        <v>31</v>
      </c>
      <c r="R648" s="14">
        <f t="shared" si="155"/>
        <v>1606039</v>
      </c>
      <c r="S648" s="14" t="str">
        <f t="shared" si="159"/>
        <v>神器6碎片5等级10</v>
      </c>
      <c r="T648" s="29" t="s">
        <v>649</v>
      </c>
      <c r="U648" s="14">
        <f t="shared" si="156"/>
        <v>10</v>
      </c>
      <c r="V648" s="36">
        <f t="shared" si="160"/>
        <v>0.85000000000000009</v>
      </c>
      <c r="W648" s="17">
        <f t="shared" si="157"/>
        <v>2.5500000000000002E-2</v>
      </c>
      <c r="X648" s="14">
        <f t="shared" si="161"/>
        <v>1</v>
      </c>
      <c r="Y648" s="14">
        <f t="shared" si="162"/>
        <v>3</v>
      </c>
      <c r="Z648" s="14">
        <f t="shared" si="163"/>
        <v>0</v>
      </c>
      <c r="AA648" s="14" t="str">
        <f t="shared" si="164"/>
        <v>AtkExt</v>
      </c>
      <c r="AB648" s="14">
        <f t="shared" si="158"/>
        <v>614</v>
      </c>
      <c r="AC648" s="14" t="str">
        <f t="shared" si="165"/>
        <v>HPExt</v>
      </c>
      <c r="AD648" s="14">
        <f t="shared" si="166"/>
        <v>3693</v>
      </c>
      <c r="AE648" s="14" t="str">
        <f t="shared" si="167"/>
        <v>[x]</v>
      </c>
      <c r="AF648" s="27" t="str">
        <f t="shared" si="168"/>
        <v>[x]</v>
      </c>
      <c r="AG648" s="27" t="str">
        <f t="shared" si="169"/>
        <v>[x]</v>
      </c>
    </row>
    <row r="649" spans="16:33" ht="16.5" x14ac:dyDescent="0.2">
      <c r="P649" s="13">
        <v>593</v>
      </c>
      <c r="Q649" s="14">
        <f t="shared" si="154"/>
        <v>31</v>
      </c>
      <c r="R649" s="14">
        <f t="shared" si="155"/>
        <v>1606039</v>
      </c>
      <c r="S649" s="14" t="str">
        <f t="shared" si="159"/>
        <v>神器6碎片5等级11</v>
      </c>
      <c r="T649" s="29" t="s">
        <v>649</v>
      </c>
      <c r="U649" s="14">
        <f t="shared" si="156"/>
        <v>11</v>
      </c>
      <c r="V649" s="36">
        <f t="shared" si="160"/>
        <v>0.94200000000000006</v>
      </c>
      <c r="W649" s="17">
        <f t="shared" si="157"/>
        <v>2.826E-2</v>
      </c>
      <c r="X649" s="14">
        <f t="shared" si="161"/>
        <v>1</v>
      </c>
      <c r="Y649" s="14">
        <f t="shared" si="162"/>
        <v>3</v>
      </c>
      <c r="Z649" s="14">
        <f t="shared" si="163"/>
        <v>0</v>
      </c>
      <c r="AA649" s="14" t="str">
        <f t="shared" si="164"/>
        <v>AtkExt</v>
      </c>
      <c r="AB649" s="14">
        <f t="shared" si="158"/>
        <v>680</v>
      </c>
      <c r="AC649" s="14" t="str">
        <f t="shared" si="165"/>
        <v>HPExt</v>
      </c>
      <c r="AD649" s="14">
        <f t="shared" si="166"/>
        <v>4093</v>
      </c>
      <c r="AE649" s="14" t="str">
        <f t="shared" si="167"/>
        <v>[x]</v>
      </c>
      <c r="AF649" s="27" t="str">
        <f t="shared" si="168"/>
        <v>[x]</v>
      </c>
      <c r="AG649" s="27" t="str">
        <f t="shared" si="169"/>
        <v>[x]</v>
      </c>
    </row>
    <row r="650" spans="16:33" ht="16.5" x14ac:dyDescent="0.2">
      <c r="P650" s="13">
        <v>594</v>
      </c>
      <c r="Q650" s="14">
        <f t="shared" si="154"/>
        <v>31</v>
      </c>
      <c r="R650" s="14">
        <f t="shared" si="155"/>
        <v>1606039</v>
      </c>
      <c r="S650" s="14" t="str">
        <f t="shared" si="159"/>
        <v>神器6碎片5等级12</v>
      </c>
      <c r="T650" s="29" t="s">
        <v>649</v>
      </c>
      <c r="U650" s="14">
        <f t="shared" si="156"/>
        <v>12</v>
      </c>
      <c r="V650" s="36">
        <f t="shared" si="160"/>
        <v>1.0380000000000003</v>
      </c>
      <c r="W650" s="17">
        <f t="shared" si="157"/>
        <v>3.1140000000000008E-2</v>
      </c>
      <c r="X650" s="14">
        <f t="shared" si="161"/>
        <v>1</v>
      </c>
      <c r="Y650" s="14">
        <f t="shared" si="162"/>
        <v>3</v>
      </c>
      <c r="Z650" s="14">
        <f t="shared" si="163"/>
        <v>0</v>
      </c>
      <c r="AA650" s="14" t="str">
        <f t="shared" si="164"/>
        <v>AtkExt</v>
      </c>
      <c r="AB650" s="14">
        <f t="shared" si="158"/>
        <v>749</v>
      </c>
      <c r="AC650" s="14" t="str">
        <f t="shared" si="165"/>
        <v>HPExt</v>
      </c>
      <c r="AD650" s="14">
        <f t="shared" si="166"/>
        <v>4510</v>
      </c>
      <c r="AE650" s="14" t="str">
        <f t="shared" si="167"/>
        <v>[x]</v>
      </c>
      <c r="AF650" s="27" t="str">
        <f t="shared" si="168"/>
        <v>[x]</v>
      </c>
      <c r="AG650" s="27" t="str">
        <f t="shared" si="169"/>
        <v>[x]</v>
      </c>
    </row>
    <row r="651" spans="16:33" ht="16.5" x14ac:dyDescent="0.2">
      <c r="P651" s="13">
        <v>595</v>
      </c>
      <c r="Q651" s="14">
        <f t="shared" si="154"/>
        <v>31</v>
      </c>
      <c r="R651" s="14">
        <f t="shared" si="155"/>
        <v>1606039</v>
      </c>
      <c r="S651" s="14" t="str">
        <f t="shared" si="159"/>
        <v>神器6碎片5等级13</v>
      </c>
      <c r="T651" s="29" t="s">
        <v>649</v>
      </c>
      <c r="U651" s="14">
        <f t="shared" si="156"/>
        <v>13</v>
      </c>
      <c r="V651" s="36">
        <f t="shared" si="160"/>
        <v>1.1380000000000001</v>
      </c>
      <c r="W651" s="17">
        <f t="shared" si="157"/>
        <v>3.4140000000000004E-2</v>
      </c>
      <c r="X651" s="14">
        <f t="shared" si="161"/>
        <v>1</v>
      </c>
      <c r="Y651" s="14">
        <f t="shared" si="162"/>
        <v>3</v>
      </c>
      <c r="Z651" s="14">
        <f t="shared" si="163"/>
        <v>0</v>
      </c>
      <c r="AA651" s="14" t="str">
        <f t="shared" si="164"/>
        <v>AtkExt</v>
      </c>
      <c r="AB651" s="14">
        <f t="shared" si="158"/>
        <v>822</v>
      </c>
      <c r="AC651" s="14" t="str">
        <f t="shared" si="165"/>
        <v>HPExt</v>
      </c>
      <c r="AD651" s="14">
        <f t="shared" si="166"/>
        <v>4944</v>
      </c>
      <c r="AE651" s="14" t="str">
        <f t="shared" si="167"/>
        <v>[x]</v>
      </c>
      <c r="AF651" s="27" t="str">
        <f t="shared" si="168"/>
        <v>[x]</v>
      </c>
      <c r="AG651" s="27" t="str">
        <f t="shared" si="169"/>
        <v>[x]</v>
      </c>
    </row>
    <row r="652" spans="16:33" ht="16.5" x14ac:dyDescent="0.2">
      <c r="P652" s="13">
        <v>596</v>
      </c>
      <c r="Q652" s="14">
        <f t="shared" si="154"/>
        <v>31</v>
      </c>
      <c r="R652" s="14">
        <f t="shared" si="155"/>
        <v>1606039</v>
      </c>
      <c r="S652" s="14" t="str">
        <f t="shared" si="159"/>
        <v>神器6碎片5等级14</v>
      </c>
      <c r="T652" s="29" t="s">
        <v>649</v>
      </c>
      <c r="U652" s="14">
        <f t="shared" si="156"/>
        <v>14</v>
      </c>
      <c r="V652" s="36">
        <f t="shared" si="160"/>
        <v>1.242</v>
      </c>
      <c r="W652" s="17">
        <f t="shared" si="157"/>
        <v>3.7260000000000001E-2</v>
      </c>
      <c r="X652" s="14">
        <f t="shared" si="161"/>
        <v>1</v>
      </c>
      <c r="Y652" s="14">
        <f t="shared" si="162"/>
        <v>3</v>
      </c>
      <c r="Z652" s="14">
        <f t="shared" si="163"/>
        <v>0</v>
      </c>
      <c r="AA652" s="14" t="str">
        <f t="shared" si="164"/>
        <v>AtkExt</v>
      </c>
      <c r="AB652" s="14">
        <f t="shared" si="158"/>
        <v>897</v>
      </c>
      <c r="AC652" s="14" t="str">
        <f t="shared" si="165"/>
        <v>HPExt</v>
      </c>
      <c r="AD652" s="14">
        <f t="shared" si="166"/>
        <v>5396</v>
      </c>
      <c r="AE652" s="14" t="str">
        <f t="shared" si="167"/>
        <v>[x]</v>
      </c>
      <c r="AF652" s="27" t="str">
        <f t="shared" si="168"/>
        <v>[x]</v>
      </c>
      <c r="AG652" s="27" t="str">
        <f t="shared" si="169"/>
        <v>[x]</v>
      </c>
    </row>
    <row r="653" spans="16:33" ht="16.5" x14ac:dyDescent="0.2">
      <c r="P653" s="13">
        <v>597</v>
      </c>
      <c r="Q653" s="14">
        <f t="shared" si="154"/>
        <v>31</v>
      </c>
      <c r="R653" s="14">
        <f t="shared" si="155"/>
        <v>1606039</v>
      </c>
      <c r="S653" s="14" t="str">
        <f t="shared" si="159"/>
        <v>神器6碎片5等级15</v>
      </c>
      <c r="T653" s="29" t="s">
        <v>649</v>
      </c>
      <c r="U653" s="14">
        <f t="shared" si="156"/>
        <v>15</v>
      </c>
      <c r="V653" s="36">
        <f t="shared" si="160"/>
        <v>1.35</v>
      </c>
      <c r="W653" s="17">
        <f t="shared" si="157"/>
        <v>4.0500000000000001E-2</v>
      </c>
      <c r="X653" s="14">
        <f t="shared" si="161"/>
        <v>1</v>
      </c>
      <c r="Y653" s="14">
        <f t="shared" si="162"/>
        <v>3</v>
      </c>
      <c r="Z653" s="14">
        <f t="shared" si="163"/>
        <v>0</v>
      </c>
      <c r="AA653" s="14" t="str">
        <f t="shared" si="164"/>
        <v>AtkExt</v>
      </c>
      <c r="AB653" s="14">
        <f t="shared" si="158"/>
        <v>975</v>
      </c>
      <c r="AC653" s="14" t="str">
        <f t="shared" si="165"/>
        <v>HPExt</v>
      </c>
      <c r="AD653" s="14">
        <f t="shared" si="166"/>
        <v>5865</v>
      </c>
      <c r="AE653" s="14" t="str">
        <f t="shared" si="167"/>
        <v>[x]</v>
      </c>
      <c r="AF653" s="27" t="str">
        <f t="shared" si="168"/>
        <v>[x]</v>
      </c>
      <c r="AG653" s="27" t="str">
        <f t="shared" si="169"/>
        <v>[x]</v>
      </c>
    </row>
    <row r="654" spans="16:33" ht="16.5" x14ac:dyDescent="0.2">
      <c r="P654" s="13">
        <v>598</v>
      </c>
      <c r="Q654" s="14">
        <f t="shared" si="154"/>
        <v>31</v>
      </c>
      <c r="R654" s="14">
        <f t="shared" si="155"/>
        <v>1606039</v>
      </c>
      <c r="S654" s="14" t="str">
        <f t="shared" si="159"/>
        <v>神器6碎片5等级16</v>
      </c>
      <c r="T654" s="29" t="s">
        <v>649</v>
      </c>
      <c r="U654" s="14">
        <f t="shared" si="156"/>
        <v>16</v>
      </c>
      <c r="V654" s="36">
        <f t="shared" si="160"/>
        <v>1.4620000000000002</v>
      </c>
      <c r="W654" s="17">
        <f t="shared" si="157"/>
        <v>4.3860000000000003E-2</v>
      </c>
      <c r="X654" s="14">
        <f t="shared" si="161"/>
        <v>1</v>
      </c>
      <c r="Y654" s="14">
        <f t="shared" si="162"/>
        <v>3</v>
      </c>
      <c r="Z654" s="14">
        <f t="shared" si="163"/>
        <v>0</v>
      </c>
      <c r="AA654" s="14" t="str">
        <f t="shared" si="164"/>
        <v>AtkExt</v>
      </c>
      <c r="AB654" s="14">
        <f t="shared" si="158"/>
        <v>1056</v>
      </c>
      <c r="AC654" s="14" t="str">
        <f t="shared" si="165"/>
        <v>HPExt</v>
      </c>
      <c r="AD654" s="14">
        <f t="shared" si="166"/>
        <v>6352</v>
      </c>
      <c r="AE654" s="14" t="str">
        <f t="shared" si="167"/>
        <v>[x]</v>
      </c>
      <c r="AF654" s="27" t="str">
        <f t="shared" si="168"/>
        <v>[x]</v>
      </c>
      <c r="AG654" s="27" t="str">
        <f t="shared" si="169"/>
        <v>[x]</v>
      </c>
    </row>
    <row r="655" spans="16:33" ht="16.5" x14ac:dyDescent="0.2">
      <c r="P655" s="13">
        <v>599</v>
      </c>
      <c r="Q655" s="14">
        <f t="shared" si="154"/>
        <v>31</v>
      </c>
      <c r="R655" s="14">
        <f t="shared" si="155"/>
        <v>1606039</v>
      </c>
      <c r="S655" s="14" t="str">
        <f t="shared" si="159"/>
        <v>神器6碎片5等级17</v>
      </c>
      <c r="T655" s="29" t="s">
        <v>649</v>
      </c>
      <c r="U655" s="14">
        <f t="shared" si="156"/>
        <v>17</v>
      </c>
      <c r="V655" s="36">
        <f t="shared" si="160"/>
        <v>1.5779999999999998</v>
      </c>
      <c r="W655" s="17">
        <f t="shared" si="157"/>
        <v>4.7339999999999993E-2</v>
      </c>
      <c r="X655" s="14">
        <f t="shared" si="161"/>
        <v>1</v>
      </c>
      <c r="Y655" s="14">
        <f t="shared" si="162"/>
        <v>3</v>
      </c>
      <c r="Z655" s="14">
        <f t="shared" si="163"/>
        <v>0</v>
      </c>
      <c r="AA655" s="14" t="str">
        <f t="shared" si="164"/>
        <v>AtkExt</v>
      </c>
      <c r="AB655" s="14">
        <f t="shared" si="158"/>
        <v>1139</v>
      </c>
      <c r="AC655" s="14" t="str">
        <f t="shared" si="165"/>
        <v>HPExt</v>
      </c>
      <c r="AD655" s="14">
        <f t="shared" si="166"/>
        <v>6856</v>
      </c>
      <c r="AE655" s="14" t="str">
        <f t="shared" si="167"/>
        <v>[x]</v>
      </c>
      <c r="AF655" s="27" t="str">
        <f t="shared" si="168"/>
        <v>[x]</v>
      </c>
      <c r="AG655" s="27" t="str">
        <f t="shared" si="169"/>
        <v>[x]</v>
      </c>
    </row>
    <row r="656" spans="16:33" ht="16.5" x14ac:dyDescent="0.2">
      <c r="P656" s="13">
        <v>600</v>
      </c>
      <c r="Q656" s="14">
        <f t="shared" si="154"/>
        <v>31</v>
      </c>
      <c r="R656" s="14">
        <f t="shared" si="155"/>
        <v>1606039</v>
      </c>
      <c r="S656" s="14" t="str">
        <f t="shared" si="159"/>
        <v>神器6碎片5等级18</v>
      </c>
      <c r="T656" s="29" t="s">
        <v>649</v>
      </c>
      <c r="U656" s="14">
        <f t="shared" si="156"/>
        <v>18</v>
      </c>
      <c r="V656" s="36">
        <f t="shared" si="160"/>
        <v>1.698</v>
      </c>
      <c r="W656" s="17">
        <f t="shared" si="157"/>
        <v>5.0939999999999999E-2</v>
      </c>
      <c r="X656" s="14">
        <f t="shared" si="161"/>
        <v>1</v>
      </c>
      <c r="Y656" s="14">
        <f t="shared" si="162"/>
        <v>3</v>
      </c>
      <c r="Z656" s="14">
        <f t="shared" si="163"/>
        <v>0</v>
      </c>
      <c r="AA656" s="14" t="str">
        <f t="shared" si="164"/>
        <v>AtkExt</v>
      </c>
      <c r="AB656" s="14">
        <f t="shared" si="158"/>
        <v>1226</v>
      </c>
      <c r="AC656" s="14" t="str">
        <f t="shared" si="165"/>
        <v>HPExt</v>
      </c>
      <c r="AD656" s="14">
        <f t="shared" si="166"/>
        <v>7377</v>
      </c>
      <c r="AE656" s="14" t="str">
        <f t="shared" si="167"/>
        <v>[x]</v>
      </c>
      <c r="AF656" s="27" t="str">
        <f t="shared" si="168"/>
        <v>[x]</v>
      </c>
      <c r="AG656" s="27" t="str">
        <f t="shared" si="169"/>
        <v>[x]</v>
      </c>
    </row>
    <row r="657" spans="16:33" ht="16.5" x14ac:dyDescent="0.2">
      <c r="P657" s="13">
        <v>601</v>
      </c>
      <c r="Q657" s="14">
        <f t="shared" si="154"/>
        <v>31</v>
      </c>
      <c r="R657" s="14">
        <f t="shared" si="155"/>
        <v>1606039</v>
      </c>
      <c r="S657" s="14" t="str">
        <f t="shared" si="159"/>
        <v>神器6碎片5等级19</v>
      </c>
      <c r="T657" s="29" t="s">
        <v>649</v>
      </c>
      <c r="U657" s="14">
        <f t="shared" si="156"/>
        <v>19</v>
      </c>
      <c r="V657" s="36">
        <f t="shared" si="160"/>
        <v>1.8220000000000001</v>
      </c>
      <c r="W657" s="17">
        <f t="shared" si="157"/>
        <v>5.466E-2</v>
      </c>
      <c r="X657" s="14">
        <f t="shared" si="161"/>
        <v>1</v>
      </c>
      <c r="Y657" s="14">
        <f t="shared" si="162"/>
        <v>3</v>
      </c>
      <c r="Z657" s="14">
        <f t="shared" si="163"/>
        <v>0</v>
      </c>
      <c r="AA657" s="14" t="str">
        <f t="shared" si="164"/>
        <v>AtkExt</v>
      </c>
      <c r="AB657" s="14">
        <f t="shared" si="158"/>
        <v>1316</v>
      </c>
      <c r="AC657" s="14" t="str">
        <f t="shared" si="165"/>
        <v>HPExt</v>
      </c>
      <c r="AD657" s="14">
        <f t="shared" si="166"/>
        <v>7916</v>
      </c>
      <c r="AE657" s="14" t="str">
        <f t="shared" si="167"/>
        <v>[x]</v>
      </c>
      <c r="AF657" s="27" t="str">
        <f t="shared" si="168"/>
        <v>[x]</v>
      </c>
      <c r="AG657" s="27" t="str">
        <f t="shared" si="169"/>
        <v>[x]</v>
      </c>
    </row>
    <row r="658" spans="16:33" ht="16.5" x14ac:dyDescent="0.2">
      <c r="P658" s="13">
        <v>602</v>
      </c>
      <c r="Q658" s="14">
        <f t="shared" si="154"/>
        <v>31</v>
      </c>
      <c r="R658" s="14">
        <f t="shared" si="155"/>
        <v>1606039</v>
      </c>
      <c r="S658" s="14" t="str">
        <f t="shared" si="159"/>
        <v>神器6碎片5等级20</v>
      </c>
      <c r="T658" s="29" t="s">
        <v>649</v>
      </c>
      <c r="U658" s="14">
        <f t="shared" si="156"/>
        <v>20</v>
      </c>
      <c r="V658" s="36">
        <f t="shared" si="160"/>
        <v>1.95</v>
      </c>
      <c r="W658" s="17">
        <f t="shared" si="157"/>
        <v>5.8499999999999996E-2</v>
      </c>
      <c r="X658" s="14">
        <f t="shared" si="161"/>
        <v>1</v>
      </c>
      <c r="Y658" s="14">
        <f t="shared" si="162"/>
        <v>3</v>
      </c>
      <c r="Z658" s="14">
        <f t="shared" si="163"/>
        <v>0</v>
      </c>
      <c r="AA658" s="14" t="str">
        <f t="shared" si="164"/>
        <v>AtkExt</v>
      </c>
      <c r="AB658" s="14">
        <f t="shared" si="158"/>
        <v>1408</v>
      </c>
      <c r="AC658" s="14" t="str">
        <f t="shared" si="165"/>
        <v>HPExt</v>
      </c>
      <c r="AD658" s="14">
        <f t="shared" si="166"/>
        <v>8472</v>
      </c>
      <c r="AE658" s="14" t="str">
        <f t="shared" si="167"/>
        <v>[x]</v>
      </c>
      <c r="AF658" s="27" t="str">
        <f t="shared" si="168"/>
        <v>[x]</v>
      </c>
      <c r="AG658" s="27" t="str">
        <f t="shared" si="169"/>
        <v>[x]</v>
      </c>
    </row>
    <row r="659" spans="16:33" ht="16.5" x14ac:dyDescent="0.2">
      <c r="P659" s="13">
        <v>603</v>
      </c>
      <c r="Q659" s="14">
        <f t="shared" si="154"/>
        <v>31</v>
      </c>
      <c r="R659" s="14">
        <f t="shared" si="155"/>
        <v>1606039</v>
      </c>
      <c r="S659" s="14" t="str">
        <f t="shared" si="159"/>
        <v>神器6碎片5等级21</v>
      </c>
      <c r="T659" s="29" t="s">
        <v>649</v>
      </c>
      <c r="U659" s="14">
        <f t="shared" si="156"/>
        <v>21</v>
      </c>
      <c r="V659" s="36">
        <f t="shared" si="160"/>
        <v>2.0819999999999999</v>
      </c>
      <c r="W659" s="17">
        <f t="shared" si="157"/>
        <v>6.2459999999999995E-2</v>
      </c>
      <c r="X659" s="14">
        <f t="shared" si="161"/>
        <v>1</v>
      </c>
      <c r="Y659" s="14">
        <f t="shared" si="162"/>
        <v>3</v>
      </c>
      <c r="Z659" s="14">
        <f t="shared" si="163"/>
        <v>0</v>
      </c>
      <c r="AA659" s="14" t="str">
        <f t="shared" si="164"/>
        <v>AtkExt</v>
      </c>
      <c r="AB659" s="14">
        <f t="shared" si="158"/>
        <v>1504</v>
      </c>
      <c r="AC659" s="14" t="str">
        <f t="shared" si="165"/>
        <v>HPExt</v>
      </c>
      <c r="AD659" s="14">
        <f t="shared" si="166"/>
        <v>9046</v>
      </c>
      <c r="AE659" s="14" t="str">
        <f t="shared" si="167"/>
        <v>[x]</v>
      </c>
      <c r="AF659" s="27" t="str">
        <f t="shared" si="168"/>
        <v>[x]</v>
      </c>
      <c r="AG659" s="27" t="str">
        <f t="shared" si="169"/>
        <v>[x]</v>
      </c>
    </row>
    <row r="660" spans="16:33" ht="16.5" x14ac:dyDescent="0.2">
      <c r="P660" s="13">
        <v>604</v>
      </c>
      <c r="Q660" s="14">
        <f t="shared" si="154"/>
        <v>32</v>
      </c>
      <c r="R660" s="14">
        <f t="shared" si="155"/>
        <v>1606040</v>
      </c>
      <c r="S660" s="14" t="str">
        <f t="shared" si="159"/>
        <v>神器6碎片6等级1</v>
      </c>
      <c r="T660" s="29" t="s">
        <v>649</v>
      </c>
      <c r="U660" s="14">
        <f t="shared" si="156"/>
        <v>1</v>
      </c>
      <c r="V660" s="36">
        <f t="shared" si="160"/>
        <v>0.20200000000000001</v>
      </c>
      <c r="W660" s="17">
        <f t="shared" si="157"/>
        <v>6.0600000000000003E-3</v>
      </c>
      <c r="X660" s="14">
        <f t="shared" si="161"/>
        <v>1</v>
      </c>
      <c r="Y660" s="14">
        <f t="shared" si="162"/>
        <v>2</v>
      </c>
      <c r="Z660" s="14">
        <f t="shared" si="163"/>
        <v>3</v>
      </c>
      <c r="AA660" s="14" t="str">
        <f t="shared" si="164"/>
        <v>AtkExt</v>
      </c>
      <c r="AB660" s="14">
        <f t="shared" si="158"/>
        <v>145</v>
      </c>
      <c r="AC660" s="14" t="str">
        <f t="shared" si="165"/>
        <v>DefExt</v>
      </c>
      <c r="AD660" s="14">
        <f t="shared" si="166"/>
        <v>72</v>
      </c>
      <c r="AE660" s="14" t="str">
        <f t="shared" si="167"/>
        <v>HPExt</v>
      </c>
      <c r="AF660" s="27">
        <f t="shared" si="168"/>
        <v>438</v>
      </c>
      <c r="AG660" s="27" t="str">
        <f t="shared" si="169"/>
        <v>[x]</v>
      </c>
    </row>
    <row r="661" spans="16:33" ht="16.5" x14ac:dyDescent="0.2">
      <c r="P661" s="13">
        <v>605</v>
      </c>
      <c r="Q661" s="14">
        <f t="shared" si="154"/>
        <v>32</v>
      </c>
      <c r="R661" s="14">
        <f t="shared" si="155"/>
        <v>1606040</v>
      </c>
      <c r="S661" s="14" t="str">
        <f t="shared" si="159"/>
        <v>神器6碎片6等级2</v>
      </c>
      <c r="T661" s="29" t="s">
        <v>649</v>
      </c>
      <c r="U661" s="14">
        <f t="shared" si="156"/>
        <v>2</v>
      </c>
      <c r="V661" s="36">
        <f t="shared" si="160"/>
        <v>0.25800000000000001</v>
      </c>
      <c r="W661" s="17">
        <f t="shared" si="157"/>
        <v>7.7400000000000004E-3</v>
      </c>
      <c r="X661" s="14">
        <f t="shared" si="161"/>
        <v>1</v>
      </c>
      <c r="Y661" s="14">
        <f t="shared" si="162"/>
        <v>2</v>
      </c>
      <c r="Z661" s="14">
        <f t="shared" si="163"/>
        <v>3</v>
      </c>
      <c r="AA661" s="14" t="str">
        <f t="shared" si="164"/>
        <v>AtkExt</v>
      </c>
      <c r="AB661" s="14">
        <f t="shared" si="158"/>
        <v>186</v>
      </c>
      <c r="AC661" s="14" t="str">
        <f t="shared" si="165"/>
        <v>DefExt</v>
      </c>
      <c r="AD661" s="14">
        <f t="shared" si="166"/>
        <v>92</v>
      </c>
      <c r="AE661" s="14" t="str">
        <f t="shared" si="167"/>
        <v>HPExt</v>
      </c>
      <c r="AF661" s="27">
        <f t="shared" si="168"/>
        <v>560</v>
      </c>
      <c r="AG661" s="27" t="str">
        <f t="shared" si="169"/>
        <v>[x]</v>
      </c>
    </row>
    <row r="662" spans="16:33" ht="16.5" x14ac:dyDescent="0.2">
      <c r="P662" s="13">
        <v>606</v>
      </c>
      <c r="Q662" s="14">
        <f t="shared" si="154"/>
        <v>32</v>
      </c>
      <c r="R662" s="14">
        <f t="shared" si="155"/>
        <v>1606040</v>
      </c>
      <c r="S662" s="14" t="str">
        <f t="shared" si="159"/>
        <v>神器6碎片6等级3</v>
      </c>
      <c r="T662" s="29" t="s">
        <v>649</v>
      </c>
      <c r="U662" s="14">
        <f t="shared" si="156"/>
        <v>3</v>
      </c>
      <c r="V662" s="36">
        <f t="shared" si="160"/>
        <v>0.31800000000000006</v>
      </c>
      <c r="W662" s="17">
        <f t="shared" si="157"/>
        <v>9.5400000000000016E-3</v>
      </c>
      <c r="X662" s="14">
        <f t="shared" si="161"/>
        <v>1</v>
      </c>
      <c r="Y662" s="14">
        <f t="shared" si="162"/>
        <v>2</v>
      </c>
      <c r="Z662" s="14">
        <f t="shared" si="163"/>
        <v>3</v>
      </c>
      <c r="AA662" s="14" t="str">
        <f t="shared" si="164"/>
        <v>AtkExt</v>
      </c>
      <c r="AB662" s="14">
        <f t="shared" si="158"/>
        <v>229</v>
      </c>
      <c r="AC662" s="14" t="str">
        <f t="shared" si="165"/>
        <v>DefExt</v>
      </c>
      <c r="AD662" s="14">
        <f t="shared" si="166"/>
        <v>114</v>
      </c>
      <c r="AE662" s="14" t="str">
        <f t="shared" si="167"/>
        <v>HPExt</v>
      </c>
      <c r="AF662" s="27">
        <f t="shared" si="168"/>
        <v>690</v>
      </c>
      <c r="AG662" s="27" t="str">
        <f t="shared" si="169"/>
        <v>[x]</v>
      </c>
    </row>
    <row r="663" spans="16:33" ht="16.5" x14ac:dyDescent="0.2">
      <c r="P663" s="13">
        <v>607</v>
      </c>
      <c r="Q663" s="14">
        <f t="shared" si="154"/>
        <v>32</v>
      </c>
      <c r="R663" s="14">
        <f t="shared" si="155"/>
        <v>1606040</v>
      </c>
      <c r="S663" s="14" t="str">
        <f t="shared" si="159"/>
        <v>神器6碎片6等级4</v>
      </c>
      <c r="T663" s="29" t="s">
        <v>649</v>
      </c>
      <c r="U663" s="14">
        <f t="shared" si="156"/>
        <v>4</v>
      </c>
      <c r="V663" s="36">
        <f t="shared" si="160"/>
        <v>0.38200000000000001</v>
      </c>
      <c r="W663" s="17">
        <f t="shared" si="157"/>
        <v>1.146E-2</v>
      </c>
      <c r="X663" s="14">
        <f t="shared" si="161"/>
        <v>1</v>
      </c>
      <c r="Y663" s="14">
        <f t="shared" si="162"/>
        <v>2</v>
      </c>
      <c r="Z663" s="14">
        <f t="shared" si="163"/>
        <v>3</v>
      </c>
      <c r="AA663" s="14" t="str">
        <f t="shared" si="164"/>
        <v>AtkExt</v>
      </c>
      <c r="AB663" s="14">
        <f t="shared" si="158"/>
        <v>275</v>
      </c>
      <c r="AC663" s="14" t="str">
        <f t="shared" si="165"/>
        <v>DefExt</v>
      </c>
      <c r="AD663" s="14">
        <f t="shared" si="166"/>
        <v>137</v>
      </c>
      <c r="AE663" s="14" t="str">
        <f t="shared" si="167"/>
        <v>HPExt</v>
      </c>
      <c r="AF663" s="27">
        <f t="shared" si="168"/>
        <v>829</v>
      </c>
      <c r="AG663" s="27" t="str">
        <f t="shared" si="169"/>
        <v>[x]</v>
      </c>
    </row>
    <row r="664" spans="16:33" ht="16.5" x14ac:dyDescent="0.2">
      <c r="P664" s="13">
        <v>608</v>
      </c>
      <c r="Q664" s="14">
        <f t="shared" si="154"/>
        <v>32</v>
      </c>
      <c r="R664" s="14">
        <f t="shared" si="155"/>
        <v>1606040</v>
      </c>
      <c r="S664" s="14" t="str">
        <f t="shared" si="159"/>
        <v>神器6碎片6等级5</v>
      </c>
      <c r="T664" s="29" t="s">
        <v>649</v>
      </c>
      <c r="U664" s="14">
        <f t="shared" si="156"/>
        <v>5</v>
      </c>
      <c r="V664" s="36">
        <f t="shared" si="160"/>
        <v>0.45</v>
      </c>
      <c r="W664" s="17">
        <f t="shared" si="157"/>
        <v>1.35E-2</v>
      </c>
      <c r="X664" s="14">
        <f t="shared" si="161"/>
        <v>1</v>
      </c>
      <c r="Y664" s="14">
        <f t="shared" si="162"/>
        <v>2</v>
      </c>
      <c r="Z664" s="14">
        <f t="shared" si="163"/>
        <v>3</v>
      </c>
      <c r="AA664" s="14" t="str">
        <f t="shared" si="164"/>
        <v>AtkExt</v>
      </c>
      <c r="AB664" s="14">
        <f t="shared" si="158"/>
        <v>325</v>
      </c>
      <c r="AC664" s="14" t="str">
        <f t="shared" si="165"/>
        <v>DefExt</v>
      </c>
      <c r="AD664" s="14">
        <f t="shared" si="166"/>
        <v>162</v>
      </c>
      <c r="AE664" s="14" t="str">
        <f t="shared" si="167"/>
        <v>HPExt</v>
      </c>
      <c r="AF664" s="27">
        <f t="shared" si="168"/>
        <v>977</v>
      </c>
      <c r="AG664" s="27" t="str">
        <f t="shared" si="169"/>
        <v>[x]</v>
      </c>
    </row>
    <row r="665" spans="16:33" ht="16.5" x14ac:dyDescent="0.2">
      <c r="P665" s="13">
        <v>609</v>
      </c>
      <c r="Q665" s="14">
        <f t="shared" si="154"/>
        <v>32</v>
      </c>
      <c r="R665" s="14">
        <f t="shared" si="155"/>
        <v>1606040</v>
      </c>
      <c r="S665" s="14" t="str">
        <f t="shared" si="159"/>
        <v>神器6碎片6等级6</v>
      </c>
      <c r="T665" s="29" t="s">
        <v>649</v>
      </c>
      <c r="U665" s="14">
        <f t="shared" si="156"/>
        <v>6</v>
      </c>
      <c r="V665" s="36">
        <f t="shared" si="160"/>
        <v>0.52200000000000002</v>
      </c>
      <c r="W665" s="17">
        <f t="shared" si="157"/>
        <v>1.566E-2</v>
      </c>
      <c r="X665" s="14">
        <f t="shared" si="161"/>
        <v>1</v>
      </c>
      <c r="Y665" s="14">
        <f t="shared" si="162"/>
        <v>2</v>
      </c>
      <c r="Z665" s="14">
        <f t="shared" si="163"/>
        <v>3</v>
      </c>
      <c r="AA665" s="14" t="str">
        <f t="shared" si="164"/>
        <v>AtkExt</v>
      </c>
      <c r="AB665" s="14">
        <f t="shared" si="158"/>
        <v>377</v>
      </c>
      <c r="AC665" s="14" t="str">
        <f t="shared" si="165"/>
        <v>DefExt</v>
      </c>
      <c r="AD665" s="14">
        <f t="shared" si="166"/>
        <v>188</v>
      </c>
      <c r="AE665" s="14" t="str">
        <f t="shared" si="167"/>
        <v>HPExt</v>
      </c>
      <c r="AF665" s="27">
        <f t="shared" si="168"/>
        <v>1134</v>
      </c>
      <c r="AG665" s="27" t="str">
        <f t="shared" si="169"/>
        <v>[x]</v>
      </c>
    </row>
    <row r="666" spans="16:33" ht="16.5" x14ac:dyDescent="0.2">
      <c r="P666" s="13">
        <v>610</v>
      </c>
      <c r="Q666" s="14">
        <f t="shared" si="154"/>
        <v>32</v>
      </c>
      <c r="R666" s="14">
        <f t="shared" si="155"/>
        <v>1606040</v>
      </c>
      <c r="S666" s="14" t="str">
        <f t="shared" si="159"/>
        <v>神器6碎片6等级7</v>
      </c>
      <c r="T666" s="29" t="s">
        <v>649</v>
      </c>
      <c r="U666" s="14">
        <f t="shared" si="156"/>
        <v>7</v>
      </c>
      <c r="V666" s="36">
        <f t="shared" si="160"/>
        <v>0.59799999999999998</v>
      </c>
      <c r="W666" s="17">
        <f t="shared" si="157"/>
        <v>1.7939999999999998E-2</v>
      </c>
      <c r="X666" s="14">
        <f t="shared" si="161"/>
        <v>1</v>
      </c>
      <c r="Y666" s="14">
        <f t="shared" si="162"/>
        <v>2</v>
      </c>
      <c r="Z666" s="14">
        <f t="shared" si="163"/>
        <v>3</v>
      </c>
      <c r="AA666" s="14" t="str">
        <f t="shared" si="164"/>
        <v>AtkExt</v>
      </c>
      <c r="AB666" s="14">
        <f t="shared" si="158"/>
        <v>432</v>
      </c>
      <c r="AC666" s="14" t="str">
        <f t="shared" si="165"/>
        <v>DefExt</v>
      </c>
      <c r="AD666" s="14">
        <f t="shared" si="166"/>
        <v>215</v>
      </c>
      <c r="AE666" s="14" t="str">
        <f t="shared" si="167"/>
        <v>HPExt</v>
      </c>
      <c r="AF666" s="27">
        <f t="shared" si="168"/>
        <v>1299</v>
      </c>
      <c r="AG666" s="27" t="str">
        <f t="shared" si="169"/>
        <v>[x]</v>
      </c>
    </row>
    <row r="667" spans="16:33" ht="16.5" x14ac:dyDescent="0.2">
      <c r="P667" s="13">
        <v>611</v>
      </c>
      <c r="Q667" s="14">
        <f t="shared" si="154"/>
        <v>32</v>
      </c>
      <c r="R667" s="14">
        <f t="shared" si="155"/>
        <v>1606040</v>
      </c>
      <c r="S667" s="14" t="str">
        <f t="shared" si="159"/>
        <v>神器6碎片6等级8</v>
      </c>
      <c r="T667" s="29" t="s">
        <v>649</v>
      </c>
      <c r="U667" s="14">
        <f t="shared" si="156"/>
        <v>8</v>
      </c>
      <c r="V667" s="36">
        <f t="shared" si="160"/>
        <v>0.67800000000000005</v>
      </c>
      <c r="W667" s="17">
        <f t="shared" si="157"/>
        <v>2.034E-2</v>
      </c>
      <c r="X667" s="14">
        <f t="shared" si="161"/>
        <v>1</v>
      </c>
      <c r="Y667" s="14">
        <f t="shared" si="162"/>
        <v>2</v>
      </c>
      <c r="Z667" s="14">
        <f t="shared" si="163"/>
        <v>3</v>
      </c>
      <c r="AA667" s="14" t="str">
        <f t="shared" si="164"/>
        <v>AtkExt</v>
      </c>
      <c r="AB667" s="14">
        <f t="shared" si="158"/>
        <v>489</v>
      </c>
      <c r="AC667" s="14" t="str">
        <f t="shared" si="165"/>
        <v>DefExt</v>
      </c>
      <c r="AD667" s="14">
        <f t="shared" si="166"/>
        <v>244</v>
      </c>
      <c r="AE667" s="14" t="str">
        <f t="shared" si="167"/>
        <v>HPExt</v>
      </c>
      <c r="AF667" s="27">
        <f t="shared" si="168"/>
        <v>1472</v>
      </c>
      <c r="AG667" s="27" t="str">
        <f t="shared" si="169"/>
        <v>[x]</v>
      </c>
    </row>
    <row r="668" spans="16:33" ht="16.5" x14ac:dyDescent="0.2">
      <c r="P668" s="13">
        <v>612</v>
      </c>
      <c r="Q668" s="14">
        <f t="shared" si="154"/>
        <v>32</v>
      </c>
      <c r="R668" s="14">
        <f t="shared" si="155"/>
        <v>1606040</v>
      </c>
      <c r="S668" s="14" t="str">
        <f t="shared" si="159"/>
        <v>神器6碎片6等级9</v>
      </c>
      <c r="T668" s="29" t="s">
        <v>649</v>
      </c>
      <c r="U668" s="14">
        <f t="shared" si="156"/>
        <v>9</v>
      </c>
      <c r="V668" s="36">
        <f t="shared" si="160"/>
        <v>0.76200000000000001</v>
      </c>
      <c r="W668" s="17">
        <f t="shared" si="157"/>
        <v>2.2859999999999998E-2</v>
      </c>
      <c r="X668" s="14">
        <f t="shared" si="161"/>
        <v>1</v>
      </c>
      <c r="Y668" s="14">
        <f t="shared" si="162"/>
        <v>2</v>
      </c>
      <c r="Z668" s="14">
        <f t="shared" si="163"/>
        <v>3</v>
      </c>
      <c r="AA668" s="14" t="str">
        <f t="shared" si="164"/>
        <v>AtkExt</v>
      </c>
      <c r="AB668" s="14">
        <f t="shared" si="158"/>
        <v>550</v>
      </c>
      <c r="AC668" s="14" t="str">
        <f t="shared" si="165"/>
        <v>DefExt</v>
      </c>
      <c r="AD668" s="14">
        <f t="shared" si="166"/>
        <v>274</v>
      </c>
      <c r="AE668" s="14" t="str">
        <f t="shared" si="167"/>
        <v>HPExt</v>
      </c>
      <c r="AF668" s="27">
        <f t="shared" si="168"/>
        <v>1655</v>
      </c>
      <c r="AG668" s="27" t="str">
        <f t="shared" si="169"/>
        <v>[x]</v>
      </c>
    </row>
    <row r="669" spans="16:33" ht="16.5" x14ac:dyDescent="0.2">
      <c r="P669" s="13">
        <v>613</v>
      </c>
      <c r="Q669" s="14">
        <f t="shared" si="154"/>
        <v>32</v>
      </c>
      <c r="R669" s="14">
        <f t="shared" si="155"/>
        <v>1606040</v>
      </c>
      <c r="S669" s="14" t="str">
        <f t="shared" si="159"/>
        <v>神器6碎片6等级10</v>
      </c>
      <c r="T669" s="29" t="s">
        <v>649</v>
      </c>
      <c r="U669" s="14">
        <f t="shared" si="156"/>
        <v>10</v>
      </c>
      <c r="V669" s="36">
        <f t="shared" si="160"/>
        <v>0.85000000000000009</v>
      </c>
      <c r="W669" s="17">
        <f t="shared" si="157"/>
        <v>2.5500000000000002E-2</v>
      </c>
      <c r="X669" s="14">
        <f t="shared" si="161"/>
        <v>1</v>
      </c>
      <c r="Y669" s="14">
        <f t="shared" si="162"/>
        <v>2</v>
      </c>
      <c r="Z669" s="14">
        <f t="shared" si="163"/>
        <v>3</v>
      </c>
      <c r="AA669" s="14" t="str">
        <f t="shared" si="164"/>
        <v>AtkExt</v>
      </c>
      <c r="AB669" s="14">
        <f t="shared" si="158"/>
        <v>614</v>
      </c>
      <c r="AC669" s="14" t="str">
        <f t="shared" si="165"/>
        <v>DefExt</v>
      </c>
      <c r="AD669" s="14">
        <f t="shared" si="166"/>
        <v>306</v>
      </c>
      <c r="AE669" s="14" t="str">
        <f t="shared" si="167"/>
        <v>HPExt</v>
      </c>
      <c r="AF669" s="27">
        <f t="shared" si="168"/>
        <v>1846</v>
      </c>
      <c r="AG669" s="27" t="str">
        <f t="shared" si="169"/>
        <v>[x]</v>
      </c>
    </row>
    <row r="670" spans="16:33" ht="16.5" x14ac:dyDescent="0.2">
      <c r="P670" s="13">
        <v>614</v>
      </c>
      <c r="Q670" s="14">
        <f t="shared" si="154"/>
        <v>32</v>
      </c>
      <c r="R670" s="14">
        <f t="shared" si="155"/>
        <v>1606040</v>
      </c>
      <c r="S670" s="14" t="str">
        <f t="shared" si="159"/>
        <v>神器6碎片6等级11</v>
      </c>
      <c r="T670" s="29" t="s">
        <v>649</v>
      </c>
      <c r="U670" s="14">
        <f t="shared" si="156"/>
        <v>11</v>
      </c>
      <c r="V670" s="36">
        <f t="shared" si="160"/>
        <v>0.94200000000000006</v>
      </c>
      <c r="W670" s="17">
        <f t="shared" si="157"/>
        <v>2.826E-2</v>
      </c>
      <c r="X670" s="14">
        <f t="shared" si="161"/>
        <v>1</v>
      </c>
      <c r="Y670" s="14">
        <f t="shared" si="162"/>
        <v>2</v>
      </c>
      <c r="Z670" s="14">
        <f t="shared" si="163"/>
        <v>3</v>
      </c>
      <c r="AA670" s="14" t="str">
        <f t="shared" si="164"/>
        <v>AtkExt</v>
      </c>
      <c r="AB670" s="14">
        <f t="shared" si="158"/>
        <v>680</v>
      </c>
      <c r="AC670" s="14" t="str">
        <f t="shared" si="165"/>
        <v>DefExt</v>
      </c>
      <c r="AD670" s="14">
        <f t="shared" si="166"/>
        <v>339</v>
      </c>
      <c r="AE670" s="14" t="str">
        <f t="shared" si="167"/>
        <v>HPExt</v>
      </c>
      <c r="AF670" s="27">
        <f t="shared" si="168"/>
        <v>2046</v>
      </c>
      <c r="AG670" s="27" t="str">
        <f t="shared" si="169"/>
        <v>[x]</v>
      </c>
    </row>
    <row r="671" spans="16:33" ht="16.5" x14ac:dyDescent="0.2">
      <c r="P671" s="13">
        <v>615</v>
      </c>
      <c r="Q671" s="14">
        <f t="shared" si="154"/>
        <v>32</v>
      </c>
      <c r="R671" s="14">
        <f t="shared" si="155"/>
        <v>1606040</v>
      </c>
      <c r="S671" s="14" t="str">
        <f t="shared" si="159"/>
        <v>神器6碎片6等级12</v>
      </c>
      <c r="T671" s="29" t="s">
        <v>649</v>
      </c>
      <c r="U671" s="14">
        <f t="shared" si="156"/>
        <v>12</v>
      </c>
      <c r="V671" s="36">
        <f t="shared" si="160"/>
        <v>1.0380000000000003</v>
      </c>
      <c r="W671" s="17">
        <f t="shared" si="157"/>
        <v>3.1140000000000008E-2</v>
      </c>
      <c r="X671" s="14">
        <f t="shared" si="161"/>
        <v>1</v>
      </c>
      <c r="Y671" s="14">
        <f t="shared" si="162"/>
        <v>2</v>
      </c>
      <c r="Z671" s="14">
        <f t="shared" si="163"/>
        <v>3</v>
      </c>
      <c r="AA671" s="14" t="str">
        <f t="shared" si="164"/>
        <v>AtkExt</v>
      </c>
      <c r="AB671" s="14">
        <f t="shared" si="158"/>
        <v>749</v>
      </c>
      <c r="AC671" s="14" t="str">
        <f t="shared" si="165"/>
        <v>DefExt</v>
      </c>
      <c r="AD671" s="14">
        <f t="shared" si="166"/>
        <v>373</v>
      </c>
      <c r="AE671" s="14" t="str">
        <f t="shared" si="167"/>
        <v>HPExt</v>
      </c>
      <c r="AF671" s="27">
        <f t="shared" si="168"/>
        <v>2255</v>
      </c>
      <c r="AG671" s="27" t="str">
        <f t="shared" si="169"/>
        <v>[x]</v>
      </c>
    </row>
    <row r="672" spans="16:33" ht="16.5" x14ac:dyDescent="0.2">
      <c r="P672" s="13">
        <v>616</v>
      </c>
      <c r="Q672" s="14">
        <f t="shared" si="154"/>
        <v>32</v>
      </c>
      <c r="R672" s="14">
        <f t="shared" si="155"/>
        <v>1606040</v>
      </c>
      <c r="S672" s="14" t="str">
        <f t="shared" si="159"/>
        <v>神器6碎片6等级13</v>
      </c>
      <c r="T672" s="29" t="s">
        <v>649</v>
      </c>
      <c r="U672" s="14">
        <f t="shared" si="156"/>
        <v>13</v>
      </c>
      <c r="V672" s="36">
        <f t="shared" si="160"/>
        <v>1.1380000000000001</v>
      </c>
      <c r="W672" s="17">
        <f t="shared" si="157"/>
        <v>3.4140000000000004E-2</v>
      </c>
      <c r="X672" s="14">
        <f t="shared" si="161"/>
        <v>1</v>
      </c>
      <c r="Y672" s="14">
        <f t="shared" si="162"/>
        <v>2</v>
      </c>
      <c r="Z672" s="14">
        <f t="shared" si="163"/>
        <v>3</v>
      </c>
      <c r="AA672" s="14" t="str">
        <f t="shared" si="164"/>
        <v>AtkExt</v>
      </c>
      <c r="AB672" s="14">
        <f t="shared" si="158"/>
        <v>822</v>
      </c>
      <c r="AC672" s="14" t="str">
        <f t="shared" si="165"/>
        <v>DefExt</v>
      </c>
      <c r="AD672" s="14">
        <f t="shared" si="166"/>
        <v>409</v>
      </c>
      <c r="AE672" s="14" t="str">
        <f t="shared" si="167"/>
        <v>HPExt</v>
      </c>
      <c r="AF672" s="27">
        <f t="shared" si="168"/>
        <v>2472</v>
      </c>
      <c r="AG672" s="27" t="str">
        <f t="shared" si="169"/>
        <v>[x]</v>
      </c>
    </row>
    <row r="673" spans="16:33" ht="16.5" x14ac:dyDescent="0.2">
      <c r="P673" s="13">
        <v>617</v>
      </c>
      <c r="Q673" s="14">
        <f t="shared" si="154"/>
        <v>32</v>
      </c>
      <c r="R673" s="14">
        <f t="shared" si="155"/>
        <v>1606040</v>
      </c>
      <c r="S673" s="14" t="str">
        <f t="shared" si="159"/>
        <v>神器6碎片6等级14</v>
      </c>
      <c r="T673" s="29" t="s">
        <v>649</v>
      </c>
      <c r="U673" s="14">
        <f t="shared" si="156"/>
        <v>14</v>
      </c>
      <c r="V673" s="36">
        <f t="shared" si="160"/>
        <v>1.242</v>
      </c>
      <c r="W673" s="17">
        <f t="shared" si="157"/>
        <v>3.7260000000000001E-2</v>
      </c>
      <c r="X673" s="14">
        <f t="shared" si="161"/>
        <v>1</v>
      </c>
      <c r="Y673" s="14">
        <f t="shared" si="162"/>
        <v>2</v>
      </c>
      <c r="Z673" s="14">
        <f t="shared" si="163"/>
        <v>3</v>
      </c>
      <c r="AA673" s="14" t="str">
        <f t="shared" si="164"/>
        <v>AtkExt</v>
      </c>
      <c r="AB673" s="14">
        <f t="shared" si="158"/>
        <v>897</v>
      </c>
      <c r="AC673" s="14" t="str">
        <f t="shared" si="165"/>
        <v>DefExt</v>
      </c>
      <c r="AD673" s="14">
        <f t="shared" si="166"/>
        <v>447</v>
      </c>
      <c r="AE673" s="14" t="str">
        <f t="shared" si="167"/>
        <v>HPExt</v>
      </c>
      <c r="AF673" s="27">
        <f t="shared" si="168"/>
        <v>2698</v>
      </c>
      <c r="AG673" s="27" t="str">
        <f t="shared" si="169"/>
        <v>[x]</v>
      </c>
    </row>
    <row r="674" spans="16:33" ht="16.5" x14ac:dyDescent="0.2">
      <c r="P674" s="13">
        <v>618</v>
      </c>
      <c r="Q674" s="14">
        <f t="shared" si="154"/>
        <v>32</v>
      </c>
      <c r="R674" s="14">
        <f t="shared" si="155"/>
        <v>1606040</v>
      </c>
      <c r="S674" s="14" t="str">
        <f t="shared" si="159"/>
        <v>神器6碎片6等级15</v>
      </c>
      <c r="T674" s="29" t="s">
        <v>649</v>
      </c>
      <c r="U674" s="14">
        <f t="shared" si="156"/>
        <v>15</v>
      </c>
      <c r="V674" s="36">
        <f t="shared" si="160"/>
        <v>1.35</v>
      </c>
      <c r="W674" s="17">
        <f t="shared" si="157"/>
        <v>4.0500000000000001E-2</v>
      </c>
      <c r="X674" s="14">
        <f t="shared" si="161"/>
        <v>1</v>
      </c>
      <c r="Y674" s="14">
        <f t="shared" si="162"/>
        <v>2</v>
      </c>
      <c r="Z674" s="14">
        <f t="shared" si="163"/>
        <v>3</v>
      </c>
      <c r="AA674" s="14" t="str">
        <f t="shared" si="164"/>
        <v>AtkExt</v>
      </c>
      <c r="AB674" s="14">
        <f t="shared" si="158"/>
        <v>975</v>
      </c>
      <c r="AC674" s="14" t="str">
        <f t="shared" si="165"/>
        <v>DefExt</v>
      </c>
      <c r="AD674" s="14">
        <f t="shared" si="166"/>
        <v>486</v>
      </c>
      <c r="AE674" s="14" t="str">
        <f t="shared" si="167"/>
        <v>HPExt</v>
      </c>
      <c r="AF674" s="27">
        <f t="shared" si="168"/>
        <v>2932</v>
      </c>
      <c r="AG674" s="27" t="str">
        <f t="shared" si="169"/>
        <v>[x]</v>
      </c>
    </row>
    <row r="675" spans="16:33" ht="16.5" x14ac:dyDescent="0.2">
      <c r="P675" s="13">
        <v>619</v>
      </c>
      <c r="Q675" s="14">
        <f t="shared" si="154"/>
        <v>32</v>
      </c>
      <c r="R675" s="14">
        <f t="shared" si="155"/>
        <v>1606040</v>
      </c>
      <c r="S675" s="14" t="str">
        <f t="shared" si="159"/>
        <v>神器6碎片6等级16</v>
      </c>
      <c r="T675" s="29" t="s">
        <v>649</v>
      </c>
      <c r="U675" s="14">
        <f t="shared" si="156"/>
        <v>16</v>
      </c>
      <c r="V675" s="36">
        <f t="shared" si="160"/>
        <v>1.4620000000000002</v>
      </c>
      <c r="W675" s="17">
        <f t="shared" si="157"/>
        <v>4.3860000000000003E-2</v>
      </c>
      <c r="X675" s="14">
        <f t="shared" si="161"/>
        <v>1</v>
      </c>
      <c r="Y675" s="14">
        <f t="shared" si="162"/>
        <v>2</v>
      </c>
      <c r="Z675" s="14">
        <f t="shared" si="163"/>
        <v>3</v>
      </c>
      <c r="AA675" s="14" t="str">
        <f t="shared" si="164"/>
        <v>AtkExt</v>
      </c>
      <c r="AB675" s="14">
        <f t="shared" si="158"/>
        <v>1056</v>
      </c>
      <c r="AC675" s="14" t="str">
        <f t="shared" si="165"/>
        <v>DefExt</v>
      </c>
      <c r="AD675" s="14">
        <f t="shared" si="166"/>
        <v>526</v>
      </c>
      <c r="AE675" s="14" t="str">
        <f t="shared" si="167"/>
        <v>HPExt</v>
      </c>
      <c r="AF675" s="27">
        <f t="shared" si="168"/>
        <v>3176</v>
      </c>
      <c r="AG675" s="27" t="str">
        <f t="shared" si="169"/>
        <v>[x]</v>
      </c>
    </row>
    <row r="676" spans="16:33" ht="16.5" x14ac:dyDescent="0.2">
      <c r="P676" s="13">
        <v>620</v>
      </c>
      <c r="Q676" s="14">
        <f t="shared" si="154"/>
        <v>32</v>
      </c>
      <c r="R676" s="14">
        <f t="shared" si="155"/>
        <v>1606040</v>
      </c>
      <c r="S676" s="14" t="str">
        <f t="shared" si="159"/>
        <v>神器6碎片6等级17</v>
      </c>
      <c r="T676" s="29" t="s">
        <v>649</v>
      </c>
      <c r="U676" s="14">
        <f t="shared" si="156"/>
        <v>17</v>
      </c>
      <c r="V676" s="36">
        <f t="shared" si="160"/>
        <v>1.5779999999999998</v>
      </c>
      <c r="W676" s="17">
        <f t="shared" si="157"/>
        <v>4.7339999999999993E-2</v>
      </c>
      <c r="X676" s="14">
        <f t="shared" si="161"/>
        <v>1</v>
      </c>
      <c r="Y676" s="14">
        <f t="shared" si="162"/>
        <v>2</v>
      </c>
      <c r="Z676" s="14">
        <f t="shared" si="163"/>
        <v>3</v>
      </c>
      <c r="AA676" s="14" t="str">
        <f t="shared" si="164"/>
        <v>AtkExt</v>
      </c>
      <c r="AB676" s="14">
        <f t="shared" si="158"/>
        <v>1139</v>
      </c>
      <c r="AC676" s="14" t="str">
        <f t="shared" si="165"/>
        <v>DefExt</v>
      </c>
      <c r="AD676" s="14">
        <f t="shared" si="166"/>
        <v>568</v>
      </c>
      <c r="AE676" s="14" t="str">
        <f t="shared" si="167"/>
        <v>HPExt</v>
      </c>
      <c r="AF676" s="27">
        <f t="shared" si="168"/>
        <v>3428</v>
      </c>
      <c r="AG676" s="27" t="str">
        <f t="shared" si="169"/>
        <v>[x]</v>
      </c>
    </row>
    <row r="677" spans="16:33" ht="16.5" x14ac:dyDescent="0.2">
      <c r="P677" s="13">
        <v>621</v>
      </c>
      <c r="Q677" s="14">
        <f t="shared" si="154"/>
        <v>32</v>
      </c>
      <c r="R677" s="14">
        <f t="shared" si="155"/>
        <v>1606040</v>
      </c>
      <c r="S677" s="14" t="str">
        <f t="shared" si="159"/>
        <v>神器6碎片6等级18</v>
      </c>
      <c r="T677" s="29" t="s">
        <v>649</v>
      </c>
      <c r="U677" s="14">
        <f t="shared" si="156"/>
        <v>18</v>
      </c>
      <c r="V677" s="36">
        <f t="shared" si="160"/>
        <v>1.698</v>
      </c>
      <c r="W677" s="17">
        <f t="shared" si="157"/>
        <v>5.0939999999999999E-2</v>
      </c>
      <c r="X677" s="14">
        <f t="shared" si="161"/>
        <v>1</v>
      </c>
      <c r="Y677" s="14">
        <f t="shared" si="162"/>
        <v>2</v>
      </c>
      <c r="Z677" s="14">
        <f t="shared" si="163"/>
        <v>3</v>
      </c>
      <c r="AA677" s="14" t="str">
        <f t="shared" si="164"/>
        <v>AtkExt</v>
      </c>
      <c r="AB677" s="14">
        <f t="shared" si="158"/>
        <v>1226</v>
      </c>
      <c r="AC677" s="14" t="str">
        <f t="shared" si="165"/>
        <v>DefExt</v>
      </c>
      <c r="AD677" s="14">
        <f t="shared" si="166"/>
        <v>611</v>
      </c>
      <c r="AE677" s="14" t="str">
        <f t="shared" si="167"/>
        <v>HPExt</v>
      </c>
      <c r="AF677" s="27">
        <f t="shared" si="168"/>
        <v>3688</v>
      </c>
      <c r="AG677" s="27" t="str">
        <f t="shared" si="169"/>
        <v>[x]</v>
      </c>
    </row>
    <row r="678" spans="16:33" ht="16.5" x14ac:dyDescent="0.2">
      <c r="P678" s="13">
        <v>622</v>
      </c>
      <c r="Q678" s="14">
        <f t="shared" si="154"/>
        <v>32</v>
      </c>
      <c r="R678" s="14">
        <f t="shared" si="155"/>
        <v>1606040</v>
      </c>
      <c r="S678" s="14" t="str">
        <f t="shared" si="159"/>
        <v>神器6碎片6等级19</v>
      </c>
      <c r="T678" s="29" t="s">
        <v>649</v>
      </c>
      <c r="U678" s="14">
        <f t="shared" si="156"/>
        <v>19</v>
      </c>
      <c r="V678" s="36">
        <f t="shared" si="160"/>
        <v>1.8220000000000001</v>
      </c>
      <c r="W678" s="17">
        <f t="shared" si="157"/>
        <v>5.466E-2</v>
      </c>
      <c r="X678" s="14">
        <f t="shared" si="161"/>
        <v>1</v>
      </c>
      <c r="Y678" s="14">
        <f t="shared" si="162"/>
        <v>2</v>
      </c>
      <c r="Z678" s="14">
        <f t="shared" si="163"/>
        <v>3</v>
      </c>
      <c r="AA678" s="14" t="str">
        <f t="shared" si="164"/>
        <v>AtkExt</v>
      </c>
      <c r="AB678" s="14">
        <f t="shared" si="158"/>
        <v>1316</v>
      </c>
      <c r="AC678" s="14" t="str">
        <f t="shared" si="165"/>
        <v>DefExt</v>
      </c>
      <c r="AD678" s="14">
        <f t="shared" si="166"/>
        <v>656</v>
      </c>
      <c r="AE678" s="14" t="str">
        <f t="shared" si="167"/>
        <v>HPExt</v>
      </c>
      <c r="AF678" s="27">
        <f t="shared" si="168"/>
        <v>3958</v>
      </c>
      <c r="AG678" s="27" t="str">
        <f t="shared" si="169"/>
        <v>[x]</v>
      </c>
    </row>
    <row r="679" spans="16:33" ht="16.5" x14ac:dyDescent="0.2">
      <c r="P679" s="13">
        <v>623</v>
      </c>
      <c r="Q679" s="14">
        <f t="shared" si="154"/>
        <v>32</v>
      </c>
      <c r="R679" s="14">
        <f t="shared" si="155"/>
        <v>1606040</v>
      </c>
      <c r="S679" s="14" t="str">
        <f t="shared" si="159"/>
        <v>神器6碎片6等级20</v>
      </c>
      <c r="T679" s="29" t="s">
        <v>649</v>
      </c>
      <c r="U679" s="14">
        <f t="shared" si="156"/>
        <v>20</v>
      </c>
      <c r="V679" s="36">
        <f t="shared" si="160"/>
        <v>1.95</v>
      </c>
      <c r="W679" s="17">
        <f t="shared" si="157"/>
        <v>5.8499999999999996E-2</v>
      </c>
      <c r="X679" s="14">
        <f t="shared" si="161"/>
        <v>1</v>
      </c>
      <c r="Y679" s="14">
        <f t="shared" si="162"/>
        <v>2</v>
      </c>
      <c r="Z679" s="14">
        <f t="shared" si="163"/>
        <v>3</v>
      </c>
      <c r="AA679" s="14" t="str">
        <f t="shared" si="164"/>
        <v>AtkExt</v>
      </c>
      <c r="AB679" s="14">
        <f t="shared" si="158"/>
        <v>1408</v>
      </c>
      <c r="AC679" s="14" t="str">
        <f t="shared" si="165"/>
        <v>DefExt</v>
      </c>
      <c r="AD679" s="14">
        <f t="shared" si="166"/>
        <v>702</v>
      </c>
      <c r="AE679" s="14" t="str">
        <f t="shared" si="167"/>
        <v>HPExt</v>
      </c>
      <c r="AF679" s="27">
        <f t="shared" si="168"/>
        <v>4236</v>
      </c>
      <c r="AG679" s="27" t="str">
        <f t="shared" si="169"/>
        <v>[x]</v>
      </c>
    </row>
    <row r="680" spans="16:33" ht="16.5" x14ac:dyDescent="0.2">
      <c r="P680" s="13">
        <v>624</v>
      </c>
      <c r="Q680" s="14">
        <f t="shared" si="154"/>
        <v>32</v>
      </c>
      <c r="R680" s="14">
        <f t="shared" si="155"/>
        <v>1606040</v>
      </c>
      <c r="S680" s="14" t="str">
        <f t="shared" si="159"/>
        <v>神器6碎片6等级21</v>
      </c>
      <c r="T680" s="29" t="s">
        <v>649</v>
      </c>
      <c r="U680" s="14">
        <f t="shared" si="156"/>
        <v>21</v>
      </c>
      <c r="V680" s="36">
        <f t="shared" si="160"/>
        <v>2.0819999999999999</v>
      </c>
      <c r="W680" s="17">
        <f t="shared" si="157"/>
        <v>6.2459999999999995E-2</v>
      </c>
      <c r="X680" s="14">
        <f t="shared" si="161"/>
        <v>1</v>
      </c>
      <c r="Y680" s="14">
        <f t="shared" si="162"/>
        <v>2</v>
      </c>
      <c r="Z680" s="14">
        <f t="shared" si="163"/>
        <v>3</v>
      </c>
      <c r="AA680" s="14" t="str">
        <f t="shared" si="164"/>
        <v>AtkExt</v>
      </c>
      <c r="AB680" s="14">
        <f t="shared" si="158"/>
        <v>1504</v>
      </c>
      <c r="AC680" s="14" t="str">
        <f t="shared" si="165"/>
        <v>DefExt</v>
      </c>
      <c r="AD680" s="14">
        <f t="shared" si="166"/>
        <v>750</v>
      </c>
      <c r="AE680" s="14" t="str">
        <f t="shared" si="167"/>
        <v>HPExt</v>
      </c>
      <c r="AF680" s="27">
        <f t="shared" si="168"/>
        <v>4523</v>
      </c>
      <c r="AG680" s="27" t="str">
        <f t="shared" si="169"/>
        <v>[x]</v>
      </c>
    </row>
    <row r="681" spans="16:33" ht="16.5" x14ac:dyDescent="0.2">
      <c r="P681" s="13">
        <v>625</v>
      </c>
      <c r="Q681" s="14">
        <f t="shared" si="154"/>
        <v>33</v>
      </c>
      <c r="R681" s="14">
        <f t="shared" si="155"/>
        <v>1606041</v>
      </c>
      <c r="S681" s="14" t="str">
        <f t="shared" si="159"/>
        <v>神器6碎片7等级1</v>
      </c>
      <c r="T681" s="29" t="s">
        <v>649</v>
      </c>
      <c r="U681" s="14">
        <f t="shared" si="156"/>
        <v>1</v>
      </c>
      <c r="V681" s="36">
        <f t="shared" si="160"/>
        <v>0.20200000000000001</v>
      </c>
      <c r="W681" s="17">
        <f t="shared" si="157"/>
        <v>1.0100000000000001E-2</v>
      </c>
      <c r="X681" s="14">
        <f t="shared" si="161"/>
        <v>1</v>
      </c>
      <c r="Y681" s="14">
        <f t="shared" si="162"/>
        <v>2</v>
      </c>
      <c r="Z681" s="14">
        <f t="shared" si="163"/>
        <v>0</v>
      </c>
      <c r="AA681" s="14" t="str">
        <f t="shared" si="164"/>
        <v>AtkExt</v>
      </c>
      <c r="AB681" s="14">
        <f t="shared" si="158"/>
        <v>486</v>
      </c>
      <c r="AC681" s="14" t="str">
        <f t="shared" si="165"/>
        <v>DefExt</v>
      </c>
      <c r="AD681" s="14">
        <f t="shared" si="166"/>
        <v>242</v>
      </c>
      <c r="AE681" s="14" t="str">
        <f t="shared" si="167"/>
        <v>[x]</v>
      </c>
      <c r="AF681" s="27" t="str">
        <f t="shared" si="168"/>
        <v>[x]</v>
      </c>
      <c r="AG681" s="27">
        <f t="shared" si="169"/>
        <v>1</v>
      </c>
    </row>
    <row r="682" spans="16:33" ht="16.5" x14ac:dyDescent="0.2">
      <c r="P682" s="13">
        <v>626</v>
      </c>
      <c r="Q682" s="14">
        <f t="shared" si="154"/>
        <v>33</v>
      </c>
      <c r="R682" s="14">
        <f t="shared" si="155"/>
        <v>1606041</v>
      </c>
      <c r="S682" s="14" t="str">
        <f t="shared" si="159"/>
        <v>神器6碎片7等级2</v>
      </c>
      <c r="T682" s="29" t="s">
        <v>649</v>
      </c>
      <c r="U682" s="14">
        <f t="shared" si="156"/>
        <v>2</v>
      </c>
      <c r="V682" s="36">
        <f t="shared" si="160"/>
        <v>0.25800000000000001</v>
      </c>
      <c r="W682" s="17">
        <f t="shared" si="157"/>
        <v>1.2900000000000002E-2</v>
      </c>
      <c r="X682" s="14">
        <f t="shared" si="161"/>
        <v>1</v>
      </c>
      <c r="Y682" s="14">
        <f t="shared" si="162"/>
        <v>2</v>
      </c>
      <c r="Z682" s="14">
        <f t="shared" si="163"/>
        <v>0</v>
      </c>
      <c r="AA682" s="14" t="str">
        <f t="shared" si="164"/>
        <v>AtkExt</v>
      </c>
      <c r="AB682" s="14">
        <f t="shared" si="158"/>
        <v>621</v>
      </c>
      <c r="AC682" s="14" t="str">
        <f t="shared" si="165"/>
        <v>DefExt</v>
      </c>
      <c r="AD682" s="14">
        <f t="shared" si="166"/>
        <v>309</v>
      </c>
      <c r="AE682" s="14" t="str">
        <f t="shared" si="167"/>
        <v>[x]</v>
      </c>
      <c r="AF682" s="27" t="str">
        <f t="shared" si="168"/>
        <v>[x]</v>
      </c>
      <c r="AG682" s="27">
        <f t="shared" si="169"/>
        <v>2</v>
      </c>
    </row>
    <row r="683" spans="16:33" ht="16.5" x14ac:dyDescent="0.2">
      <c r="P683" s="13">
        <v>627</v>
      </c>
      <c r="Q683" s="14">
        <f t="shared" si="154"/>
        <v>33</v>
      </c>
      <c r="R683" s="14">
        <f t="shared" si="155"/>
        <v>1606041</v>
      </c>
      <c r="S683" s="14" t="str">
        <f t="shared" si="159"/>
        <v>神器6碎片7等级3</v>
      </c>
      <c r="T683" s="29" t="s">
        <v>649</v>
      </c>
      <c r="U683" s="14">
        <f t="shared" si="156"/>
        <v>3</v>
      </c>
      <c r="V683" s="36">
        <f t="shared" si="160"/>
        <v>0.31800000000000006</v>
      </c>
      <c r="W683" s="17">
        <f t="shared" si="157"/>
        <v>1.5900000000000004E-2</v>
      </c>
      <c r="X683" s="14">
        <f t="shared" si="161"/>
        <v>1</v>
      </c>
      <c r="Y683" s="14">
        <f t="shared" si="162"/>
        <v>2</v>
      </c>
      <c r="Z683" s="14">
        <f t="shared" si="163"/>
        <v>0</v>
      </c>
      <c r="AA683" s="14" t="str">
        <f t="shared" si="164"/>
        <v>AtkExt</v>
      </c>
      <c r="AB683" s="14">
        <f t="shared" si="158"/>
        <v>765</v>
      </c>
      <c r="AC683" s="14" t="str">
        <f t="shared" si="165"/>
        <v>DefExt</v>
      </c>
      <c r="AD683" s="14">
        <f t="shared" si="166"/>
        <v>381</v>
      </c>
      <c r="AE683" s="14" t="str">
        <f t="shared" si="167"/>
        <v>[x]</v>
      </c>
      <c r="AF683" s="27" t="str">
        <f t="shared" si="168"/>
        <v>[x]</v>
      </c>
      <c r="AG683" s="27">
        <f t="shared" si="169"/>
        <v>3</v>
      </c>
    </row>
    <row r="684" spans="16:33" ht="16.5" x14ac:dyDescent="0.2">
      <c r="P684" s="13">
        <v>628</v>
      </c>
      <c r="Q684" s="14">
        <f t="shared" si="154"/>
        <v>33</v>
      </c>
      <c r="R684" s="14">
        <f t="shared" si="155"/>
        <v>1606041</v>
      </c>
      <c r="S684" s="14" t="str">
        <f t="shared" si="159"/>
        <v>神器6碎片7等级4</v>
      </c>
      <c r="T684" s="29" t="s">
        <v>649</v>
      </c>
      <c r="U684" s="14">
        <f t="shared" si="156"/>
        <v>4</v>
      </c>
      <c r="V684" s="36">
        <f t="shared" si="160"/>
        <v>0.38200000000000001</v>
      </c>
      <c r="W684" s="17">
        <f t="shared" si="157"/>
        <v>1.9100000000000002E-2</v>
      </c>
      <c r="X684" s="14">
        <f t="shared" si="161"/>
        <v>1</v>
      </c>
      <c r="Y684" s="14">
        <f t="shared" si="162"/>
        <v>2</v>
      </c>
      <c r="Z684" s="14">
        <f t="shared" si="163"/>
        <v>0</v>
      </c>
      <c r="AA684" s="14" t="str">
        <f t="shared" si="164"/>
        <v>AtkExt</v>
      </c>
      <c r="AB684" s="14">
        <f t="shared" si="158"/>
        <v>919</v>
      </c>
      <c r="AC684" s="14" t="str">
        <f t="shared" si="165"/>
        <v>DefExt</v>
      </c>
      <c r="AD684" s="14">
        <f t="shared" si="166"/>
        <v>458</v>
      </c>
      <c r="AE684" s="14" t="str">
        <f t="shared" si="167"/>
        <v>[x]</v>
      </c>
      <c r="AF684" s="27" t="str">
        <f t="shared" si="168"/>
        <v>[x]</v>
      </c>
      <c r="AG684" s="27">
        <f t="shared" si="169"/>
        <v>4</v>
      </c>
    </row>
    <row r="685" spans="16:33" ht="16.5" x14ac:dyDescent="0.2">
      <c r="P685" s="13">
        <v>629</v>
      </c>
      <c r="Q685" s="14">
        <f t="shared" si="154"/>
        <v>33</v>
      </c>
      <c r="R685" s="14">
        <f t="shared" si="155"/>
        <v>1606041</v>
      </c>
      <c r="S685" s="14" t="str">
        <f t="shared" si="159"/>
        <v>神器6碎片7等级5</v>
      </c>
      <c r="T685" s="29" t="s">
        <v>649</v>
      </c>
      <c r="U685" s="14">
        <f t="shared" si="156"/>
        <v>5</v>
      </c>
      <c r="V685" s="36">
        <f t="shared" si="160"/>
        <v>0.45</v>
      </c>
      <c r="W685" s="17">
        <f t="shared" si="157"/>
        <v>2.2500000000000003E-2</v>
      </c>
      <c r="X685" s="14">
        <f t="shared" si="161"/>
        <v>1</v>
      </c>
      <c r="Y685" s="14">
        <f t="shared" si="162"/>
        <v>2</v>
      </c>
      <c r="Z685" s="14">
        <f t="shared" si="163"/>
        <v>0</v>
      </c>
      <c r="AA685" s="14" t="str">
        <f t="shared" si="164"/>
        <v>AtkExt</v>
      </c>
      <c r="AB685" s="14">
        <f t="shared" si="158"/>
        <v>1083</v>
      </c>
      <c r="AC685" s="14" t="str">
        <f t="shared" si="165"/>
        <v>DefExt</v>
      </c>
      <c r="AD685" s="14">
        <f t="shared" si="166"/>
        <v>540</v>
      </c>
      <c r="AE685" s="14" t="str">
        <f t="shared" si="167"/>
        <v>[x]</v>
      </c>
      <c r="AF685" s="27" t="str">
        <f t="shared" si="168"/>
        <v>[x]</v>
      </c>
      <c r="AG685" s="27">
        <f t="shared" si="169"/>
        <v>5</v>
      </c>
    </row>
    <row r="686" spans="16:33" ht="16.5" x14ac:dyDescent="0.2">
      <c r="P686" s="13">
        <v>630</v>
      </c>
      <c r="Q686" s="14">
        <f t="shared" si="154"/>
        <v>33</v>
      </c>
      <c r="R686" s="14">
        <f t="shared" si="155"/>
        <v>1606041</v>
      </c>
      <c r="S686" s="14" t="str">
        <f t="shared" si="159"/>
        <v>神器6碎片7等级6</v>
      </c>
      <c r="T686" s="29" t="s">
        <v>649</v>
      </c>
      <c r="U686" s="14">
        <f t="shared" si="156"/>
        <v>6</v>
      </c>
      <c r="V686" s="36">
        <f t="shared" si="160"/>
        <v>0.52200000000000002</v>
      </c>
      <c r="W686" s="17">
        <f t="shared" si="157"/>
        <v>2.6100000000000002E-2</v>
      </c>
      <c r="X686" s="14">
        <f t="shared" si="161"/>
        <v>1</v>
      </c>
      <c r="Y686" s="14">
        <f t="shared" si="162"/>
        <v>2</v>
      </c>
      <c r="Z686" s="14">
        <f t="shared" si="163"/>
        <v>0</v>
      </c>
      <c r="AA686" s="14" t="str">
        <f t="shared" si="164"/>
        <v>AtkExt</v>
      </c>
      <c r="AB686" s="14">
        <f t="shared" si="158"/>
        <v>1257</v>
      </c>
      <c r="AC686" s="14" t="str">
        <f t="shared" si="165"/>
        <v>DefExt</v>
      </c>
      <c r="AD686" s="14">
        <f t="shared" si="166"/>
        <v>626</v>
      </c>
      <c r="AE686" s="14" t="str">
        <f t="shared" si="167"/>
        <v>[x]</v>
      </c>
      <c r="AF686" s="27" t="str">
        <f t="shared" si="168"/>
        <v>[x]</v>
      </c>
      <c r="AG686" s="27">
        <f t="shared" si="169"/>
        <v>6</v>
      </c>
    </row>
    <row r="687" spans="16:33" ht="16.5" x14ac:dyDescent="0.2">
      <c r="P687" s="13">
        <v>631</v>
      </c>
      <c r="Q687" s="14">
        <f t="shared" si="154"/>
        <v>33</v>
      </c>
      <c r="R687" s="14">
        <f t="shared" si="155"/>
        <v>1606041</v>
      </c>
      <c r="S687" s="14" t="str">
        <f t="shared" si="159"/>
        <v>神器6碎片7等级7</v>
      </c>
      <c r="T687" s="29" t="s">
        <v>649</v>
      </c>
      <c r="U687" s="14">
        <f t="shared" si="156"/>
        <v>7</v>
      </c>
      <c r="V687" s="36">
        <f t="shared" si="160"/>
        <v>0.59799999999999998</v>
      </c>
      <c r="W687" s="17">
        <f t="shared" si="157"/>
        <v>2.9899999999999999E-2</v>
      </c>
      <c r="X687" s="14">
        <f t="shared" si="161"/>
        <v>1</v>
      </c>
      <c r="Y687" s="14">
        <f t="shared" si="162"/>
        <v>2</v>
      </c>
      <c r="Z687" s="14">
        <f t="shared" si="163"/>
        <v>0</v>
      </c>
      <c r="AA687" s="14" t="str">
        <f t="shared" si="164"/>
        <v>AtkExt</v>
      </c>
      <c r="AB687" s="14">
        <f t="shared" si="158"/>
        <v>1440</v>
      </c>
      <c r="AC687" s="14" t="str">
        <f t="shared" si="165"/>
        <v>DefExt</v>
      </c>
      <c r="AD687" s="14">
        <f t="shared" si="166"/>
        <v>718</v>
      </c>
      <c r="AE687" s="14" t="str">
        <f t="shared" si="167"/>
        <v>[x]</v>
      </c>
      <c r="AF687" s="27" t="str">
        <f t="shared" si="168"/>
        <v>[x]</v>
      </c>
      <c r="AG687" s="27">
        <f t="shared" si="169"/>
        <v>7</v>
      </c>
    </row>
    <row r="688" spans="16:33" ht="16.5" x14ac:dyDescent="0.2">
      <c r="P688" s="13">
        <v>632</v>
      </c>
      <c r="Q688" s="14">
        <f t="shared" si="154"/>
        <v>33</v>
      </c>
      <c r="R688" s="14">
        <f t="shared" si="155"/>
        <v>1606041</v>
      </c>
      <c r="S688" s="14" t="str">
        <f t="shared" si="159"/>
        <v>神器6碎片7等级8</v>
      </c>
      <c r="T688" s="29" t="s">
        <v>649</v>
      </c>
      <c r="U688" s="14">
        <f t="shared" si="156"/>
        <v>8</v>
      </c>
      <c r="V688" s="36">
        <f t="shared" si="160"/>
        <v>0.67800000000000005</v>
      </c>
      <c r="W688" s="17">
        <f t="shared" si="157"/>
        <v>3.3900000000000007E-2</v>
      </c>
      <c r="X688" s="14">
        <f t="shared" si="161"/>
        <v>1</v>
      </c>
      <c r="Y688" s="14">
        <f t="shared" si="162"/>
        <v>2</v>
      </c>
      <c r="Z688" s="14">
        <f t="shared" si="163"/>
        <v>0</v>
      </c>
      <c r="AA688" s="14" t="str">
        <f t="shared" si="164"/>
        <v>AtkExt</v>
      </c>
      <c r="AB688" s="14">
        <f t="shared" si="158"/>
        <v>1632</v>
      </c>
      <c r="AC688" s="14" t="str">
        <f t="shared" si="165"/>
        <v>DefExt</v>
      </c>
      <c r="AD688" s="14">
        <f t="shared" si="166"/>
        <v>814</v>
      </c>
      <c r="AE688" s="14" t="str">
        <f t="shared" si="167"/>
        <v>[x]</v>
      </c>
      <c r="AF688" s="27" t="str">
        <f t="shared" si="168"/>
        <v>[x]</v>
      </c>
      <c r="AG688" s="27">
        <f t="shared" si="169"/>
        <v>8</v>
      </c>
    </row>
    <row r="689" spans="16:33" ht="16.5" x14ac:dyDescent="0.2">
      <c r="P689" s="13">
        <v>633</v>
      </c>
      <c r="Q689" s="14">
        <f t="shared" si="154"/>
        <v>33</v>
      </c>
      <c r="R689" s="14">
        <f t="shared" si="155"/>
        <v>1606041</v>
      </c>
      <c r="S689" s="14" t="str">
        <f t="shared" si="159"/>
        <v>神器6碎片7等级9</v>
      </c>
      <c r="T689" s="29" t="s">
        <v>649</v>
      </c>
      <c r="U689" s="14">
        <f t="shared" si="156"/>
        <v>9</v>
      </c>
      <c r="V689" s="36">
        <f t="shared" si="160"/>
        <v>0.76200000000000001</v>
      </c>
      <c r="W689" s="17">
        <f t="shared" si="157"/>
        <v>3.8100000000000002E-2</v>
      </c>
      <c r="X689" s="14">
        <f t="shared" si="161"/>
        <v>1</v>
      </c>
      <c r="Y689" s="14">
        <f t="shared" si="162"/>
        <v>2</v>
      </c>
      <c r="Z689" s="14">
        <f t="shared" si="163"/>
        <v>0</v>
      </c>
      <c r="AA689" s="14" t="str">
        <f t="shared" si="164"/>
        <v>AtkExt</v>
      </c>
      <c r="AB689" s="14">
        <f t="shared" si="158"/>
        <v>1834</v>
      </c>
      <c r="AC689" s="14" t="str">
        <f t="shared" si="165"/>
        <v>DefExt</v>
      </c>
      <c r="AD689" s="14">
        <f t="shared" si="166"/>
        <v>915</v>
      </c>
      <c r="AE689" s="14" t="str">
        <f t="shared" si="167"/>
        <v>[x]</v>
      </c>
      <c r="AF689" s="27" t="str">
        <f t="shared" si="168"/>
        <v>[x]</v>
      </c>
      <c r="AG689" s="27">
        <f t="shared" si="169"/>
        <v>9</v>
      </c>
    </row>
    <row r="690" spans="16:33" ht="16.5" x14ac:dyDescent="0.2">
      <c r="P690" s="13">
        <v>634</v>
      </c>
      <c r="Q690" s="14">
        <f t="shared" si="154"/>
        <v>33</v>
      </c>
      <c r="R690" s="14">
        <f t="shared" si="155"/>
        <v>1606041</v>
      </c>
      <c r="S690" s="14" t="str">
        <f t="shared" si="159"/>
        <v>神器6碎片7等级10</v>
      </c>
      <c r="T690" s="29" t="s">
        <v>649</v>
      </c>
      <c r="U690" s="14">
        <f t="shared" si="156"/>
        <v>10</v>
      </c>
      <c r="V690" s="36">
        <f t="shared" si="160"/>
        <v>0.85000000000000009</v>
      </c>
      <c r="W690" s="17">
        <f t="shared" si="157"/>
        <v>4.250000000000001E-2</v>
      </c>
      <c r="X690" s="14">
        <f t="shared" si="161"/>
        <v>1</v>
      </c>
      <c r="Y690" s="14">
        <f t="shared" si="162"/>
        <v>2</v>
      </c>
      <c r="Z690" s="14">
        <f t="shared" si="163"/>
        <v>0</v>
      </c>
      <c r="AA690" s="14" t="str">
        <f t="shared" si="164"/>
        <v>AtkExt</v>
      </c>
      <c r="AB690" s="14">
        <f t="shared" si="158"/>
        <v>2046</v>
      </c>
      <c r="AC690" s="14" t="str">
        <f t="shared" si="165"/>
        <v>DefExt</v>
      </c>
      <c r="AD690" s="14">
        <f t="shared" si="166"/>
        <v>1020</v>
      </c>
      <c r="AE690" s="14" t="str">
        <f t="shared" si="167"/>
        <v>[x]</v>
      </c>
      <c r="AF690" s="27" t="str">
        <f t="shared" si="168"/>
        <v>[x]</v>
      </c>
      <c r="AG690" s="27">
        <f t="shared" si="169"/>
        <v>10</v>
      </c>
    </row>
    <row r="691" spans="16:33" ht="16.5" x14ac:dyDescent="0.2">
      <c r="P691" s="13">
        <v>635</v>
      </c>
      <c r="Q691" s="14">
        <f t="shared" si="154"/>
        <v>33</v>
      </c>
      <c r="R691" s="14">
        <f t="shared" si="155"/>
        <v>1606041</v>
      </c>
      <c r="S691" s="14" t="str">
        <f t="shared" si="159"/>
        <v>神器6碎片7等级11</v>
      </c>
      <c r="T691" s="29" t="s">
        <v>649</v>
      </c>
      <c r="U691" s="14">
        <f t="shared" si="156"/>
        <v>11</v>
      </c>
      <c r="V691" s="36">
        <f t="shared" si="160"/>
        <v>0.94200000000000006</v>
      </c>
      <c r="W691" s="17">
        <f t="shared" si="157"/>
        <v>4.7100000000000003E-2</v>
      </c>
      <c r="X691" s="14">
        <f t="shared" si="161"/>
        <v>1</v>
      </c>
      <c r="Y691" s="14">
        <f t="shared" si="162"/>
        <v>2</v>
      </c>
      <c r="Z691" s="14">
        <f t="shared" si="163"/>
        <v>0</v>
      </c>
      <c r="AA691" s="14" t="str">
        <f t="shared" si="164"/>
        <v>AtkExt</v>
      </c>
      <c r="AB691" s="14">
        <f t="shared" si="158"/>
        <v>2268</v>
      </c>
      <c r="AC691" s="14" t="str">
        <f t="shared" si="165"/>
        <v>DefExt</v>
      </c>
      <c r="AD691" s="14">
        <f t="shared" si="166"/>
        <v>1131</v>
      </c>
      <c r="AE691" s="14" t="str">
        <f t="shared" si="167"/>
        <v>[x]</v>
      </c>
      <c r="AF691" s="27" t="str">
        <f t="shared" si="168"/>
        <v>[x]</v>
      </c>
      <c r="AG691" s="27">
        <f t="shared" si="169"/>
        <v>11</v>
      </c>
    </row>
    <row r="692" spans="16:33" ht="16.5" x14ac:dyDescent="0.2">
      <c r="P692" s="13">
        <v>636</v>
      </c>
      <c r="Q692" s="14">
        <f t="shared" si="154"/>
        <v>33</v>
      </c>
      <c r="R692" s="14">
        <f t="shared" si="155"/>
        <v>1606041</v>
      </c>
      <c r="S692" s="14" t="str">
        <f t="shared" si="159"/>
        <v>神器6碎片7等级12</v>
      </c>
      <c r="T692" s="29" t="s">
        <v>649</v>
      </c>
      <c r="U692" s="14">
        <f t="shared" si="156"/>
        <v>12</v>
      </c>
      <c r="V692" s="36">
        <f t="shared" si="160"/>
        <v>1.0380000000000003</v>
      </c>
      <c r="W692" s="17">
        <f t="shared" si="157"/>
        <v>5.1900000000000016E-2</v>
      </c>
      <c r="X692" s="14">
        <f t="shared" si="161"/>
        <v>1</v>
      </c>
      <c r="Y692" s="14">
        <f t="shared" si="162"/>
        <v>2</v>
      </c>
      <c r="Z692" s="14">
        <f t="shared" si="163"/>
        <v>0</v>
      </c>
      <c r="AA692" s="14" t="str">
        <f t="shared" si="164"/>
        <v>AtkExt</v>
      </c>
      <c r="AB692" s="14">
        <f t="shared" si="158"/>
        <v>2499</v>
      </c>
      <c r="AC692" s="14" t="str">
        <f t="shared" si="165"/>
        <v>DefExt</v>
      </c>
      <c r="AD692" s="14">
        <f t="shared" si="166"/>
        <v>1246</v>
      </c>
      <c r="AE692" s="14" t="str">
        <f t="shared" si="167"/>
        <v>[x]</v>
      </c>
      <c r="AF692" s="27" t="str">
        <f t="shared" si="168"/>
        <v>[x]</v>
      </c>
      <c r="AG692" s="27">
        <f t="shared" si="169"/>
        <v>12</v>
      </c>
    </row>
    <row r="693" spans="16:33" ht="16.5" x14ac:dyDescent="0.2">
      <c r="P693" s="13">
        <v>637</v>
      </c>
      <c r="Q693" s="14">
        <f t="shared" si="154"/>
        <v>33</v>
      </c>
      <c r="R693" s="14">
        <f t="shared" si="155"/>
        <v>1606041</v>
      </c>
      <c r="S693" s="14" t="str">
        <f t="shared" si="159"/>
        <v>神器6碎片7等级13</v>
      </c>
      <c r="T693" s="29" t="s">
        <v>649</v>
      </c>
      <c r="U693" s="14">
        <f t="shared" si="156"/>
        <v>13</v>
      </c>
      <c r="V693" s="36">
        <f t="shared" si="160"/>
        <v>1.1380000000000001</v>
      </c>
      <c r="W693" s="17">
        <f t="shared" si="157"/>
        <v>5.6900000000000006E-2</v>
      </c>
      <c r="X693" s="14">
        <f t="shared" si="161"/>
        <v>1</v>
      </c>
      <c r="Y693" s="14">
        <f t="shared" si="162"/>
        <v>2</v>
      </c>
      <c r="Z693" s="14">
        <f t="shared" si="163"/>
        <v>0</v>
      </c>
      <c r="AA693" s="14" t="str">
        <f t="shared" si="164"/>
        <v>AtkExt</v>
      </c>
      <c r="AB693" s="14">
        <f t="shared" si="158"/>
        <v>2740</v>
      </c>
      <c r="AC693" s="14" t="str">
        <f t="shared" si="165"/>
        <v>DefExt</v>
      </c>
      <c r="AD693" s="14">
        <f t="shared" si="166"/>
        <v>1366</v>
      </c>
      <c r="AE693" s="14" t="str">
        <f t="shared" si="167"/>
        <v>[x]</v>
      </c>
      <c r="AF693" s="27" t="str">
        <f t="shared" si="168"/>
        <v>[x]</v>
      </c>
      <c r="AG693" s="27">
        <f t="shared" si="169"/>
        <v>13</v>
      </c>
    </row>
    <row r="694" spans="16:33" ht="16.5" x14ac:dyDescent="0.2">
      <c r="P694" s="13">
        <v>638</v>
      </c>
      <c r="Q694" s="14">
        <f t="shared" si="154"/>
        <v>33</v>
      </c>
      <c r="R694" s="14">
        <f t="shared" si="155"/>
        <v>1606041</v>
      </c>
      <c r="S694" s="14" t="str">
        <f t="shared" si="159"/>
        <v>神器6碎片7等级14</v>
      </c>
      <c r="T694" s="29" t="s">
        <v>649</v>
      </c>
      <c r="U694" s="14">
        <f t="shared" si="156"/>
        <v>14</v>
      </c>
      <c r="V694" s="36">
        <f t="shared" si="160"/>
        <v>1.242</v>
      </c>
      <c r="W694" s="17">
        <f t="shared" si="157"/>
        <v>6.2100000000000002E-2</v>
      </c>
      <c r="X694" s="14">
        <f t="shared" si="161"/>
        <v>1</v>
      </c>
      <c r="Y694" s="14">
        <f t="shared" si="162"/>
        <v>2</v>
      </c>
      <c r="Z694" s="14">
        <f t="shared" si="163"/>
        <v>0</v>
      </c>
      <c r="AA694" s="14" t="str">
        <f t="shared" si="164"/>
        <v>AtkExt</v>
      </c>
      <c r="AB694" s="14">
        <f t="shared" si="158"/>
        <v>2990</v>
      </c>
      <c r="AC694" s="14" t="str">
        <f t="shared" si="165"/>
        <v>DefExt</v>
      </c>
      <c r="AD694" s="14">
        <f t="shared" si="166"/>
        <v>1491</v>
      </c>
      <c r="AE694" s="14" t="str">
        <f t="shared" si="167"/>
        <v>[x]</v>
      </c>
      <c r="AF694" s="27" t="str">
        <f t="shared" si="168"/>
        <v>[x]</v>
      </c>
      <c r="AG694" s="27">
        <f t="shared" si="169"/>
        <v>14</v>
      </c>
    </row>
    <row r="695" spans="16:33" ht="16.5" x14ac:dyDescent="0.2">
      <c r="P695" s="13">
        <v>639</v>
      </c>
      <c r="Q695" s="14">
        <f t="shared" si="154"/>
        <v>33</v>
      </c>
      <c r="R695" s="14">
        <f t="shared" si="155"/>
        <v>1606041</v>
      </c>
      <c r="S695" s="14" t="str">
        <f t="shared" si="159"/>
        <v>神器6碎片7等级15</v>
      </c>
      <c r="T695" s="29" t="s">
        <v>649</v>
      </c>
      <c r="U695" s="14">
        <f t="shared" si="156"/>
        <v>15</v>
      </c>
      <c r="V695" s="36">
        <f t="shared" si="160"/>
        <v>1.35</v>
      </c>
      <c r="W695" s="17">
        <f t="shared" si="157"/>
        <v>6.7500000000000004E-2</v>
      </c>
      <c r="X695" s="14">
        <f t="shared" si="161"/>
        <v>1</v>
      </c>
      <c r="Y695" s="14">
        <f t="shared" si="162"/>
        <v>2</v>
      </c>
      <c r="Z695" s="14">
        <f t="shared" si="163"/>
        <v>0</v>
      </c>
      <c r="AA695" s="14" t="str">
        <f t="shared" si="164"/>
        <v>AtkExt</v>
      </c>
      <c r="AB695" s="14">
        <f t="shared" si="158"/>
        <v>3250</v>
      </c>
      <c r="AC695" s="14" t="str">
        <f t="shared" si="165"/>
        <v>DefExt</v>
      </c>
      <c r="AD695" s="14">
        <f t="shared" si="166"/>
        <v>1621</v>
      </c>
      <c r="AE695" s="14" t="str">
        <f t="shared" si="167"/>
        <v>[x]</v>
      </c>
      <c r="AF695" s="27" t="str">
        <f t="shared" si="168"/>
        <v>[x]</v>
      </c>
      <c r="AG695" s="27">
        <f t="shared" si="169"/>
        <v>15</v>
      </c>
    </row>
    <row r="696" spans="16:33" ht="16.5" x14ac:dyDescent="0.2">
      <c r="P696" s="13">
        <v>640</v>
      </c>
      <c r="Q696" s="14">
        <f t="shared" si="154"/>
        <v>33</v>
      </c>
      <c r="R696" s="14">
        <f t="shared" si="155"/>
        <v>1606041</v>
      </c>
      <c r="S696" s="14" t="str">
        <f t="shared" si="159"/>
        <v>神器6碎片7等级16</v>
      </c>
      <c r="T696" s="29" t="s">
        <v>649</v>
      </c>
      <c r="U696" s="14">
        <f t="shared" si="156"/>
        <v>16</v>
      </c>
      <c r="V696" s="36">
        <f t="shared" si="160"/>
        <v>1.4620000000000002</v>
      </c>
      <c r="W696" s="17">
        <f t="shared" si="157"/>
        <v>7.3100000000000012E-2</v>
      </c>
      <c r="X696" s="14">
        <f t="shared" si="161"/>
        <v>1</v>
      </c>
      <c r="Y696" s="14">
        <f t="shared" si="162"/>
        <v>2</v>
      </c>
      <c r="Z696" s="14">
        <f t="shared" si="163"/>
        <v>0</v>
      </c>
      <c r="AA696" s="14" t="str">
        <f t="shared" si="164"/>
        <v>AtkExt</v>
      </c>
      <c r="AB696" s="14">
        <f t="shared" si="158"/>
        <v>3520</v>
      </c>
      <c r="AC696" s="14" t="str">
        <f t="shared" si="165"/>
        <v>DefExt</v>
      </c>
      <c r="AD696" s="14">
        <f t="shared" si="166"/>
        <v>1755</v>
      </c>
      <c r="AE696" s="14" t="str">
        <f t="shared" si="167"/>
        <v>[x]</v>
      </c>
      <c r="AF696" s="27" t="str">
        <f t="shared" si="168"/>
        <v>[x]</v>
      </c>
      <c r="AG696" s="27">
        <f t="shared" si="169"/>
        <v>16</v>
      </c>
    </row>
    <row r="697" spans="16:33" ht="16.5" x14ac:dyDescent="0.2">
      <c r="P697" s="13">
        <v>641</v>
      </c>
      <c r="Q697" s="14">
        <f t="shared" ref="Q697:Q760" si="170">MATCH(P697-1,$X$4:$X$46,1)</f>
        <v>33</v>
      </c>
      <c r="R697" s="14">
        <f t="shared" ref="R697:R760" si="171">INDEX($S$5:$S$46,Q697)</f>
        <v>1606041</v>
      </c>
      <c r="S697" s="14" t="str">
        <f t="shared" si="159"/>
        <v>神器6碎片7等级17</v>
      </c>
      <c r="T697" s="29" t="s">
        <v>649</v>
      </c>
      <c r="U697" s="14">
        <f t="shared" ref="U697:U760" si="172">P697-INDEX($X$4:$X$46,Q697)</f>
        <v>17</v>
      </c>
      <c r="V697" s="36">
        <f t="shared" si="160"/>
        <v>1.5779999999999998</v>
      </c>
      <c r="W697" s="17">
        <f t="shared" ref="W697:W760" si="173">INDEX($V$5:$V$46,Q697)*V697</f>
        <v>7.8899999999999998E-2</v>
      </c>
      <c r="X697" s="14">
        <f t="shared" si="161"/>
        <v>1</v>
      </c>
      <c r="Y697" s="14">
        <f t="shared" si="162"/>
        <v>2</v>
      </c>
      <c r="Z697" s="14">
        <f t="shared" si="163"/>
        <v>0</v>
      </c>
      <c r="AA697" s="14" t="str">
        <f t="shared" si="164"/>
        <v>AtkExt</v>
      </c>
      <c r="AB697" s="14">
        <f t="shared" ref="AB697:AB760" si="174">INT(INDEX($E$4:$G$4,X697)*W697*INDEX($Y$5:$AA$46,Q697,X697))</f>
        <v>3799</v>
      </c>
      <c r="AC697" s="14" t="str">
        <f t="shared" si="165"/>
        <v>DefExt</v>
      </c>
      <c r="AD697" s="14">
        <f t="shared" si="166"/>
        <v>1894</v>
      </c>
      <c r="AE697" s="14" t="str">
        <f t="shared" si="167"/>
        <v>[x]</v>
      </c>
      <c r="AF697" s="27" t="str">
        <f t="shared" si="168"/>
        <v>[x]</v>
      </c>
      <c r="AG697" s="27">
        <f t="shared" si="169"/>
        <v>17</v>
      </c>
    </row>
    <row r="698" spans="16:33" ht="16.5" x14ac:dyDescent="0.2">
      <c r="P698" s="13">
        <v>642</v>
      </c>
      <c r="Q698" s="14">
        <f t="shared" si="170"/>
        <v>33</v>
      </c>
      <c r="R698" s="14">
        <f t="shared" si="171"/>
        <v>1606041</v>
      </c>
      <c r="S698" s="14" t="str">
        <f t="shared" ref="S698:S761" si="175">INDEX($P$5:$P$46,Q698)&amp;"碎片"&amp;INDEX($R$5:$R$46,Q698)&amp;"等级"&amp;U698</f>
        <v>神器6碎片7等级18</v>
      </c>
      <c r="T698" s="29" t="s">
        <v>649</v>
      </c>
      <c r="U698" s="14">
        <f t="shared" si="172"/>
        <v>18</v>
      </c>
      <c r="V698" s="36">
        <f t="shared" ref="V698:V761" si="176">15%+U698*5%+U698*U698*0.2%</f>
        <v>1.698</v>
      </c>
      <c r="W698" s="17">
        <f t="shared" si="173"/>
        <v>8.4900000000000003E-2</v>
      </c>
      <c r="X698" s="14">
        <f t="shared" ref="X698:X761" si="177">INDEX($AB$5:$AB$46,Q698)</f>
        <v>1</v>
      </c>
      <c r="Y698" s="14">
        <f t="shared" ref="Y698:Y761" si="178">INDEX(AC$5:AC$46,$Q698)</f>
        <v>2</v>
      </c>
      <c r="Z698" s="14">
        <f t="shared" ref="Z698:Z761" si="179">INDEX(AD$5:AD$46,$Q698)</f>
        <v>0</v>
      </c>
      <c r="AA698" s="14" t="str">
        <f t="shared" ref="AA698:AA761" si="180">INDEX($Y$3:$AA$3,X698)</f>
        <v>AtkExt</v>
      </c>
      <c r="AB698" s="14">
        <f t="shared" si="174"/>
        <v>4088</v>
      </c>
      <c r="AC698" s="14" t="str">
        <f t="shared" ref="AC698:AC761" si="181">IF(Y698&gt;0,INDEX($Y$3:$AA$3,Y698),"[x]")</f>
        <v>DefExt</v>
      </c>
      <c r="AD698" s="14">
        <f t="shared" ref="AD698:AD761" si="182">IF(Y698&gt;0,INT(INDEX($E$4:$G$4,Y698)*W698*INDEX($Y$5:$AA$46,Q698,Y698)),"[x]")</f>
        <v>2038</v>
      </c>
      <c r="AE698" s="14" t="str">
        <f t="shared" ref="AE698:AE761" si="183">IF(Z698&gt;0,INDEX($Y$3:$AA$3,Z698),"[x]")</f>
        <v>[x]</v>
      </c>
      <c r="AF698" s="27" t="str">
        <f t="shared" ref="AF698:AF761" si="184">IF(Z698&gt;0,INT(INDEX($E$4:$G$4,Z698)*W698*INDEX($Y$5:$AA$46,Q698,Z698)),"[x]")</f>
        <v>[x]</v>
      </c>
      <c r="AG698" s="27">
        <f t="shared" ref="AG698:AG761" si="185">IF(INDEX($AE$5:$AE$46,Q698)&gt;0,INDEX($AE$5:$AE$46,Q698)*U698,"[x]")</f>
        <v>18</v>
      </c>
    </row>
    <row r="699" spans="16:33" ht="16.5" x14ac:dyDescent="0.2">
      <c r="P699" s="13">
        <v>643</v>
      </c>
      <c r="Q699" s="14">
        <f t="shared" si="170"/>
        <v>33</v>
      </c>
      <c r="R699" s="14">
        <f t="shared" si="171"/>
        <v>1606041</v>
      </c>
      <c r="S699" s="14" t="str">
        <f t="shared" si="175"/>
        <v>神器6碎片7等级19</v>
      </c>
      <c r="T699" s="29" t="s">
        <v>649</v>
      </c>
      <c r="U699" s="14">
        <f t="shared" si="172"/>
        <v>19</v>
      </c>
      <c r="V699" s="36">
        <f t="shared" si="176"/>
        <v>1.8220000000000001</v>
      </c>
      <c r="W699" s="17">
        <f t="shared" si="173"/>
        <v>9.1100000000000014E-2</v>
      </c>
      <c r="X699" s="14">
        <f t="shared" si="177"/>
        <v>1</v>
      </c>
      <c r="Y699" s="14">
        <f t="shared" si="178"/>
        <v>2</v>
      </c>
      <c r="Z699" s="14">
        <f t="shared" si="179"/>
        <v>0</v>
      </c>
      <c r="AA699" s="14" t="str">
        <f t="shared" si="180"/>
        <v>AtkExt</v>
      </c>
      <c r="AB699" s="14">
        <f t="shared" si="174"/>
        <v>4387</v>
      </c>
      <c r="AC699" s="14" t="str">
        <f t="shared" si="181"/>
        <v>DefExt</v>
      </c>
      <c r="AD699" s="14">
        <f t="shared" si="182"/>
        <v>2187</v>
      </c>
      <c r="AE699" s="14" t="str">
        <f t="shared" si="183"/>
        <v>[x]</v>
      </c>
      <c r="AF699" s="27" t="str">
        <f t="shared" si="184"/>
        <v>[x]</v>
      </c>
      <c r="AG699" s="27">
        <f t="shared" si="185"/>
        <v>19</v>
      </c>
    </row>
    <row r="700" spans="16:33" ht="16.5" x14ac:dyDescent="0.2">
      <c r="P700" s="13">
        <v>644</v>
      </c>
      <c r="Q700" s="14">
        <f t="shared" si="170"/>
        <v>33</v>
      </c>
      <c r="R700" s="14">
        <f t="shared" si="171"/>
        <v>1606041</v>
      </c>
      <c r="S700" s="14" t="str">
        <f t="shared" si="175"/>
        <v>神器6碎片7等级20</v>
      </c>
      <c r="T700" s="29" t="s">
        <v>649</v>
      </c>
      <c r="U700" s="14">
        <f t="shared" si="172"/>
        <v>20</v>
      </c>
      <c r="V700" s="36">
        <f t="shared" si="176"/>
        <v>1.95</v>
      </c>
      <c r="W700" s="17">
        <f t="shared" si="173"/>
        <v>9.7500000000000003E-2</v>
      </c>
      <c r="X700" s="14">
        <f t="shared" si="177"/>
        <v>1</v>
      </c>
      <c r="Y700" s="14">
        <f t="shared" si="178"/>
        <v>2</v>
      </c>
      <c r="Z700" s="14">
        <f t="shared" si="179"/>
        <v>0</v>
      </c>
      <c r="AA700" s="14" t="str">
        <f t="shared" si="180"/>
        <v>AtkExt</v>
      </c>
      <c r="AB700" s="14">
        <f t="shared" si="174"/>
        <v>4695</v>
      </c>
      <c r="AC700" s="14" t="str">
        <f t="shared" si="181"/>
        <v>DefExt</v>
      </c>
      <c r="AD700" s="14">
        <f t="shared" si="182"/>
        <v>2341</v>
      </c>
      <c r="AE700" s="14" t="str">
        <f t="shared" si="183"/>
        <v>[x]</v>
      </c>
      <c r="AF700" s="27" t="str">
        <f t="shared" si="184"/>
        <v>[x]</v>
      </c>
      <c r="AG700" s="27">
        <f t="shared" si="185"/>
        <v>20</v>
      </c>
    </row>
    <row r="701" spans="16:33" ht="16.5" x14ac:dyDescent="0.2">
      <c r="P701" s="13">
        <v>645</v>
      </c>
      <c r="Q701" s="14">
        <f t="shared" si="170"/>
        <v>33</v>
      </c>
      <c r="R701" s="14">
        <f t="shared" si="171"/>
        <v>1606041</v>
      </c>
      <c r="S701" s="14" t="str">
        <f t="shared" si="175"/>
        <v>神器6碎片7等级21</v>
      </c>
      <c r="T701" s="29" t="s">
        <v>649</v>
      </c>
      <c r="U701" s="14">
        <f t="shared" si="172"/>
        <v>21</v>
      </c>
      <c r="V701" s="36">
        <f t="shared" si="176"/>
        <v>2.0819999999999999</v>
      </c>
      <c r="W701" s="17">
        <f t="shared" si="173"/>
        <v>0.1041</v>
      </c>
      <c r="X701" s="14">
        <f t="shared" si="177"/>
        <v>1</v>
      </c>
      <c r="Y701" s="14">
        <f t="shared" si="178"/>
        <v>2</v>
      </c>
      <c r="Z701" s="14">
        <f t="shared" si="179"/>
        <v>0</v>
      </c>
      <c r="AA701" s="14" t="str">
        <f t="shared" si="180"/>
        <v>AtkExt</v>
      </c>
      <c r="AB701" s="14">
        <f t="shared" si="174"/>
        <v>5013</v>
      </c>
      <c r="AC701" s="14" t="str">
        <f t="shared" si="181"/>
        <v>DefExt</v>
      </c>
      <c r="AD701" s="14">
        <f t="shared" si="182"/>
        <v>2500</v>
      </c>
      <c r="AE701" s="14" t="str">
        <f t="shared" si="183"/>
        <v>[x]</v>
      </c>
      <c r="AF701" s="27" t="str">
        <f t="shared" si="184"/>
        <v>[x]</v>
      </c>
      <c r="AG701" s="27">
        <f t="shared" si="185"/>
        <v>21</v>
      </c>
    </row>
    <row r="702" spans="16:33" ht="16.5" x14ac:dyDescent="0.2">
      <c r="P702" s="13">
        <v>646</v>
      </c>
      <c r="Q702" s="14">
        <f t="shared" si="170"/>
        <v>34</v>
      </c>
      <c r="R702" s="14">
        <f t="shared" si="171"/>
        <v>1606042</v>
      </c>
      <c r="S702" s="14" t="str">
        <f t="shared" si="175"/>
        <v>神器6碎片8等级1</v>
      </c>
      <c r="T702" s="29" t="s">
        <v>649</v>
      </c>
      <c r="U702" s="14">
        <f t="shared" si="172"/>
        <v>1</v>
      </c>
      <c r="V702" s="36">
        <f t="shared" si="176"/>
        <v>0.20200000000000001</v>
      </c>
      <c r="W702" s="17">
        <f t="shared" si="173"/>
        <v>1.0100000000000001E-2</v>
      </c>
      <c r="X702" s="14">
        <f t="shared" si="177"/>
        <v>2</v>
      </c>
      <c r="Y702" s="14">
        <f t="shared" si="178"/>
        <v>3</v>
      </c>
      <c r="Z702" s="14">
        <f t="shared" si="179"/>
        <v>0</v>
      </c>
      <c r="AA702" s="14" t="str">
        <f t="shared" si="180"/>
        <v>DefExt</v>
      </c>
      <c r="AB702" s="14">
        <f t="shared" si="174"/>
        <v>242</v>
      </c>
      <c r="AC702" s="14" t="str">
        <f t="shared" si="181"/>
        <v>HPExt</v>
      </c>
      <c r="AD702" s="14">
        <f t="shared" si="182"/>
        <v>1462</v>
      </c>
      <c r="AE702" s="14" t="str">
        <f t="shared" si="183"/>
        <v>[x]</v>
      </c>
      <c r="AF702" s="27" t="str">
        <f t="shared" si="184"/>
        <v>[x]</v>
      </c>
      <c r="AG702" s="27">
        <f t="shared" si="185"/>
        <v>1</v>
      </c>
    </row>
    <row r="703" spans="16:33" ht="16.5" x14ac:dyDescent="0.2">
      <c r="P703" s="13">
        <v>647</v>
      </c>
      <c r="Q703" s="14">
        <f t="shared" si="170"/>
        <v>34</v>
      </c>
      <c r="R703" s="14">
        <f t="shared" si="171"/>
        <v>1606042</v>
      </c>
      <c r="S703" s="14" t="str">
        <f t="shared" si="175"/>
        <v>神器6碎片8等级2</v>
      </c>
      <c r="T703" s="29" t="s">
        <v>649</v>
      </c>
      <c r="U703" s="14">
        <f t="shared" si="172"/>
        <v>2</v>
      </c>
      <c r="V703" s="36">
        <f t="shared" si="176"/>
        <v>0.25800000000000001</v>
      </c>
      <c r="W703" s="17">
        <f t="shared" si="173"/>
        <v>1.2900000000000002E-2</v>
      </c>
      <c r="X703" s="14">
        <f t="shared" si="177"/>
        <v>2</v>
      </c>
      <c r="Y703" s="14">
        <f t="shared" si="178"/>
        <v>3</v>
      </c>
      <c r="Z703" s="14">
        <f t="shared" si="179"/>
        <v>0</v>
      </c>
      <c r="AA703" s="14" t="str">
        <f t="shared" si="180"/>
        <v>DefExt</v>
      </c>
      <c r="AB703" s="14">
        <f t="shared" si="174"/>
        <v>309</v>
      </c>
      <c r="AC703" s="14" t="str">
        <f t="shared" si="181"/>
        <v>HPExt</v>
      </c>
      <c r="AD703" s="14">
        <f t="shared" si="182"/>
        <v>1868</v>
      </c>
      <c r="AE703" s="14" t="str">
        <f t="shared" si="183"/>
        <v>[x]</v>
      </c>
      <c r="AF703" s="27" t="str">
        <f t="shared" si="184"/>
        <v>[x]</v>
      </c>
      <c r="AG703" s="27">
        <f t="shared" si="185"/>
        <v>2</v>
      </c>
    </row>
    <row r="704" spans="16:33" ht="16.5" x14ac:dyDescent="0.2">
      <c r="P704" s="13">
        <v>648</v>
      </c>
      <c r="Q704" s="14">
        <f t="shared" si="170"/>
        <v>34</v>
      </c>
      <c r="R704" s="14">
        <f t="shared" si="171"/>
        <v>1606042</v>
      </c>
      <c r="S704" s="14" t="str">
        <f t="shared" si="175"/>
        <v>神器6碎片8等级3</v>
      </c>
      <c r="T704" s="29" t="s">
        <v>649</v>
      </c>
      <c r="U704" s="14">
        <f t="shared" si="172"/>
        <v>3</v>
      </c>
      <c r="V704" s="36">
        <f t="shared" si="176"/>
        <v>0.31800000000000006</v>
      </c>
      <c r="W704" s="17">
        <f t="shared" si="173"/>
        <v>1.5900000000000004E-2</v>
      </c>
      <c r="X704" s="14">
        <f t="shared" si="177"/>
        <v>2</v>
      </c>
      <c r="Y704" s="14">
        <f t="shared" si="178"/>
        <v>3</v>
      </c>
      <c r="Z704" s="14">
        <f t="shared" si="179"/>
        <v>0</v>
      </c>
      <c r="AA704" s="14" t="str">
        <f t="shared" si="180"/>
        <v>DefExt</v>
      </c>
      <c r="AB704" s="14">
        <f t="shared" si="174"/>
        <v>381</v>
      </c>
      <c r="AC704" s="14" t="str">
        <f t="shared" si="181"/>
        <v>HPExt</v>
      </c>
      <c r="AD704" s="14">
        <f t="shared" si="182"/>
        <v>2302</v>
      </c>
      <c r="AE704" s="14" t="str">
        <f t="shared" si="183"/>
        <v>[x]</v>
      </c>
      <c r="AF704" s="27" t="str">
        <f t="shared" si="184"/>
        <v>[x]</v>
      </c>
      <c r="AG704" s="27">
        <f t="shared" si="185"/>
        <v>3</v>
      </c>
    </row>
    <row r="705" spans="16:33" ht="16.5" x14ac:dyDescent="0.2">
      <c r="P705" s="13">
        <v>649</v>
      </c>
      <c r="Q705" s="14">
        <f t="shared" si="170"/>
        <v>34</v>
      </c>
      <c r="R705" s="14">
        <f t="shared" si="171"/>
        <v>1606042</v>
      </c>
      <c r="S705" s="14" t="str">
        <f t="shared" si="175"/>
        <v>神器6碎片8等级4</v>
      </c>
      <c r="T705" s="29" t="s">
        <v>649</v>
      </c>
      <c r="U705" s="14">
        <f t="shared" si="172"/>
        <v>4</v>
      </c>
      <c r="V705" s="36">
        <f t="shared" si="176"/>
        <v>0.38200000000000001</v>
      </c>
      <c r="W705" s="17">
        <f t="shared" si="173"/>
        <v>1.9100000000000002E-2</v>
      </c>
      <c r="X705" s="14">
        <f t="shared" si="177"/>
        <v>2</v>
      </c>
      <c r="Y705" s="14">
        <f t="shared" si="178"/>
        <v>3</v>
      </c>
      <c r="Z705" s="14">
        <f t="shared" si="179"/>
        <v>0</v>
      </c>
      <c r="AA705" s="14" t="str">
        <f t="shared" si="180"/>
        <v>DefExt</v>
      </c>
      <c r="AB705" s="14">
        <f t="shared" si="174"/>
        <v>458</v>
      </c>
      <c r="AC705" s="14" t="str">
        <f t="shared" si="181"/>
        <v>HPExt</v>
      </c>
      <c r="AD705" s="14">
        <f t="shared" si="182"/>
        <v>2766</v>
      </c>
      <c r="AE705" s="14" t="str">
        <f t="shared" si="183"/>
        <v>[x]</v>
      </c>
      <c r="AF705" s="27" t="str">
        <f t="shared" si="184"/>
        <v>[x]</v>
      </c>
      <c r="AG705" s="27">
        <f t="shared" si="185"/>
        <v>4</v>
      </c>
    </row>
    <row r="706" spans="16:33" ht="16.5" x14ac:dyDescent="0.2">
      <c r="P706" s="13">
        <v>650</v>
      </c>
      <c r="Q706" s="14">
        <f t="shared" si="170"/>
        <v>34</v>
      </c>
      <c r="R706" s="14">
        <f t="shared" si="171"/>
        <v>1606042</v>
      </c>
      <c r="S706" s="14" t="str">
        <f t="shared" si="175"/>
        <v>神器6碎片8等级5</v>
      </c>
      <c r="T706" s="29" t="s">
        <v>649</v>
      </c>
      <c r="U706" s="14">
        <f t="shared" si="172"/>
        <v>5</v>
      </c>
      <c r="V706" s="36">
        <f t="shared" si="176"/>
        <v>0.45</v>
      </c>
      <c r="W706" s="17">
        <f t="shared" si="173"/>
        <v>2.2500000000000003E-2</v>
      </c>
      <c r="X706" s="14">
        <f t="shared" si="177"/>
        <v>2</v>
      </c>
      <c r="Y706" s="14">
        <f t="shared" si="178"/>
        <v>3</v>
      </c>
      <c r="Z706" s="14">
        <f t="shared" si="179"/>
        <v>0</v>
      </c>
      <c r="AA706" s="14" t="str">
        <f t="shared" si="180"/>
        <v>DefExt</v>
      </c>
      <c r="AB706" s="14">
        <f t="shared" si="174"/>
        <v>540</v>
      </c>
      <c r="AC706" s="14" t="str">
        <f t="shared" si="181"/>
        <v>HPExt</v>
      </c>
      <c r="AD706" s="14">
        <f t="shared" si="182"/>
        <v>3258</v>
      </c>
      <c r="AE706" s="14" t="str">
        <f t="shared" si="183"/>
        <v>[x]</v>
      </c>
      <c r="AF706" s="27" t="str">
        <f t="shared" si="184"/>
        <v>[x]</v>
      </c>
      <c r="AG706" s="27">
        <f t="shared" si="185"/>
        <v>5</v>
      </c>
    </row>
    <row r="707" spans="16:33" ht="16.5" x14ac:dyDescent="0.2">
      <c r="P707" s="13">
        <v>651</v>
      </c>
      <c r="Q707" s="14">
        <f t="shared" si="170"/>
        <v>34</v>
      </c>
      <c r="R707" s="14">
        <f t="shared" si="171"/>
        <v>1606042</v>
      </c>
      <c r="S707" s="14" t="str">
        <f t="shared" si="175"/>
        <v>神器6碎片8等级6</v>
      </c>
      <c r="T707" s="29" t="s">
        <v>649</v>
      </c>
      <c r="U707" s="14">
        <f t="shared" si="172"/>
        <v>6</v>
      </c>
      <c r="V707" s="36">
        <f t="shared" si="176"/>
        <v>0.52200000000000002</v>
      </c>
      <c r="W707" s="17">
        <f t="shared" si="173"/>
        <v>2.6100000000000002E-2</v>
      </c>
      <c r="X707" s="14">
        <f t="shared" si="177"/>
        <v>2</v>
      </c>
      <c r="Y707" s="14">
        <f t="shared" si="178"/>
        <v>3</v>
      </c>
      <c r="Z707" s="14">
        <f t="shared" si="179"/>
        <v>0</v>
      </c>
      <c r="AA707" s="14" t="str">
        <f t="shared" si="180"/>
        <v>DefExt</v>
      </c>
      <c r="AB707" s="14">
        <f t="shared" si="174"/>
        <v>626</v>
      </c>
      <c r="AC707" s="14" t="str">
        <f t="shared" si="181"/>
        <v>HPExt</v>
      </c>
      <c r="AD707" s="14">
        <f t="shared" si="182"/>
        <v>3780</v>
      </c>
      <c r="AE707" s="14" t="str">
        <f t="shared" si="183"/>
        <v>[x]</v>
      </c>
      <c r="AF707" s="27" t="str">
        <f t="shared" si="184"/>
        <v>[x]</v>
      </c>
      <c r="AG707" s="27">
        <f t="shared" si="185"/>
        <v>6</v>
      </c>
    </row>
    <row r="708" spans="16:33" ht="16.5" x14ac:dyDescent="0.2">
      <c r="P708" s="13">
        <v>652</v>
      </c>
      <c r="Q708" s="14">
        <f t="shared" si="170"/>
        <v>34</v>
      </c>
      <c r="R708" s="14">
        <f t="shared" si="171"/>
        <v>1606042</v>
      </c>
      <c r="S708" s="14" t="str">
        <f t="shared" si="175"/>
        <v>神器6碎片8等级7</v>
      </c>
      <c r="T708" s="29" t="s">
        <v>649</v>
      </c>
      <c r="U708" s="14">
        <f t="shared" si="172"/>
        <v>7</v>
      </c>
      <c r="V708" s="36">
        <f t="shared" si="176"/>
        <v>0.59799999999999998</v>
      </c>
      <c r="W708" s="17">
        <f t="shared" si="173"/>
        <v>2.9899999999999999E-2</v>
      </c>
      <c r="X708" s="14">
        <f t="shared" si="177"/>
        <v>2</v>
      </c>
      <c r="Y708" s="14">
        <f t="shared" si="178"/>
        <v>3</v>
      </c>
      <c r="Z708" s="14">
        <f t="shared" si="179"/>
        <v>0</v>
      </c>
      <c r="AA708" s="14" t="str">
        <f t="shared" si="180"/>
        <v>DefExt</v>
      </c>
      <c r="AB708" s="14">
        <f t="shared" si="174"/>
        <v>718</v>
      </c>
      <c r="AC708" s="14" t="str">
        <f t="shared" si="181"/>
        <v>HPExt</v>
      </c>
      <c r="AD708" s="14">
        <f t="shared" si="182"/>
        <v>4330</v>
      </c>
      <c r="AE708" s="14" t="str">
        <f t="shared" si="183"/>
        <v>[x]</v>
      </c>
      <c r="AF708" s="27" t="str">
        <f t="shared" si="184"/>
        <v>[x]</v>
      </c>
      <c r="AG708" s="27">
        <f t="shared" si="185"/>
        <v>7</v>
      </c>
    </row>
    <row r="709" spans="16:33" ht="16.5" x14ac:dyDescent="0.2">
      <c r="P709" s="13">
        <v>653</v>
      </c>
      <c r="Q709" s="14">
        <f t="shared" si="170"/>
        <v>34</v>
      </c>
      <c r="R709" s="14">
        <f t="shared" si="171"/>
        <v>1606042</v>
      </c>
      <c r="S709" s="14" t="str">
        <f t="shared" si="175"/>
        <v>神器6碎片8等级8</v>
      </c>
      <c r="T709" s="29" t="s">
        <v>649</v>
      </c>
      <c r="U709" s="14">
        <f t="shared" si="172"/>
        <v>8</v>
      </c>
      <c r="V709" s="36">
        <f t="shared" si="176"/>
        <v>0.67800000000000005</v>
      </c>
      <c r="W709" s="17">
        <f t="shared" si="173"/>
        <v>3.3900000000000007E-2</v>
      </c>
      <c r="X709" s="14">
        <f t="shared" si="177"/>
        <v>2</v>
      </c>
      <c r="Y709" s="14">
        <f t="shared" si="178"/>
        <v>3</v>
      </c>
      <c r="Z709" s="14">
        <f t="shared" si="179"/>
        <v>0</v>
      </c>
      <c r="AA709" s="14" t="str">
        <f t="shared" si="180"/>
        <v>DefExt</v>
      </c>
      <c r="AB709" s="14">
        <f t="shared" si="174"/>
        <v>814</v>
      </c>
      <c r="AC709" s="14" t="str">
        <f t="shared" si="181"/>
        <v>HPExt</v>
      </c>
      <c r="AD709" s="14">
        <f t="shared" si="182"/>
        <v>4909</v>
      </c>
      <c r="AE709" s="14" t="str">
        <f t="shared" si="183"/>
        <v>[x]</v>
      </c>
      <c r="AF709" s="27" t="str">
        <f t="shared" si="184"/>
        <v>[x]</v>
      </c>
      <c r="AG709" s="27">
        <f t="shared" si="185"/>
        <v>8</v>
      </c>
    </row>
    <row r="710" spans="16:33" ht="16.5" x14ac:dyDescent="0.2">
      <c r="P710" s="13">
        <v>654</v>
      </c>
      <c r="Q710" s="14">
        <f t="shared" si="170"/>
        <v>34</v>
      </c>
      <c r="R710" s="14">
        <f t="shared" si="171"/>
        <v>1606042</v>
      </c>
      <c r="S710" s="14" t="str">
        <f t="shared" si="175"/>
        <v>神器6碎片8等级9</v>
      </c>
      <c r="T710" s="29" t="s">
        <v>649</v>
      </c>
      <c r="U710" s="14">
        <f t="shared" si="172"/>
        <v>9</v>
      </c>
      <c r="V710" s="36">
        <f t="shared" si="176"/>
        <v>0.76200000000000001</v>
      </c>
      <c r="W710" s="17">
        <f t="shared" si="173"/>
        <v>3.8100000000000002E-2</v>
      </c>
      <c r="X710" s="14">
        <f t="shared" si="177"/>
        <v>2</v>
      </c>
      <c r="Y710" s="14">
        <f t="shared" si="178"/>
        <v>3</v>
      </c>
      <c r="Z710" s="14">
        <f t="shared" si="179"/>
        <v>0</v>
      </c>
      <c r="AA710" s="14" t="str">
        <f t="shared" si="180"/>
        <v>DefExt</v>
      </c>
      <c r="AB710" s="14">
        <f t="shared" si="174"/>
        <v>915</v>
      </c>
      <c r="AC710" s="14" t="str">
        <f t="shared" si="181"/>
        <v>HPExt</v>
      </c>
      <c r="AD710" s="14">
        <f t="shared" si="182"/>
        <v>5518</v>
      </c>
      <c r="AE710" s="14" t="str">
        <f t="shared" si="183"/>
        <v>[x]</v>
      </c>
      <c r="AF710" s="27" t="str">
        <f t="shared" si="184"/>
        <v>[x]</v>
      </c>
      <c r="AG710" s="27">
        <f t="shared" si="185"/>
        <v>9</v>
      </c>
    </row>
    <row r="711" spans="16:33" ht="16.5" x14ac:dyDescent="0.2">
      <c r="P711" s="13">
        <v>655</v>
      </c>
      <c r="Q711" s="14">
        <f t="shared" si="170"/>
        <v>34</v>
      </c>
      <c r="R711" s="14">
        <f t="shared" si="171"/>
        <v>1606042</v>
      </c>
      <c r="S711" s="14" t="str">
        <f t="shared" si="175"/>
        <v>神器6碎片8等级10</v>
      </c>
      <c r="T711" s="29" t="s">
        <v>649</v>
      </c>
      <c r="U711" s="14">
        <f t="shared" si="172"/>
        <v>10</v>
      </c>
      <c r="V711" s="36">
        <f t="shared" si="176"/>
        <v>0.85000000000000009</v>
      </c>
      <c r="W711" s="17">
        <f t="shared" si="173"/>
        <v>4.250000000000001E-2</v>
      </c>
      <c r="X711" s="14">
        <f t="shared" si="177"/>
        <v>2</v>
      </c>
      <c r="Y711" s="14">
        <f t="shared" si="178"/>
        <v>3</v>
      </c>
      <c r="Z711" s="14">
        <f t="shared" si="179"/>
        <v>0</v>
      </c>
      <c r="AA711" s="14" t="str">
        <f t="shared" si="180"/>
        <v>DefExt</v>
      </c>
      <c r="AB711" s="14">
        <f t="shared" si="174"/>
        <v>1020</v>
      </c>
      <c r="AC711" s="14" t="str">
        <f t="shared" si="181"/>
        <v>HPExt</v>
      </c>
      <c r="AD711" s="14">
        <f t="shared" si="182"/>
        <v>6155</v>
      </c>
      <c r="AE711" s="14" t="str">
        <f t="shared" si="183"/>
        <v>[x]</v>
      </c>
      <c r="AF711" s="27" t="str">
        <f t="shared" si="184"/>
        <v>[x]</v>
      </c>
      <c r="AG711" s="27">
        <f t="shared" si="185"/>
        <v>10</v>
      </c>
    </row>
    <row r="712" spans="16:33" ht="16.5" x14ac:dyDescent="0.2">
      <c r="P712" s="13">
        <v>656</v>
      </c>
      <c r="Q712" s="14">
        <f t="shared" si="170"/>
        <v>34</v>
      </c>
      <c r="R712" s="14">
        <f t="shared" si="171"/>
        <v>1606042</v>
      </c>
      <c r="S712" s="14" t="str">
        <f t="shared" si="175"/>
        <v>神器6碎片8等级11</v>
      </c>
      <c r="T712" s="29" t="s">
        <v>649</v>
      </c>
      <c r="U712" s="14">
        <f t="shared" si="172"/>
        <v>11</v>
      </c>
      <c r="V712" s="36">
        <f t="shared" si="176"/>
        <v>0.94200000000000006</v>
      </c>
      <c r="W712" s="17">
        <f t="shared" si="173"/>
        <v>4.7100000000000003E-2</v>
      </c>
      <c r="X712" s="14">
        <f t="shared" si="177"/>
        <v>2</v>
      </c>
      <c r="Y712" s="14">
        <f t="shared" si="178"/>
        <v>3</v>
      </c>
      <c r="Z712" s="14">
        <f t="shared" si="179"/>
        <v>0</v>
      </c>
      <c r="AA712" s="14" t="str">
        <f t="shared" si="180"/>
        <v>DefExt</v>
      </c>
      <c r="AB712" s="14">
        <f t="shared" si="174"/>
        <v>1131</v>
      </c>
      <c r="AC712" s="14" t="str">
        <f t="shared" si="181"/>
        <v>HPExt</v>
      </c>
      <c r="AD712" s="14">
        <f t="shared" si="182"/>
        <v>6821</v>
      </c>
      <c r="AE712" s="14" t="str">
        <f t="shared" si="183"/>
        <v>[x]</v>
      </c>
      <c r="AF712" s="27" t="str">
        <f t="shared" si="184"/>
        <v>[x]</v>
      </c>
      <c r="AG712" s="27">
        <f t="shared" si="185"/>
        <v>11</v>
      </c>
    </row>
    <row r="713" spans="16:33" ht="16.5" x14ac:dyDescent="0.2">
      <c r="P713" s="13">
        <v>657</v>
      </c>
      <c r="Q713" s="14">
        <f t="shared" si="170"/>
        <v>34</v>
      </c>
      <c r="R713" s="14">
        <f t="shared" si="171"/>
        <v>1606042</v>
      </c>
      <c r="S713" s="14" t="str">
        <f t="shared" si="175"/>
        <v>神器6碎片8等级12</v>
      </c>
      <c r="T713" s="29" t="s">
        <v>649</v>
      </c>
      <c r="U713" s="14">
        <f t="shared" si="172"/>
        <v>12</v>
      </c>
      <c r="V713" s="36">
        <f t="shared" si="176"/>
        <v>1.0380000000000003</v>
      </c>
      <c r="W713" s="17">
        <f t="shared" si="173"/>
        <v>5.1900000000000016E-2</v>
      </c>
      <c r="X713" s="14">
        <f t="shared" si="177"/>
        <v>2</v>
      </c>
      <c r="Y713" s="14">
        <f t="shared" si="178"/>
        <v>3</v>
      </c>
      <c r="Z713" s="14">
        <f t="shared" si="179"/>
        <v>0</v>
      </c>
      <c r="AA713" s="14" t="str">
        <f t="shared" si="180"/>
        <v>DefExt</v>
      </c>
      <c r="AB713" s="14">
        <f t="shared" si="174"/>
        <v>1246</v>
      </c>
      <c r="AC713" s="14" t="str">
        <f t="shared" si="181"/>
        <v>HPExt</v>
      </c>
      <c r="AD713" s="14">
        <f t="shared" si="182"/>
        <v>7516</v>
      </c>
      <c r="AE713" s="14" t="str">
        <f t="shared" si="183"/>
        <v>[x]</v>
      </c>
      <c r="AF713" s="27" t="str">
        <f t="shared" si="184"/>
        <v>[x]</v>
      </c>
      <c r="AG713" s="27">
        <f t="shared" si="185"/>
        <v>12</v>
      </c>
    </row>
    <row r="714" spans="16:33" ht="16.5" x14ac:dyDescent="0.2">
      <c r="P714" s="13">
        <v>658</v>
      </c>
      <c r="Q714" s="14">
        <f t="shared" si="170"/>
        <v>34</v>
      </c>
      <c r="R714" s="14">
        <f t="shared" si="171"/>
        <v>1606042</v>
      </c>
      <c r="S714" s="14" t="str">
        <f t="shared" si="175"/>
        <v>神器6碎片8等级13</v>
      </c>
      <c r="T714" s="29" t="s">
        <v>649</v>
      </c>
      <c r="U714" s="14">
        <f t="shared" si="172"/>
        <v>13</v>
      </c>
      <c r="V714" s="36">
        <f t="shared" si="176"/>
        <v>1.1380000000000001</v>
      </c>
      <c r="W714" s="17">
        <f t="shared" si="173"/>
        <v>5.6900000000000006E-2</v>
      </c>
      <c r="X714" s="14">
        <f t="shared" si="177"/>
        <v>2</v>
      </c>
      <c r="Y714" s="14">
        <f t="shared" si="178"/>
        <v>3</v>
      </c>
      <c r="Z714" s="14">
        <f t="shared" si="179"/>
        <v>0</v>
      </c>
      <c r="AA714" s="14" t="str">
        <f t="shared" si="180"/>
        <v>DefExt</v>
      </c>
      <c r="AB714" s="14">
        <f t="shared" si="174"/>
        <v>1366</v>
      </c>
      <c r="AC714" s="14" t="str">
        <f t="shared" si="181"/>
        <v>HPExt</v>
      </c>
      <c r="AD714" s="14">
        <f t="shared" si="182"/>
        <v>8241</v>
      </c>
      <c r="AE714" s="14" t="str">
        <f t="shared" si="183"/>
        <v>[x]</v>
      </c>
      <c r="AF714" s="27" t="str">
        <f t="shared" si="184"/>
        <v>[x]</v>
      </c>
      <c r="AG714" s="27">
        <f t="shared" si="185"/>
        <v>13</v>
      </c>
    </row>
    <row r="715" spans="16:33" ht="16.5" x14ac:dyDescent="0.2">
      <c r="P715" s="13">
        <v>659</v>
      </c>
      <c r="Q715" s="14">
        <f t="shared" si="170"/>
        <v>34</v>
      </c>
      <c r="R715" s="14">
        <f t="shared" si="171"/>
        <v>1606042</v>
      </c>
      <c r="S715" s="14" t="str">
        <f t="shared" si="175"/>
        <v>神器6碎片8等级14</v>
      </c>
      <c r="T715" s="29" t="s">
        <v>649</v>
      </c>
      <c r="U715" s="14">
        <f t="shared" si="172"/>
        <v>14</v>
      </c>
      <c r="V715" s="36">
        <f t="shared" si="176"/>
        <v>1.242</v>
      </c>
      <c r="W715" s="17">
        <f t="shared" si="173"/>
        <v>6.2100000000000002E-2</v>
      </c>
      <c r="X715" s="14">
        <f t="shared" si="177"/>
        <v>2</v>
      </c>
      <c r="Y715" s="14">
        <f t="shared" si="178"/>
        <v>3</v>
      </c>
      <c r="Z715" s="14">
        <f t="shared" si="179"/>
        <v>0</v>
      </c>
      <c r="AA715" s="14" t="str">
        <f t="shared" si="180"/>
        <v>DefExt</v>
      </c>
      <c r="AB715" s="14">
        <f t="shared" si="174"/>
        <v>1491</v>
      </c>
      <c r="AC715" s="14" t="str">
        <f t="shared" si="181"/>
        <v>HPExt</v>
      </c>
      <c r="AD715" s="14">
        <f t="shared" si="182"/>
        <v>8994</v>
      </c>
      <c r="AE715" s="14" t="str">
        <f t="shared" si="183"/>
        <v>[x]</v>
      </c>
      <c r="AF715" s="27" t="str">
        <f t="shared" si="184"/>
        <v>[x]</v>
      </c>
      <c r="AG715" s="27">
        <f t="shared" si="185"/>
        <v>14</v>
      </c>
    </row>
    <row r="716" spans="16:33" ht="16.5" x14ac:dyDescent="0.2">
      <c r="P716" s="13">
        <v>660</v>
      </c>
      <c r="Q716" s="14">
        <f t="shared" si="170"/>
        <v>34</v>
      </c>
      <c r="R716" s="14">
        <f t="shared" si="171"/>
        <v>1606042</v>
      </c>
      <c r="S716" s="14" t="str">
        <f t="shared" si="175"/>
        <v>神器6碎片8等级15</v>
      </c>
      <c r="T716" s="29" t="s">
        <v>649</v>
      </c>
      <c r="U716" s="14">
        <f t="shared" si="172"/>
        <v>15</v>
      </c>
      <c r="V716" s="36">
        <f t="shared" si="176"/>
        <v>1.35</v>
      </c>
      <c r="W716" s="17">
        <f t="shared" si="173"/>
        <v>6.7500000000000004E-2</v>
      </c>
      <c r="X716" s="14">
        <f t="shared" si="177"/>
        <v>2</v>
      </c>
      <c r="Y716" s="14">
        <f t="shared" si="178"/>
        <v>3</v>
      </c>
      <c r="Z716" s="14">
        <f t="shared" si="179"/>
        <v>0</v>
      </c>
      <c r="AA716" s="14" t="str">
        <f t="shared" si="180"/>
        <v>DefExt</v>
      </c>
      <c r="AB716" s="14">
        <f t="shared" si="174"/>
        <v>1621</v>
      </c>
      <c r="AC716" s="14" t="str">
        <f t="shared" si="181"/>
        <v>HPExt</v>
      </c>
      <c r="AD716" s="14">
        <f t="shared" si="182"/>
        <v>9776</v>
      </c>
      <c r="AE716" s="14" t="str">
        <f t="shared" si="183"/>
        <v>[x]</v>
      </c>
      <c r="AF716" s="27" t="str">
        <f t="shared" si="184"/>
        <v>[x]</v>
      </c>
      <c r="AG716" s="27">
        <f t="shared" si="185"/>
        <v>15</v>
      </c>
    </row>
    <row r="717" spans="16:33" ht="16.5" x14ac:dyDescent="0.2">
      <c r="P717" s="13">
        <v>661</v>
      </c>
      <c r="Q717" s="14">
        <f t="shared" si="170"/>
        <v>34</v>
      </c>
      <c r="R717" s="14">
        <f t="shared" si="171"/>
        <v>1606042</v>
      </c>
      <c r="S717" s="14" t="str">
        <f t="shared" si="175"/>
        <v>神器6碎片8等级16</v>
      </c>
      <c r="T717" s="29" t="s">
        <v>649</v>
      </c>
      <c r="U717" s="14">
        <f t="shared" si="172"/>
        <v>16</v>
      </c>
      <c r="V717" s="36">
        <f t="shared" si="176"/>
        <v>1.4620000000000002</v>
      </c>
      <c r="W717" s="17">
        <f t="shared" si="173"/>
        <v>7.3100000000000012E-2</v>
      </c>
      <c r="X717" s="14">
        <f t="shared" si="177"/>
        <v>2</v>
      </c>
      <c r="Y717" s="14">
        <f t="shared" si="178"/>
        <v>3</v>
      </c>
      <c r="Z717" s="14">
        <f t="shared" si="179"/>
        <v>0</v>
      </c>
      <c r="AA717" s="14" t="str">
        <f t="shared" si="180"/>
        <v>DefExt</v>
      </c>
      <c r="AB717" s="14">
        <f t="shared" si="174"/>
        <v>1755</v>
      </c>
      <c r="AC717" s="14" t="str">
        <f t="shared" si="181"/>
        <v>HPExt</v>
      </c>
      <c r="AD717" s="14">
        <f t="shared" si="182"/>
        <v>10587</v>
      </c>
      <c r="AE717" s="14" t="str">
        <f t="shared" si="183"/>
        <v>[x]</v>
      </c>
      <c r="AF717" s="27" t="str">
        <f t="shared" si="184"/>
        <v>[x]</v>
      </c>
      <c r="AG717" s="27">
        <f t="shared" si="185"/>
        <v>16</v>
      </c>
    </row>
    <row r="718" spans="16:33" ht="16.5" x14ac:dyDescent="0.2">
      <c r="P718" s="13">
        <v>662</v>
      </c>
      <c r="Q718" s="14">
        <f t="shared" si="170"/>
        <v>34</v>
      </c>
      <c r="R718" s="14">
        <f t="shared" si="171"/>
        <v>1606042</v>
      </c>
      <c r="S718" s="14" t="str">
        <f t="shared" si="175"/>
        <v>神器6碎片8等级17</v>
      </c>
      <c r="T718" s="29" t="s">
        <v>649</v>
      </c>
      <c r="U718" s="14">
        <f t="shared" si="172"/>
        <v>17</v>
      </c>
      <c r="V718" s="36">
        <f t="shared" si="176"/>
        <v>1.5779999999999998</v>
      </c>
      <c r="W718" s="17">
        <f t="shared" si="173"/>
        <v>7.8899999999999998E-2</v>
      </c>
      <c r="X718" s="14">
        <f t="shared" si="177"/>
        <v>2</v>
      </c>
      <c r="Y718" s="14">
        <f t="shared" si="178"/>
        <v>3</v>
      </c>
      <c r="Z718" s="14">
        <f t="shared" si="179"/>
        <v>0</v>
      </c>
      <c r="AA718" s="14" t="str">
        <f t="shared" si="180"/>
        <v>DefExt</v>
      </c>
      <c r="AB718" s="14">
        <f t="shared" si="174"/>
        <v>1894</v>
      </c>
      <c r="AC718" s="14" t="str">
        <f t="shared" si="181"/>
        <v>HPExt</v>
      </c>
      <c r="AD718" s="14">
        <f t="shared" si="182"/>
        <v>11427</v>
      </c>
      <c r="AE718" s="14" t="str">
        <f t="shared" si="183"/>
        <v>[x]</v>
      </c>
      <c r="AF718" s="27" t="str">
        <f t="shared" si="184"/>
        <v>[x]</v>
      </c>
      <c r="AG718" s="27">
        <f t="shared" si="185"/>
        <v>17</v>
      </c>
    </row>
    <row r="719" spans="16:33" ht="16.5" x14ac:dyDescent="0.2">
      <c r="P719" s="13">
        <v>663</v>
      </c>
      <c r="Q719" s="14">
        <f t="shared" si="170"/>
        <v>34</v>
      </c>
      <c r="R719" s="14">
        <f t="shared" si="171"/>
        <v>1606042</v>
      </c>
      <c r="S719" s="14" t="str">
        <f t="shared" si="175"/>
        <v>神器6碎片8等级18</v>
      </c>
      <c r="T719" s="29" t="s">
        <v>649</v>
      </c>
      <c r="U719" s="14">
        <f t="shared" si="172"/>
        <v>18</v>
      </c>
      <c r="V719" s="36">
        <f t="shared" si="176"/>
        <v>1.698</v>
      </c>
      <c r="W719" s="17">
        <f t="shared" si="173"/>
        <v>8.4900000000000003E-2</v>
      </c>
      <c r="X719" s="14">
        <f t="shared" si="177"/>
        <v>2</v>
      </c>
      <c r="Y719" s="14">
        <f t="shared" si="178"/>
        <v>3</v>
      </c>
      <c r="Z719" s="14">
        <f t="shared" si="179"/>
        <v>0</v>
      </c>
      <c r="AA719" s="14" t="str">
        <f t="shared" si="180"/>
        <v>DefExt</v>
      </c>
      <c r="AB719" s="14">
        <f t="shared" si="174"/>
        <v>2038</v>
      </c>
      <c r="AC719" s="14" t="str">
        <f t="shared" si="181"/>
        <v>HPExt</v>
      </c>
      <c r="AD719" s="14">
        <f t="shared" si="182"/>
        <v>12296</v>
      </c>
      <c r="AE719" s="14" t="str">
        <f t="shared" si="183"/>
        <v>[x]</v>
      </c>
      <c r="AF719" s="27" t="str">
        <f t="shared" si="184"/>
        <v>[x]</v>
      </c>
      <c r="AG719" s="27">
        <f t="shared" si="185"/>
        <v>18</v>
      </c>
    </row>
    <row r="720" spans="16:33" ht="16.5" x14ac:dyDescent="0.2">
      <c r="P720" s="13">
        <v>664</v>
      </c>
      <c r="Q720" s="14">
        <f t="shared" si="170"/>
        <v>34</v>
      </c>
      <c r="R720" s="14">
        <f t="shared" si="171"/>
        <v>1606042</v>
      </c>
      <c r="S720" s="14" t="str">
        <f t="shared" si="175"/>
        <v>神器6碎片8等级19</v>
      </c>
      <c r="T720" s="29" t="s">
        <v>649</v>
      </c>
      <c r="U720" s="14">
        <f t="shared" si="172"/>
        <v>19</v>
      </c>
      <c r="V720" s="36">
        <f t="shared" si="176"/>
        <v>1.8220000000000001</v>
      </c>
      <c r="W720" s="17">
        <f t="shared" si="173"/>
        <v>9.1100000000000014E-2</v>
      </c>
      <c r="X720" s="14">
        <f t="shared" si="177"/>
        <v>2</v>
      </c>
      <c r="Y720" s="14">
        <f t="shared" si="178"/>
        <v>3</v>
      </c>
      <c r="Z720" s="14">
        <f t="shared" si="179"/>
        <v>0</v>
      </c>
      <c r="AA720" s="14" t="str">
        <f t="shared" si="180"/>
        <v>DefExt</v>
      </c>
      <c r="AB720" s="14">
        <f t="shared" si="174"/>
        <v>2187</v>
      </c>
      <c r="AC720" s="14" t="str">
        <f t="shared" si="181"/>
        <v>HPExt</v>
      </c>
      <c r="AD720" s="14">
        <f t="shared" si="182"/>
        <v>13194</v>
      </c>
      <c r="AE720" s="14" t="str">
        <f t="shared" si="183"/>
        <v>[x]</v>
      </c>
      <c r="AF720" s="27" t="str">
        <f t="shared" si="184"/>
        <v>[x]</v>
      </c>
      <c r="AG720" s="27">
        <f t="shared" si="185"/>
        <v>19</v>
      </c>
    </row>
    <row r="721" spans="16:33" ht="16.5" x14ac:dyDescent="0.2">
      <c r="P721" s="13">
        <v>665</v>
      </c>
      <c r="Q721" s="14">
        <f t="shared" si="170"/>
        <v>34</v>
      </c>
      <c r="R721" s="14">
        <f t="shared" si="171"/>
        <v>1606042</v>
      </c>
      <c r="S721" s="14" t="str">
        <f t="shared" si="175"/>
        <v>神器6碎片8等级20</v>
      </c>
      <c r="T721" s="29" t="s">
        <v>649</v>
      </c>
      <c r="U721" s="14">
        <f t="shared" si="172"/>
        <v>20</v>
      </c>
      <c r="V721" s="36">
        <f t="shared" si="176"/>
        <v>1.95</v>
      </c>
      <c r="W721" s="17">
        <f t="shared" si="173"/>
        <v>9.7500000000000003E-2</v>
      </c>
      <c r="X721" s="14">
        <f t="shared" si="177"/>
        <v>2</v>
      </c>
      <c r="Y721" s="14">
        <f t="shared" si="178"/>
        <v>3</v>
      </c>
      <c r="Z721" s="14">
        <f t="shared" si="179"/>
        <v>0</v>
      </c>
      <c r="AA721" s="14" t="str">
        <f t="shared" si="180"/>
        <v>DefExt</v>
      </c>
      <c r="AB721" s="14">
        <f t="shared" si="174"/>
        <v>2341</v>
      </c>
      <c r="AC721" s="14" t="str">
        <f t="shared" si="181"/>
        <v>HPExt</v>
      </c>
      <c r="AD721" s="14">
        <f t="shared" si="182"/>
        <v>14121</v>
      </c>
      <c r="AE721" s="14" t="str">
        <f t="shared" si="183"/>
        <v>[x]</v>
      </c>
      <c r="AF721" s="27" t="str">
        <f t="shared" si="184"/>
        <v>[x]</v>
      </c>
      <c r="AG721" s="27">
        <f t="shared" si="185"/>
        <v>20</v>
      </c>
    </row>
    <row r="722" spans="16:33" ht="16.5" x14ac:dyDescent="0.2">
      <c r="P722" s="13">
        <v>666</v>
      </c>
      <c r="Q722" s="14">
        <f t="shared" si="170"/>
        <v>34</v>
      </c>
      <c r="R722" s="14">
        <f t="shared" si="171"/>
        <v>1606042</v>
      </c>
      <c r="S722" s="14" t="str">
        <f t="shared" si="175"/>
        <v>神器6碎片8等级21</v>
      </c>
      <c r="T722" s="29" t="s">
        <v>649</v>
      </c>
      <c r="U722" s="14">
        <f t="shared" si="172"/>
        <v>21</v>
      </c>
      <c r="V722" s="36">
        <f t="shared" si="176"/>
        <v>2.0819999999999999</v>
      </c>
      <c r="W722" s="17">
        <f t="shared" si="173"/>
        <v>0.1041</v>
      </c>
      <c r="X722" s="14">
        <f t="shared" si="177"/>
        <v>2</v>
      </c>
      <c r="Y722" s="14">
        <f t="shared" si="178"/>
        <v>3</v>
      </c>
      <c r="Z722" s="14">
        <f t="shared" si="179"/>
        <v>0</v>
      </c>
      <c r="AA722" s="14" t="str">
        <f t="shared" si="180"/>
        <v>DefExt</v>
      </c>
      <c r="AB722" s="14">
        <f t="shared" si="174"/>
        <v>2500</v>
      </c>
      <c r="AC722" s="14" t="str">
        <f t="shared" si="181"/>
        <v>HPExt</v>
      </c>
      <c r="AD722" s="14">
        <f t="shared" si="182"/>
        <v>15077</v>
      </c>
      <c r="AE722" s="14" t="str">
        <f t="shared" si="183"/>
        <v>[x]</v>
      </c>
      <c r="AF722" s="27" t="str">
        <f t="shared" si="184"/>
        <v>[x]</v>
      </c>
      <c r="AG722" s="27">
        <f t="shared" si="185"/>
        <v>21</v>
      </c>
    </row>
    <row r="723" spans="16:33" ht="16.5" x14ac:dyDescent="0.2">
      <c r="P723" s="13">
        <v>667</v>
      </c>
      <c r="Q723" s="14">
        <f t="shared" si="170"/>
        <v>35</v>
      </c>
      <c r="R723" s="14">
        <f t="shared" si="171"/>
        <v>1606043</v>
      </c>
      <c r="S723" s="14" t="str">
        <f t="shared" si="175"/>
        <v>神器7碎片1等级1</v>
      </c>
      <c r="T723" s="29" t="s">
        <v>649</v>
      </c>
      <c r="U723" s="14">
        <f t="shared" si="172"/>
        <v>1</v>
      </c>
      <c r="V723" s="36">
        <f t="shared" si="176"/>
        <v>0.20200000000000001</v>
      </c>
      <c r="W723" s="17">
        <f t="shared" si="173"/>
        <v>4.0400000000000002E-3</v>
      </c>
      <c r="X723" s="14">
        <f t="shared" si="177"/>
        <v>1</v>
      </c>
      <c r="Y723" s="14">
        <f t="shared" si="178"/>
        <v>3</v>
      </c>
      <c r="Z723" s="14">
        <f t="shared" si="179"/>
        <v>0</v>
      </c>
      <c r="AA723" s="14" t="str">
        <f t="shared" si="180"/>
        <v>AtkExt</v>
      </c>
      <c r="AB723" s="14">
        <f t="shared" si="174"/>
        <v>97</v>
      </c>
      <c r="AC723" s="14" t="str">
        <f t="shared" si="181"/>
        <v>HPExt</v>
      </c>
      <c r="AD723" s="14">
        <f t="shared" si="182"/>
        <v>585</v>
      </c>
      <c r="AE723" s="14" t="str">
        <f t="shared" si="183"/>
        <v>[x]</v>
      </c>
      <c r="AF723" s="27" t="str">
        <f t="shared" si="184"/>
        <v>[x]</v>
      </c>
      <c r="AG723" s="27" t="str">
        <f t="shared" si="185"/>
        <v>[x]</v>
      </c>
    </row>
    <row r="724" spans="16:33" ht="16.5" x14ac:dyDescent="0.2">
      <c r="P724" s="13">
        <v>668</v>
      </c>
      <c r="Q724" s="14">
        <f t="shared" si="170"/>
        <v>35</v>
      </c>
      <c r="R724" s="14">
        <f t="shared" si="171"/>
        <v>1606043</v>
      </c>
      <c r="S724" s="14" t="str">
        <f t="shared" si="175"/>
        <v>神器7碎片1等级2</v>
      </c>
      <c r="T724" s="29" t="s">
        <v>649</v>
      </c>
      <c r="U724" s="14">
        <f t="shared" si="172"/>
        <v>2</v>
      </c>
      <c r="V724" s="36">
        <f t="shared" si="176"/>
        <v>0.25800000000000001</v>
      </c>
      <c r="W724" s="17">
        <f t="shared" si="173"/>
        <v>5.1600000000000005E-3</v>
      </c>
      <c r="X724" s="14">
        <f t="shared" si="177"/>
        <v>1</v>
      </c>
      <c r="Y724" s="14">
        <f t="shared" si="178"/>
        <v>3</v>
      </c>
      <c r="Z724" s="14">
        <f t="shared" si="179"/>
        <v>0</v>
      </c>
      <c r="AA724" s="14" t="str">
        <f t="shared" si="180"/>
        <v>AtkExt</v>
      </c>
      <c r="AB724" s="14">
        <f t="shared" si="174"/>
        <v>124</v>
      </c>
      <c r="AC724" s="14" t="str">
        <f t="shared" si="181"/>
        <v>HPExt</v>
      </c>
      <c r="AD724" s="14">
        <f t="shared" si="182"/>
        <v>747</v>
      </c>
      <c r="AE724" s="14" t="str">
        <f t="shared" si="183"/>
        <v>[x]</v>
      </c>
      <c r="AF724" s="27" t="str">
        <f t="shared" si="184"/>
        <v>[x]</v>
      </c>
      <c r="AG724" s="27" t="str">
        <f t="shared" si="185"/>
        <v>[x]</v>
      </c>
    </row>
    <row r="725" spans="16:33" ht="16.5" x14ac:dyDescent="0.2">
      <c r="P725" s="13">
        <v>669</v>
      </c>
      <c r="Q725" s="14">
        <f t="shared" si="170"/>
        <v>35</v>
      </c>
      <c r="R725" s="14">
        <f t="shared" si="171"/>
        <v>1606043</v>
      </c>
      <c r="S725" s="14" t="str">
        <f t="shared" si="175"/>
        <v>神器7碎片1等级3</v>
      </c>
      <c r="T725" s="29" t="s">
        <v>649</v>
      </c>
      <c r="U725" s="14">
        <f t="shared" si="172"/>
        <v>3</v>
      </c>
      <c r="V725" s="36">
        <f t="shared" si="176"/>
        <v>0.31800000000000006</v>
      </c>
      <c r="W725" s="17">
        <f t="shared" si="173"/>
        <v>6.3600000000000011E-3</v>
      </c>
      <c r="X725" s="14">
        <f t="shared" si="177"/>
        <v>1</v>
      </c>
      <c r="Y725" s="14">
        <f t="shared" si="178"/>
        <v>3</v>
      </c>
      <c r="Z725" s="14">
        <f t="shared" si="179"/>
        <v>0</v>
      </c>
      <c r="AA725" s="14" t="str">
        <f t="shared" si="180"/>
        <v>AtkExt</v>
      </c>
      <c r="AB725" s="14">
        <f t="shared" si="174"/>
        <v>153</v>
      </c>
      <c r="AC725" s="14" t="str">
        <f t="shared" si="181"/>
        <v>HPExt</v>
      </c>
      <c r="AD725" s="14">
        <f t="shared" si="182"/>
        <v>921</v>
      </c>
      <c r="AE725" s="14" t="str">
        <f t="shared" si="183"/>
        <v>[x]</v>
      </c>
      <c r="AF725" s="27" t="str">
        <f t="shared" si="184"/>
        <v>[x]</v>
      </c>
      <c r="AG725" s="27" t="str">
        <f t="shared" si="185"/>
        <v>[x]</v>
      </c>
    </row>
    <row r="726" spans="16:33" ht="16.5" x14ac:dyDescent="0.2">
      <c r="P726" s="13">
        <v>670</v>
      </c>
      <c r="Q726" s="14">
        <f t="shared" si="170"/>
        <v>35</v>
      </c>
      <c r="R726" s="14">
        <f t="shared" si="171"/>
        <v>1606043</v>
      </c>
      <c r="S726" s="14" t="str">
        <f t="shared" si="175"/>
        <v>神器7碎片1等级4</v>
      </c>
      <c r="T726" s="29" t="s">
        <v>649</v>
      </c>
      <c r="U726" s="14">
        <f t="shared" si="172"/>
        <v>4</v>
      </c>
      <c r="V726" s="36">
        <f t="shared" si="176"/>
        <v>0.38200000000000001</v>
      </c>
      <c r="W726" s="17">
        <f t="shared" si="173"/>
        <v>7.6400000000000001E-3</v>
      </c>
      <c r="X726" s="14">
        <f t="shared" si="177"/>
        <v>1</v>
      </c>
      <c r="Y726" s="14">
        <f t="shared" si="178"/>
        <v>3</v>
      </c>
      <c r="Z726" s="14">
        <f t="shared" si="179"/>
        <v>0</v>
      </c>
      <c r="AA726" s="14" t="str">
        <f t="shared" si="180"/>
        <v>AtkExt</v>
      </c>
      <c r="AB726" s="14">
        <f t="shared" si="174"/>
        <v>183</v>
      </c>
      <c r="AC726" s="14" t="str">
        <f t="shared" si="181"/>
        <v>HPExt</v>
      </c>
      <c r="AD726" s="14">
        <f t="shared" si="182"/>
        <v>1106</v>
      </c>
      <c r="AE726" s="14" t="str">
        <f t="shared" si="183"/>
        <v>[x]</v>
      </c>
      <c r="AF726" s="27" t="str">
        <f t="shared" si="184"/>
        <v>[x]</v>
      </c>
      <c r="AG726" s="27" t="str">
        <f t="shared" si="185"/>
        <v>[x]</v>
      </c>
    </row>
    <row r="727" spans="16:33" ht="16.5" x14ac:dyDescent="0.2">
      <c r="P727" s="13">
        <v>671</v>
      </c>
      <c r="Q727" s="14">
        <f t="shared" si="170"/>
        <v>35</v>
      </c>
      <c r="R727" s="14">
        <f t="shared" si="171"/>
        <v>1606043</v>
      </c>
      <c r="S727" s="14" t="str">
        <f t="shared" si="175"/>
        <v>神器7碎片1等级5</v>
      </c>
      <c r="T727" s="29" t="s">
        <v>649</v>
      </c>
      <c r="U727" s="14">
        <f t="shared" si="172"/>
        <v>5</v>
      </c>
      <c r="V727" s="36">
        <f t="shared" si="176"/>
        <v>0.45</v>
      </c>
      <c r="W727" s="17">
        <f t="shared" si="173"/>
        <v>9.0000000000000011E-3</v>
      </c>
      <c r="X727" s="14">
        <f t="shared" si="177"/>
        <v>1</v>
      </c>
      <c r="Y727" s="14">
        <f t="shared" si="178"/>
        <v>3</v>
      </c>
      <c r="Z727" s="14">
        <f t="shared" si="179"/>
        <v>0</v>
      </c>
      <c r="AA727" s="14" t="str">
        <f t="shared" si="180"/>
        <v>AtkExt</v>
      </c>
      <c r="AB727" s="14">
        <f t="shared" si="174"/>
        <v>216</v>
      </c>
      <c r="AC727" s="14" t="str">
        <f t="shared" si="181"/>
        <v>HPExt</v>
      </c>
      <c r="AD727" s="14">
        <f t="shared" si="182"/>
        <v>1303</v>
      </c>
      <c r="AE727" s="14" t="str">
        <f t="shared" si="183"/>
        <v>[x]</v>
      </c>
      <c r="AF727" s="27" t="str">
        <f t="shared" si="184"/>
        <v>[x]</v>
      </c>
      <c r="AG727" s="27" t="str">
        <f t="shared" si="185"/>
        <v>[x]</v>
      </c>
    </row>
    <row r="728" spans="16:33" ht="16.5" x14ac:dyDescent="0.2">
      <c r="P728" s="13">
        <v>672</v>
      </c>
      <c r="Q728" s="14">
        <f t="shared" si="170"/>
        <v>35</v>
      </c>
      <c r="R728" s="14">
        <f t="shared" si="171"/>
        <v>1606043</v>
      </c>
      <c r="S728" s="14" t="str">
        <f t="shared" si="175"/>
        <v>神器7碎片1等级6</v>
      </c>
      <c r="T728" s="29" t="s">
        <v>649</v>
      </c>
      <c r="U728" s="14">
        <f t="shared" si="172"/>
        <v>6</v>
      </c>
      <c r="V728" s="36">
        <f t="shared" si="176"/>
        <v>0.52200000000000002</v>
      </c>
      <c r="W728" s="17">
        <f t="shared" si="173"/>
        <v>1.0440000000000001E-2</v>
      </c>
      <c r="X728" s="14">
        <f t="shared" si="177"/>
        <v>1</v>
      </c>
      <c r="Y728" s="14">
        <f t="shared" si="178"/>
        <v>3</v>
      </c>
      <c r="Z728" s="14">
        <f t="shared" si="179"/>
        <v>0</v>
      </c>
      <c r="AA728" s="14" t="str">
        <f t="shared" si="180"/>
        <v>AtkExt</v>
      </c>
      <c r="AB728" s="14">
        <f t="shared" si="174"/>
        <v>251</v>
      </c>
      <c r="AC728" s="14" t="str">
        <f t="shared" si="181"/>
        <v>HPExt</v>
      </c>
      <c r="AD728" s="14">
        <f t="shared" si="182"/>
        <v>1512</v>
      </c>
      <c r="AE728" s="14" t="str">
        <f t="shared" si="183"/>
        <v>[x]</v>
      </c>
      <c r="AF728" s="27" t="str">
        <f t="shared" si="184"/>
        <v>[x]</v>
      </c>
      <c r="AG728" s="27" t="str">
        <f t="shared" si="185"/>
        <v>[x]</v>
      </c>
    </row>
    <row r="729" spans="16:33" ht="16.5" x14ac:dyDescent="0.2">
      <c r="P729" s="13">
        <v>673</v>
      </c>
      <c r="Q729" s="14">
        <f t="shared" si="170"/>
        <v>35</v>
      </c>
      <c r="R729" s="14">
        <f t="shared" si="171"/>
        <v>1606043</v>
      </c>
      <c r="S729" s="14" t="str">
        <f t="shared" si="175"/>
        <v>神器7碎片1等级7</v>
      </c>
      <c r="T729" s="29" t="s">
        <v>649</v>
      </c>
      <c r="U729" s="14">
        <f t="shared" si="172"/>
        <v>7</v>
      </c>
      <c r="V729" s="36">
        <f t="shared" si="176"/>
        <v>0.59799999999999998</v>
      </c>
      <c r="W729" s="17">
        <f t="shared" si="173"/>
        <v>1.196E-2</v>
      </c>
      <c r="X729" s="14">
        <f t="shared" si="177"/>
        <v>1</v>
      </c>
      <c r="Y729" s="14">
        <f t="shared" si="178"/>
        <v>3</v>
      </c>
      <c r="Z729" s="14">
        <f t="shared" si="179"/>
        <v>0</v>
      </c>
      <c r="AA729" s="14" t="str">
        <f t="shared" si="180"/>
        <v>AtkExt</v>
      </c>
      <c r="AB729" s="14">
        <f t="shared" si="174"/>
        <v>288</v>
      </c>
      <c r="AC729" s="14" t="str">
        <f t="shared" si="181"/>
        <v>HPExt</v>
      </c>
      <c r="AD729" s="14">
        <f t="shared" si="182"/>
        <v>1732</v>
      </c>
      <c r="AE729" s="14" t="str">
        <f t="shared" si="183"/>
        <v>[x]</v>
      </c>
      <c r="AF729" s="27" t="str">
        <f t="shared" si="184"/>
        <v>[x]</v>
      </c>
      <c r="AG729" s="27" t="str">
        <f t="shared" si="185"/>
        <v>[x]</v>
      </c>
    </row>
    <row r="730" spans="16:33" ht="16.5" x14ac:dyDescent="0.2">
      <c r="P730" s="13">
        <v>674</v>
      </c>
      <c r="Q730" s="14">
        <f t="shared" si="170"/>
        <v>35</v>
      </c>
      <c r="R730" s="14">
        <f t="shared" si="171"/>
        <v>1606043</v>
      </c>
      <c r="S730" s="14" t="str">
        <f t="shared" si="175"/>
        <v>神器7碎片1等级8</v>
      </c>
      <c r="T730" s="29" t="s">
        <v>649</v>
      </c>
      <c r="U730" s="14">
        <f t="shared" si="172"/>
        <v>8</v>
      </c>
      <c r="V730" s="36">
        <f t="shared" si="176"/>
        <v>0.67800000000000005</v>
      </c>
      <c r="W730" s="17">
        <f t="shared" si="173"/>
        <v>1.3560000000000001E-2</v>
      </c>
      <c r="X730" s="14">
        <f t="shared" si="177"/>
        <v>1</v>
      </c>
      <c r="Y730" s="14">
        <f t="shared" si="178"/>
        <v>3</v>
      </c>
      <c r="Z730" s="14">
        <f t="shared" si="179"/>
        <v>0</v>
      </c>
      <c r="AA730" s="14" t="str">
        <f t="shared" si="180"/>
        <v>AtkExt</v>
      </c>
      <c r="AB730" s="14">
        <f t="shared" si="174"/>
        <v>326</v>
      </c>
      <c r="AC730" s="14" t="str">
        <f t="shared" si="181"/>
        <v>HPExt</v>
      </c>
      <c r="AD730" s="14">
        <f t="shared" si="182"/>
        <v>1963</v>
      </c>
      <c r="AE730" s="14" t="str">
        <f t="shared" si="183"/>
        <v>[x]</v>
      </c>
      <c r="AF730" s="27" t="str">
        <f t="shared" si="184"/>
        <v>[x]</v>
      </c>
      <c r="AG730" s="27" t="str">
        <f t="shared" si="185"/>
        <v>[x]</v>
      </c>
    </row>
    <row r="731" spans="16:33" ht="16.5" x14ac:dyDescent="0.2">
      <c r="P731" s="13">
        <v>675</v>
      </c>
      <c r="Q731" s="14">
        <f t="shared" si="170"/>
        <v>35</v>
      </c>
      <c r="R731" s="14">
        <f t="shared" si="171"/>
        <v>1606043</v>
      </c>
      <c r="S731" s="14" t="str">
        <f t="shared" si="175"/>
        <v>神器7碎片1等级9</v>
      </c>
      <c r="T731" s="29" t="s">
        <v>649</v>
      </c>
      <c r="U731" s="14">
        <f t="shared" si="172"/>
        <v>9</v>
      </c>
      <c r="V731" s="36">
        <f t="shared" si="176"/>
        <v>0.76200000000000001</v>
      </c>
      <c r="W731" s="17">
        <f t="shared" si="173"/>
        <v>1.524E-2</v>
      </c>
      <c r="X731" s="14">
        <f t="shared" si="177"/>
        <v>1</v>
      </c>
      <c r="Y731" s="14">
        <f t="shared" si="178"/>
        <v>3</v>
      </c>
      <c r="Z731" s="14">
        <f t="shared" si="179"/>
        <v>0</v>
      </c>
      <c r="AA731" s="14" t="str">
        <f t="shared" si="180"/>
        <v>AtkExt</v>
      </c>
      <c r="AB731" s="14">
        <f t="shared" si="174"/>
        <v>366</v>
      </c>
      <c r="AC731" s="14" t="str">
        <f t="shared" si="181"/>
        <v>HPExt</v>
      </c>
      <c r="AD731" s="14">
        <f t="shared" si="182"/>
        <v>2207</v>
      </c>
      <c r="AE731" s="14" t="str">
        <f t="shared" si="183"/>
        <v>[x]</v>
      </c>
      <c r="AF731" s="27" t="str">
        <f t="shared" si="184"/>
        <v>[x]</v>
      </c>
      <c r="AG731" s="27" t="str">
        <f t="shared" si="185"/>
        <v>[x]</v>
      </c>
    </row>
    <row r="732" spans="16:33" ht="16.5" x14ac:dyDescent="0.2">
      <c r="P732" s="13">
        <v>676</v>
      </c>
      <c r="Q732" s="14">
        <f t="shared" si="170"/>
        <v>35</v>
      </c>
      <c r="R732" s="14">
        <f t="shared" si="171"/>
        <v>1606043</v>
      </c>
      <c r="S732" s="14" t="str">
        <f t="shared" si="175"/>
        <v>神器7碎片1等级10</v>
      </c>
      <c r="T732" s="29" t="s">
        <v>649</v>
      </c>
      <c r="U732" s="14">
        <f t="shared" si="172"/>
        <v>10</v>
      </c>
      <c r="V732" s="36">
        <f t="shared" si="176"/>
        <v>0.85000000000000009</v>
      </c>
      <c r="W732" s="17">
        <f t="shared" si="173"/>
        <v>1.7000000000000001E-2</v>
      </c>
      <c r="X732" s="14">
        <f t="shared" si="177"/>
        <v>1</v>
      </c>
      <c r="Y732" s="14">
        <f t="shared" si="178"/>
        <v>3</v>
      </c>
      <c r="Z732" s="14">
        <f t="shared" si="179"/>
        <v>0</v>
      </c>
      <c r="AA732" s="14" t="str">
        <f t="shared" si="180"/>
        <v>AtkExt</v>
      </c>
      <c r="AB732" s="14">
        <f t="shared" si="174"/>
        <v>409</v>
      </c>
      <c r="AC732" s="14" t="str">
        <f t="shared" si="181"/>
        <v>HPExt</v>
      </c>
      <c r="AD732" s="14">
        <f t="shared" si="182"/>
        <v>2462</v>
      </c>
      <c r="AE732" s="14" t="str">
        <f t="shared" si="183"/>
        <v>[x]</v>
      </c>
      <c r="AF732" s="27" t="str">
        <f t="shared" si="184"/>
        <v>[x]</v>
      </c>
      <c r="AG732" s="27" t="str">
        <f t="shared" si="185"/>
        <v>[x]</v>
      </c>
    </row>
    <row r="733" spans="16:33" ht="16.5" x14ac:dyDescent="0.2">
      <c r="P733" s="13">
        <v>677</v>
      </c>
      <c r="Q733" s="14">
        <f t="shared" si="170"/>
        <v>35</v>
      </c>
      <c r="R733" s="14">
        <f t="shared" si="171"/>
        <v>1606043</v>
      </c>
      <c r="S733" s="14" t="str">
        <f t="shared" si="175"/>
        <v>神器7碎片1等级11</v>
      </c>
      <c r="T733" s="29" t="s">
        <v>649</v>
      </c>
      <c r="U733" s="14">
        <f t="shared" si="172"/>
        <v>11</v>
      </c>
      <c r="V733" s="36">
        <f t="shared" si="176"/>
        <v>0.94200000000000006</v>
      </c>
      <c r="W733" s="17">
        <f t="shared" si="173"/>
        <v>1.8840000000000003E-2</v>
      </c>
      <c r="X733" s="14">
        <f t="shared" si="177"/>
        <v>1</v>
      </c>
      <c r="Y733" s="14">
        <f t="shared" si="178"/>
        <v>3</v>
      </c>
      <c r="Z733" s="14">
        <f t="shared" si="179"/>
        <v>0</v>
      </c>
      <c r="AA733" s="14" t="str">
        <f t="shared" si="180"/>
        <v>AtkExt</v>
      </c>
      <c r="AB733" s="14">
        <f t="shared" si="174"/>
        <v>453</v>
      </c>
      <c r="AC733" s="14" t="str">
        <f t="shared" si="181"/>
        <v>HPExt</v>
      </c>
      <c r="AD733" s="14">
        <f t="shared" si="182"/>
        <v>2728</v>
      </c>
      <c r="AE733" s="14" t="str">
        <f t="shared" si="183"/>
        <v>[x]</v>
      </c>
      <c r="AF733" s="27" t="str">
        <f t="shared" si="184"/>
        <v>[x]</v>
      </c>
      <c r="AG733" s="27" t="str">
        <f t="shared" si="185"/>
        <v>[x]</v>
      </c>
    </row>
    <row r="734" spans="16:33" ht="16.5" x14ac:dyDescent="0.2">
      <c r="P734" s="13">
        <v>678</v>
      </c>
      <c r="Q734" s="14">
        <f t="shared" si="170"/>
        <v>35</v>
      </c>
      <c r="R734" s="14">
        <f t="shared" si="171"/>
        <v>1606043</v>
      </c>
      <c r="S734" s="14" t="str">
        <f t="shared" si="175"/>
        <v>神器7碎片1等级12</v>
      </c>
      <c r="T734" s="29" t="s">
        <v>649</v>
      </c>
      <c r="U734" s="14">
        <f t="shared" si="172"/>
        <v>12</v>
      </c>
      <c r="V734" s="36">
        <f t="shared" si="176"/>
        <v>1.0380000000000003</v>
      </c>
      <c r="W734" s="17">
        <f t="shared" si="173"/>
        <v>2.0760000000000004E-2</v>
      </c>
      <c r="X734" s="14">
        <f t="shared" si="177"/>
        <v>1</v>
      </c>
      <c r="Y734" s="14">
        <f t="shared" si="178"/>
        <v>3</v>
      </c>
      <c r="Z734" s="14">
        <f t="shared" si="179"/>
        <v>0</v>
      </c>
      <c r="AA734" s="14" t="str">
        <f t="shared" si="180"/>
        <v>AtkExt</v>
      </c>
      <c r="AB734" s="14">
        <f t="shared" si="174"/>
        <v>499</v>
      </c>
      <c r="AC734" s="14" t="str">
        <f t="shared" si="181"/>
        <v>HPExt</v>
      </c>
      <c r="AD734" s="14">
        <f t="shared" si="182"/>
        <v>3006</v>
      </c>
      <c r="AE734" s="14" t="str">
        <f t="shared" si="183"/>
        <v>[x]</v>
      </c>
      <c r="AF734" s="27" t="str">
        <f t="shared" si="184"/>
        <v>[x]</v>
      </c>
      <c r="AG734" s="27" t="str">
        <f t="shared" si="185"/>
        <v>[x]</v>
      </c>
    </row>
    <row r="735" spans="16:33" ht="16.5" x14ac:dyDescent="0.2">
      <c r="P735" s="13">
        <v>679</v>
      </c>
      <c r="Q735" s="14">
        <f t="shared" si="170"/>
        <v>35</v>
      </c>
      <c r="R735" s="14">
        <f t="shared" si="171"/>
        <v>1606043</v>
      </c>
      <c r="S735" s="14" t="str">
        <f t="shared" si="175"/>
        <v>神器7碎片1等级13</v>
      </c>
      <c r="T735" s="29" t="s">
        <v>649</v>
      </c>
      <c r="U735" s="14">
        <f t="shared" si="172"/>
        <v>13</v>
      </c>
      <c r="V735" s="36">
        <f t="shared" si="176"/>
        <v>1.1380000000000001</v>
      </c>
      <c r="W735" s="17">
        <f t="shared" si="173"/>
        <v>2.2760000000000002E-2</v>
      </c>
      <c r="X735" s="14">
        <f t="shared" si="177"/>
        <v>1</v>
      </c>
      <c r="Y735" s="14">
        <f t="shared" si="178"/>
        <v>3</v>
      </c>
      <c r="Z735" s="14">
        <f t="shared" si="179"/>
        <v>0</v>
      </c>
      <c r="AA735" s="14" t="str">
        <f t="shared" si="180"/>
        <v>AtkExt</v>
      </c>
      <c r="AB735" s="14">
        <f t="shared" si="174"/>
        <v>548</v>
      </c>
      <c r="AC735" s="14" t="str">
        <f t="shared" si="181"/>
        <v>HPExt</v>
      </c>
      <c r="AD735" s="14">
        <f t="shared" si="182"/>
        <v>3296</v>
      </c>
      <c r="AE735" s="14" t="str">
        <f t="shared" si="183"/>
        <v>[x]</v>
      </c>
      <c r="AF735" s="27" t="str">
        <f t="shared" si="184"/>
        <v>[x]</v>
      </c>
      <c r="AG735" s="27" t="str">
        <f t="shared" si="185"/>
        <v>[x]</v>
      </c>
    </row>
    <row r="736" spans="16:33" ht="16.5" x14ac:dyDescent="0.2">
      <c r="P736" s="13">
        <v>680</v>
      </c>
      <c r="Q736" s="14">
        <f t="shared" si="170"/>
        <v>35</v>
      </c>
      <c r="R736" s="14">
        <f t="shared" si="171"/>
        <v>1606043</v>
      </c>
      <c r="S736" s="14" t="str">
        <f t="shared" si="175"/>
        <v>神器7碎片1等级14</v>
      </c>
      <c r="T736" s="29" t="s">
        <v>649</v>
      </c>
      <c r="U736" s="14">
        <f t="shared" si="172"/>
        <v>14</v>
      </c>
      <c r="V736" s="36">
        <f t="shared" si="176"/>
        <v>1.242</v>
      </c>
      <c r="W736" s="17">
        <f t="shared" si="173"/>
        <v>2.4840000000000001E-2</v>
      </c>
      <c r="X736" s="14">
        <f t="shared" si="177"/>
        <v>1</v>
      </c>
      <c r="Y736" s="14">
        <f t="shared" si="178"/>
        <v>3</v>
      </c>
      <c r="Z736" s="14">
        <f t="shared" si="179"/>
        <v>0</v>
      </c>
      <c r="AA736" s="14" t="str">
        <f t="shared" si="180"/>
        <v>AtkExt</v>
      </c>
      <c r="AB736" s="14">
        <f t="shared" si="174"/>
        <v>598</v>
      </c>
      <c r="AC736" s="14" t="str">
        <f t="shared" si="181"/>
        <v>HPExt</v>
      </c>
      <c r="AD736" s="14">
        <f t="shared" si="182"/>
        <v>3597</v>
      </c>
      <c r="AE736" s="14" t="str">
        <f t="shared" si="183"/>
        <v>[x]</v>
      </c>
      <c r="AF736" s="27" t="str">
        <f t="shared" si="184"/>
        <v>[x]</v>
      </c>
      <c r="AG736" s="27" t="str">
        <f t="shared" si="185"/>
        <v>[x]</v>
      </c>
    </row>
    <row r="737" spans="16:33" ht="16.5" x14ac:dyDescent="0.2">
      <c r="P737" s="13">
        <v>681</v>
      </c>
      <c r="Q737" s="14">
        <f t="shared" si="170"/>
        <v>35</v>
      </c>
      <c r="R737" s="14">
        <f t="shared" si="171"/>
        <v>1606043</v>
      </c>
      <c r="S737" s="14" t="str">
        <f t="shared" si="175"/>
        <v>神器7碎片1等级15</v>
      </c>
      <c r="T737" s="29" t="s">
        <v>649</v>
      </c>
      <c r="U737" s="14">
        <f t="shared" si="172"/>
        <v>15</v>
      </c>
      <c r="V737" s="36">
        <f t="shared" si="176"/>
        <v>1.35</v>
      </c>
      <c r="W737" s="17">
        <f t="shared" si="173"/>
        <v>2.7000000000000003E-2</v>
      </c>
      <c r="X737" s="14">
        <f t="shared" si="177"/>
        <v>1</v>
      </c>
      <c r="Y737" s="14">
        <f t="shared" si="178"/>
        <v>3</v>
      </c>
      <c r="Z737" s="14">
        <f t="shared" si="179"/>
        <v>0</v>
      </c>
      <c r="AA737" s="14" t="str">
        <f t="shared" si="180"/>
        <v>AtkExt</v>
      </c>
      <c r="AB737" s="14">
        <f t="shared" si="174"/>
        <v>650</v>
      </c>
      <c r="AC737" s="14" t="str">
        <f t="shared" si="181"/>
        <v>HPExt</v>
      </c>
      <c r="AD737" s="14">
        <f t="shared" si="182"/>
        <v>3910</v>
      </c>
      <c r="AE737" s="14" t="str">
        <f t="shared" si="183"/>
        <v>[x]</v>
      </c>
      <c r="AF737" s="27" t="str">
        <f t="shared" si="184"/>
        <v>[x]</v>
      </c>
      <c r="AG737" s="27" t="str">
        <f t="shared" si="185"/>
        <v>[x]</v>
      </c>
    </row>
    <row r="738" spans="16:33" ht="16.5" x14ac:dyDescent="0.2">
      <c r="P738" s="13">
        <v>682</v>
      </c>
      <c r="Q738" s="14">
        <f t="shared" si="170"/>
        <v>35</v>
      </c>
      <c r="R738" s="14">
        <f t="shared" si="171"/>
        <v>1606043</v>
      </c>
      <c r="S738" s="14" t="str">
        <f t="shared" si="175"/>
        <v>神器7碎片1等级16</v>
      </c>
      <c r="T738" s="29" t="s">
        <v>649</v>
      </c>
      <c r="U738" s="14">
        <f t="shared" si="172"/>
        <v>16</v>
      </c>
      <c r="V738" s="36">
        <f t="shared" si="176"/>
        <v>1.4620000000000002</v>
      </c>
      <c r="W738" s="17">
        <f t="shared" si="173"/>
        <v>2.9240000000000006E-2</v>
      </c>
      <c r="X738" s="14">
        <f t="shared" si="177"/>
        <v>1</v>
      </c>
      <c r="Y738" s="14">
        <f t="shared" si="178"/>
        <v>3</v>
      </c>
      <c r="Z738" s="14">
        <f t="shared" si="179"/>
        <v>0</v>
      </c>
      <c r="AA738" s="14" t="str">
        <f t="shared" si="180"/>
        <v>AtkExt</v>
      </c>
      <c r="AB738" s="14">
        <f t="shared" si="174"/>
        <v>704</v>
      </c>
      <c r="AC738" s="14" t="str">
        <f t="shared" si="181"/>
        <v>HPExt</v>
      </c>
      <c r="AD738" s="14">
        <f t="shared" si="182"/>
        <v>4235</v>
      </c>
      <c r="AE738" s="14" t="str">
        <f t="shared" si="183"/>
        <v>[x]</v>
      </c>
      <c r="AF738" s="27" t="str">
        <f t="shared" si="184"/>
        <v>[x]</v>
      </c>
      <c r="AG738" s="27" t="str">
        <f t="shared" si="185"/>
        <v>[x]</v>
      </c>
    </row>
    <row r="739" spans="16:33" ht="16.5" x14ac:dyDescent="0.2">
      <c r="P739" s="13">
        <v>683</v>
      </c>
      <c r="Q739" s="14">
        <f t="shared" si="170"/>
        <v>35</v>
      </c>
      <c r="R739" s="14">
        <f t="shared" si="171"/>
        <v>1606043</v>
      </c>
      <c r="S739" s="14" t="str">
        <f t="shared" si="175"/>
        <v>神器7碎片1等级17</v>
      </c>
      <c r="T739" s="29" t="s">
        <v>649</v>
      </c>
      <c r="U739" s="14">
        <f t="shared" si="172"/>
        <v>17</v>
      </c>
      <c r="V739" s="36">
        <f t="shared" si="176"/>
        <v>1.5779999999999998</v>
      </c>
      <c r="W739" s="17">
        <f t="shared" si="173"/>
        <v>3.1559999999999998E-2</v>
      </c>
      <c r="X739" s="14">
        <f t="shared" si="177"/>
        <v>1</v>
      </c>
      <c r="Y739" s="14">
        <f t="shared" si="178"/>
        <v>3</v>
      </c>
      <c r="Z739" s="14">
        <f t="shared" si="179"/>
        <v>0</v>
      </c>
      <c r="AA739" s="14" t="str">
        <f t="shared" si="180"/>
        <v>AtkExt</v>
      </c>
      <c r="AB739" s="14">
        <f t="shared" si="174"/>
        <v>759</v>
      </c>
      <c r="AC739" s="14" t="str">
        <f t="shared" si="181"/>
        <v>HPExt</v>
      </c>
      <c r="AD739" s="14">
        <f t="shared" si="182"/>
        <v>4571</v>
      </c>
      <c r="AE739" s="14" t="str">
        <f t="shared" si="183"/>
        <v>[x]</v>
      </c>
      <c r="AF739" s="27" t="str">
        <f t="shared" si="184"/>
        <v>[x]</v>
      </c>
      <c r="AG739" s="27" t="str">
        <f t="shared" si="185"/>
        <v>[x]</v>
      </c>
    </row>
    <row r="740" spans="16:33" ht="16.5" x14ac:dyDescent="0.2">
      <c r="P740" s="13">
        <v>684</v>
      </c>
      <c r="Q740" s="14">
        <f t="shared" si="170"/>
        <v>35</v>
      </c>
      <c r="R740" s="14">
        <f t="shared" si="171"/>
        <v>1606043</v>
      </c>
      <c r="S740" s="14" t="str">
        <f t="shared" si="175"/>
        <v>神器7碎片1等级18</v>
      </c>
      <c r="T740" s="29" t="s">
        <v>649</v>
      </c>
      <c r="U740" s="14">
        <f t="shared" si="172"/>
        <v>18</v>
      </c>
      <c r="V740" s="36">
        <f t="shared" si="176"/>
        <v>1.698</v>
      </c>
      <c r="W740" s="17">
        <f t="shared" si="173"/>
        <v>3.3959999999999997E-2</v>
      </c>
      <c r="X740" s="14">
        <f t="shared" si="177"/>
        <v>1</v>
      </c>
      <c r="Y740" s="14">
        <f t="shared" si="178"/>
        <v>3</v>
      </c>
      <c r="Z740" s="14">
        <f t="shared" si="179"/>
        <v>0</v>
      </c>
      <c r="AA740" s="14" t="str">
        <f t="shared" si="180"/>
        <v>AtkExt</v>
      </c>
      <c r="AB740" s="14">
        <f t="shared" si="174"/>
        <v>817</v>
      </c>
      <c r="AC740" s="14" t="str">
        <f t="shared" si="181"/>
        <v>HPExt</v>
      </c>
      <c r="AD740" s="14">
        <f t="shared" si="182"/>
        <v>4918</v>
      </c>
      <c r="AE740" s="14" t="str">
        <f t="shared" si="183"/>
        <v>[x]</v>
      </c>
      <c r="AF740" s="27" t="str">
        <f t="shared" si="184"/>
        <v>[x]</v>
      </c>
      <c r="AG740" s="27" t="str">
        <f t="shared" si="185"/>
        <v>[x]</v>
      </c>
    </row>
    <row r="741" spans="16:33" ht="16.5" x14ac:dyDescent="0.2">
      <c r="P741" s="13">
        <v>685</v>
      </c>
      <c r="Q741" s="14">
        <f t="shared" si="170"/>
        <v>35</v>
      </c>
      <c r="R741" s="14">
        <f t="shared" si="171"/>
        <v>1606043</v>
      </c>
      <c r="S741" s="14" t="str">
        <f t="shared" si="175"/>
        <v>神器7碎片1等级19</v>
      </c>
      <c r="T741" s="29" t="s">
        <v>649</v>
      </c>
      <c r="U741" s="14">
        <f t="shared" si="172"/>
        <v>19</v>
      </c>
      <c r="V741" s="36">
        <f t="shared" si="176"/>
        <v>1.8220000000000001</v>
      </c>
      <c r="W741" s="17">
        <f t="shared" si="173"/>
        <v>3.644E-2</v>
      </c>
      <c r="X741" s="14">
        <f t="shared" si="177"/>
        <v>1</v>
      </c>
      <c r="Y741" s="14">
        <f t="shared" si="178"/>
        <v>3</v>
      </c>
      <c r="Z741" s="14">
        <f t="shared" si="179"/>
        <v>0</v>
      </c>
      <c r="AA741" s="14" t="str">
        <f t="shared" si="180"/>
        <v>AtkExt</v>
      </c>
      <c r="AB741" s="14">
        <f t="shared" si="174"/>
        <v>877</v>
      </c>
      <c r="AC741" s="14" t="str">
        <f t="shared" si="181"/>
        <v>HPExt</v>
      </c>
      <c r="AD741" s="14">
        <f t="shared" si="182"/>
        <v>5277</v>
      </c>
      <c r="AE741" s="14" t="str">
        <f t="shared" si="183"/>
        <v>[x]</v>
      </c>
      <c r="AF741" s="27" t="str">
        <f t="shared" si="184"/>
        <v>[x]</v>
      </c>
      <c r="AG741" s="27" t="str">
        <f t="shared" si="185"/>
        <v>[x]</v>
      </c>
    </row>
    <row r="742" spans="16:33" ht="16.5" x14ac:dyDescent="0.2">
      <c r="P742" s="13">
        <v>686</v>
      </c>
      <c r="Q742" s="14">
        <f t="shared" si="170"/>
        <v>35</v>
      </c>
      <c r="R742" s="14">
        <f t="shared" si="171"/>
        <v>1606043</v>
      </c>
      <c r="S742" s="14" t="str">
        <f t="shared" si="175"/>
        <v>神器7碎片1等级20</v>
      </c>
      <c r="T742" s="29" t="s">
        <v>649</v>
      </c>
      <c r="U742" s="14">
        <f t="shared" si="172"/>
        <v>20</v>
      </c>
      <c r="V742" s="36">
        <f t="shared" si="176"/>
        <v>1.95</v>
      </c>
      <c r="W742" s="17">
        <f t="shared" si="173"/>
        <v>3.9E-2</v>
      </c>
      <c r="X742" s="14">
        <f t="shared" si="177"/>
        <v>1</v>
      </c>
      <c r="Y742" s="14">
        <f t="shared" si="178"/>
        <v>3</v>
      </c>
      <c r="Z742" s="14">
        <f t="shared" si="179"/>
        <v>0</v>
      </c>
      <c r="AA742" s="14" t="str">
        <f t="shared" si="180"/>
        <v>AtkExt</v>
      </c>
      <c r="AB742" s="14">
        <f t="shared" si="174"/>
        <v>939</v>
      </c>
      <c r="AC742" s="14" t="str">
        <f t="shared" si="181"/>
        <v>HPExt</v>
      </c>
      <c r="AD742" s="14">
        <f t="shared" si="182"/>
        <v>5648</v>
      </c>
      <c r="AE742" s="14" t="str">
        <f t="shared" si="183"/>
        <v>[x]</v>
      </c>
      <c r="AF742" s="27" t="str">
        <f t="shared" si="184"/>
        <v>[x]</v>
      </c>
      <c r="AG742" s="27" t="str">
        <f t="shared" si="185"/>
        <v>[x]</v>
      </c>
    </row>
    <row r="743" spans="16:33" ht="16.5" x14ac:dyDescent="0.2">
      <c r="P743" s="13">
        <v>687</v>
      </c>
      <c r="Q743" s="14">
        <f t="shared" si="170"/>
        <v>35</v>
      </c>
      <c r="R743" s="14">
        <f t="shared" si="171"/>
        <v>1606043</v>
      </c>
      <c r="S743" s="14" t="str">
        <f t="shared" si="175"/>
        <v>神器7碎片1等级21</v>
      </c>
      <c r="T743" s="29" t="s">
        <v>649</v>
      </c>
      <c r="U743" s="14">
        <f t="shared" si="172"/>
        <v>21</v>
      </c>
      <c r="V743" s="36">
        <f t="shared" si="176"/>
        <v>2.0819999999999999</v>
      </c>
      <c r="W743" s="17">
        <f t="shared" si="173"/>
        <v>4.1639999999999996E-2</v>
      </c>
      <c r="X743" s="14">
        <f t="shared" si="177"/>
        <v>1</v>
      </c>
      <c r="Y743" s="14">
        <f t="shared" si="178"/>
        <v>3</v>
      </c>
      <c r="Z743" s="14">
        <f t="shared" si="179"/>
        <v>0</v>
      </c>
      <c r="AA743" s="14" t="str">
        <f t="shared" si="180"/>
        <v>AtkExt</v>
      </c>
      <c r="AB743" s="14">
        <f t="shared" si="174"/>
        <v>1002</v>
      </c>
      <c r="AC743" s="14" t="str">
        <f t="shared" si="181"/>
        <v>HPExt</v>
      </c>
      <c r="AD743" s="14">
        <f t="shared" si="182"/>
        <v>6030</v>
      </c>
      <c r="AE743" s="14" t="str">
        <f t="shared" si="183"/>
        <v>[x]</v>
      </c>
      <c r="AF743" s="27" t="str">
        <f t="shared" si="184"/>
        <v>[x]</v>
      </c>
      <c r="AG743" s="27" t="str">
        <f t="shared" si="185"/>
        <v>[x]</v>
      </c>
    </row>
    <row r="744" spans="16:33" ht="16.5" x14ac:dyDescent="0.2">
      <c r="P744" s="13">
        <v>688</v>
      </c>
      <c r="Q744" s="14">
        <f t="shared" si="170"/>
        <v>36</v>
      </c>
      <c r="R744" s="14">
        <f t="shared" si="171"/>
        <v>1606044</v>
      </c>
      <c r="S744" s="14" t="str">
        <f t="shared" si="175"/>
        <v>神器7碎片2等级1</v>
      </c>
      <c r="T744" s="29" t="s">
        <v>649</v>
      </c>
      <c r="U744" s="14">
        <f t="shared" si="172"/>
        <v>1</v>
      </c>
      <c r="V744" s="36">
        <f t="shared" si="176"/>
        <v>0.20200000000000001</v>
      </c>
      <c r="W744" s="17">
        <f t="shared" si="173"/>
        <v>4.0400000000000002E-3</v>
      </c>
      <c r="X744" s="14">
        <f t="shared" si="177"/>
        <v>1</v>
      </c>
      <c r="Y744" s="14">
        <f t="shared" si="178"/>
        <v>2</v>
      </c>
      <c r="Z744" s="14">
        <f t="shared" si="179"/>
        <v>0</v>
      </c>
      <c r="AA744" s="14" t="str">
        <f t="shared" si="180"/>
        <v>AtkExt</v>
      </c>
      <c r="AB744" s="14">
        <f t="shared" si="174"/>
        <v>194</v>
      </c>
      <c r="AC744" s="14" t="str">
        <f t="shared" si="181"/>
        <v>DefExt</v>
      </c>
      <c r="AD744" s="14">
        <f t="shared" si="182"/>
        <v>48</v>
      </c>
      <c r="AE744" s="14" t="str">
        <f t="shared" si="183"/>
        <v>[x]</v>
      </c>
      <c r="AF744" s="27" t="str">
        <f t="shared" si="184"/>
        <v>[x]</v>
      </c>
      <c r="AG744" s="27" t="str">
        <f t="shared" si="185"/>
        <v>[x]</v>
      </c>
    </row>
    <row r="745" spans="16:33" ht="16.5" x14ac:dyDescent="0.2">
      <c r="P745" s="13">
        <v>689</v>
      </c>
      <c r="Q745" s="14">
        <f t="shared" si="170"/>
        <v>36</v>
      </c>
      <c r="R745" s="14">
        <f t="shared" si="171"/>
        <v>1606044</v>
      </c>
      <c r="S745" s="14" t="str">
        <f t="shared" si="175"/>
        <v>神器7碎片2等级2</v>
      </c>
      <c r="T745" s="29" t="s">
        <v>649</v>
      </c>
      <c r="U745" s="14">
        <f t="shared" si="172"/>
        <v>2</v>
      </c>
      <c r="V745" s="36">
        <f t="shared" si="176"/>
        <v>0.25800000000000001</v>
      </c>
      <c r="W745" s="17">
        <f t="shared" si="173"/>
        <v>5.1600000000000005E-3</v>
      </c>
      <c r="X745" s="14">
        <f t="shared" si="177"/>
        <v>1</v>
      </c>
      <c r="Y745" s="14">
        <f t="shared" si="178"/>
        <v>2</v>
      </c>
      <c r="Z745" s="14">
        <f t="shared" si="179"/>
        <v>0</v>
      </c>
      <c r="AA745" s="14" t="str">
        <f t="shared" si="180"/>
        <v>AtkExt</v>
      </c>
      <c r="AB745" s="14">
        <f t="shared" si="174"/>
        <v>248</v>
      </c>
      <c r="AC745" s="14" t="str">
        <f t="shared" si="181"/>
        <v>DefExt</v>
      </c>
      <c r="AD745" s="14">
        <f t="shared" si="182"/>
        <v>61</v>
      </c>
      <c r="AE745" s="14" t="str">
        <f t="shared" si="183"/>
        <v>[x]</v>
      </c>
      <c r="AF745" s="27" t="str">
        <f t="shared" si="184"/>
        <v>[x]</v>
      </c>
      <c r="AG745" s="27" t="str">
        <f t="shared" si="185"/>
        <v>[x]</v>
      </c>
    </row>
    <row r="746" spans="16:33" ht="16.5" x14ac:dyDescent="0.2">
      <c r="P746" s="13">
        <v>690</v>
      </c>
      <c r="Q746" s="14">
        <f t="shared" si="170"/>
        <v>36</v>
      </c>
      <c r="R746" s="14">
        <f t="shared" si="171"/>
        <v>1606044</v>
      </c>
      <c r="S746" s="14" t="str">
        <f t="shared" si="175"/>
        <v>神器7碎片2等级3</v>
      </c>
      <c r="T746" s="29" t="s">
        <v>649</v>
      </c>
      <c r="U746" s="14">
        <f t="shared" si="172"/>
        <v>3</v>
      </c>
      <c r="V746" s="36">
        <f t="shared" si="176"/>
        <v>0.31800000000000006</v>
      </c>
      <c r="W746" s="17">
        <f t="shared" si="173"/>
        <v>6.3600000000000011E-3</v>
      </c>
      <c r="X746" s="14">
        <f t="shared" si="177"/>
        <v>1</v>
      </c>
      <c r="Y746" s="14">
        <f t="shared" si="178"/>
        <v>2</v>
      </c>
      <c r="Z746" s="14">
        <f t="shared" si="179"/>
        <v>0</v>
      </c>
      <c r="AA746" s="14" t="str">
        <f t="shared" si="180"/>
        <v>AtkExt</v>
      </c>
      <c r="AB746" s="14">
        <f t="shared" si="174"/>
        <v>306</v>
      </c>
      <c r="AC746" s="14" t="str">
        <f t="shared" si="181"/>
        <v>DefExt</v>
      </c>
      <c r="AD746" s="14">
        <f t="shared" si="182"/>
        <v>76</v>
      </c>
      <c r="AE746" s="14" t="str">
        <f t="shared" si="183"/>
        <v>[x]</v>
      </c>
      <c r="AF746" s="27" t="str">
        <f t="shared" si="184"/>
        <v>[x]</v>
      </c>
      <c r="AG746" s="27" t="str">
        <f t="shared" si="185"/>
        <v>[x]</v>
      </c>
    </row>
    <row r="747" spans="16:33" ht="16.5" x14ac:dyDescent="0.2">
      <c r="P747" s="13">
        <v>691</v>
      </c>
      <c r="Q747" s="14">
        <f t="shared" si="170"/>
        <v>36</v>
      </c>
      <c r="R747" s="14">
        <f t="shared" si="171"/>
        <v>1606044</v>
      </c>
      <c r="S747" s="14" t="str">
        <f t="shared" si="175"/>
        <v>神器7碎片2等级4</v>
      </c>
      <c r="T747" s="29" t="s">
        <v>649</v>
      </c>
      <c r="U747" s="14">
        <f t="shared" si="172"/>
        <v>4</v>
      </c>
      <c r="V747" s="36">
        <f t="shared" si="176"/>
        <v>0.38200000000000001</v>
      </c>
      <c r="W747" s="17">
        <f t="shared" si="173"/>
        <v>7.6400000000000001E-3</v>
      </c>
      <c r="X747" s="14">
        <f t="shared" si="177"/>
        <v>1</v>
      </c>
      <c r="Y747" s="14">
        <f t="shared" si="178"/>
        <v>2</v>
      </c>
      <c r="Z747" s="14">
        <f t="shared" si="179"/>
        <v>0</v>
      </c>
      <c r="AA747" s="14" t="str">
        <f t="shared" si="180"/>
        <v>AtkExt</v>
      </c>
      <c r="AB747" s="14">
        <f t="shared" si="174"/>
        <v>367</v>
      </c>
      <c r="AC747" s="14" t="str">
        <f t="shared" si="181"/>
        <v>DefExt</v>
      </c>
      <c r="AD747" s="14">
        <f t="shared" si="182"/>
        <v>91</v>
      </c>
      <c r="AE747" s="14" t="str">
        <f t="shared" si="183"/>
        <v>[x]</v>
      </c>
      <c r="AF747" s="27" t="str">
        <f t="shared" si="184"/>
        <v>[x]</v>
      </c>
      <c r="AG747" s="27" t="str">
        <f t="shared" si="185"/>
        <v>[x]</v>
      </c>
    </row>
    <row r="748" spans="16:33" ht="16.5" x14ac:dyDescent="0.2">
      <c r="P748" s="13">
        <v>692</v>
      </c>
      <c r="Q748" s="14">
        <f t="shared" si="170"/>
        <v>36</v>
      </c>
      <c r="R748" s="14">
        <f t="shared" si="171"/>
        <v>1606044</v>
      </c>
      <c r="S748" s="14" t="str">
        <f t="shared" si="175"/>
        <v>神器7碎片2等级5</v>
      </c>
      <c r="T748" s="29" t="s">
        <v>649</v>
      </c>
      <c r="U748" s="14">
        <f t="shared" si="172"/>
        <v>5</v>
      </c>
      <c r="V748" s="36">
        <f t="shared" si="176"/>
        <v>0.45</v>
      </c>
      <c r="W748" s="17">
        <f t="shared" si="173"/>
        <v>9.0000000000000011E-3</v>
      </c>
      <c r="X748" s="14">
        <f t="shared" si="177"/>
        <v>1</v>
      </c>
      <c r="Y748" s="14">
        <f t="shared" si="178"/>
        <v>2</v>
      </c>
      <c r="Z748" s="14">
        <f t="shared" si="179"/>
        <v>0</v>
      </c>
      <c r="AA748" s="14" t="str">
        <f t="shared" si="180"/>
        <v>AtkExt</v>
      </c>
      <c r="AB748" s="14">
        <f t="shared" si="174"/>
        <v>433</v>
      </c>
      <c r="AC748" s="14" t="str">
        <f t="shared" si="181"/>
        <v>DefExt</v>
      </c>
      <c r="AD748" s="14">
        <f t="shared" si="182"/>
        <v>108</v>
      </c>
      <c r="AE748" s="14" t="str">
        <f t="shared" si="183"/>
        <v>[x]</v>
      </c>
      <c r="AF748" s="27" t="str">
        <f t="shared" si="184"/>
        <v>[x]</v>
      </c>
      <c r="AG748" s="27" t="str">
        <f t="shared" si="185"/>
        <v>[x]</v>
      </c>
    </row>
    <row r="749" spans="16:33" ht="16.5" x14ac:dyDescent="0.2">
      <c r="P749" s="13">
        <v>693</v>
      </c>
      <c r="Q749" s="14">
        <f t="shared" si="170"/>
        <v>36</v>
      </c>
      <c r="R749" s="14">
        <f t="shared" si="171"/>
        <v>1606044</v>
      </c>
      <c r="S749" s="14" t="str">
        <f t="shared" si="175"/>
        <v>神器7碎片2等级6</v>
      </c>
      <c r="T749" s="29" t="s">
        <v>649</v>
      </c>
      <c r="U749" s="14">
        <f t="shared" si="172"/>
        <v>6</v>
      </c>
      <c r="V749" s="36">
        <f t="shared" si="176"/>
        <v>0.52200000000000002</v>
      </c>
      <c r="W749" s="17">
        <f t="shared" si="173"/>
        <v>1.0440000000000001E-2</v>
      </c>
      <c r="X749" s="14">
        <f t="shared" si="177"/>
        <v>1</v>
      </c>
      <c r="Y749" s="14">
        <f t="shared" si="178"/>
        <v>2</v>
      </c>
      <c r="Z749" s="14">
        <f t="shared" si="179"/>
        <v>0</v>
      </c>
      <c r="AA749" s="14" t="str">
        <f t="shared" si="180"/>
        <v>AtkExt</v>
      </c>
      <c r="AB749" s="14">
        <f t="shared" si="174"/>
        <v>502</v>
      </c>
      <c r="AC749" s="14" t="str">
        <f t="shared" si="181"/>
        <v>DefExt</v>
      </c>
      <c r="AD749" s="14">
        <f t="shared" si="182"/>
        <v>125</v>
      </c>
      <c r="AE749" s="14" t="str">
        <f t="shared" si="183"/>
        <v>[x]</v>
      </c>
      <c r="AF749" s="27" t="str">
        <f t="shared" si="184"/>
        <v>[x]</v>
      </c>
      <c r="AG749" s="27" t="str">
        <f t="shared" si="185"/>
        <v>[x]</v>
      </c>
    </row>
    <row r="750" spans="16:33" ht="16.5" x14ac:dyDescent="0.2">
      <c r="P750" s="13">
        <v>694</v>
      </c>
      <c r="Q750" s="14">
        <f t="shared" si="170"/>
        <v>36</v>
      </c>
      <c r="R750" s="14">
        <f t="shared" si="171"/>
        <v>1606044</v>
      </c>
      <c r="S750" s="14" t="str">
        <f t="shared" si="175"/>
        <v>神器7碎片2等级7</v>
      </c>
      <c r="T750" s="29" t="s">
        <v>649</v>
      </c>
      <c r="U750" s="14">
        <f t="shared" si="172"/>
        <v>7</v>
      </c>
      <c r="V750" s="36">
        <f t="shared" si="176"/>
        <v>0.59799999999999998</v>
      </c>
      <c r="W750" s="17">
        <f t="shared" si="173"/>
        <v>1.196E-2</v>
      </c>
      <c r="X750" s="14">
        <f t="shared" si="177"/>
        <v>1</v>
      </c>
      <c r="Y750" s="14">
        <f t="shared" si="178"/>
        <v>2</v>
      </c>
      <c r="Z750" s="14">
        <f t="shared" si="179"/>
        <v>0</v>
      </c>
      <c r="AA750" s="14" t="str">
        <f t="shared" si="180"/>
        <v>AtkExt</v>
      </c>
      <c r="AB750" s="14">
        <f t="shared" si="174"/>
        <v>576</v>
      </c>
      <c r="AC750" s="14" t="str">
        <f t="shared" si="181"/>
        <v>DefExt</v>
      </c>
      <c r="AD750" s="14">
        <f t="shared" si="182"/>
        <v>143</v>
      </c>
      <c r="AE750" s="14" t="str">
        <f t="shared" si="183"/>
        <v>[x]</v>
      </c>
      <c r="AF750" s="27" t="str">
        <f t="shared" si="184"/>
        <v>[x]</v>
      </c>
      <c r="AG750" s="27" t="str">
        <f t="shared" si="185"/>
        <v>[x]</v>
      </c>
    </row>
    <row r="751" spans="16:33" ht="16.5" x14ac:dyDescent="0.2">
      <c r="P751" s="13">
        <v>695</v>
      </c>
      <c r="Q751" s="14">
        <f t="shared" si="170"/>
        <v>36</v>
      </c>
      <c r="R751" s="14">
        <f t="shared" si="171"/>
        <v>1606044</v>
      </c>
      <c r="S751" s="14" t="str">
        <f t="shared" si="175"/>
        <v>神器7碎片2等级8</v>
      </c>
      <c r="T751" s="29" t="s">
        <v>649</v>
      </c>
      <c r="U751" s="14">
        <f t="shared" si="172"/>
        <v>8</v>
      </c>
      <c r="V751" s="36">
        <f t="shared" si="176"/>
        <v>0.67800000000000005</v>
      </c>
      <c r="W751" s="17">
        <f t="shared" si="173"/>
        <v>1.3560000000000001E-2</v>
      </c>
      <c r="X751" s="14">
        <f t="shared" si="177"/>
        <v>1</v>
      </c>
      <c r="Y751" s="14">
        <f t="shared" si="178"/>
        <v>2</v>
      </c>
      <c r="Z751" s="14">
        <f t="shared" si="179"/>
        <v>0</v>
      </c>
      <c r="AA751" s="14" t="str">
        <f t="shared" si="180"/>
        <v>AtkExt</v>
      </c>
      <c r="AB751" s="14">
        <f t="shared" si="174"/>
        <v>653</v>
      </c>
      <c r="AC751" s="14" t="str">
        <f t="shared" si="181"/>
        <v>DefExt</v>
      </c>
      <c r="AD751" s="14">
        <f t="shared" si="182"/>
        <v>162</v>
      </c>
      <c r="AE751" s="14" t="str">
        <f t="shared" si="183"/>
        <v>[x]</v>
      </c>
      <c r="AF751" s="27" t="str">
        <f t="shared" si="184"/>
        <v>[x]</v>
      </c>
      <c r="AG751" s="27" t="str">
        <f t="shared" si="185"/>
        <v>[x]</v>
      </c>
    </row>
    <row r="752" spans="16:33" ht="16.5" x14ac:dyDescent="0.2">
      <c r="P752" s="13">
        <v>696</v>
      </c>
      <c r="Q752" s="14">
        <f t="shared" si="170"/>
        <v>36</v>
      </c>
      <c r="R752" s="14">
        <f t="shared" si="171"/>
        <v>1606044</v>
      </c>
      <c r="S752" s="14" t="str">
        <f t="shared" si="175"/>
        <v>神器7碎片2等级9</v>
      </c>
      <c r="T752" s="29" t="s">
        <v>649</v>
      </c>
      <c r="U752" s="14">
        <f t="shared" si="172"/>
        <v>9</v>
      </c>
      <c r="V752" s="36">
        <f t="shared" si="176"/>
        <v>0.76200000000000001</v>
      </c>
      <c r="W752" s="17">
        <f t="shared" si="173"/>
        <v>1.524E-2</v>
      </c>
      <c r="X752" s="14">
        <f t="shared" si="177"/>
        <v>1</v>
      </c>
      <c r="Y752" s="14">
        <f t="shared" si="178"/>
        <v>2</v>
      </c>
      <c r="Z752" s="14">
        <f t="shared" si="179"/>
        <v>0</v>
      </c>
      <c r="AA752" s="14" t="str">
        <f t="shared" si="180"/>
        <v>AtkExt</v>
      </c>
      <c r="AB752" s="14">
        <f t="shared" si="174"/>
        <v>733</v>
      </c>
      <c r="AC752" s="14" t="str">
        <f t="shared" si="181"/>
        <v>DefExt</v>
      </c>
      <c r="AD752" s="14">
        <f t="shared" si="182"/>
        <v>183</v>
      </c>
      <c r="AE752" s="14" t="str">
        <f t="shared" si="183"/>
        <v>[x]</v>
      </c>
      <c r="AF752" s="27" t="str">
        <f t="shared" si="184"/>
        <v>[x]</v>
      </c>
      <c r="AG752" s="27" t="str">
        <f t="shared" si="185"/>
        <v>[x]</v>
      </c>
    </row>
    <row r="753" spans="16:33" ht="16.5" x14ac:dyDescent="0.2">
      <c r="P753" s="13">
        <v>697</v>
      </c>
      <c r="Q753" s="14">
        <f t="shared" si="170"/>
        <v>36</v>
      </c>
      <c r="R753" s="14">
        <f t="shared" si="171"/>
        <v>1606044</v>
      </c>
      <c r="S753" s="14" t="str">
        <f t="shared" si="175"/>
        <v>神器7碎片2等级10</v>
      </c>
      <c r="T753" s="29" t="s">
        <v>649</v>
      </c>
      <c r="U753" s="14">
        <f t="shared" si="172"/>
        <v>10</v>
      </c>
      <c r="V753" s="36">
        <f t="shared" si="176"/>
        <v>0.85000000000000009</v>
      </c>
      <c r="W753" s="17">
        <f t="shared" si="173"/>
        <v>1.7000000000000001E-2</v>
      </c>
      <c r="X753" s="14">
        <f t="shared" si="177"/>
        <v>1</v>
      </c>
      <c r="Y753" s="14">
        <f t="shared" si="178"/>
        <v>2</v>
      </c>
      <c r="Z753" s="14">
        <f t="shared" si="179"/>
        <v>0</v>
      </c>
      <c r="AA753" s="14" t="str">
        <f t="shared" si="180"/>
        <v>AtkExt</v>
      </c>
      <c r="AB753" s="14">
        <f t="shared" si="174"/>
        <v>818</v>
      </c>
      <c r="AC753" s="14" t="str">
        <f t="shared" si="181"/>
        <v>DefExt</v>
      </c>
      <c r="AD753" s="14">
        <f t="shared" si="182"/>
        <v>204</v>
      </c>
      <c r="AE753" s="14" t="str">
        <f t="shared" si="183"/>
        <v>[x]</v>
      </c>
      <c r="AF753" s="27" t="str">
        <f t="shared" si="184"/>
        <v>[x]</v>
      </c>
      <c r="AG753" s="27" t="str">
        <f t="shared" si="185"/>
        <v>[x]</v>
      </c>
    </row>
    <row r="754" spans="16:33" ht="16.5" x14ac:dyDescent="0.2">
      <c r="P754" s="13">
        <v>698</v>
      </c>
      <c r="Q754" s="14">
        <f t="shared" si="170"/>
        <v>36</v>
      </c>
      <c r="R754" s="14">
        <f t="shared" si="171"/>
        <v>1606044</v>
      </c>
      <c r="S754" s="14" t="str">
        <f t="shared" si="175"/>
        <v>神器7碎片2等级11</v>
      </c>
      <c r="T754" s="29" t="s">
        <v>649</v>
      </c>
      <c r="U754" s="14">
        <f t="shared" si="172"/>
        <v>11</v>
      </c>
      <c r="V754" s="36">
        <f t="shared" si="176"/>
        <v>0.94200000000000006</v>
      </c>
      <c r="W754" s="17">
        <f t="shared" si="173"/>
        <v>1.8840000000000003E-2</v>
      </c>
      <c r="X754" s="14">
        <f t="shared" si="177"/>
        <v>1</v>
      </c>
      <c r="Y754" s="14">
        <f t="shared" si="178"/>
        <v>2</v>
      </c>
      <c r="Z754" s="14">
        <f t="shared" si="179"/>
        <v>0</v>
      </c>
      <c r="AA754" s="14" t="str">
        <f t="shared" si="180"/>
        <v>AtkExt</v>
      </c>
      <c r="AB754" s="14">
        <f t="shared" si="174"/>
        <v>907</v>
      </c>
      <c r="AC754" s="14" t="str">
        <f t="shared" si="181"/>
        <v>DefExt</v>
      </c>
      <c r="AD754" s="14">
        <f t="shared" si="182"/>
        <v>226</v>
      </c>
      <c r="AE754" s="14" t="str">
        <f t="shared" si="183"/>
        <v>[x]</v>
      </c>
      <c r="AF754" s="27" t="str">
        <f t="shared" si="184"/>
        <v>[x]</v>
      </c>
      <c r="AG754" s="27" t="str">
        <f t="shared" si="185"/>
        <v>[x]</v>
      </c>
    </row>
    <row r="755" spans="16:33" ht="16.5" x14ac:dyDescent="0.2">
      <c r="P755" s="13">
        <v>699</v>
      </c>
      <c r="Q755" s="14">
        <f t="shared" si="170"/>
        <v>36</v>
      </c>
      <c r="R755" s="14">
        <f t="shared" si="171"/>
        <v>1606044</v>
      </c>
      <c r="S755" s="14" t="str">
        <f t="shared" si="175"/>
        <v>神器7碎片2等级12</v>
      </c>
      <c r="T755" s="29" t="s">
        <v>649</v>
      </c>
      <c r="U755" s="14">
        <f t="shared" si="172"/>
        <v>12</v>
      </c>
      <c r="V755" s="36">
        <f t="shared" si="176"/>
        <v>1.0380000000000003</v>
      </c>
      <c r="W755" s="17">
        <f t="shared" si="173"/>
        <v>2.0760000000000004E-2</v>
      </c>
      <c r="X755" s="14">
        <f t="shared" si="177"/>
        <v>1</v>
      </c>
      <c r="Y755" s="14">
        <f t="shared" si="178"/>
        <v>2</v>
      </c>
      <c r="Z755" s="14">
        <f t="shared" si="179"/>
        <v>0</v>
      </c>
      <c r="AA755" s="14" t="str">
        <f t="shared" si="180"/>
        <v>AtkExt</v>
      </c>
      <c r="AB755" s="14">
        <f t="shared" si="174"/>
        <v>999</v>
      </c>
      <c r="AC755" s="14" t="str">
        <f t="shared" si="181"/>
        <v>DefExt</v>
      </c>
      <c r="AD755" s="14">
        <f t="shared" si="182"/>
        <v>249</v>
      </c>
      <c r="AE755" s="14" t="str">
        <f t="shared" si="183"/>
        <v>[x]</v>
      </c>
      <c r="AF755" s="27" t="str">
        <f t="shared" si="184"/>
        <v>[x]</v>
      </c>
      <c r="AG755" s="27" t="str">
        <f t="shared" si="185"/>
        <v>[x]</v>
      </c>
    </row>
    <row r="756" spans="16:33" ht="16.5" x14ac:dyDescent="0.2">
      <c r="P756" s="13">
        <v>700</v>
      </c>
      <c r="Q756" s="14">
        <f t="shared" si="170"/>
        <v>36</v>
      </c>
      <c r="R756" s="14">
        <f t="shared" si="171"/>
        <v>1606044</v>
      </c>
      <c r="S756" s="14" t="str">
        <f t="shared" si="175"/>
        <v>神器7碎片2等级13</v>
      </c>
      <c r="T756" s="29" t="s">
        <v>649</v>
      </c>
      <c r="U756" s="14">
        <f t="shared" si="172"/>
        <v>13</v>
      </c>
      <c r="V756" s="36">
        <f t="shared" si="176"/>
        <v>1.1380000000000001</v>
      </c>
      <c r="W756" s="17">
        <f t="shared" si="173"/>
        <v>2.2760000000000002E-2</v>
      </c>
      <c r="X756" s="14">
        <f t="shared" si="177"/>
        <v>1</v>
      </c>
      <c r="Y756" s="14">
        <f t="shared" si="178"/>
        <v>2</v>
      </c>
      <c r="Z756" s="14">
        <f t="shared" si="179"/>
        <v>0</v>
      </c>
      <c r="AA756" s="14" t="str">
        <f t="shared" si="180"/>
        <v>AtkExt</v>
      </c>
      <c r="AB756" s="14">
        <f t="shared" si="174"/>
        <v>1096</v>
      </c>
      <c r="AC756" s="14" t="str">
        <f t="shared" si="181"/>
        <v>DefExt</v>
      </c>
      <c r="AD756" s="14">
        <f t="shared" si="182"/>
        <v>273</v>
      </c>
      <c r="AE756" s="14" t="str">
        <f t="shared" si="183"/>
        <v>[x]</v>
      </c>
      <c r="AF756" s="27" t="str">
        <f t="shared" si="184"/>
        <v>[x]</v>
      </c>
      <c r="AG756" s="27" t="str">
        <f t="shared" si="185"/>
        <v>[x]</v>
      </c>
    </row>
    <row r="757" spans="16:33" ht="16.5" x14ac:dyDescent="0.2">
      <c r="P757" s="13">
        <v>701</v>
      </c>
      <c r="Q757" s="14">
        <f t="shared" si="170"/>
        <v>36</v>
      </c>
      <c r="R757" s="14">
        <f t="shared" si="171"/>
        <v>1606044</v>
      </c>
      <c r="S757" s="14" t="str">
        <f t="shared" si="175"/>
        <v>神器7碎片2等级14</v>
      </c>
      <c r="T757" s="29" t="s">
        <v>649</v>
      </c>
      <c r="U757" s="14">
        <f t="shared" si="172"/>
        <v>14</v>
      </c>
      <c r="V757" s="36">
        <f t="shared" si="176"/>
        <v>1.242</v>
      </c>
      <c r="W757" s="17">
        <f t="shared" si="173"/>
        <v>2.4840000000000001E-2</v>
      </c>
      <c r="X757" s="14">
        <f t="shared" si="177"/>
        <v>1</v>
      </c>
      <c r="Y757" s="14">
        <f t="shared" si="178"/>
        <v>2</v>
      </c>
      <c r="Z757" s="14">
        <f t="shared" si="179"/>
        <v>0</v>
      </c>
      <c r="AA757" s="14" t="str">
        <f t="shared" si="180"/>
        <v>AtkExt</v>
      </c>
      <c r="AB757" s="14">
        <f t="shared" si="174"/>
        <v>1196</v>
      </c>
      <c r="AC757" s="14" t="str">
        <f t="shared" si="181"/>
        <v>DefExt</v>
      </c>
      <c r="AD757" s="14">
        <f t="shared" si="182"/>
        <v>298</v>
      </c>
      <c r="AE757" s="14" t="str">
        <f t="shared" si="183"/>
        <v>[x]</v>
      </c>
      <c r="AF757" s="27" t="str">
        <f t="shared" si="184"/>
        <v>[x]</v>
      </c>
      <c r="AG757" s="27" t="str">
        <f t="shared" si="185"/>
        <v>[x]</v>
      </c>
    </row>
    <row r="758" spans="16:33" ht="16.5" x14ac:dyDescent="0.2">
      <c r="P758" s="13">
        <v>702</v>
      </c>
      <c r="Q758" s="14">
        <f t="shared" si="170"/>
        <v>36</v>
      </c>
      <c r="R758" s="14">
        <f t="shared" si="171"/>
        <v>1606044</v>
      </c>
      <c r="S758" s="14" t="str">
        <f t="shared" si="175"/>
        <v>神器7碎片2等级15</v>
      </c>
      <c r="T758" s="29" t="s">
        <v>649</v>
      </c>
      <c r="U758" s="14">
        <f t="shared" si="172"/>
        <v>15</v>
      </c>
      <c r="V758" s="36">
        <f t="shared" si="176"/>
        <v>1.35</v>
      </c>
      <c r="W758" s="17">
        <f t="shared" si="173"/>
        <v>2.7000000000000003E-2</v>
      </c>
      <c r="X758" s="14">
        <f t="shared" si="177"/>
        <v>1</v>
      </c>
      <c r="Y758" s="14">
        <f t="shared" si="178"/>
        <v>2</v>
      </c>
      <c r="Z758" s="14">
        <f t="shared" si="179"/>
        <v>0</v>
      </c>
      <c r="AA758" s="14" t="str">
        <f t="shared" si="180"/>
        <v>AtkExt</v>
      </c>
      <c r="AB758" s="14">
        <f t="shared" si="174"/>
        <v>1300</v>
      </c>
      <c r="AC758" s="14" t="str">
        <f t="shared" si="181"/>
        <v>DefExt</v>
      </c>
      <c r="AD758" s="14">
        <f t="shared" si="182"/>
        <v>324</v>
      </c>
      <c r="AE758" s="14" t="str">
        <f t="shared" si="183"/>
        <v>[x]</v>
      </c>
      <c r="AF758" s="27" t="str">
        <f t="shared" si="184"/>
        <v>[x]</v>
      </c>
      <c r="AG758" s="27" t="str">
        <f t="shared" si="185"/>
        <v>[x]</v>
      </c>
    </row>
    <row r="759" spans="16:33" ht="16.5" x14ac:dyDescent="0.2">
      <c r="P759" s="13">
        <v>703</v>
      </c>
      <c r="Q759" s="14">
        <f t="shared" si="170"/>
        <v>36</v>
      </c>
      <c r="R759" s="14">
        <f t="shared" si="171"/>
        <v>1606044</v>
      </c>
      <c r="S759" s="14" t="str">
        <f t="shared" si="175"/>
        <v>神器7碎片2等级16</v>
      </c>
      <c r="T759" s="29" t="s">
        <v>649</v>
      </c>
      <c r="U759" s="14">
        <f t="shared" si="172"/>
        <v>16</v>
      </c>
      <c r="V759" s="36">
        <f t="shared" si="176"/>
        <v>1.4620000000000002</v>
      </c>
      <c r="W759" s="17">
        <f t="shared" si="173"/>
        <v>2.9240000000000006E-2</v>
      </c>
      <c r="X759" s="14">
        <f t="shared" si="177"/>
        <v>1</v>
      </c>
      <c r="Y759" s="14">
        <f t="shared" si="178"/>
        <v>2</v>
      </c>
      <c r="Z759" s="14">
        <f t="shared" si="179"/>
        <v>0</v>
      </c>
      <c r="AA759" s="14" t="str">
        <f t="shared" si="180"/>
        <v>AtkExt</v>
      </c>
      <c r="AB759" s="14">
        <f t="shared" si="174"/>
        <v>1408</v>
      </c>
      <c r="AC759" s="14" t="str">
        <f t="shared" si="181"/>
        <v>DefExt</v>
      </c>
      <c r="AD759" s="14">
        <f t="shared" si="182"/>
        <v>351</v>
      </c>
      <c r="AE759" s="14" t="str">
        <f t="shared" si="183"/>
        <v>[x]</v>
      </c>
      <c r="AF759" s="27" t="str">
        <f t="shared" si="184"/>
        <v>[x]</v>
      </c>
      <c r="AG759" s="27" t="str">
        <f t="shared" si="185"/>
        <v>[x]</v>
      </c>
    </row>
    <row r="760" spans="16:33" ht="16.5" x14ac:dyDescent="0.2">
      <c r="P760" s="13">
        <v>704</v>
      </c>
      <c r="Q760" s="14">
        <f t="shared" si="170"/>
        <v>36</v>
      </c>
      <c r="R760" s="14">
        <f t="shared" si="171"/>
        <v>1606044</v>
      </c>
      <c r="S760" s="14" t="str">
        <f t="shared" si="175"/>
        <v>神器7碎片2等级17</v>
      </c>
      <c r="T760" s="29" t="s">
        <v>649</v>
      </c>
      <c r="U760" s="14">
        <f t="shared" si="172"/>
        <v>17</v>
      </c>
      <c r="V760" s="36">
        <f t="shared" si="176"/>
        <v>1.5779999999999998</v>
      </c>
      <c r="W760" s="17">
        <f t="shared" si="173"/>
        <v>3.1559999999999998E-2</v>
      </c>
      <c r="X760" s="14">
        <f t="shared" si="177"/>
        <v>1</v>
      </c>
      <c r="Y760" s="14">
        <f t="shared" si="178"/>
        <v>2</v>
      </c>
      <c r="Z760" s="14">
        <f t="shared" si="179"/>
        <v>0</v>
      </c>
      <c r="AA760" s="14" t="str">
        <f t="shared" si="180"/>
        <v>AtkExt</v>
      </c>
      <c r="AB760" s="14">
        <f t="shared" si="174"/>
        <v>1519</v>
      </c>
      <c r="AC760" s="14" t="str">
        <f t="shared" si="181"/>
        <v>DefExt</v>
      </c>
      <c r="AD760" s="14">
        <f t="shared" si="182"/>
        <v>378</v>
      </c>
      <c r="AE760" s="14" t="str">
        <f t="shared" si="183"/>
        <v>[x]</v>
      </c>
      <c r="AF760" s="27" t="str">
        <f t="shared" si="184"/>
        <v>[x]</v>
      </c>
      <c r="AG760" s="27" t="str">
        <f t="shared" si="185"/>
        <v>[x]</v>
      </c>
    </row>
    <row r="761" spans="16:33" ht="16.5" x14ac:dyDescent="0.2">
      <c r="P761" s="13">
        <v>705</v>
      </c>
      <c r="Q761" s="14">
        <f t="shared" ref="Q761:Q824" si="186">MATCH(P761-1,$X$4:$X$46,1)</f>
        <v>36</v>
      </c>
      <c r="R761" s="14">
        <f t="shared" ref="R761:R824" si="187">INDEX($S$5:$S$46,Q761)</f>
        <v>1606044</v>
      </c>
      <c r="S761" s="14" t="str">
        <f t="shared" si="175"/>
        <v>神器7碎片2等级18</v>
      </c>
      <c r="T761" s="29" t="s">
        <v>649</v>
      </c>
      <c r="U761" s="14">
        <f t="shared" ref="U761:U824" si="188">P761-INDEX($X$4:$X$46,Q761)</f>
        <v>18</v>
      </c>
      <c r="V761" s="36">
        <f t="shared" si="176"/>
        <v>1.698</v>
      </c>
      <c r="W761" s="17">
        <f t="shared" ref="W761:W824" si="189">INDEX($V$5:$V$46,Q761)*V761</f>
        <v>3.3959999999999997E-2</v>
      </c>
      <c r="X761" s="14">
        <f t="shared" si="177"/>
        <v>1</v>
      </c>
      <c r="Y761" s="14">
        <f t="shared" si="178"/>
        <v>2</v>
      </c>
      <c r="Z761" s="14">
        <f t="shared" si="179"/>
        <v>0</v>
      </c>
      <c r="AA761" s="14" t="str">
        <f t="shared" si="180"/>
        <v>AtkExt</v>
      </c>
      <c r="AB761" s="14">
        <f t="shared" ref="AB761:AB824" si="190">INT(INDEX($E$4:$G$4,X761)*W761*INDEX($Y$5:$AA$46,Q761,X761))</f>
        <v>1635</v>
      </c>
      <c r="AC761" s="14" t="str">
        <f t="shared" si="181"/>
        <v>DefExt</v>
      </c>
      <c r="AD761" s="14">
        <f t="shared" si="182"/>
        <v>407</v>
      </c>
      <c r="AE761" s="14" t="str">
        <f t="shared" si="183"/>
        <v>[x]</v>
      </c>
      <c r="AF761" s="27" t="str">
        <f t="shared" si="184"/>
        <v>[x]</v>
      </c>
      <c r="AG761" s="27" t="str">
        <f t="shared" si="185"/>
        <v>[x]</v>
      </c>
    </row>
    <row r="762" spans="16:33" ht="16.5" x14ac:dyDescent="0.2">
      <c r="P762" s="13">
        <v>706</v>
      </c>
      <c r="Q762" s="14">
        <f t="shared" si="186"/>
        <v>36</v>
      </c>
      <c r="R762" s="14">
        <f t="shared" si="187"/>
        <v>1606044</v>
      </c>
      <c r="S762" s="14" t="str">
        <f t="shared" ref="S762:S825" si="191">INDEX($P$5:$P$46,Q762)&amp;"碎片"&amp;INDEX($R$5:$R$46,Q762)&amp;"等级"&amp;U762</f>
        <v>神器7碎片2等级19</v>
      </c>
      <c r="T762" s="29" t="s">
        <v>649</v>
      </c>
      <c r="U762" s="14">
        <f t="shared" si="188"/>
        <v>19</v>
      </c>
      <c r="V762" s="36">
        <f t="shared" ref="V762:V825" si="192">15%+U762*5%+U762*U762*0.2%</f>
        <v>1.8220000000000001</v>
      </c>
      <c r="W762" s="17">
        <f t="shared" si="189"/>
        <v>3.644E-2</v>
      </c>
      <c r="X762" s="14">
        <f t="shared" ref="X762:X825" si="193">INDEX($AB$5:$AB$46,Q762)</f>
        <v>1</v>
      </c>
      <c r="Y762" s="14">
        <f t="shared" ref="Y762:Y825" si="194">INDEX(AC$5:AC$46,$Q762)</f>
        <v>2</v>
      </c>
      <c r="Z762" s="14">
        <f t="shared" ref="Z762:Z825" si="195">INDEX(AD$5:AD$46,$Q762)</f>
        <v>0</v>
      </c>
      <c r="AA762" s="14" t="str">
        <f t="shared" ref="AA762:AA825" si="196">INDEX($Y$3:$AA$3,X762)</f>
        <v>AtkExt</v>
      </c>
      <c r="AB762" s="14">
        <f t="shared" si="190"/>
        <v>1755</v>
      </c>
      <c r="AC762" s="14" t="str">
        <f t="shared" ref="AC762:AC825" si="197">IF(Y762&gt;0,INDEX($Y$3:$AA$3,Y762),"[x]")</f>
        <v>DefExt</v>
      </c>
      <c r="AD762" s="14">
        <f t="shared" ref="AD762:AD825" si="198">IF(Y762&gt;0,INT(INDEX($E$4:$G$4,Y762)*W762*INDEX($Y$5:$AA$46,Q762,Y762)),"[x]")</f>
        <v>437</v>
      </c>
      <c r="AE762" s="14" t="str">
        <f t="shared" ref="AE762:AE825" si="199">IF(Z762&gt;0,INDEX($Y$3:$AA$3,Z762),"[x]")</f>
        <v>[x]</v>
      </c>
      <c r="AF762" s="27" t="str">
        <f t="shared" ref="AF762:AF825" si="200">IF(Z762&gt;0,INT(INDEX($E$4:$G$4,Z762)*W762*INDEX($Y$5:$AA$46,Q762,Z762)),"[x]")</f>
        <v>[x]</v>
      </c>
      <c r="AG762" s="27" t="str">
        <f t="shared" ref="AG762:AG825" si="201">IF(INDEX($AE$5:$AE$46,Q762)&gt;0,INDEX($AE$5:$AE$46,Q762)*U762,"[x]")</f>
        <v>[x]</v>
      </c>
    </row>
    <row r="763" spans="16:33" ht="16.5" x14ac:dyDescent="0.2">
      <c r="P763" s="13">
        <v>707</v>
      </c>
      <c r="Q763" s="14">
        <f t="shared" si="186"/>
        <v>36</v>
      </c>
      <c r="R763" s="14">
        <f t="shared" si="187"/>
        <v>1606044</v>
      </c>
      <c r="S763" s="14" t="str">
        <f t="shared" si="191"/>
        <v>神器7碎片2等级20</v>
      </c>
      <c r="T763" s="29" t="s">
        <v>649</v>
      </c>
      <c r="U763" s="14">
        <f t="shared" si="188"/>
        <v>20</v>
      </c>
      <c r="V763" s="36">
        <f t="shared" si="192"/>
        <v>1.95</v>
      </c>
      <c r="W763" s="17">
        <f t="shared" si="189"/>
        <v>3.9E-2</v>
      </c>
      <c r="X763" s="14">
        <f t="shared" si="193"/>
        <v>1</v>
      </c>
      <c r="Y763" s="14">
        <f t="shared" si="194"/>
        <v>2</v>
      </c>
      <c r="Z763" s="14">
        <f t="shared" si="195"/>
        <v>0</v>
      </c>
      <c r="AA763" s="14" t="str">
        <f t="shared" si="196"/>
        <v>AtkExt</v>
      </c>
      <c r="AB763" s="14">
        <f t="shared" si="190"/>
        <v>1878</v>
      </c>
      <c r="AC763" s="14" t="str">
        <f t="shared" si="197"/>
        <v>DefExt</v>
      </c>
      <c r="AD763" s="14">
        <f t="shared" si="198"/>
        <v>468</v>
      </c>
      <c r="AE763" s="14" t="str">
        <f t="shared" si="199"/>
        <v>[x]</v>
      </c>
      <c r="AF763" s="27" t="str">
        <f t="shared" si="200"/>
        <v>[x]</v>
      </c>
      <c r="AG763" s="27" t="str">
        <f t="shared" si="201"/>
        <v>[x]</v>
      </c>
    </row>
    <row r="764" spans="16:33" ht="16.5" x14ac:dyDescent="0.2">
      <c r="P764" s="13">
        <v>708</v>
      </c>
      <c r="Q764" s="14">
        <f t="shared" si="186"/>
        <v>36</v>
      </c>
      <c r="R764" s="14">
        <f t="shared" si="187"/>
        <v>1606044</v>
      </c>
      <c r="S764" s="14" t="str">
        <f t="shared" si="191"/>
        <v>神器7碎片2等级21</v>
      </c>
      <c r="T764" s="29" t="s">
        <v>649</v>
      </c>
      <c r="U764" s="14">
        <f t="shared" si="188"/>
        <v>21</v>
      </c>
      <c r="V764" s="36">
        <f t="shared" si="192"/>
        <v>2.0819999999999999</v>
      </c>
      <c r="W764" s="17">
        <f t="shared" si="189"/>
        <v>4.1639999999999996E-2</v>
      </c>
      <c r="X764" s="14">
        <f t="shared" si="193"/>
        <v>1</v>
      </c>
      <c r="Y764" s="14">
        <f t="shared" si="194"/>
        <v>2</v>
      </c>
      <c r="Z764" s="14">
        <f t="shared" si="195"/>
        <v>0</v>
      </c>
      <c r="AA764" s="14" t="str">
        <f t="shared" si="196"/>
        <v>AtkExt</v>
      </c>
      <c r="AB764" s="14">
        <f t="shared" si="190"/>
        <v>2005</v>
      </c>
      <c r="AC764" s="14" t="str">
        <f t="shared" si="197"/>
        <v>DefExt</v>
      </c>
      <c r="AD764" s="14">
        <f t="shared" si="198"/>
        <v>500</v>
      </c>
      <c r="AE764" s="14" t="str">
        <f t="shared" si="199"/>
        <v>[x]</v>
      </c>
      <c r="AF764" s="27" t="str">
        <f t="shared" si="200"/>
        <v>[x]</v>
      </c>
      <c r="AG764" s="27" t="str">
        <f t="shared" si="201"/>
        <v>[x]</v>
      </c>
    </row>
    <row r="765" spans="16:33" ht="16.5" x14ac:dyDescent="0.2">
      <c r="P765" s="13">
        <v>709</v>
      </c>
      <c r="Q765" s="14">
        <f t="shared" si="186"/>
        <v>37</v>
      </c>
      <c r="R765" s="14">
        <f t="shared" si="187"/>
        <v>1606045</v>
      </c>
      <c r="S765" s="14" t="str">
        <f t="shared" si="191"/>
        <v>神器7碎片3等级1</v>
      </c>
      <c r="T765" s="29" t="s">
        <v>649</v>
      </c>
      <c r="U765" s="14">
        <f t="shared" si="188"/>
        <v>1</v>
      </c>
      <c r="V765" s="36">
        <f t="shared" si="192"/>
        <v>0.20200000000000001</v>
      </c>
      <c r="W765" s="17">
        <f t="shared" si="189"/>
        <v>4.0400000000000002E-3</v>
      </c>
      <c r="X765" s="14">
        <f t="shared" si="193"/>
        <v>1</v>
      </c>
      <c r="Y765" s="14">
        <f t="shared" si="194"/>
        <v>2</v>
      </c>
      <c r="Z765" s="14">
        <f t="shared" si="195"/>
        <v>3</v>
      </c>
      <c r="AA765" s="14" t="str">
        <f t="shared" si="196"/>
        <v>AtkExt</v>
      </c>
      <c r="AB765" s="14">
        <f t="shared" si="190"/>
        <v>97</v>
      </c>
      <c r="AC765" s="14" t="str">
        <f t="shared" si="197"/>
        <v>DefExt</v>
      </c>
      <c r="AD765" s="14">
        <f t="shared" si="198"/>
        <v>48</v>
      </c>
      <c r="AE765" s="14" t="str">
        <f t="shared" si="199"/>
        <v>HPExt</v>
      </c>
      <c r="AF765" s="27">
        <f t="shared" si="200"/>
        <v>292</v>
      </c>
      <c r="AG765" s="27" t="str">
        <f t="shared" si="201"/>
        <v>[x]</v>
      </c>
    </row>
    <row r="766" spans="16:33" ht="16.5" x14ac:dyDescent="0.2">
      <c r="P766" s="13">
        <v>710</v>
      </c>
      <c r="Q766" s="14">
        <f t="shared" si="186"/>
        <v>37</v>
      </c>
      <c r="R766" s="14">
        <f t="shared" si="187"/>
        <v>1606045</v>
      </c>
      <c r="S766" s="14" t="str">
        <f t="shared" si="191"/>
        <v>神器7碎片3等级2</v>
      </c>
      <c r="T766" s="29" t="s">
        <v>649</v>
      </c>
      <c r="U766" s="14">
        <f t="shared" si="188"/>
        <v>2</v>
      </c>
      <c r="V766" s="36">
        <f t="shared" si="192"/>
        <v>0.25800000000000001</v>
      </c>
      <c r="W766" s="17">
        <f t="shared" si="189"/>
        <v>5.1600000000000005E-3</v>
      </c>
      <c r="X766" s="14">
        <f t="shared" si="193"/>
        <v>1</v>
      </c>
      <c r="Y766" s="14">
        <f t="shared" si="194"/>
        <v>2</v>
      </c>
      <c r="Z766" s="14">
        <f t="shared" si="195"/>
        <v>3</v>
      </c>
      <c r="AA766" s="14" t="str">
        <f t="shared" si="196"/>
        <v>AtkExt</v>
      </c>
      <c r="AB766" s="14">
        <f t="shared" si="190"/>
        <v>124</v>
      </c>
      <c r="AC766" s="14" t="str">
        <f t="shared" si="197"/>
        <v>DefExt</v>
      </c>
      <c r="AD766" s="14">
        <f t="shared" si="198"/>
        <v>61</v>
      </c>
      <c r="AE766" s="14" t="str">
        <f t="shared" si="199"/>
        <v>HPExt</v>
      </c>
      <c r="AF766" s="27">
        <f t="shared" si="200"/>
        <v>373</v>
      </c>
      <c r="AG766" s="27" t="str">
        <f t="shared" si="201"/>
        <v>[x]</v>
      </c>
    </row>
    <row r="767" spans="16:33" ht="16.5" x14ac:dyDescent="0.2">
      <c r="P767" s="13">
        <v>711</v>
      </c>
      <c r="Q767" s="14">
        <f t="shared" si="186"/>
        <v>37</v>
      </c>
      <c r="R767" s="14">
        <f t="shared" si="187"/>
        <v>1606045</v>
      </c>
      <c r="S767" s="14" t="str">
        <f t="shared" si="191"/>
        <v>神器7碎片3等级3</v>
      </c>
      <c r="T767" s="29" t="s">
        <v>649</v>
      </c>
      <c r="U767" s="14">
        <f t="shared" si="188"/>
        <v>3</v>
      </c>
      <c r="V767" s="36">
        <f t="shared" si="192"/>
        <v>0.31800000000000006</v>
      </c>
      <c r="W767" s="17">
        <f t="shared" si="189"/>
        <v>6.3600000000000011E-3</v>
      </c>
      <c r="X767" s="14">
        <f t="shared" si="193"/>
        <v>1</v>
      </c>
      <c r="Y767" s="14">
        <f t="shared" si="194"/>
        <v>2</v>
      </c>
      <c r="Z767" s="14">
        <f t="shared" si="195"/>
        <v>3</v>
      </c>
      <c r="AA767" s="14" t="str">
        <f t="shared" si="196"/>
        <v>AtkExt</v>
      </c>
      <c r="AB767" s="14">
        <f t="shared" si="190"/>
        <v>153</v>
      </c>
      <c r="AC767" s="14" t="str">
        <f t="shared" si="197"/>
        <v>DefExt</v>
      </c>
      <c r="AD767" s="14">
        <f t="shared" si="198"/>
        <v>76</v>
      </c>
      <c r="AE767" s="14" t="str">
        <f t="shared" si="199"/>
        <v>HPExt</v>
      </c>
      <c r="AF767" s="27">
        <f t="shared" si="200"/>
        <v>460</v>
      </c>
      <c r="AG767" s="27" t="str">
        <f t="shared" si="201"/>
        <v>[x]</v>
      </c>
    </row>
    <row r="768" spans="16:33" ht="16.5" x14ac:dyDescent="0.2">
      <c r="P768" s="13">
        <v>712</v>
      </c>
      <c r="Q768" s="14">
        <f t="shared" si="186"/>
        <v>37</v>
      </c>
      <c r="R768" s="14">
        <f t="shared" si="187"/>
        <v>1606045</v>
      </c>
      <c r="S768" s="14" t="str">
        <f t="shared" si="191"/>
        <v>神器7碎片3等级4</v>
      </c>
      <c r="T768" s="29" t="s">
        <v>649</v>
      </c>
      <c r="U768" s="14">
        <f t="shared" si="188"/>
        <v>4</v>
      </c>
      <c r="V768" s="36">
        <f t="shared" si="192"/>
        <v>0.38200000000000001</v>
      </c>
      <c r="W768" s="17">
        <f t="shared" si="189"/>
        <v>7.6400000000000001E-3</v>
      </c>
      <c r="X768" s="14">
        <f t="shared" si="193"/>
        <v>1</v>
      </c>
      <c r="Y768" s="14">
        <f t="shared" si="194"/>
        <v>2</v>
      </c>
      <c r="Z768" s="14">
        <f t="shared" si="195"/>
        <v>3</v>
      </c>
      <c r="AA768" s="14" t="str">
        <f t="shared" si="196"/>
        <v>AtkExt</v>
      </c>
      <c r="AB768" s="14">
        <f t="shared" si="190"/>
        <v>183</v>
      </c>
      <c r="AC768" s="14" t="str">
        <f t="shared" si="197"/>
        <v>DefExt</v>
      </c>
      <c r="AD768" s="14">
        <f t="shared" si="198"/>
        <v>91</v>
      </c>
      <c r="AE768" s="14" t="str">
        <f t="shared" si="199"/>
        <v>HPExt</v>
      </c>
      <c r="AF768" s="27">
        <f t="shared" si="200"/>
        <v>553</v>
      </c>
      <c r="AG768" s="27" t="str">
        <f t="shared" si="201"/>
        <v>[x]</v>
      </c>
    </row>
    <row r="769" spans="16:33" ht="16.5" x14ac:dyDescent="0.2">
      <c r="P769" s="13">
        <v>713</v>
      </c>
      <c r="Q769" s="14">
        <f t="shared" si="186"/>
        <v>37</v>
      </c>
      <c r="R769" s="14">
        <f t="shared" si="187"/>
        <v>1606045</v>
      </c>
      <c r="S769" s="14" t="str">
        <f t="shared" si="191"/>
        <v>神器7碎片3等级5</v>
      </c>
      <c r="T769" s="29" t="s">
        <v>649</v>
      </c>
      <c r="U769" s="14">
        <f t="shared" si="188"/>
        <v>5</v>
      </c>
      <c r="V769" s="36">
        <f t="shared" si="192"/>
        <v>0.45</v>
      </c>
      <c r="W769" s="17">
        <f t="shared" si="189"/>
        <v>9.0000000000000011E-3</v>
      </c>
      <c r="X769" s="14">
        <f t="shared" si="193"/>
        <v>1</v>
      </c>
      <c r="Y769" s="14">
        <f t="shared" si="194"/>
        <v>2</v>
      </c>
      <c r="Z769" s="14">
        <f t="shared" si="195"/>
        <v>3</v>
      </c>
      <c r="AA769" s="14" t="str">
        <f t="shared" si="196"/>
        <v>AtkExt</v>
      </c>
      <c r="AB769" s="14">
        <f t="shared" si="190"/>
        <v>216</v>
      </c>
      <c r="AC769" s="14" t="str">
        <f t="shared" si="197"/>
        <v>DefExt</v>
      </c>
      <c r="AD769" s="14">
        <f t="shared" si="198"/>
        <v>108</v>
      </c>
      <c r="AE769" s="14" t="str">
        <f t="shared" si="199"/>
        <v>HPExt</v>
      </c>
      <c r="AF769" s="27">
        <f t="shared" si="200"/>
        <v>651</v>
      </c>
      <c r="AG769" s="27" t="str">
        <f t="shared" si="201"/>
        <v>[x]</v>
      </c>
    </row>
    <row r="770" spans="16:33" ht="16.5" x14ac:dyDescent="0.2">
      <c r="P770" s="13">
        <v>714</v>
      </c>
      <c r="Q770" s="14">
        <f t="shared" si="186"/>
        <v>37</v>
      </c>
      <c r="R770" s="14">
        <f t="shared" si="187"/>
        <v>1606045</v>
      </c>
      <c r="S770" s="14" t="str">
        <f t="shared" si="191"/>
        <v>神器7碎片3等级6</v>
      </c>
      <c r="T770" s="29" t="s">
        <v>649</v>
      </c>
      <c r="U770" s="14">
        <f t="shared" si="188"/>
        <v>6</v>
      </c>
      <c r="V770" s="36">
        <f t="shared" si="192"/>
        <v>0.52200000000000002</v>
      </c>
      <c r="W770" s="17">
        <f t="shared" si="189"/>
        <v>1.0440000000000001E-2</v>
      </c>
      <c r="X770" s="14">
        <f t="shared" si="193"/>
        <v>1</v>
      </c>
      <c r="Y770" s="14">
        <f t="shared" si="194"/>
        <v>2</v>
      </c>
      <c r="Z770" s="14">
        <f t="shared" si="195"/>
        <v>3</v>
      </c>
      <c r="AA770" s="14" t="str">
        <f t="shared" si="196"/>
        <v>AtkExt</v>
      </c>
      <c r="AB770" s="14">
        <f t="shared" si="190"/>
        <v>251</v>
      </c>
      <c r="AC770" s="14" t="str">
        <f t="shared" si="197"/>
        <v>DefExt</v>
      </c>
      <c r="AD770" s="14">
        <f t="shared" si="198"/>
        <v>125</v>
      </c>
      <c r="AE770" s="14" t="str">
        <f t="shared" si="199"/>
        <v>HPExt</v>
      </c>
      <c r="AF770" s="27">
        <f t="shared" si="200"/>
        <v>756</v>
      </c>
      <c r="AG770" s="27" t="str">
        <f t="shared" si="201"/>
        <v>[x]</v>
      </c>
    </row>
    <row r="771" spans="16:33" ht="16.5" x14ac:dyDescent="0.2">
      <c r="P771" s="13">
        <v>715</v>
      </c>
      <c r="Q771" s="14">
        <f t="shared" si="186"/>
        <v>37</v>
      </c>
      <c r="R771" s="14">
        <f t="shared" si="187"/>
        <v>1606045</v>
      </c>
      <c r="S771" s="14" t="str">
        <f t="shared" si="191"/>
        <v>神器7碎片3等级7</v>
      </c>
      <c r="T771" s="29" t="s">
        <v>649</v>
      </c>
      <c r="U771" s="14">
        <f t="shared" si="188"/>
        <v>7</v>
      </c>
      <c r="V771" s="36">
        <f t="shared" si="192"/>
        <v>0.59799999999999998</v>
      </c>
      <c r="W771" s="17">
        <f t="shared" si="189"/>
        <v>1.196E-2</v>
      </c>
      <c r="X771" s="14">
        <f t="shared" si="193"/>
        <v>1</v>
      </c>
      <c r="Y771" s="14">
        <f t="shared" si="194"/>
        <v>2</v>
      </c>
      <c r="Z771" s="14">
        <f t="shared" si="195"/>
        <v>3</v>
      </c>
      <c r="AA771" s="14" t="str">
        <f t="shared" si="196"/>
        <v>AtkExt</v>
      </c>
      <c r="AB771" s="14">
        <f t="shared" si="190"/>
        <v>288</v>
      </c>
      <c r="AC771" s="14" t="str">
        <f t="shared" si="197"/>
        <v>DefExt</v>
      </c>
      <c r="AD771" s="14">
        <f t="shared" si="198"/>
        <v>143</v>
      </c>
      <c r="AE771" s="14" t="str">
        <f t="shared" si="199"/>
        <v>HPExt</v>
      </c>
      <c r="AF771" s="27">
        <f t="shared" si="200"/>
        <v>866</v>
      </c>
      <c r="AG771" s="27" t="str">
        <f t="shared" si="201"/>
        <v>[x]</v>
      </c>
    </row>
    <row r="772" spans="16:33" ht="16.5" x14ac:dyDescent="0.2">
      <c r="P772" s="13">
        <v>716</v>
      </c>
      <c r="Q772" s="14">
        <f t="shared" si="186"/>
        <v>37</v>
      </c>
      <c r="R772" s="14">
        <f t="shared" si="187"/>
        <v>1606045</v>
      </c>
      <c r="S772" s="14" t="str">
        <f t="shared" si="191"/>
        <v>神器7碎片3等级8</v>
      </c>
      <c r="T772" s="29" t="s">
        <v>649</v>
      </c>
      <c r="U772" s="14">
        <f t="shared" si="188"/>
        <v>8</v>
      </c>
      <c r="V772" s="36">
        <f t="shared" si="192"/>
        <v>0.67800000000000005</v>
      </c>
      <c r="W772" s="17">
        <f t="shared" si="189"/>
        <v>1.3560000000000001E-2</v>
      </c>
      <c r="X772" s="14">
        <f t="shared" si="193"/>
        <v>1</v>
      </c>
      <c r="Y772" s="14">
        <f t="shared" si="194"/>
        <v>2</v>
      </c>
      <c r="Z772" s="14">
        <f t="shared" si="195"/>
        <v>3</v>
      </c>
      <c r="AA772" s="14" t="str">
        <f t="shared" si="196"/>
        <v>AtkExt</v>
      </c>
      <c r="AB772" s="14">
        <f t="shared" si="190"/>
        <v>326</v>
      </c>
      <c r="AC772" s="14" t="str">
        <f t="shared" si="197"/>
        <v>DefExt</v>
      </c>
      <c r="AD772" s="14">
        <f t="shared" si="198"/>
        <v>162</v>
      </c>
      <c r="AE772" s="14" t="str">
        <f t="shared" si="199"/>
        <v>HPExt</v>
      </c>
      <c r="AF772" s="27">
        <f t="shared" si="200"/>
        <v>981</v>
      </c>
      <c r="AG772" s="27" t="str">
        <f t="shared" si="201"/>
        <v>[x]</v>
      </c>
    </row>
    <row r="773" spans="16:33" ht="16.5" x14ac:dyDescent="0.2">
      <c r="P773" s="13">
        <v>717</v>
      </c>
      <c r="Q773" s="14">
        <f t="shared" si="186"/>
        <v>37</v>
      </c>
      <c r="R773" s="14">
        <f t="shared" si="187"/>
        <v>1606045</v>
      </c>
      <c r="S773" s="14" t="str">
        <f t="shared" si="191"/>
        <v>神器7碎片3等级9</v>
      </c>
      <c r="T773" s="29" t="s">
        <v>649</v>
      </c>
      <c r="U773" s="14">
        <f t="shared" si="188"/>
        <v>9</v>
      </c>
      <c r="V773" s="36">
        <f t="shared" si="192"/>
        <v>0.76200000000000001</v>
      </c>
      <c r="W773" s="17">
        <f t="shared" si="189"/>
        <v>1.524E-2</v>
      </c>
      <c r="X773" s="14">
        <f t="shared" si="193"/>
        <v>1</v>
      </c>
      <c r="Y773" s="14">
        <f t="shared" si="194"/>
        <v>2</v>
      </c>
      <c r="Z773" s="14">
        <f t="shared" si="195"/>
        <v>3</v>
      </c>
      <c r="AA773" s="14" t="str">
        <f t="shared" si="196"/>
        <v>AtkExt</v>
      </c>
      <c r="AB773" s="14">
        <f t="shared" si="190"/>
        <v>366</v>
      </c>
      <c r="AC773" s="14" t="str">
        <f t="shared" si="197"/>
        <v>DefExt</v>
      </c>
      <c r="AD773" s="14">
        <f t="shared" si="198"/>
        <v>183</v>
      </c>
      <c r="AE773" s="14" t="str">
        <f t="shared" si="199"/>
        <v>HPExt</v>
      </c>
      <c r="AF773" s="27">
        <f t="shared" si="200"/>
        <v>1103</v>
      </c>
      <c r="AG773" s="27" t="str">
        <f t="shared" si="201"/>
        <v>[x]</v>
      </c>
    </row>
    <row r="774" spans="16:33" ht="16.5" x14ac:dyDescent="0.2">
      <c r="P774" s="13">
        <v>718</v>
      </c>
      <c r="Q774" s="14">
        <f t="shared" si="186"/>
        <v>37</v>
      </c>
      <c r="R774" s="14">
        <f t="shared" si="187"/>
        <v>1606045</v>
      </c>
      <c r="S774" s="14" t="str">
        <f t="shared" si="191"/>
        <v>神器7碎片3等级10</v>
      </c>
      <c r="T774" s="29" t="s">
        <v>649</v>
      </c>
      <c r="U774" s="14">
        <f t="shared" si="188"/>
        <v>10</v>
      </c>
      <c r="V774" s="36">
        <f t="shared" si="192"/>
        <v>0.85000000000000009</v>
      </c>
      <c r="W774" s="17">
        <f t="shared" si="189"/>
        <v>1.7000000000000001E-2</v>
      </c>
      <c r="X774" s="14">
        <f t="shared" si="193"/>
        <v>1</v>
      </c>
      <c r="Y774" s="14">
        <f t="shared" si="194"/>
        <v>2</v>
      </c>
      <c r="Z774" s="14">
        <f t="shared" si="195"/>
        <v>3</v>
      </c>
      <c r="AA774" s="14" t="str">
        <f t="shared" si="196"/>
        <v>AtkExt</v>
      </c>
      <c r="AB774" s="14">
        <f t="shared" si="190"/>
        <v>409</v>
      </c>
      <c r="AC774" s="14" t="str">
        <f t="shared" si="197"/>
        <v>DefExt</v>
      </c>
      <c r="AD774" s="14">
        <f t="shared" si="198"/>
        <v>204</v>
      </c>
      <c r="AE774" s="14" t="str">
        <f t="shared" si="199"/>
        <v>HPExt</v>
      </c>
      <c r="AF774" s="27">
        <f t="shared" si="200"/>
        <v>1231</v>
      </c>
      <c r="AG774" s="27" t="str">
        <f t="shared" si="201"/>
        <v>[x]</v>
      </c>
    </row>
    <row r="775" spans="16:33" ht="16.5" x14ac:dyDescent="0.2">
      <c r="P775" s="13">
        <v>719</v>
      </c>
      <c r="Q775" s="14">
        <f t="shared" si="186"/>
        <v>37</v>
      </c>
      <c r="R775" s="14">
        <f t="shared" si="187"/>
        <v>1606045</v>
      </c>
      <c r="S775" s="14" t="str">
        <f t="shared" si="191"/>
        <v>神器7碎片3等级11</v>
      </c>
      <c r="T775" s="29" t="s">
        <v>649</v>
      </c>
      <c r="U775" s="14">
        <f t="shared" si="188"/>
        <v>11</v>
      </c>
      <c r="V775" s="36">
        <f t="shared" si="192"/>
        <v>0.94200000000000006</v>
      </c>
      <c r="W775" s="17">
        <f t="shared" si="189"/>
        <v>1.8840000000000003E-2</v>
      </c>
      <c r="X775" s="14">
        <f t="shared" si="193"/>
        <v>1</v>
      </c>
      <c r="Y775" s="14">
        <f t="shared" si="194"/>
        <v>2</v>
      </c>
      <c r="Z775" s="14">
        <f t="shared" si="195"/>
        <v>3</v>
      </c>
      <c r="AA775" s="14" t="str">
        <f t="shared" si="196"/>
        <v>AtkExt</v>
      </c>
      <c r="AB775" s="14">
        <f t="shared" si="190"/>
        <v>453</v>
      </c>
      <c r="AC775" s="14" t="str">
        <f t="shared" si="197"/>
        <v>DefExt</v>
      </c>
      <c r="AD775" s="14">
        <f t="shared" si="198"/>
        <v>226</v>
      </c>
      <c r="AE775" s="14" t="str">
        <f t="shared" si="199"/>
        <v>HPExt</v>
      </c>
      <c r="AF775" s="27">
        <f t="shared" si="200"/>
        <v>1364</v>
      </c>
      <c r="AG775" s="27" t="str">
        <f t="shared" si="201"/>
        <v>[x]</v>
      </c>
    </row>
    <row r="776" spans="16:33" ht="16.5" x14ac:dyDescent="0.2">
      <c r="P776" s="13">
        <v>720</v>
      </c>
      <c r="Q776" s="14">
        <f t="shared" si="186"/>
        <v>37</v>
      </c>
      <c r="R776" s="14">
        <f t="shared" si="187"/>
        <v>1606045</v>
      </c>
      <c r="S776" s="14" t="str">
        <f t="shared" si="191"/>
        <v>神器7碎片3等级12</v>
      </c>
      <c r="T776" s="29" t="s">
        <v>649</v>
      </c>
      <c r="U776" s="14">
        <f t="shared" si="188"/>
        <v>12</v>
      </c>
      <c r="V776" s="36">
        <f t="shared" si="192"/>
        <v>1.0380000000000003</v>
      </c>
      <c r="W776" s="17">
        <f t="shared" si="189"/>
        <v>2.0760000000000004E-2</v>
      </c>
      <c r="X776" s="14">
        <f t="shared" si="193"/>
        <v>1</v>
      </c>
      <c r="Y776" s="14">
        <f t="shared" si="194"/>
        <v>2</v>
      </c>
      <c r="Z776" s="14">
        <f t="shared" si="195"/>
        <v>3</v>
      </c>
      <c r="AA776" s="14" t="str">
        <f t="shared" si="196"/>
        <v>AtkExt</v>
      </c>
      <c r="AB776" s="14">
        <f t="shared" si="190"/>
        <v>499</v>
      </c>
      <c r="AC776" s="14" t="str">
        <f t="shared" si="197"/>
        <v>DefExt</v>
      </c>
      <c r="AD776" s="14">
        <f t="shared" si="198"/>
        <v>249</v>
      </c>
      <c r="AE776" s="14" t="str">
        <f t="shared" si="199"/>
        <v>HPExt</v>
      </c>
      <c r="AF776" s="27">
        <f t="shared" si="200"/>
        <v>1503</v>
      </c>
      <c r="AG776" s="27" t="str">
        <f t="shared" si="201"/>
        <v>[x]</v>
      </c>
    </row>
    <row r="777" spans="16:33" ht="16.5" x14ac:dyDescent="0.2">
      <c r="P777" s="13">
        <v>721</v>
      </c>
      <c r="Q777" s="14">
        <f t="shared" si="186"/>
        <v>37</v>
      </c>
      <c r="R777" s="14">
        <f t="shared" si="187"/>
        <v>1606045</v>
      </c>
      <c r="S777" s="14" t="str">
        <f t="shared" si="191"/>
        <v>神器7碎片3等级13</v>
      </c>
      <c r="T777" s="29" t="s">
        <v>649</v>
      </c>
      <c r="U777" s="14">
        <f t="shared" si="188"/>
        <v>13</v>
      </c>
      <c r="V777" s="36">
        <f t="shared" si="192"/>
        <v>1.1380000000000001</v>
      </c>
      <c r="W777" s="17">
        <f t="shared" si="189"/>
        <v>2.2760000000000002E-2</v>
      </c>
      <c r="X777" s="14">
        <f t="shared" si="193"/>
        <v>1</v>
      </c>
      <c r="Y777" s="14">
        <f t="shared" si="194"/>
        <v>2</v>
      </c>
      <c r="Z777" s="14">
        <f t="shared" si="195"/>
        <v>3</v>
      </c>
      <c r="AA777" s="14" t="str">
        <f t="shared" si="196"/>
        <v>AtkExt</v>
      </c>
      <c r="AB777" s="14">
        <f t="shared" si="190"/>
        <v>548</v>
      </c>
      <c r="AC777" s="14" t="str">
        <f t="shared" si="197"/>
        <v>DefExt</v>
      </c>
      <c r="AD777" s="14">
        <f t="shared" si="198"/>
        <v>273</v>
      </c>
      <c r="AE777" s="14" t="str">
        <f t="shared" si="199"/>
        <v>HPExt</v>
      </c>
      <c r="AF777" s="27">
        <f t="shared" si="200"/>
        <v>1648</v>
      </c>
      <c r="AG777" s="27" t="str">
        <f t="shared" si="201"/>
        <v>[x]</v>
      </c>
    </row>
    <row r="778" spans="16:33" ht="16.5" x14ac:dyDescent="0.2">
      <c r="P778" s="13">
        <v>722</v>
      </c>
      <c r="Q778" s="14">
        <f t="shared" si="186"/>
        <v>37</v>
      </c>
      <c r="R778" s="14">
        <f t="shared" si="187"/>
        <v>1606045</v>
      </c>
      <c r="S778" s="14" t="str">
        <f t="shared" si="191"/>
        <v>神器7碎片3等级14</v>
      </c>
      <c r="T778" s="29" t="s">
        <v>649</v>
      </c>
      <c r="U778" s="14">
        <f t="shared" si="188"/>
        <v>14</v>
      </c>
      <c r="V778" s="36">
        <f t="shared" si="192"/>
        <v>1.242</v>
      </c>
      <c r="W778" s="17">
        <f t="shared" si="189"/>
        <v>2.4840000000000001E-2</v>
      </c>
      <c r="X778" s="14">
        <f t="shared" si="193"/>
        <v>1</v>
      </c>
      <c r="Y778" s="14">
        <f t="shared" si="194"/>
        <v>2</v>
      </c>
      <c r="Z778" s="14">
        <f t="shared" si="195"/>
        <v>3</v>
      </c>
      <c r="AA778" s="14" t="str">
        <f t="shared" si="196"/>
        <v>AtkExt</v>
      </c>
      <c r="AB778" s="14">
        <f t="shared" si="190"/>
        <v>598</v>
      </c>
      <c r="AC778" s="14" t="str">
        <f t="shared" si="197"/>
        <v>DefExt</v>
      </c>
      <c r="AD778" s="14">
        <f t="shared" si="198"/>
        <v>298</v>
      </c>
      <c r="AE778" s="14" t="str">
        <f t="shared" si="199"/>
        <v>HPExt</v>
      </c>
      <c r="AF778" s="27">
        <f t="shared" si="200"/>
        <v>1798</v>
      </c>
      <c r="AG778" s="27" t="str">
        <f t="shared" si="201"/>
        <v>[x]</v>
      </c>
    </row>
    <row r="779" spans="16:33" ht="16.5" x14ac:dyDescent="0.2">
      <c r="P779" s="13">
        <v>723</v>
      </c>
      <c r="Q779" s="14">
        <f t="shared" si="186"/>
        <v>37</v>
      </c>
      <c r="R779" s="14">
        <f t="shared" si="187"/>
        <v>1606045</v>
      </c>
      <c r="S779" s="14" t="str">
        <f t="shared" si="191"/>
        <v>神器7碎片3等级15</v>
      </c>
      <c r="T779" s="29" t="s">
        <v>649</v>
      </c>
      <c r="U779" s="14">
        <f t="shared" si="188"/>
        <v>15</v>
      </c>
      <c r="V779" s="36">
        <f t="shared" si="192"/>
        <v>1.35</v>
      </c>
      <c r="W779" s="17">
        <f t="shared" si="189"/>
        <v>2.7000000000000003E-2</v>
      </c>
      <c r="X779" s="14">
        <f t="shared" si="193"/>
        <v>1</v>
      </c>
      <c r="Y779" s="14">
        <f t="shared" si="194"/>
        <v>2</v>
      </c>
      <c r="Z779" s="14">
        <f t="shared" si="195"/>
        <v>3</v>
      </c>
      <c r="AA779" s="14" t="str">
        <f t="shared" si="196"/>
        <v>AtkExt</v>
      </c>
      <c r="AB779" s="14">
        <f t="shared" si="190"/>
        <v>650</v>
      </c>
      <c r="AC779" s="14" t="str">
        <f t="shared" si="197"/>
        <v>DefExt</v>
      </c>
      <c r="AD779" s="14">
        <f t="shared" si="198"/>
        <v>324</v>
      </c>
      <c r="AE779" s="14" t="str">
        <f t="shared" si="199"/>
        <v>HPExt</v>
      </c>
      <c r="AF779" s="27">
        <f t="shared" si="200"/>
        <v>1955</v>
      </c>
      <c r="AG779" s="27" t="str">
        <f t="shared" si="201"/>
        <v>[x]</v>
      </c>
    </row>
    <row r="780" spans="16:33" ht="16.5" x14ac:dyDescent="0.2">
      <c r="P780" s="13">
        <v>724</v>
      </c>
      <c r="Q780" s="14">
        <f t="shared" si="186"/>
        <v>37</v>
      </c>
      <c r="R780" s="14">
        <f t="shared" si="187"/>
        <v>1606045</v>
      </c>
      <c r="S780" s="14" t="str">
        <f t="shared" si="191"/>
        <v>神器7碎片3等级16</v>
      </c>
      <c r="T780" s="29" t="s">
        <v>649</v>
      </c>
      <c r="U780" s="14">
        <f t="shared" si="188"/>
        <v>16</v>
      </c>
      <c r="V780" s="36">
        <f t="shared" si="192"/>
        <v>1.4620000000000002</v>
      </c>
      <c r="W780" s="17">
        <f t="shared" si="189"/>
        <v>2.9240000000000006E-2</v>
      </c>
      <c r="X780" s="14">
        <f t="shared" si="193"/>
        <v>1</v>
      </c>
      <c r="Y780" s="14">
        <f t="shared" si="194"/>
        <v>2</v>
      </c>
      <c r="Z780" s="14">
        <f t="shared" si="195"/>
        <v>3</v>
      </c>
      <c r="AA780" s="14" t="str">
        <f t="shared" si="196"/>
        <v>AtkExt</v>
      </c>
      <c r="AB780" s="14">
        <f t="shared" si="190"/>
        <v>704</v>
      </c>
      <c r="AC780" s="14" t="str">
        <f t="shared" si="197"/>
        <v>DefExt</v>
      </c>
      <c r="AD780" s="14">
        <f t="shared" si="198"/>
        <v>351</v>
      </c>
      <c r="AE780" s="14" t="str">
        <f t="shared" si="199"/>
        <v>HPExt</v>
      </c>
      <c r="AF780" s="27">
        <f t="shared" si="200"/>
        <v>2117</v>
      </c>
      <c r="AG780" s="27" t="str">
        <f t="shared" si="201"/>
        <v>[x]</v>
      </c>
    </row>
    <row r="781" spans="16:33" ht="16.5" x14ac:dyDescent="0.2">
      <c r="P781" s="13">
        <v>725</v>
      </c>
      <c r="Q781" s="14">
        <f t="shared" si="186"/>
        <v>37</v>
      </c>
      <c r="R781" s="14">
        <f t="shared" si="187"/>
        <v>1606045</v>
      </c>
      <c r="S781" s="14" t="str">
        <f t="shared" si="191"/>
        <v>神器7碎片3等级17</v>
      </c>
      <c r="T781" s="29" t="s">
        <v>649</v>
      </c>
      <c r="U781" s="14">
        <f t="shared" si="188"/>
        <v>17</v>
      </c>
      <c r="V781" s="36">
        <f t="shared" si="192"/>
        <v>1.5779999999999998</v>
      </c>
      <c r="W781" s="17">
        <f t="shared" si="189"/>
        <v>3.1559999999999998E-2</v>
      </c>
      <c r="X781" s="14">
        <f t="shared" si="193"/>
        <v>1</v>
      </c>
      <c r="Y781" s="14">
        <f t="shared" si="194"/>
        <v>2</v>
      </c>
      <c r="Z781" s="14">
        <f t="shared" si="195"/>
        <v>3</v>
      </c>
      <c r="AA781" s="14" t="str">
        <f t="shared" si="196"/>
        <v>AtkExt</v>
      </c>
      <c r="AB781" s="14">
        <f t="shared" si="190"/>
        <v>759</v>
      </c>
      <c r="AC781" s="14" t="str">
        <f t="shared" si="197"/>
        <v>DefExt</v>
      </c>
      <c r="AD781" s="14">
        <f t="shared" si="198"/>
        <v>378</v>
      </c>
      <c r="AE781" s="14" t="str">
        <f t="shared" si="199"/>
        <v>HPExt</v>
      </c>
      <c r="AF781" s="27">
        <f t="shared" si="200"/>
        <v>2285</v>
      </c>
      <c r="AG781" s="27" t="str">
        <f t="shared" si="201"/>
        <v>[x]</v>
      </c>
    </row>
    <row r="782" spans="16:33" ht="16.5" x14ac:dyDescent="0.2">
      <c r="P782" s="13">
        <v>726</v>
      </c>
      <c r="Q782" s="14">
        <f t="shared" si="186"/>
        <v>37</v>
      </c>
      <c r="R782" s="14">
        <f t="shared" si="187"/>
        <v>1606045</v>
      </c>
      <c r="S782" s="14" t="str">
        <f t="shared" si="191"/>
        <v>神器7碎片3等级18</v>
      </c>
      <c r="T782" s="29" t="s">
        <v>649</v>
      </c>
      <c r="U782" s="14">
        <f t="shared" si="188"/>
        <v>18</v>
      </c>
      <c r="V782" s="36">
        <f t="shared" si="192"/>
        <v>1.698</v>
      </c>
      <c r="W782" s="17">
        <f t="shared" si="189"/>
        <v>3.3959999999999997E-2</v>
      </c>
      <c r="X782" s="14">
        <f t="shared" si="193"/>
        <v>1</v>
      </c>
      <c r="Y782" s="14">
        <f t="shared" si="194"/>
        <v>2</v>
      </c>
      <c r="Z782" s="14">
        <f t="shared" si="195"/>
        <v>3</v>
      </c>
      <c r="AA782" s="14" t="str">
        <f t="shared" si="196"/>
        <v>AtkExt</v>
      </c>
      <c r="AB782" s="14">
        <f t="shared" si="190"/>
        <v>817</v>
      </c>
      <c r="AC782" s="14" t="str">
        <f t="shared" si="197"/>
        <v>DefExt</v>
      </c>
      <c r="AD782" s="14">
        <f t="shared" si="198"/>
        <v>407</v>
      </c>
      <c r="AE782" s="14" t="str">
        <f t="shared" si="199"/>
        <v>HPExt</v>
      </c>
      <c r="AF782" s="27">
        <f t="shared" si="200"/>
        <v>2459</v>
      </c>
      <c r="AG782" s="27" t="str">
        <f t="shared" si="201"/>
        <v>[x]</v>
      </c>
    </row>
    <row r="783" spans="16:33" ht="16.5" x14ac:dyDescent="0.2">
      <c r="P783" s="13">
        <v>727</v>
      </c>
      <c r="Q783" s="14">
        <f t="shared" si="186"/>
        <v>37</v>
      </c>
      <c r="R783" s="14">
        <f t="shared" si="187"/>
        <v>1606045</v>
      </c>
      <c r="S783" s="14" t="str">
        <f t="shared" si="191"/>
        <v>神器7碎片3等级19</v>
      </c>
      <c r="T783" s="29" t="s">
        <v>649</v>
      </c>
      <c r="U783" s="14">
        <f t="shared" si="188"/>
        <v>19</v>
      </c>
      <c r="V783" s="36">
        <f t="shared" si="192"/>
        <v>1.8220000000000001</v>
      </c>
      <c r="W783" s="17">
        <f t="shared" si="189"/>
        <v>3.644E-2</v>
      </c>
      <c r="X783" s="14">
        <f t="shared" si="193"/>
        <v>1</v>
      </c>
      <c r="Y783" s="14">
        <f t="shared" si="194"/>
        <v>2</v>
      </c>
      <c r="Z783" s="14">
        <f t="shared" si="195"/>
        <v>3</v>
      </c>
      <c r="AA783" s="14" t="str">
        <f t="shared" si="196"/>
        <v>AtkExt</v>
      </c>
      <c r="AB783" s="14">
        <f t="shared" si="190"/>
        <v>877</v>
      </c>
      <c r="AC783" s="14" t="str">
        <f t="shared" si="197"/>
        <v>DefExt</v>
      </c>
      <c r="AD783" s="14">
        <f t="shared" si="198"/>
        <v>437</v>
      </c>
      <c r="AE783" s="14" t="str">
        <f t="shared" si="199"/>
        <v>HPExt</v>
      </c>
      <c r="AF783" s="27">
        <f t="shared" si="200"/>
        <v>2638</v>
      </c>
      <c r="AG783" s="27" t="str">
        <f t="shared" si="201"/>
        <v>[x]</v>
      </c>
    </row>
    <row r="784" spans="16:33" ht="16.5" x14ac:dyDescent="0.2">
      <c r="P784" s="13">
        <v>728</v>
      </c>
      <c r="Q784" s="14">
        <f t="shared" si="186"/>
        <v>37</v>
      </c>
      <c r="R784" s="14">
        <f t="shared" si="187"/>
        <v>1606045</v>
      </c>
      <c r="S784" s="14" t="str">
        <f t="shared" si="191"/>
        <v>神器7碎片3等级20</v>
      </c>
      <c r="T784" s="29" t="s">
        <v>649</v>
      </c>
      <c r="U784" s="14">
        <f t="shared" si="188"/>
        <v>20</v>
      </c>
      <c r="V784" s="36">
        <f t="shared" si="192"/>
        <v>1.95</v>
      </c>
      <c r="W784" s="17">
        <f t="shared" si="189"/>
        <v>3.9E-2</v>
      </c>
      <c r="X784" s="14">
        <f t="shared" si="193"/>
        <v>1</v>
      </c>
      <c r="Y784" s="14">
        <f t="shared" si="194"/>
        <v>2</v>
      </c>
      <c r="Z784" s="14">
        <f t="shared" si="195"/>
        <v>3</v>
      </c>
      <c r="AA784" s="14" t="str">
        <f t="shared" si="196"/>
        <v>AtkExt</v>
      </c>
      <c r="AB784" s="14">
        <f t="shared" si="190"/>
        <v>939</v>
      </c>
      <c r="AC784" s="14" t="str">
        <f t="shared" si="197"/>
        <v>DefExt</v>
      </c>
      <c r="AD784" s="14">
        <f t="shared" si="198"/>
        <v>468</v>
      </c>
      <c r="AE784" s="14" t="str">
        <f t="shared" si="199"/>
        <v>HPExt</v>
      </c>
      <c r="AF784" s="27">
        <f t="shared" si="200"/>
        <v>2824</v>
      </c>
      <c r="AG784" s="27" t="str">
        <f t="shared" si="201"/>
        <v>[x]</v>
      </c>
    </row>
    <row r="785" spans="16:33" ht="16.5" x14ac:dyDescent="0.2">
      <c r="P785" s="13">
        <v>729</v>
      </c>
      <c r="Q785" s="14">
        <f t="shared" si="186"/>
        <v>37</v>
      </c>
      <c r="R785" s="14">
        <f t="shared" si="187"/>
        <v>1606045</v>
      </c>
      <c r="S785" s="14" t="str">
        <f t="shared" si="191"/>
        <v>神器7碎片3等级21</v>
      </c>
      <c r="T785" s="29" t="s">
        <v>649</v>
      </c>
      <c r="U785" s="14">
        <f t="shared" si="188"/>
        <v>21</v>
      </c>
      <c r="V785" s="36">
        <f t="shared" si="192"/>
        <v>2.0819999999999999</v>
      </c>
      <c r="W785" s="17">
        <f t="shared" si="189"/>
        <v>4.1639999999999996E-2</v>
      </c>
      <c r="X785" s="14">
        <f t="shared" si="193"/>
        <v>1</v>
      </c>
      <c r="Y785" s="14">
        <f t="shared" si="194"/>
        <v>2</v>
      </c>
      <c r="Z785" s="14">
        <f t="shared" si="195"/>
        <v>3</v>
      </c>
      <c r="AA785" s="14" t="str">
        <f t="shared" si="196"/>
        <v>AtkExt</v>
      </c>
      <c r="AB785" s="14">
        <f t="shared" si="190"/>
        <v>1002</v>
      </c>
      <c r="AC785" s="14" t="str">
        <f t="shared" si="197"/>
        <v>DefExt</v>
      </c>
      <c r="AD785" s="14">
        <f t="shared" si="198"/>
        <v>500</v>
      </c>
      <c r="AE785" s="14" t="str">
        <f t="shared" si="199"/>
        <v>HPExt</v>
      </c>
      <c r="AF785" s="27">
        <f t="shared" si="200"/>
        <v>3015</v>
      </c>
      <c r="AG785" s="27" t="str">
        <f t="shared" si="201"/>
        <v>[x]</v>
      </c>
    </row>
    <row r="786" spans="16:33" ht="16.5" x14ac:dyDescent="0.2">
      <c r="P786" s="13">
        <v>730</v>
      </c>
      <c r="Q786" s="14">
        <f t="shared" si="186"/>
        <v>38</v>
      </c>
      <c r="R786" s="14">
        <f t="shared" si="187"/>
        <v>1606046</v>
      </c>
      <c r="S786" s="14" t="str">
        <f t="shared" si="191"/>
        <v>神器7碎片4等级1</v>
      </c>
      <c r="T786" s="29" t="s">
        <v>649</v>
      </c>
      <c r="U786" s="14">
        <f t="shared" si="188"/>
        <v>1</v>
      </c>
      <c r="V786" s="36">
        <f t="shared" si="192"/>
        <v>0.20200000000000001</v>
      </c>
      <c r="W786" s="17">
        <f t="shared" si="189"/>
        <v>6.0600000000000003E-3</v>
      </c>
      <c r="X786" s="14">
        <f t="shared" si="193"/>
        <v>1</v>
      </c>
      <c r="Y786" s="14">
        <f t="shared" si="194"/>
        <v>2</v>
      </c>
      <c r="Z786" s="14">
        <f t="shared" si="195"/>
        <v>0</v>
      </c>
      <c r="AA786" s="14" t="str">
        <f t="shared" si="196"/>
        <v>AtkExt</v>
      </c>
      <c r="AB786" s="14">
        <f t="shared" si="190"/>
        <v>291</v>
      </c>
      <c r="AC786" s="14" t="str">
        <f t="shared" si="197"/>
        <v>DefExt</v>
      </c>
      <c r="AD786" s="14">
        <f t="shared" si="198"/>
        <v>72</v>
      </c>
      <c r="AE786" s="14" t="str">
        <f t="shared" si="199"/>
        <v>[x]</v>
      </c>
      <c r="AF786" s="27" t="str">
        <f t="shared" si="200"/>
        <v>[x]</v>
      </c>
      <c r="AG786" s="27" t="str">
        <f t="shared" si="201"/>
        <v>[x]</v>
      </c>
    </row>
    <row r="787" spans="16:33" ht="16.5" x14ac:dyDescent="0.2">
      <c r="P787" s="13">
        <v>731</v>
      </c>
      <c r="Q787" s="14">
        <f t="shared" si="186"/>
        <v>38</v>
      </c>
      <c r="R787" s="14">
        <f t="shared" si="187"/>
        <v>1606046</v>
      </c>
      <c r="S787" s="14" t="str">
        <f t="shared" si="191"/>
        <v>神器7碎片4等级2</v>
      </c>
      <c r="T787" s="29" t="s">
        <v>649</v>
      </c>
      <c r="U787" s="14">
        <f t="shared" si="188"/>
        <v>2</v>
      </c>
      <c r="V787" s="36">
        <f t="shared" si="192"/>
        <v>0.25800000000000001</v>
      </c>
      <c r="W787" s="17">
        <f t="shared" si="189"/>
        <v>7.7400000000000004E-3</v>
      </c>
      <c r="X787" s="14">
        <f t="shared" si="193"/>
        <v>1</v>
      </c>
      <c r="Y787" s="14">
        <f t="shared" si="194"/>
        <v>2</v>
      </c>
      <c r="Z787" s="14">
        <f t="shared" si="195"/>
        <v>0</v>
      </c>
      <c r="AA787" s="14" t="str">
        <f t="shared" si="196"/>
        <v>AtkExt</v>
      </c>
      <c r="AB787" s="14">
        <f t="shared" si="190"/>
        <v>372</v>
      </c>
      <c r="AC787" s="14" t="str">
        <f t="shared" si="197"/>
        <v>DefExt</v>
      </c>
      <c r="AD787" s="14">
        <f t="shared" si="198"/>
        <v>92</v>
      </c>
      <c r="AE787" s="14" t="str">
        <f t="shared" si="199"/>
        <v>[x]</v>
      </c>
      <c r="AF787" s="27" t="str">
        <f t="shared" si="200"/>
        <v>[x]</v>
      </c>
      <c r="AG787" s="27" t="str">
        <f t="shared" si="201"/>
        <v>[x]</v>
      </c>
    </row>
    <row r="788" spans="16:33" ht="16.5" x14ac:dyDescent="0.2">
      <c r="P788" s="13">
        <v>732</v>
      </c>
      <c r="Q788" s="14">
        <f t="shared" si="186"/>
        <v>38</v>
      </c>
      <c r="R788" s="14">
        <f t="shared" si="187"/>
        <v>1606046</v>
      </c>
      <c r="S788" s="14" t="str">
        <f t="shared" si="191"/>
        <v>神器7碎片4等级3</v>
      </c>
      <c r="T788" s="29" t="s">
        <v>649</v>
      </c>
      <c r="U788" s="14">
        <f t="shared" si="188"/>
        <v>3</v>
      </c>
      <c r="V788" s="36">
        <f t="shared" si="192"/>
        <v>0.31800000000000006</v>
      </c>
      <c r="W788" s="17">
        <f t="shared" si="189"/>
        <v>9.5400000000000016E-3</v>
      </c>
      <c r="X788" s="14">
        <f t="shared" si="193"/>
        <v>1</v>
      </c>
      <c r="Y788" s="14">
        <f t="shared" si="194"/>
        <v>2</v>
      </c>
      <c r="Z788" s="14">
        <f t="shared" si="195"/>
        <v>0</v>
      </c>
      <c r="AA788" s="14" t="str">
        <f t="shared" si="196"/>
        <v>AtkExt</v>
      </c>
      <c r="AB788" s="14">
        <f t="shared" si="190"/>
        <v>459</v>
      </c>
      <c r="AC788" s="14" t="str">
        <f t="shared" si="197"/>
        <v>DefExt</v>
      </c>
      <c r="AD788" s="14">
        <f t="shared" si="198"/>
        <v>114</v>
      </c>
      <c r="AE788" s="14" t="str">
        <f t="shared" si="199"/>
        <v>[x]</v>
      </c>
      <c r="AF788" s="27" t="str">
        <f t="shared" si="200"/>
        <v>[x]</v>
      </c>
      <c r="AG788" s="27" t="str">
        <f t="shared" si="201"/>
        <v>[x]</v>
      </c>
    </row>
    <row r="789" spans="16:33" ht="16.5" x14ac:dyDescent="0.2">
      <c r="P789" s="13">
        <v>733</v>
      </c>
      <c r="Q789" s="14">
        <f t="shared" si="186"/>
        <v>38</v>
      </c>
      <c r="R789" s="14">
        <f t="shared" si="187"/>
        <v>1606046</v>
      </c>
      <c r="S789" s="14" t="str">
        <f t="shared" si="191"/>
        <v>神器7碎片4等级4</v>
      </c>
      <c r="T789" s="29" t="s">
        <v>649</v>
      </c>
      <c r="U789" s="14">
        <f t="shared" si="188"/>
        <v>4</v>
      </c>
      <c r="V789" s="36">
        <f t="shared" si="192"/>
        <v>0.38200000000000001</v>
      </c>
      <c r="W789" s="17">
        <f t="shared" si="189"/>
        <v>1.146E-2</v>
      </c>
      <c r="X789" s="14">
        <f t="shared" si="193"/>
        <v>1</v>
      </c>
      <c r="Y789" s="14">
        <f t="shared" si="194"/>
        <v>2</v>
      </c>
      <c r="Z789" s="14">
        <f t="shared" si="195"/>
        <v>0</v>
      </c>
      <c r="AA789" s="14" t="str">
        <f t="shared" si="196"/>
        <v>AtkExt</v>
      </c>
      <c r="AB789" s="14">
        <f t="shared" si="190"/>
        <v>551</v>
      </c>
      <c r="AC789" s="14" t="str">
        <f t="shared" si="197"/>
        <v>DefExt</v>
      </c>
      <c r="AD789" s="14">
        <f t="shared" si="198"/>
        <v>137</v>
      </c>
      <c r="AE789" s="14" t="str">
        <f t="shared" si="199"/>
        <v>[x]</v>
      </c>
      <c r="AF789" s="27" t="str">
        <f t="shared" si="200"/>
        <v>[x]</v>
      </c>
      <c r="AG789" s="27" t="str">
        <f t="shared" si="201"/>
        <v>[x]</v>
      </c>
    </row>
    <row r="790" spans="16:33" ht="16.5" x14ac:dyDescent="0.2">
      <c r="P790" s="13">
        <v>734</v>
      </c>
      <c r="Q790" s="14">
        <f t="shared" si="186"/>
        <v>38</v>
      </c>
      <c r="R790" s="14">
        <f t="shared" si="187"/>
        <v>1606046</v>
      </c>
      <c r="S790" s="14" t="str">
        <f t="shared" si="191"/>
        <v>神器7碎片4等级5</v>
      </c>
      <c r="T790" s="29" t="s">
        <v>649</v>
      </c>
      <c r="U790" s="14">
        <f t="shared" si="188"/>
        <v>5</v>
      </c>
      <c r="V790" s="36">
        <f t="shared" si="192"/>
        <v>0.45</v>
      </c>
      <c r="W790" s="17">
        <f t="shared" si="189"/>
        <v>1.35E-2</v>
      </c>
      <c r="X790" s="14">
        <f t="shared" si="193"/>
        <v>1</v>
      </c>
      <c r="Y790" s="14">
        <f t="shared" si="194"/>
        <v>2</v>
      </c>
      <c r="Z790" s="14">
        <f t="shared" si="195"/>
        <v>0</v>
      </c>
      <c r="AA790" s="14" t="str">
        <f t="shared" si="196"/>
        <v>AtkExt</v>
      </c>
      <c r="AB790" s="14">
        <f t="shared" si="190"/>
        <v>650</v>
      </c>
      <c r="AC790" s="14" t="str">
        <f t="shared" si="197"/>
        <v>DefExt</v>
      </c>
      <c r="AD790" s="14">
        <f t="shared" si="198"/>
        <v>162</v>
      </c>
      <c r="AE790" s="14" t="str">
        <f t="shared" si="199"/>
        <v>[x]</v>
      </c>
      <c r="AF790" s="27" t="str">
        <f t="shared" si="200"/>
        <v>[x]</v>
      </c>
      <c r="AG790" s="27" t="str">
        <f t="shared" si="201"/>
        <v>[x]</v>
      </c>
    </row>
    <row r="791" spans="16:33" ht="16.5" x14ac:dyDescent="0.2">
      <c r="P791" s="13">
        <v>735</v>
      </c>
      <c r="Q791" s="14">
        <f t="shared" si="186"/>
        <v>38</v>
      </c>
      <c r="R791" s="14">
        <f t="shared" si="187"/>
        <v>1606046</v>
      </c>
      <c r="S791" s="14" t="str">
        <f t="shared" si="191"/>
        <v>神器7碎片4等级6</v>
      </c>
      <c r="T791" s="29" t="s">
        <v>649</v>
      </c>
      <c r="U791" s="14">
        <f t="shared" si="188"/>
        <v>6</v>
      </c>
      <c r="V791" s="36">
        <f t="shared" si="192"/>
        <v>0.52200000000000002</v>
      </c>
      <c r="W791" s="17">
        <f t="shared" si="189"/>
        <v>1.566E-2</v>
      </c>
      <c r="X791" s="14">
        <f t="shared" si="193"/>
        <v>1</v>
      </c>
      <c r="Y791" s="14">
        <f t="shared" si="194"/>
        <v>2</v>
      </c>
      <c r="Z791" s="14">
        <f t="shared" si="195"/>
        <v>0</v>
      </c>
      <c r="AA791" s="14" t="str">
        <f t="shared" si="196"/>
        <v>AtkExt</v>
      </c>
      <c r="AB791" s="14">
        <f t="shared" si="190"/>
        <v>754</v>
      </c>
      <c r="AC791" s="14" t="str">
        <f t="shared" si="197"/>
        <v>DefExt</v>
      </c>
      <c r="AD791" s="14">
        <f t="shared" si="198"/>
        <v>188</v>
      </c>
      <c r="AE791" s="14" t="str">
        <f t="shared" si="199"/>
        <v>[x]</v>
      </c>
      <c r="AF791" s="27" t="str">
        <f t="shared" si="200"/>
        <v>[x]</v>
      </c>
      <c r="AG791" s="27" t="str">
        <f t="shared" si="201"/>
        <v>[x]</v>
      </c>
    </row>
    <row r="792" spans="16:33" ht="16.5" x14ac:dyDescent="0.2">
      <c r="P792" s="13">
        <v>736</v>
      </c>
      <c r="Q792" s="14">
        <f t="shared" si="186"/>
        <v>38</v>
      </c>
      <c r="R792" s="14">
        <f t="shared" si="187"/>
        <v>1606046</v>
      </c>
      <c r="S792" s="14" t="str">
        <f t="shared" si="191"/>
        <v>神器7碎片4等级7</v>
      </c>
      <c r="T792" s="29" t="s">
        <v>649</v>
      </c>
      <c r="U792" s="14">
        <f t="shared" si="188"/>
        <v>7</v>
      </c>
      <c r="V792" s="36">
        <f t="shared" si="192"/>
        <v>0.59799999999999998</v>
      </c>
      <c r="W792" s="17">
        <f t="shared" si="189"/>
        <v>1.7939999999999998E-2</v>
      </c>
      <c r="X792" s="14">
        <f t="shared" si="193"/>
        <v>1</v>
      </c>
      <c r="Y792" s="14">
        <f t="shared" si="194"/>
        <v>2</v>
      </c>
      <c r="Z792" s="14">
        <f t="shared" si="195"/>
        <v>0</v>
      </c>
      <c r="AA792" s="14" t="str">
        <f t="shared" si="196"/>
        <v>AtkExt</v>
      </c>
      <c r="AB792" s="14">
        <f t="shared" si="190"/>
        <v>864</v>
      </c>
      <c r="AC792" s="14" t="str">
        <f t="shared" si="197"/>
        <v>DefExt</v>
      </c>
      <c r="AD792" s="14">
        <f t="shared" si="198"/>
        <v>215</v>
      </c>
      <c r="AE792" s="14" t="str">
        <f t="shared" si="199"/>
        <v>[x]</v>
      </c>
      <c r="AF792" s="27" t="str">
        <f t="shared" si="200"/>
        <v>[x]</v>
      </c>
      <c r="AG792" s="27" t="str">
        <f t="shared" si="201"/>
        <v>[x]</v>
      </c>
    </row>
    <row r="793" spans="16:33" ht="16.5" x14ac:dyDescent="0.2">
      <c r="P793" s="13">
        <v>737</v>
      </c>
      <c r="Q793" s="14">
        <f t="shared" si="186"/>
        <v>38</v>
      </c>
      <c r="R793" s="14">
        <f t="shared" si="187"/>
        <v>1606046</v>
      </c>
      <c r="S793" s="14" t="str">
        <f t="shared" si="191"/>
        <v>神器7碎片4等级8</v>
      </c>
      <c r="T793" s="29" t="s">
        <v>649</v>
      </c>
      <c r="U793" s="14">
        <f t="shared" si="188"/>
        <v>8</v>
      </c>
      <c r="V793" s="36">
        <f t="shared" si="192"/>
        <v>0.67800000000000005</v>
      </c>
      <c r="W793" s="17">
        <f t="shared" si="189"/>
        <v>2.034E-2</v>
      </c>
      <c r="X793" s="14">
        <f t="shared" si="193"/>
        <v>1</v>
      </c>
      <c r="Y793" s="14">
        <f t="shared" si="194"/>
        <v>2</v>
      </c>
      <c r="Z793" s="14">
        <f t="shared" si="195"/>
        <v>0</v>
      </c>
      <c r="AA793" s="14" t="str">
        <f t="shared" si="196"/>
        <v>AtkExt</v>
      </c>
      <c r="AB793" s="14">
        <f t="shared" si="190"/>
        <v>979</v>
      </c>
      <c r="AC793" s="14" t="str">
        <f t="shared" si="197"/>
        <v>DefExt</v>
      </c>
      <c r="AD793" s="14">
        <f t="shared" si="198"/>
        <v>244</v>
      </c>
      <c r="AE793" s="14" t="str">
        <f t="shared" si="199"/>
        <v>[x]</v>
      </c>
      <c r="AF793" s="27" t="str">
        <f t="shared" si="200"/>
        <v>[x]</v>
      </c>
      <c r="AG793" s="27" t="str">
        <f t="shared" si="201"/>
        <v>[x]</v>
      </c>
    </row>
    <row r="794" spans="16:33" ht="16.5" x14ac:dyDescent="0.2">
      <c r="P794" s="13">
        <v>738</v>
      </c>
      <c r="Q794" s="14">
        <f t="shared" si="186"/>
        <v>38</v>
      </c>
      <c r="R794" s="14">
        <f t="shared" si="187"/>
        <v>1606046</v>
      </c>
      <c r="S794" s="14" t="str">
        <f t="shared" si="191"/>
        <v>神器7碎片4等级9</v>
      </c>
      <c r="T794" s="29" t="s">
        <v>649</v>
      </c>
      <c r="U794" s="14">
        <f t="shared" si="188"/>
        <v>9</v>
      </c>
      <c r="V794" s="36">
        <f t="shared" si="192"/>
        <v>0.76200000000000001</v>
      </c>
      <c r="W794" s="17">
        <f t="shared" si="189"/>
        <v>2.2859999999999998E-2</v>
      </c>
      <c r="X794" s="14">
        <f t="shared" si="193"/>
        <v>1</v>
      </c>
      <c r="Y794" s="14">
        <f t="shared" si="194"/>
        <v>2</v>
      </c>
      <c r="Z794" s="14">
        <f t="shared" si="195"/>
        <v>0</v>
      </c>
      <c r="AA794" s="14" t="str">
        <f t="shared" si="196"/>
        <v>AtkExt</v>
      </c>
      <c r="AB794" s="14">
        <f t="shared" si="190"/>
        <v>1100</v>
      </c>
      <c r="AC794" s="14" t="str">
        <f t="shared" si="197"/>
        <v>DefExt</v>
      </c>
      <c r="AD794" s="14">
        <f t="shared" si="198"/>
        <v>274</v>
      </c>
      <c r="AE794" s="14" t="str">
        <f t="shared" si="199"/>
        <v>[x]</v>
      </c>
      <c r="AF794" s="27" t="str">
        <f t="shared" si="200"/>
        <v>[x]</v>
      </c>
      <c r="AG794" s="27" t="str">
        <f t="shared" si="201"/>
        <v>[x]</v>
      </c>
    </row>
    <row r="795" spans="16:33" ht="16.5" x14ac:dyDescent="0.2">
      <c r="P795" s="13">
        <v>739</v>
      </c>
      <c r="Q795" s="14">
        <f t="shared" si="186"/>
        <v>38</v>
      </c>
      <c r="R795" s="14">
        <f t="shared" si="187"/>
        <v>1606046</v>
      </c>
      <c r="S795" s="14" t="str">
        <f t="shared" si="191"/>
        <v>神器7碎片4等级10</v>
      </c>
      <c r="T795" s="29" t="s">
        <v>649</v>
      </c>
      <c r="U795" s="14">
        <f t="shared" si="188"/>
        <v>10</v>
      </c>
      <c r="V795" s="36">
        <f t="shared" si="192"/>
        <v>0.85000000000000009</v>
      </c>
      <c r="W795" s="17">
        <f t="shared" si="189"/>
        <v>2.5500000000000002E-2</v>
      </c>
      <c r="X795" s="14">
        <f t="shared" si="193"/>
        <v>1</v>
      </c>
      <c r="Y795" s="14">
        <f t="shared" si="194"/>
        <v>2</v>
      </c>
      <c r="Z795" s="14">
        <f t="shared" si="195"/>
        <v>0</v>
      </c>
      <c r="AA795" s="14" t="str">
        <f t="shared" si="196"/>
        <v>AtkExt</v>
      </c>
      <c r="AB795" s="14">
        <f t="shared" si="190"/>
        <v>1228</v>
      </c>
      <c r="AC795" s="14" t="str">
        <f t="shared" si="197"/>
        <v>DefExt</v>
      </c>
      <c r="AD795" s="14">
        <f t="shared" si="198"/>
        <v>306</v>
      </c>
      <c r="AE795" s="14" t="str">
        <f t="shared" si="199"/>
        <v>[x]</v>
      </c>
      <c r="AF795" s="27" t="str">
        <f t="shared" si="200"/>
        <v>[x]</v>
      </c>
      <c r="AG795" s="27" t="str">
        <f t="shared" si="201"/>
        <v>[x]</v>
      </c>
    </row>
    <row r="796" spans="16:33" ht="16.5" x14ac:dyDescent="0.2">
      <c r="P796" s="13">
        <v>740</v>
      </c>
      <c r="Q796" s="14">
        <f t="shared" si="186"/>
        <v>38</v>
      </c>
      <c r="R796" s="14">
        <f t="shared" si="187"/>
        <v>1606046</v>
      </c>
      <c r="S796" s="14" t="str">
        <f t="shared" si="191"/>
        <v>神器7碎片4等级11</v>
      </c>
      <c r="T796" s="29" t="s">
        <v>649</v>
      </c>
      <c r="U796" s="14">
        <f t="shared" si="188"/>
        <v>11</v>
      </c>
      <c r="V796" s="36">
        <f t="shared" si="192"/>
        <v>0.94200000000000006</v>
      </c>
      <c r="W796" s="17">
        <f t="shared" si="189"/>
        <v>2.826E-2</v>
      </c>
      <c r="X796" s="14">
        <f t="shared" si="193"/>
        <v>1</v>
      </c>
      <c r="Y796" s="14">
        <f t="shared" si="194"/>
        <v>2</v>
      </c>
      <c r="Z796" s="14">
        <f t="shared" si="195"/>
        <v>0</v>
      </c>
      <c r="AA796" s="14" t="str">
        <f t="shared" si="196"/>
        <v>AtkExt</v>
      </c>
      <c r="AB796" s="14">
        <f t="shared" si="190"/>
        <v>1361</v>
      </c>
      <c r="AC796" s="14" t="str">
        <f t="shared" si="197"/>
        <v>DefExt</v>
      </c>
      <c r="AD796" s="14">
        <f t="shared" si="198"/>
        <v>339</v>
      </c>
      <c r="AE796" s="14" t="str">
        <f t="shared" si="199"/>
        <v>[x]</v>
      </c>
      <c r="AF796" s="27" t="str">
        <f t="shared" si="200"/>
        <v>[x]</v>
      </c>
      <c r="AG796" s="27" t="str">
        <f t="shared" si="201"/>
        <v>[x]</v>
      </c>
    </row>
    <row r="797" spans="16:33" ht="16.5" x14ac:dyDescent="0.2">
      <c r="P797" s="13">
        <v>741</v>
      </c>
      <c r="Q797" s="14">
        <f t="shared" si="186"/>
        <v>38</v>
      </c>
      <c r="R797" s="14">
        <f t="shared" si="187"/>
        <v>1606046</v>
      </c>
      <c r="S797" s="14" t="str">
        <f t="shared" si="191"/>
        <v>神器7碎片4等级12</v>
      </c>
      <c r="T797" s="29" t="s">
        <v>649</v>
      </c>
      <c r="U797" s="14">
        <f t="shared" si="188"/>
        <v>12</v>
      </c>
      <c r="V797" s="36">
        <f t="shared" si="192"/>
        <v>1.0380000000000003</v>
      </c>
      <c r="W797" s="17">
        <f t="shared" si="189"/>
        <v>3.1140000000000008E-2</v>
      </c>
      <c r="X797" s="14">
        <f t="shared" si="193"/>
        <v>1</v>
      </c>
      <c r="Y797" s="14">
        <f t="shared" si="194"/>
        <v>2</v>
      </c>
      <c r="Z797" s="14">
        <f t="shared" si="195"/>
        <v>0</v>
      </c>
      <c r="AA797" s="14" t="str">
        <f t="shared" si="196"/>
        <v>AtkExt</v>
      </c>
      <c r="AB797" s="14">
        <f t="shared" si="190"/>
        <v>1499</v>
      </c>
      <c r="AC797" s="14" t="str">
        <f t="shared" si="197"/>
        <v>DefExt</v>
      </c>
      <c r="AD797" s="14">
        <f t="shared" si="198"/>
        <v>373</v>
      </c>
      <c r="AE797" s="14" t="str">
        <f t="shared" si="199"/>
        <v>[x]</v>
      </c>
      <c r="AF797" s="27" t="str">
        <f t="shared" si="200"/>
        <v>[x]</v>
      </c>
      <c r="AG797" s="27" t="str">
        <f t="shared" si="201"/>
        <v>[x]</v>
      </c>
    </row>
    <row r="798" spans="16:33" ht="16.5" x14ac:dyDescent="0.2">
      <c r="P798" s="13">
        <v>742</v>
      </c>
      <c r="Q798" s="14">
        <f t="shared" si="186"/>
        <v>38</v>
      </c>
      <c r="R798" s="14">
        <f t="shared" si="187"/>
        <v>1606046</v>
      </c>
      <c r="S798" s="14" t="str">
        <f t="shared" si="191"/>
        <v>神器7碎片4等级13</v>
      </c>
      <c r="T798" s="29" t="s">
        <v>649</v>
      </c>
      <c r="U798" s="14">
        <f t="shared" si="188"/>
        <v>13</v>
      </c>
      <c r="V798" s="36">
        <f t="shared" si="192"/>
        <v>1.1380000000000001</v>
      </c>
      <c r="W798" s="17">
        <f t="shared" si="189"/>
        <v>3.4140000000000004E-2</v>
      </c>
      <c r="X798" s="14">
        <f t="shared" si="193"/>
        <v>1</v>
      </c>
      <c r="Y798" s="14">
        <f t="shared" si="194"/>
        <v>2</v>
      </c>
      <c r="Z798" s="14">
        <f t="shared" si="195"/>
        <v>0</v>
      </c>
      <c r="AA798" s="14" t="str">
        <f t="shared" si="196"/>
        <v>AtkExt</v>
      </c>
      <c r="AB798" s="14">
        <f t="shared" si="190"/>
        <v>1644</v>
      </c>
      <c r="AC798" s="14" t="str">
        <f t="shared" si="197"/>
        <v>DefExt</v>
      </c>
      <c r="AD798" s="14">
        <f t="shared" si="198"/>
        <v>409</v>
      </c>
      <c r="AE798" s="14" t="str">
        <f t="shared" si="199"/>
        <v>[x]</v>
      </c>
      <c r="AF798" s="27" t="str">
        <f t="shared" si="200"/>
        <v>[x]</v>
      </c>
      <c r="AG798" s="27" t="str">
        <f t="shared" si="201"/>
        <v>[x]</v>
      </c>
    </row>
    <row r="799" spans="16:33" ht="16.5" x14ac:dyDescent="0.2">
      <c r="P799" s="13">
        <v>743</v>
      </c>
      <c r="Q799" s="14">
        <f t="shared" si="186"/>
        <v>38</v>
      </c>
      <c r="R799" s="14">
        <f t="shared" si="187"/>
        <v>1606046</v>
      </c>
      <c r="S799" s="14" t="str">
        <f t="shared" si="191"/>
        <v>神器7碎片4等级14</v>
      </c>
      <c r="T799" s="29" t="s">
        <v>649</v>
      </c>
      <c r="U799" s="14">
        <f t="shared" si="188"/>
        <v>14</v>
      </c>
      <c r="V799" s="36">
        <f t="shared" si="192"/>
        <v>1.242</v>
      </c>
      <c r="W799" s="17">
        <f t="shared" si="189"/>
        <v>3.7260000000000001E-2</v>
      </c>
      <c r="X799" s="14">
        <f t="shared" si="193"/>
        <v>1</v>
      </c>
      <c r="Y799" s="14">
        <f t="shared" si="194"/>
        <v>2</v>
      </c>
      <c r="Z799" s="14">
        <f t="shared" si="195"/>
        <v>0</v>
      </c>
      <c r="AA799" s="14" t="str">
        <f t="shared" si="196"/>
        <v>AtkExt</v>
      </c>
      <c r="AB799" s="14">
        <f t="shared" si="190"/>
        <v>1794</v>
      </c>
      <c r="AC799" s="14" t="str">
        <f t="shared" si="197"/>
        <v>DefExt</v>
      </c>
      <c r="AD799" s="14">
        <f t="shared" si="198"/>
        <v>447</v>
      </c>
      <c r="AE799" s="14" t="str">
        <f t="shared" si="199"/>
        <v>[x]</v>
      </c>
      <c r="AF799" s="27" t="str">
        <f t="shared" si="200"/>
        <v>[x]</v>
      </c>
      <c r="AG799" s="27" t="str">
        <f t="shared" si="201"/>
        <v>[x]</v>
      </c>
    </row>
    <row r="800" spans="16:33" ht="16.5" x14ac:dyDescent="0.2">
      <c r="P800" s="13">
        <v>744</v>
      </c>
      <c r="Q800" s="14">
        <f t="shared" si="186"/>
        <v>38</v>
      </c>
      <c r="R800" s="14">
        <f t="shared" si="187"/>
        <v>1606046</v>
      </c>
      <c r="S800" s="14" t="str">
        <f t="shared" si="191"/>
        <v>神器7碎片4等级15</v>
      </c>
      <c r="T800" s="29" t="s">
        <v>649</v>
      </c>
      <c r="U800" s="14">
        <f t="shared" si="188"/>
        <v>15</v>
      </c>
      <c r="V800" s="36">
        <f t="shared" si="192"/>
        <v>1.35</v>
      </c>
      <c r="W800" s="17">
        <f t="shared" si="189"/>
        <v>4.0500000000000001E-2</v>
      </c>
      <c r="X800" s="14">
        <f t="shared" si="193"/>
        <v>1</v>
      </c>
      <c r="Y800" s="14">
        <f t="shared" si="194"/>
        <v>2</v>
      </c>
      <c r="Z800" s="14">
        <f t="shared" si="195"/>
        <v>0</v>
      </c>
      <c r="AA800" s="14" t="str">
        <f t="shared" si="196"/>
        <v>AtkExt</v>
      </c>
      <c r="AB800" s="14">
        <f t="shared" si="190"/>
        <v>1950</v>
      </c>
      <c r="AC800" s="14" t="str">
        <f t="shared" si="197"/>
        <v>DefExt</v>
      </c>
      <c r="AD800" s="14">
        <f t="shared" si="198"/>
        <v>486</v>
      </c>
      <c r="AE800" s="14" t="str">
        <f t="shared" si="199"/>
        <v>[x]</v>
      </c>
      <c r="AF800" s="27" t="str">
        <f t="shared" si="200"/>
        <v>[x]</v>
      </c>
      <c r="AG800" s="27" t="str">
        <f t="shared" si="201"/>
        <v>[x]</v>
      </c>
    </row>
    <row r="801" spans="16:33" ht="16.5" x14ac:dyDescent="0.2">
      <c r="P801" s="13">
        <v>745</v>
      </c>
      <c r="Q801" s="14">
        <f t="shared" si="186"/>
        <v>38</v>
      </c>
      <c r="R801" s="14">
        <f t="shared" si="187"/>
        <v>1606046</v>
      </c>
      <c r="S801" s="14" t="str">
        <f t="shared" si="191"/>
        <v>神器7碎片4等级16</v>
      </c>
      <c r="T801" s="29" t="s">
        <v>649</v>
      </c>
      <c r="U801" s="14">
        <f t="shared" si="188"/>
        <v>16</v>
      </c>
      <c r="V801" s="36">
        <f t="shared" si="192"/>
        <v>1.4620000000000002</v>
      </c>
      <c r="W801" s="17">
        <f t="shared" si="189"/>
        <v>4.3860000000000003E-2</v>
      </c>
      <c r="X801" s="14">
        <f t="shared" si="193"/>
        <v>1</v>
      </c>
      <c r="Y801" s="14">
        <f t="shared" si="194"/>
        <v>2</v>
      </c>
      <c r="Z801" s="14">
        <f t="shared" si="195"/>
        <v>0</v>
      </c>
      <c r="AA801" s="14" t="str">
        <f t="shared" si="196"/>
        <v>AtkExt</v>
      </c>
      <c r="AB801" s="14">
        <f t="shared" si="190"/>
        <v>2112</v>
      </c>
      <c r="AC801" s="14" t="str">
        <f t="shared" si="197"/>
        <v>DefExt</v>
      </c>
      <c r="AD801" s="14">
        <f t="shared" si="198"/>
        <v>526</v>
      </c>
      <c r="AE801" s="14" t="str">
        <f t="shared" si="199"/>
        <v>[x]</v>
      </c>
      <c r="AF801" s="27" t="str">
        <f t="shared" si="200"/>
        <v>[x]</v>
      </c>
      <c r="AG801" s="27" t="str">
        <f t="shared" si="201"/>
        <v>[x]</v>
      </c>
    </row>
    <row r="802" spans="16:33" ht="16.5" x14ac:dyDescent="0.2">
      <c r="P802" s="13">
        <v>746</v>
      </c>
      <c r="Q802" s="14">
        <f t="shared" si="186"/>
        <v>38</v>
      </c>
      <c r="R802" s="14">
        <f t="shared" si="187"/>
        <v>1606046</v>
      </c>
      <c r="S802" s="14" t="str">
        <f t="shared" si="191"/>
        <v>神器7碎片4等级17</v>
      </c>
      <c r="T802" s="29" t="s">
        <v>649</v>
      </c>
      <c r="U802" s="14">
        <f t="shared" si="188"/>
        <v>17</v>
      </c>
      <c r="V802" s="36">
        <f t="shared" si="192"/>
        <v>1.5779999999999998</v>
      </c>
      <c r="W802" s="17">
        <f t="shared" si="189"/>
        <v>4.7339999999999993E-2</v>
      </c>
      <c r="X802" s="14">
        <f t="shared" si="193"/>
        <v>1</v>
      </c>
      <c r="Y802" s="14">
        <f t="shared" si="194"/>
        <v>2</v>
      </c>
      <c r="Z802" s="14">
        <f t="shared" si="195"/>
        <v>0</v>
      </c>
      <c r="AA802" s="14" t="str">
        <f t="shared" si="196"/>
        <v>AtkExt</v>
      </c>
      <c r="AB802" s="14">
        <f t="shared" si="190"/>
        <v>2279</v>
      </c>
      <c r="AC802" s="14" t="str">
        <f t="shared" si="197"/>
        <v>DefExt</v>
      </c>
      <c r="AD802" s="14">
        <f t="shared" si="198"/>
        <v>568</v>
      </c>
      <c r="AE802" s="14" t="str">
        <f t="shared" si="199"/>
        <v>[x]</v>
      </c>
      <c r="AF802" s="27" t="str">
        <f t="shared" si="200"/>
        <v>[x]</v>
      </c>
      <c r="AG802" s="27" t="str">
        <f t="shared" si="201"/>
        <v>[x]</v>
      </c>
    </row>
    <row r="803" spans="16:33" ht="16.5" x14ac:dyDescent="0.2">
      <c r="P803" s="13">
        <v>747</v>
      </c>
      <c r="Q803" s="14">
        <f t="shared" si="186"/>
        <v>38</v>
      </c>
      <c r="R803" s="14">
        <f t="shared" si="187"/>
        <v>1606046</v>
      </c>
      <c r="S803" s="14" t="str">
        <f t="shared" si="191"/>
        <v>神器7碎片4等级18</v>
      </c>
      <c r="T803" s="29" t="s">
        <v>649</v>
      </c>
      <c r="U803" s="14">
        <f t="shared" si="188"/>
        <v>18</v>
      </c>
      <c r="V803" s="36">
        <f t="shared" si="192"/>
        <v>1.698</v>
      </c>
      <c r="W803" s="17">
        <f t="shared" si="189"/>
        <v>5.0939999999999999E-2</v>
      </c>
      <c r="X803" s="14">
        <f t="shared" si="193"/>
        <v>1</v>
      </c>
      <c r="Y803" s="14">
        <f t="shared" si="194"/>
        <v>2</v>
      </c>
      <c r="Z803" s="14">
        <f t="shared" si="195"/>
        <v>0</v>
      </c>
      <c r="AA803" s="14" t="str">
        <f t="shared" si="196"/>
        <v>AtkExt</v>
      </c>
      <c r="AB803" s="14">
        <f t="shared" si="190"/>
        <v>2453</v>
      </c>
      <c r="AC803" s="14" t="str">
        <f t="shared" si="197"/>
        <v>DefExt</v>
      </c>
      <c r="AD803" s="14">
        <f t="shared" si="198"/>
        <v>611</v>
      </c>
      <c r="AE803" s="14" t="str">
        <f t="shared" si="199"/>
        <v>[x]</v>
      </c>
      <c r="AF803" s="27" t="str">
        <f t="shared" si="200"/>
        <v>[x]</v>
      </c>
      <c r="AG803" s="27" t="str">
        <f t="shared" si="201"/>
        <v>[x]</v>
      </c>
    </row>
    <row r="804" spans="16:33" ht="16.5" x14ac:dyDescent="0.2">
      <c r="P804" s="13">
        <v>748</v>
      </c>
      <c r="Q804" s="14">
        <f t="shared" si="186"/>
        <v>38</v>
      </c>
      <c r="R804" s="14">
        <f t="shared" si="187"/>
        <v>1606046</v>
      </c>
      <c r="S804" s="14" t="str">
        <f t="shared" si="191"/>
        <v>神器7碎片4等级19</v>
      </c>
      <c r="T804" s="29" t="s">
        <v>649</v>
      </c>
      <c r="U804" s="14">
        <f t="shared" si="188"/>
        <v>19</v>
      </c>
      <c r="V804" s="36">
        <f t="shared" si="192"/>
        <v>1.8220000000000001</v>
      </c>
      <c r="W804" s="17">
        <f t="shared" si="189"/>
        <v>5.466E-2</v>
      </c>
      <c r="X804" s="14">
        <f t="shared" si="193"/>
        <v>1</v>
      </c>
      <c r="Y804" s="14">
        <f t="shared" si="194"/>
        <v>2</v>
      </c>
      <c r="Z804" s="14">
        <f t="shared" si="195"/>
        <v>0</v>
      </c>
      <c r="AA804" s="14" t="str">
        <f t="shared" si="196"/>
        <v>AtkExt</v>
      </c>
      <c r="AB804" s="14">
        <f t="shared" si="190"/>
        <v>2632</v>
      </c>
      <c r="AC804" s="14" t="str">
        <f t="shared" si="197"/>
        <v>DefExt</v>
      </c>
      <c r="AD804" s="14">
        <f t="shared" si="198"/>
        <v>656</v>
      </c>
      <c r="AE804" s="14" t="str">
        <f t="shared" si="199"/>
        <v>[x]</v>
      </c>
      <c r="AF804" s="27" t="str">
        <f t="shared" si="200"/>
        <v>[x]</v>
      </c>
      <c r="AG804" s="27" t="str">
        <f t="shared" si="201"/>
        <v>[x]</v>
      </c>
    </row>
    <row r="805" spans="16:33" ht="16.5" x14ac:dyDescent="0.2">
      <c r="P805" s="13">
        <v>749</v>
      </c>
      <c r="Q805" s="14">
        <f t="shared" si="186"/>
        <v>38</v>
      </c>
      <c r="R805" s="14">
        <f t="shared" si="187"/>
        <v>1606046</v>
      </c>
      <c r="S805" s="14" t="str">
        <f t="shared" si="191"/>
        <v>神器7碎片4等级20</v>
      </c>
      <c r="T805" s="29" t="s">
        <v>649</v>
      </c>
      <c r="U805" s="14">
        <f t="shared" si="188"/>
        <v>20</v>
      </c>
      <c r="V805" s="36">
        <f t="shared" si="192"/>
        <v>1.95</v>
      </c>
      <c r="W805" s="17">
        <f t="shared" si="189"/>
        <v>5.8499999999999996E-2</v>
      </c>
      <c r="X805" s="14">
        <f t="shared" si="193"/>
        <v>1</v>
      </c>
      <c r="Y805" s="14">
        <f t="shared" si="194"/>
        <v>2</v>
      </c>
      <c r="Z805" s="14">
        <f t="shared" si="195"/>
        <v>0</v>
      </c>
      <c r="AA805" s="14" t="str">
        <f t="shared" si="196"/>
        <v>AtkExt</v>
      </c>
      <c r="AB805" s="14">
        <f t="shared" si="190"/>
        <v>2817</v>
      </c>
      <c r="AC805" s="14" t="str">
        <f t="shared" si="197"/>
        <v>DefExt</v>
      </c>
      <c r="AD805" s="14">
        <f t="shared" si="198"/>
        <v>702</v>
      </c>
      <c r="AE805" s="14" t="str">
        <f t="shared" si="199"/>
        <v>[x]</v>
      </c>
      <c r="AF805" s="27" t="str">
        <f t="shared" si="200"/>
        <v>[x]</v>
      </c>
      <c r="AG805" s="27" t="str">
        <f t="shared" si="201"/>
        <v>[x]</v>
      </c>
    </row>
    <row r="806" spans="16:33" ht="16.5" x14ac:dyDescent="0.2">
      <c r="P806" s="13">
        <v>750</v>
      </c>
      <c r="Q806" s="14">
        <f t="shared" si="186"/>
        <v>38</v>
      </c>
      <c r="R806" s="14">
        <f t="shared" si="187"/>
        <v>1606046</v>
      </c>
      <c r="S806" s="14" t="str">
        <f t="shared" si="191"/>
        <v>神器7碎片4等级21</v>
      </c>
      <c r="T806" s="29" t="s">
        <v>649</v>
      </c>
      <c r="U806" s="14">
        <f t="shared" si="188"/>
        <v>21</v>
      </c>
      <c r="V806" s="36">
        <f t="shared" si="192"/>
        <v>2.0819999999999999</v>
      </c>
      <c r="W806" s="17">
        <f t="shared" si="189"/>
        <v>6.2459999999999995E-2</v>
      </c>
      <c r="X806" s="14">
        <f t="shared" si="193"/>
        <v>1</v>
      </c>
      <c r="Y806" s="14">
        <f t="shared" si="194"/>
        <v>2</v>
      </c>
      <c r="Z806" s="14">
        <f t="shared" si="195"/>
        <v>0</v>
      </c>
      <c r="AA806" s="14" t="str">
        <f t="shared" si="196"/>
        <v>AtkExt</v>
      </c>
      <c r="AB806" s="14">
        <f t="shared" si="190"/>
        <v>3008</v>
      </c>
      <c r="AC806" s="14" t="str">
        <f t="shared" si="197"/>
        <v>DefExt</v>
      </c>
      <c r="AD806" s="14">
        <f t="shared" si="198"/>
        <v>750</v>
      </c>
      <c r="AE806" s="14" t="str">
        <f t="shared" si="199"/>
        <v>[x]</v>
      </c>
      <c r="AF806" s="27" t="str">
        <f t="shared" si="200"/>
        <v>[x]</v>
      </c>
      <c r="AG806" s="27" t="str">
        <f t="shared" si="201"/>
        <v>[x]</v>
      </c>
    </row>
    <row r="807" spans="16:33" ht="16.5" x14ac:dyDescent="0.2">
      <c r="P807" s="13">
        <v>751</v>
      </c>
      <c r="Q807" s="14">
        <f t="shared" si="186"/>
        <v>39</v>
      </c>
      <c r="R807" s="14">
        <f t="shared" si="187"/>
        <v>1606047</v>
      </c>
      <c r="S807" s="14" t="str">
        <f t="shared" si="191"/>
        <v>神器7碎片5等级1</v>
      </c>
      <c r="T807" s="29" t="s">
        <v>649</v>
      </c>
      <c r="U807" s="14">
        <f t="shared" si="188"/>
        <v>1</v>
      </c>
      <c r="V807" s="36">
        <f t="shared" si="192"/>
        <v>0.20200000000000001</v>
      </c>
      <c r="W807" s="17">
        <f t="shared" si="189"/>
        <v>6.0600000000000003E-3</v>
      </c>
      <c r="X807" s="14">
        <f t="shared" si="193"/>
        <v>2</v>
      </c>
      <c r="Y807" s="14">
        <f t="shared" si="194"/>
        <v>3</v>
      </c>
      <c r="Z807" s="14">
        <f t="shared" si="195"/>
        <v>0</v>
      </c>
      <c r="AA807" s="14" t="str">
        <f t="shared" si="196"/>
        <v>DefExt</v>
      </c>
      <c r="AB807" s="14">
        <f t="shared" si="190"/>
        <v>145</v>
      </c>
      <c r="AC807" s="14" t="str">
        <f t="shared" si="197"/>
        <v>HPExt</v>
      </c>
      <c r="AD807" s="14">
        <f t="shared" si="198"/>
        <v>438</v>
      </c>
      <c r="AE807" s="14" t="str">
        <f t="shared" si="199"/>
        <v>[x]</v>
      </c>
      <c r="AF807" s="27" t="str">
        <f t="shared" si="200"/>
        <v>[x]</v>
      </c>
      <c r="AG807" s="27" t="str">
        <f t="shared" si="201"/>
        <v>[x]</v>
      </c>
    </row>
    <row r="808" spans="16:33" ht="16.5" x14ac:dyDescent="0.2">
      <c r="P808" s="13">
        <v>752</v>
      </c>
      <c r="Q808" s="14">
        <f t="shared" si="186"/>
        <v>39</v>
      </c>
      <c r="R808" s="14">
        <f t="shared" si="187"/>
        <v>1606047</v>
      </c>
      <c r="S808" s="14" t="str">
        <f t="shared" si="191"/>
        <v>神器7碎片5等级2</v>
      </c>
      <c r="T808" s="29" t="s">
        <v>649</v>
      </c>
      <c r="U808" s="14">
        <f t="shared" si="188"/>
        <v>2</v>
      </c>
      <c r="V808" s="36">
        <f t="shared" si="192"/>
        <v>0.25800000000000001</v>
      </c>
      <c r="W808" s="17">
        <f t="shared" si="189"/>
        <v>7.7400000000000004E-3</v>
      </c>
      <c r="X808" s="14">
        <f t="shared" si="193"/>
        <v>2</v>
      </c>
      <c r="Y808" s="14">
        <f t="shared" si="194"/>
        <v>3</v>
      </c>
      <c r="Z808" s="14">
        <f t="shared" si="195"/>
        <v>0</v>
      </c>
      <c r="AA808" s="14" t="str">
        <f t="shared" si="196"/>
        <v>DefExt</v>
      </c>
      <c r="AB808" s="14">
        <f t="shared" si="190"/>
        <v>185</v>
      </c>
      <c r="AC808" s="14" t="str">
        <f t="shared" si="197"/>
        <v>HPExt</v>
      </c>
      <c r="AD808" s="14">
        <f t="shared" si="198"/>
        <v>560</v>
      </c>
      <c r="AE808" s="14" t="str">
        <f t="shared" si="199"/>
        <v>[x]</v>
      </c>
      <c r="AF808" s="27" t="str">
        <f t="shared" si="200"/>
        <v>[x]</v>
      </c>
      <c r="AG808" s="27" t="str">
        <f t="shared" si="201"/>
        <v>[x]</v>
      </c>
    </row>
    <row r="809" spans="16:33" ht="16.5" x14ac:dyDescent="0.2">
      <c r="P809" s="13">
        <v>753</v>
      </c>
      <c r="Q809" s="14">
        <f t="shared" si="186"/>
        <v>39</v>
      </c>
      <c r="R809" s="14">
        <f t="shared" si="187"/>
        <v>1606047</v>
      </c>
      <c r="S809" s="14" t="str">
        <f t="shared" si="191"/>
        <v>神器7碎片5等级3</v>
      </c>
      <c r="T809" s="29" t="s">
        <v>649</v>
      </c>
      <c r="U809" s="14">
        <f t="shared" si="188"/>
        <v>3</v>
      </c>
      <c r="V809" s="36">
        <f t="shared" si="192"/>
        <v>0.31800000000000006</v>
      </c>
      <c r="W809" s="17">
        <f t="shared" si="189"/>
        <v>9.5400000000000016E-3</v>
      </c>
      <c r="X809" s="14">
        <f t="shared" si="193"/>
        <v>2</v>
      </c>
      <c r="Y809" s="14">
        <f t="shared" si="194"/>
        <v>3</v>
      </c>
      <c r="Z809" s="14">
        <f t="shared" si="195"/>
        <v>0</v>
      </c>
      <c r="AA809" s="14" t="str">
        <f t="shared" si="196"/>
        <v>DefExt</v>
      </c>
      <c r="AB809" s="14">
        <f t="shared" si="190"/>
        <v>229</v>
      </c>
      <c r="AC809" s="14" t="str">
        <f t="shared" si="197"/>
        <v>HPExt</v>
      </c>
      <c r="AD809" s="14">
        <f t="shared" si="198"/>
        <v>690</v>
      </c>
      <c r="AE809" s="14" t="str">
        <f t="shared" si="199"/>
        <v>[x]</v>
      </c>
      <c r="AF809" s="27" t="str">
        <f t="shared" si="200"/>
        <v>[x]</v>
      </c>
      <c r="AG809" s="27" t="str">
        <f t="shared" si="201"/>
        <v>[x]</v>
      </c>
    </row>
    <row r="810" spans="16:33" ht="16.5" x14ac:dyDescent="0.2">
      <c r="P810" s="13">
        <v>754</v>
      </c>
      <c r="Q810" s="14">
        <f t="shared" si="186"/>
        <v>39</v>
      </c>
      <c r="R810" s="14">
        <f t="shared" si="187"/>
        <v>1606047</v>
      </c>
      <c r="S810" s="14" t="str">
        <f t="shared" si="191"/>
        <v>神器7碎片5等级4</v>
      </c>
      <c r="T810" s="29" t="s">
        <v>649</v>
      </c>
      <c r="U810" s="14">
        <f t="shared" si="188"/>
        <v>4</v>
      </c>
      <c r="V810" s="36">
        <f t="shared" si="192"/>
        <v>0.38200000000000001</v>
      </c>
      <c r="W810" s="17">
        <f t="shared" si="189"/>
        <v>1.146E-2</v>
      </c>
      <c r="X810" s="14">
        <f t="shared" si="193"/>
        <v>2</v>
      </c>
      <c r="Y810" s="14">
        <f t="shared" si="194"/>
        <v>3</v>
      </c>
      <c r="Z810" s="14">
        <f t="shared" si="195"/>
        <v>0</v>
      </c>
      <c r="AA810" s="14" t="str">
        <f t="shared" si="196"/>
        <v>DefExt</v>
      </c>
      <c r="AB810" s="14">
        <f t="shared" si="190"/>
        <v>275</v>
      </c>
      <c r="AC810" s="14" t="str">
        <f t="shared" si="197"/>
        <v>HPExt</v>
      </c>
      <c r="AD810" s="14">
        <f t="shared" si="198"/>
        <v>829</v>
      </c>
      <c r="AE810" s="14" t="str">
        <f t="shared" si="199"/>
        <v>[x]</v>
      </c>
      <c r="AF810" s="27" t="str">
        <f t="shared" si="200"/>
        <v>[x]</v>
      </c>
      <c r="AG810" s="27" t="str">
        <f t="shared" si="201"/>
        <v>[x]</v>
      </c>
    </row>
    <row r="811" spans="16:33" ht="16.5" x14ac:dyDescent="0.2">
      <c r="P811" s="13">
        <v>755</v>
      </c>
      <c r="Q811" s="14">
        <f t="shared" si="186"/>
        <v>39</v>
      </c>
      <c r="R811" s="14">
        <f t="shared" si="187"/>
        <v>1606047</v>
      </c>
      <c r="S811" s="14" t="str">
        <f t="shared" si="191"/>
        <v>神器7碎片5等级5</v>
      </c>
      <c r="T811" s="29" t="s">
        <v>649</v>
      </c>
      <c r="U811" s="14">
        <f t="shared" si="188"/>
        <v>5</v>
      </c>
      <c r="V811" s="36">
        <f t="shared" si="192"/>
        <v>0.45</v>
      </c>
      <c r="W811" s="17">
        <f t="shared" si="189"/>
        <v>1.35E-2</v>
      </c>
      <c r="X811" s="14">
        <f t="shared" si="193"/>
        <v>2</v>
      </c>
      <c r="Y811" s="14">
        <f t="shared" si="194"/>
        <v>3</v>
      </c>
      <c r="Z811" s="14">
        <f t="shared" si="195"/>
        <v>0</v>
      </c>
      <c r="AA811" s="14" t="str">
        <f t="shared" si="196"/>
        <v>DefExt</v>
      </c>
      <c r="AB811" s="14">
        <f t="shared" si="190"/>
        <v>324</v>
      </c>
      <c r="AC811" s="14" t="str">
        <f t="shared" si="197"/>
        <v>HPExt</v>
      </c>
      <c r="AD811" s="14">
        <f t="shared" si="198"/>
        <v>977</v>
      </c>
      <c r="AE811" s="14" t="str">
        <f t="shared" si="199"/>
        <v>[x]</v>
      </c>
      <c r="AF811" s="27" t="str">
        <f t="shared" si="200"/>
        <v>[x]</v>
      </c>
      <c r="AG811" s="27" t="str">
        <f t="shared" si="201"/>
        <v>[x]</v>
      </c>
    </row>
    <row r="812" spans="16:33" ht="16.5" x14ac:dyDescent="0.2">
      <c r="P812" s="13">
        <v>756</v>
      </c>
      <c r="Q812" s="14">
        <f t="shared" si="186"/>
        <v>39</v>
      </c>
      <c r="R812" s="14">
        <f t="shared" si="187"/>
        <v>1606047</v>
      </c>
      <c r="S812" s="14" t="str">
        <f t="shared" si="191"/>
        <v>神器7碎片5等级6</v>
      </c>
      <c r="T812" s="29" t="s">
        <v>649</v>
      </c>
      <c r="U812" s="14">
        <f t="shared" si="188"/>
        <v>6</v>
      </c>
      <c r="V812" s="36">
        <f t="shared" si="192"/>
        <v>0.52200000000000002</v>
      </c>
      <c r="W812" s="17">
        <f t="shared" si="189"/>
        <v>1.566E-2</v>
      </c>
      <c r="X812" s="14">
        <f t="shared" si="193"/>
        <v>2</v>
      </c>
      <c r="Y812" s="14">
        <f t="shared" si="194"/>
        <v>3</v>
      </c>
      <c r="Z812" s="14">
        <f t="shared" si="195"/>
        <v>0</v>
      </c>
      <c r="AA812" s="14" t="str">
        <f t="shared" si="196"/>
        <v>DefExt</v>
      </c>
      <c r="AB812" s="14">
        <f t="shared" si="190"/>
        <v>376</v>
      </c>
      <c r="AC812" s="14" t="str">
        <f t="shared" si="197"/>
        <v>HPExt</v>
      </c>
      <c r="AD812" s="14">
        <f t="shared" si="198"/>
        <v>1134</v>
      </c>
      <c r="AE812" s="14" t="str">
        <f t="shared" si="199"/>
        <v>[x]</v>
      </c>
      <c r="AF812" s="27" t="str">
        <f t="shared" si="200"/>
        <v>[x]</v>
      </c>
      <c r="AG812" s="27" t="str">
        <f t="shared" si="201"/>
        <v>[x]</v>
      </c>
    </row>
    <row r="813" spans="16:33" ht="16.5" x14ac:dyDescent="0.2">
      <c r="P813" s="13">
        <v>757</v>
      </c>
      <c r="Q813" s="14">
        <f t="shared" si="186"/>
        <v>39</v>
      </c>
      <c r="R813" s="14">
        <f t="shared" si="187"/>
        <v>1606047</v>
      </c>
      <c r="S813" s="14" t="str">
        <f t="shared" si="191"/>
        <v>神器7碎片5等级7</v>
      </c>
      <c r="T813" s="29" t="s">
        <v>649</v>
      </c>
      <c r="U813" s="14">
        <f t="shared" si="188"/>
        <v>7</v>
      </c>
      <c r="V813" s="36">
        <f t="shared" si="192"/>
        <v>0.59799999999999998</v>
      </c>
      <c r="W813" s="17">
        <f t="shared" si="189"/>
        <v>1.7939999999999998E-2</v>
      </c>
      <c r="X813" s="14">
        <f t="shared" si="193"/>
        <v>2</v>
      </c>
      <c r="Y813" s="14">
        <f t="shared" si="194"/>
        <v>3</v>
      </c>
      <c r="Z813" s="14">
        <f t="shared" si="195"/>
        <v>0</v>
      </c>
      <c r="AA813" s="14" t="str">
        <f t="shared" si="196"/>
        <v>DefExt</v>
      </c>
      <c r="AB813" s="14">
        <f t="shared" si="190"/>
        <v>430</v>
      </c>
      <c r="AC813" s="14" t="str">
        <f t="shared" si="197"/>
        <v>HPExt</v>
      </c>
      <c r="AD813" s="14">
        <f t="shared" si="198"/>
        <v>1299</v>
      </c>
      <c r="AE813" s="14" t="str">
        <f t="shared" si="199"/>
        <v>[x]</v>
      </c>
      <c r="AF813" s="27" t="str">
        <f t="shared" si="200"/>
        <v>[x]</v>
      </c>
      <c r="AG813" s="27" t="str">
        <f t="shared" si="201"/>
        <v>[x]</v>
      </c>
    </row>
    <row r="814" spans="16:33" ht="16.5" x14ac:dyDescent="0.2">
      <c r="P814" s="13">
        <v>758</v>
      </c>
      <c r="Q814" s="14">
        <f t="shared" si="186"/>
        <v>39</v>
      </c>
      <c r="R814" s="14">
        <f t="shared" si="187"/>
        <v>1606047</v>
      </c>
      <c r="S814" s="14" t="str">
        <f t="shared" si="191"/>
        <v>神器7碎片5等级8</v>
      </c>
      <c r="T814" s="29" t="s">
        <v>649</v>
      </c>
      <c r="U814" s="14">
        <f t="shared" si="188"/>
        <v>8</v>
      </c>
      <c r="V814" s="36">
        <f t="shared" si="192"/>
        <v>0.67800000000000005</v>
      </c>
      <c r="W814" s="17">
        <f t="shared" si="189"/>
        <v>2.034E-2</v>
      </c>
      <c r="X814" s="14">
        <f t="shared" si="193"/>
        <v>2</v>
      </c>
      <c r="Y814" s="14">
        <f t="shared" si="194"/>
        <v>3</v>
      </c>
      <c r="Z814" s="14">
        <f t="shared" si="195"/>
        <v>0</v>
      </c>
      <c r="AA814" s="14" t="str">
        <f t="shared" si="196"/>
        <v>DefExt</v>
      </c>
      <c r="AB814" s="14">
        <f t="shared" si="190"/>
        <v>488</v>
      </c>
      <c r="AC814" s="14" t="str">
        <f t="shared" si="197"/>
        <v>HPExt</v>
      </c>
      <c r="AD814" s="14">
        <f t="shared" si="198"/>
        <v>1472</v>
      </c>
      <c r="AE814" s="14" t="str">
        <f t="shared" si="199"/>
        <v>[x]</v>
      </c>
      <c r="AF814" s="27" t="str">
        <f t="shared" si="200"/>
        <v>[x]</v>
      </c>
      <c r="AG814" s="27" t="str">
        <f t="shared" si="201"/>
        <v>[x]</v>
      </c>
    </row>
    <row r="815" spans="16:33" ht="16.5" x14ac:dyDescent="0.2">
      <c r="P815" s="13">
        <v>759</v>
      </c>
      <c r="Q815" s="14">
        <f t="shared" si="186"/>
        <v>39</v>
      </c>
      <c r="R815" s="14">
        <f t="shared" si="187"/>
        <v>1606047</v>
      </c>
      <c r="S815" s="14" t="str">
        <f t="shared" si="191"/>
        <v>神器7碎片5等级9</v>
      </c>
      <c r="T815" s="29" t="s">
        <v>649</v>
      </c>
      <c r="U815" s="14">
        <f t="shared" si="188"/>
        <v>9</v>
      </c>
      <c r="V815" s="36">
        <f t="shared" si="192"/>
        <v>0.76200000000000001</v>
      </c>
      <c r="W815" s="17">
        <f t="shared" si="189"/>
        <v>2.2859999999999998E-2</v>
      </c>
      <c r="X815" s="14">
        <f t="shared" si="193"/>
        <v>2</v>
      </c>
      <c r="Y815" s="14">
        <f t="shared" si="194"/>
        <v>3</v>
      </c>
      <c r="Z815" s="14">
        <f t="shared" si="195"/>
        <v>0</v>
      </c>
      <c r="AA815" s="14" t="str">
        <f t="shared" si="196"/>
        <v>DefExt</v>
      </c>
      <c r="AB815" s="14">
        <f t="shared" si="190"/>
        <v>549</v>
      </c>
      <c r="AC815" s="14" t="str">
        <f t="shared" si="197"/>
        <v>HPExt</v>
      </c>
      <c r="AD815" s="14">
        <f t="shared" si="198"/>
        <v>1655</v>
      </c>
      <c r="AE815" s="14" t="str">
        <f t="shared" si="199"/>
        <v>[x]</v>
      </c>
      <c r="AF815" s="27" t="str">
        <f t="shared" si="200"/>
        <v>[x]</v>
      </c>
      <c r="AG815" s="27" t="str">
        <f t="shared" si="201"/>
        <v>[x]</v>
      </c>
    </row>
    <row r="816" spans="16:33" ht="16.5" x14ac:dyDescent="0.2">
      <c r="P816" s="13">
        <v>760</v>
      </c>
      <c r="Q816" s="14">
        <f t="shared" si="186"/>
        <v>39</v>
      </c>
      <c r="R816" s="14">
        <f t="shared" si="187"/>
        <v>1606047</v>
      </c>
      <c r="S816" s="14" t="str">
        <f t="shared" si="191"/>
        <v>神器7碎片5等级10</v>
      </c>
      <c r="T816" s="29" t="s">
        <v>649</v>
      </c>
      <c r="U816" s="14">
        <f t="shared" si="188"/>
        <v>10</v>
      </c>
      <c r="V816" s="36">
        <f t="shared" si="192"/>
        <v>0.85000000000000009</v>
      </c>
      <c r="W816" s="17">
        <f t="shared" si="189"/>
        <v>2.5500000000000002E-2</v>
      </c>
      <c r="X816" s="14">
        <f t="shared" si="193"/>
        <v>2</v>
      </c>
      <c r="Y816" s="14">
        <f t="shared" si="194"/>
        <v>3</v>
      </c>
      <c r="Z816" s="14">
        <f t="shared" si="195"/>
        <v>0</v>
      </c>
      <c r="AA816" s="14" t="str">
        <f t="shared" si="196"/>
        <v>DefExt</v>
      </c>
      <c r="AB816" s="14">
        <f t="shared" si="190"/>
        <v>612</v>
      </c>
      <c r="AC816" s="14" t="str">
        <f t="shared" si="197"/>
        <v>HPExt</v>
      </c>
      <c r="AD816" s="14">
        <f t="shared" si="198"/>
        <v>1846</v>
      </c>
      <c r="AE816" s="14" t="str">
        <f t="shared" si="199"/>
        <v>[x]</v>
      </c>
      <c r="AF816" s="27" t="str">
        <f t="shared" si="200"/>
        <v>[x]</v>
      </c>
      <c r="AG816" s="27" t="str">
        <f t="shared" si="201"/>
        <v>[x]</v>
      </c>
    </row>
    <row r="817" spans="16:33" ht="16.5" x14ac:dyDescent="0.2">
      <c r="P817" s="13">
        <v>761</v>
      </c>
      <c r="Q817" s="14">
        <f t="shared" si="186"/>
        <v>39</v>
      </c>
      <c r="R817" s="14">
        <f t="shared" si="187"/>
        <v>1606047</v>
      </c>
      <c r="S817" s="14" t="str">
        <f t="shared" si="191"/>
        <v>神器7碎片5等级11</v>
      </c>
      <c r="T817" s="29" t="s">
        <v>649</v>
      </c>
      <c r="U817" s="14">
        <f t="shared" si="188"/>
        <v>11</v>
      </c>
      <c r="V817" s="36">
        <f t="shared" si="192"/>
        <v>0.94200000000000006</v>
      </c>
      <c r="W817" s="17">
        <f t="shared" si="189"/>
        <v>2.826E-2</v>
      </c>
      <c r="X817" s="14">
        <f t="shared" si="193"/>
        <v>2</v>
      </c>
      <c r="Y817" s="14">
        <f t="shared" si="194"/>
        <v>3</v>
      </c>
      <c r="Z817" s="14">
        <f t="shared" si="195"/>
        <v>0</v>
      </c>
      <c r="AA817" s="14" t="str">
        <f t="shared" si="196"/>
        <v>DefExt</v>
      </c>
      <c r="AB817" s="14">
        <f t="shared" si="190"/>
        <v>678</v>
      </c>
      <c r="AC817" s="14" t="str">
        <f t="shared" si="197"/>
        <v>HPExt</v>
      </c>
      <c r="AD817" s="14">
        <f t="shared" si="198"/>
        <v>2046</v>
      </c>
      <c r="AE817" s="14" t="str">
        <f t="shared" si="199"/>
        <v>[x]</v>
      </c>
      <c r="AF817" s="27" t="str">
        <f t="shared" si="200"/>
        <v>[x]</v>
      </c>
      <c r="AG817" s="27" t="str">
        <f t="shared" si="201"/>
        <v>[x]</v>
      </c>
    </row>
    <row r="818" spans="16:33" ht="16.5" x14ac:dyDescent="0.2">
      <c r="P818" s="13">
        <v>762</v>
      </c>
      <c r="Q818" s="14">
        <f t="shared" si="186"/>
        <v>39</v>
      </c>
      <c r="R818" s="14">
        <f t="shared" si="187"/>
        <v>1606047</v>
      </c>
      <c r="S818" s="14" t="str">
        <f t="shared" si="191"/>
        <v>神器7碎片5等级12</v>
      </c>
      <c r="T818" s="29" t="s">
        <v>649</v>
      </c>
      <c r="U818" s="14">
        <f t="shared" si="188"/>
        <v>12</v>
      </c>
      <c r="V818" s="36">
        <f t="shared" si="192"/>
        <v>1.0380000000000003</v>
      </c>
      <c r="W818" s="17">
        <f t="shared" si="189"/>
        <v>3.1140000000000008E-2</v>
      </c>
      <c r="X818" s="14">
        <f t="shared" si="193"/>
        <v>2</v>
      </c>
      <c r="Y818" s="14">
        <f t="shared" si="194"/>
        <v>3</v>
      </c>
      <c r="Z818" s="14">
        <f t="shared" si="195"/>
        <v>0</v>
      </c>
      <c r="AA818" s="14" t="str">
        <f t="shared" si="196"/>
        <v>DefExt</v>
      </c>
      <c r="AB818" s="14">
        <f t="shared" si="190"/>
        <v>747</v>
      </c>
      <c r="AC818" s="14" t="str">
        <f t="shared" si="197"/>
        <v>HPExt</v>
      </c>
      <c r="AD818" s="14">
        <f t="shared" si="198"/>
        <v>2255</v>
      </c>
      <c r="AE818" s="14" t="str">
        <f t="shared" si="199"/>
        <v>[x]</v>
      </c>
      <c r="AF818" s="27" t="str">
        <f t="shared" si="200"/>
        <v>[x]</v>
      </c>
      <c r="AG818" s="27" t="str">
        <f t="shared" si="201"/>
        <v>[x]</v>
      </c>
    </row>
    <row r="819" spans="16:33" ht="16.5" x14ac:dyDescent="0.2">
      <c r="P819" s="13">
        <v>763</v>
      </c>
      <c r="Q819" s="14">
        <f t="shared" si="186"/>
        <v>39</v>
      </c>
      <c r="R819" s="14">
        <f t="shared" si="187"/>
        <v>1606047</v>
      </c>
      <c r="S819" s="14" t="str">
        <f t="shared" si="191"/>
        <v>神器7碎片5等级13</v>
      </c>
      <c r="T819" s="29" t="s">
        <v>649</v>
      </c>
      <c r="U819" s="14">
        <f t="shared" si="188"/>
        <v>13</v>
      </c>
      <c r="V819" s="36">
        <f t="shared" si="192"/>
        <v>1.1380000000000001</v>
      </c>
      <c r="W819" s="17">
        <f t="shared" si="189"/>
        <v>3.4140000000000004E-2</v>
      </c>
      <c r="X819" s="14">
        <f t="shared" si="193"/>
        <v>2</v>
      </c>
      <c r="Y819" s="14">
        <f t="shared" si="194"/>
        <v>3</v>
      </c>
      <c r="Z819" s="14">
        <f t="shared" si="195"/>
        <v>0</v>
      </c>
      <c r="AA819" s="14" t="str">
        <f t="shared" si="196"/>
        <v>DefExt</v>
      </c>
      <c r="AB819" s="14">
        <f t="shared" si="190"/>
        <v>819</v>
      </c>
      <c r="AC819" s="14" t="str">
        <f t="shared" si="197"/>
        <v>HPExt</v>
      </c>
      <c r="AD819" s="14">
        <f t="shared" si="198"/>
        <v>2472</v>
      </c>
      <c r="AE819" s="14" t="str">
        <f t="shared" si="199"/>
        <v>[x]</v>
      </c>
      <c r="AF819" s="27" t="str">
        <f t="shared" si="200"/>
        <v>[x]</v>
      </c>
      <c r="AG819" s="27" t="str">
        <f t="shared" si="201"/>
        <v>[x]</v>
      </c>
    </row>
    <row r="820" spans="16:33" ht="16.5" x14ac:dyDescent="0.2">
      <c r="P820" s="13">
        <v>764</v>
      </c>
      <c r="Q820" s="14">
        <f t="shared" si="186"/>
        <v>39</v>
      </c>
      <c r="R820" s="14">
        <f t="shared" si="187"/>
        <v>1606047</v>
      </c>
      <c r="S820" s="14" t="str">
        <f t="shared" si="191"/>
        <v>神器7碎片5等级14</v>
      </c>
      <c r="T820" s="29" t="s">
        <v>649</v>
      </c>
      <c r="U820" s="14">
        <f t="shared" si="188"/>
        <v>14</v>
      </c>
      <c r="V820" s="36">
        <f t="shared" si="192"/>
        <v>1.242</v>
      </c>
      <c r="W820" s="17">
        <f t="shared" si="189"/>
        <v>3.7260000000000001E-2</v>
      </c>
      <c r="X820" s="14">
        <f t="shared" si="193"/>
        <v>2</v>
      </c>
      <c r="Y820" s="14">
        <f t="shared" si="194"/>
        <v>3</v>
      </c>
      <c r="Z820" s="14">
        <f t="shared" si="195"/>
        <v>0</v>
      </c>
      <c r="AA820" s="14" t="str">
        <f t="shared" si="196"/>
        <v>DefExt</v>
      </c>
      <c r="AB820" s="14">
        <f t="shared" si="190"/>
        <v>894</v>
      </c>
      <c r="AC820" s="14" t="str">
        <f t="shared" si="197"/>
        <v>HPExt</v>
      </c>
      <c r="AD820" s="14">
        <f t="shared" si="198"/>
        <v>2698</v>
      </c>
      <c r="AE820" s="14" t="str">
        <f t="shared" si="199"/>
        <v>[x]</v>
      </c>
      <c r="AF820" s="27" t="str">
        <f t="shared" si="200"/>
        <v>[x]</v>
      </c>
      <c r="AG820" s="27" t="str">
        <f t="shared" si="201"/>
        <v>[x]</v>
      </c>
    </row>
    <row r="821" spans="16:33" ht="16.5" x14ac:dyDescent="0.2">
      <c r="P821" s="13">
        <v>765</v>
      </c>
      <c r="Q821" s="14">
        <f t="shared" si="186"/>
        <v>39</v>
      </c>
      <c r="R821" s="14">
        <f t="shared" si="187"/>
        <v>1606047</v>
      </c>
      <c r="S821" s="14" t="str">
        <f t="shared" si="191"/>
        <v>神器7碎片5等级15</v>
      </c>
      <c r="T821" s="29" t="s">
        <v>649</v>
      </c>
      <c r="U821" s="14">
        <f t="shared" si="188"/>
        <v>15</v>
      </c>
      <c r="V821" s="36">
        <f t="shared" si="192"/>
        <v>1.35</v>
      </c>
      <c r="W821" s="17">
        <f t="shared" si="189"/>
        <v>4.0500000000000001E-2</v>
      </c>
      <c r="X821" s="14">
        <f t="shared" si="193"/>
        <v>2</v>
      </c>
      <c r="Y821" s="14">
        <f t="shared" si="194"/>
        <v>3</v>
      </c>
      <c r="Z821" s="14">
        <f t="shared" si="195"/>
        <v>0</v>
      </c>
      <c r="AA821" s="14" t="str">
        <f t="shared" si="196"/>
        <v>DefExt</v>
      </c>
      <c r="AB821" s="14">
        <f t="shared" si="190"/>
        <v>972</v>
      </c>
      <c r="AC821" s="14" t="str">
        <f t="shared" si="197"/>
        <v>HPExt</v>
      </c>
      <c r="AD821" s="14">
        <f t="shared" si="198"/>
        <v>2932</v>
      </c>
      <c r="AE821" s="14" t="str">
        <f t="shared" si="199"/>
        <v>[x]</v>
      </c>
      <c r="AF821" s="27" t="str">
        <f t="shared" si="200"/>
        <v>[x]</v>
      </c>
      <c r="AG821" s="27" t="str">
        <f t="shared" si="201"/>
        <v>[x]</v>
      </c>
    </row>
    <row r="822" spans="16:33" ht="16.5" x14ac:dyDescent="0.2">
      <c r="P822" s="13">
        <v>766</v>
      </c>
      <c r="Q822" s="14">
        <f t="shared" si="186"/>
        <v>39</v>
      </c>
      <c r="R822" s="14">
        <f t="shared" si="187"/>
        <v>1606047</v>
      </c>
      <c r="S822" s="14" t="str">
        <f t="shared" si="191"/>
        <v>神器7碎片5等级16</v>
      </c>
      <c r="T822" s="29" t="s">
        <v>649</v>
      </c>
      <c r="U822" s="14">
        <f t="shared" si="188"/>
        <v>16</v>
      </c>
      <c r="V822" s="36">
        <f t="shared" si="192"/>
        <v>1.4620000000000002</v>
      </c>
      <c r="W822" s="17">
        <f t="shared" si="189"/>
        <v>4.3860000000000003E-2</v>
      </c>
      <c r="X822" s="14">
        <f t="shared" si="193"/>
        <v>2</v>
      </c>
      <c r="Y822" s="14">
        <f t="shared" si="194"/>
        <v>3</v>
      </c>
      <c r="Z822" s="14">
        <f t="shared" si="195"/>
        <v>0</v>
      </c>
      <c r="AA822" s="14" t="str">
        <f t="shared" si="196"/>
        <v>DefExt</v>
      </c>
      <c r="AB822" s="14">
        <f t="shared" si="190"/>
        <v>1053</v>
      </c>
      <c r="AC822" s="14" t="str">
        <f t="shared" si="197"/>
        <v>HPExt</v>
      </c>
      <c r="AD822" s="14">
        <f t="shared" si="198"/>
        <v>3176</v>
      </c>
      <c r="AE822" s="14" t="str">
        <f t="shared" si="199"/>
        <v>[x]</v>
      </c>
      <c r="AF822" s="27" t="str">
        <f t="shared" si="200"/>
        <v>[x]</v>
      </c>
      <c r="AG822" s="27" t="str">
        <f t="shared" si="201"/>
        <v>[x]</v>
      </c>
    </row>
    <row r="823" spans="16:33" ht="16.5" x14ac:dyDescent="0.2">
      <c r="P823" s="13">
        <v>767</v>
      </c>
      <c r="Q823" s="14">
        <f t="shared" si="186"/>
        <v>39</v>
      </c>
      <c r="R823" s="14">
        <f t="shared" si="187"/>
        <v>1606047</v>
      </c>
      <c r="S823" s="14" t="str">
        <f t="shared" si="191"/>
        <v>神器7碎片5等级17</v>
      </c>
      <c r="T823" s="29" t="s">
        <v>649</v>
      </c>
      <c r="U823" s="14">
        <f t="shared" si="188"/>
        <v>17</v>
      </c>
      <c r="V823" s="36">
        <f t="shared" si="192"/>
        <v>1.5779999999999998</v>
      </c>
      <c r="W823" s="17">
        <f t="shared" si="189"/>
        <v>4.7339999999999993E-2</v>
      </c>
      <c r="X823" s="14">
        <f t="shared" si="193"/>
        <v>2</v>
      </c>
      <c r="Y823" s="14">
        <f t="shared" si="194"/>
        <v>3</v>
      </c>
      <c r="Z823" s="14">
        <f t="shared" si="195"/>
        <v>0</v>
      </c>
      <c r="AA823" s="14" t="str">
        <f t="shared" si="196"/>
        <v>DefExt</v>
      </c>
      <c r="AB823" s="14">
        <f t="shared" si="190"/>
        <v>1136</v>
      </c>
      <c r="AC823" s="14" t="str">
        <f t="shared" si="197"/>
        <v>HPExt</v>
      </c>
      <c r="AD823" s="14">
        <f t="shared" si="198"/>
        <v>3428</v>
      </c>
      <c r="AE823" s="14" t="str">
        <f t="shared" si="199"/>
        <v>[x]</v>
      </c>
      <c r="AF823" s="27" t="str">
        <f t="shared" si="200"/>
        <v>[x]</v>
      </c>
      <c r="AG823" s="27" t="str">
        <f t="shared" si="201"/>
        <v>[x]</v>
      </c>
    </row>
    <row r="824" spans="16:33" ht="16.5" x14ac:dyDescent="0.2">
      <c r="P824" s="13">
        <v>768</v>
      </c>
      <c r="Q824" s="14">
        <f t="shared" si="186"/>
        <v>39</v>
      </c>
      <c r="R824" s="14">
        <f t="shared" si="187"/>
        <v>1606047</v>
      </c>
      <c r="S824" s="14" t="str">
        <f t="shared" si="191"/>
        <v>神器7碎片5等级18</v>
      </c>
      <c r="T824" s="29" t="s">
        <v>649</v>
      </c>
      <c r="U824" s="14">
        <f t="shared" si="188"/>
        <v>18</v>
      </c>
      <c r="V824" s="36">
        <f t="shared" si="192"/>
        <v>1.698</v>
      </c>
      <c r="W824" s="17">
        <f t="shared" si="189"/>
        <v>5.0939999999999999E-2</v>
      </c>
      <c r="X824" s="14">
        <f t="shared" si="193"/>
        <v>2</v>
      </c>
      <c r="Y824" s="14">
        <f t="shared" si="194"/>
        <v>3</v>
      </c>
      <c r="Z824" s="14">
        <f t="shared" si="195"/>
        <v>0</v>
      </c>
      <c r="AA824" s="14" t="str">
        <f t="shared" si="196"/>
        <v>DefExt</v>
      </c>
      <c r="AB824" s="14">
        <f t="shared" si="190"/>
        <v>1223</v>
      </c>
      <c r="AC824" s="14" t="str">
        <f t="shared" si="197"/>
        <v>HPExt</v>
      </c>
      <c r="AD824" s="14">
        <f t="shared" si="198"/>
        <v>3688</v>
      </c>
      <c r="AE824" s="14" t="str">
        <f t="shared" si="199"/>
        <v>[x]</v>
      </c>
      <c r="AF824" s="27" t="str">
        <f t="shared" si="200"/>
        <v>[x]</v>
      </c>
      <c r="AG824" s="27" t="str">
        <f t="shared" si="201"/>
        <v>[x]</v>
      </c>
    </row>
    <row r="825" spans="16:33" ht="16.5" x14ac:dyDescent="0.2">
      <c r="P825" s="13">
        <v>769</v>
      </c>
      <c r="Q825" s="14">
        <f t="shared" ref="Q825:Q888" si="202">MATCH(P825-1,$X$4:$X$46,1)</f>
        <v>39</v>
      </c>
      <c r="R825" s="14">
        <f t="shared" ref="R825:R888" si="203">INDEX($S$5:$S$46,Q825)</f>
        <v>1606047</v>
      </c>
      <c r="S825" s="14" t="str">
        <f t="shared" si="191"/>
        <v>神器7碎片5等级19</v>
      </c>
      <c r="T825" s="29" t="s">
        <v>649</v>
      </c>
      <c r="U825" s="14">
        <f t="shared" ref="U825:U890" si="204">P825-INDEX($X$4:$X$46,Q825)</f>
        <v>19</v>
      </c>
      <c r="V825" s="36">
        <f t="shared" si="192"/>
        <v>1.8220000000000001</v>
      </c>
      <c r="W825" s="17">
        <f t="shared" ref="W825:W888" si="205">INDEX($V$5:$V$46,Q825)*V825</f>
        <v>5.466E-2</v>
      </c>
      <c r="X825" s="14">
        <f t="shared" si="193"/>
        <v>2</v>
      </c>
      <c r="Y825" s="14">
        <f t="shared" si="194"/>
        <v>3</v>
      </c>
      <c r="Z825" s="14">
        <f t="shared" si="195"/>
        <v>0</v>
      </c>
      <c r="AA825" s="14" t="str">
        <f t="shared" si="196"/>
        <v>DefExt</v>
      </c>
      <c r="AB825" s="14">
        <f t="shared" ref="AB825:AB890" si="206">INT(INDEX($E$4:$G$4,X825)*W825*INDEX($Y$5:$AA$46,Q825,X825))</f>
        <v>1312</v>
      </c>
      <c r="AC825" s="14" t="str">
        <f t="shared" si="197"/>
        <v>HPExt</v>
      </c>
      <c r="AD825" s="14">
        <f t="shared" si="198"/>
        <v>3958</v>
      </c>
      <c r="AE825" s="14" t="str">
        <f t="shared" si="199"/>
        <v>[x]</v>
      </c>
      <c r="AF825" s="27" t="str">
        <f t="shared" si="200"/>
        <v>[x]</v>
      </c>
      <c r="AG825" s="27" t="str">
        <f t="shared" si="201"/>
        <v>[x]</v>
      </c>
    </row>
    <row r="826" spans="16:33" ht="16.5" x14ac:dyDescent="0.2">
      <c r="P826" s="13">
        <v>770</v>
      </c>
      <c r="Q826" s="14">
        <f t="shared" si="202"/>
        <v>39</v>
      </c>
      <c r="R826" s="14">
        <f t="shared" si="203"/>
        <v>1606047</v>
      </c>
      <c r="S826" s="14" t="str">
        <f t="shared" ref="S826:S889" si="207">INDEX($P$5:$P$46,Q826)&amp;"碎片"&amp;INDEX($R$5:$R$46,Q826)&amp;"等级"&amp;U826</f>
        <v>神器7碎片5等级20</v>
      </c>
      <c r="T826" s="29" t="s">
        <v>649</v>
      </c>
      <c r="U826" s="14">
        <f t="shared" si="204"/>
        <v>20</v>
      </c>
      <c r="V826" s="36">
        <f t="shared" ref="V826:V889" si="208">15%+U826*5%+U826*U826*0.2%</f>
        <v>1.95</v>
      </c>
      <c r="W826" s="17">
        <f t="shared" si="205"/>
        <v>5.8499999999999996E-2</v>
      </c>
      <c r="X826" s="14">
        <f t="shared" ref="X826:X890" si="209">INDEX($AB$5:$AB$46,Q826)</f>
        <v>2</v>
      </c>
      <c r="Y826" s="14">
        <f t="shared" ref="Y826:Y890" si="210">INDEX(AC$5:AC$46,$Q826)</f>
        <v>3</v>
      </c>
      <c r="Z826" s="14">
        <f t="shared" ref="Z826:Z890" si="211">INDEX(AD$5:AD$46,$Q826)</f>
        <v>0</v>
      </c>
      <c r="AA826" s="14" t="str">
        <f t="shared" ref="AA826:AA889" si="212">INDEX($Y$3:$AA$3,X826)</f>
        <v>DefExt</v>
      </c>
      <c r="AB826" s="14">
        <f t="shared" si="206"/>
        <v>1404</v>
      </c>
      <c r="AC826" s="14" t="str">
        <f t="shared" ref="AC826:AC889" si="213">IF(Y826&gt;0,INDEX($Y$3:$AA$3,Y826),"[x]")</f>
        <v>HPExt</v>
      </c>
      <c r="AD826" s="14">
        <f t="shared" ref="AD826:AD889" si="214">IF(Y826&gt;0,INT(INDEX($E$4:$G$4,Y826)*W826*INDEX($Y$5:$AA$46,Q826,Y826)),"[x]")</f>
        <v>4236</v>
      </c>
      <c r="AE826" s="14" t="str">
        <f t="shared" ref="AE826:AE889" si="215">IF(Z826&gt;0,INDEX($Y$3:$AA$3,Z826),"[x]")</f>
        <v>[x]</v>
      </c>
      <c r="AF826" s="27" t="str">
        <f t="shared" ref="AF826:AF889" si="216">IF(Z826&gt;0,INT(INDEX($E$4:$G$4,Z826)*W826*INDEX($Y$5:$AA$46,Q826,Z826)),"[x]")</f>
        <v>[x]</v>
      </c>
      <c r="AG826" s="27" t="str">
        <f t="shared" ref="AG826:AG889" si="217">IF(INDEX($AE$5:$AE$46,Q826)&gt;0,INDEX($AE$5:$AE$46,Q826)*U826,"[x]")</f>
        <v>[x]</v>
      </c>
    </row>
    <row r="827" spans="16:33" ht="16.5" x14ac:dyDescent="0.2">
      <c r="P827" s="13">
        <v>771</v>
      </c>
      <c r="Q827" s="14">
        <f t="shared" si="202"/>
        <v>39</v>
      </c>
      <c r="R827" s="14">
        <f t="shared" si="203"/>
        <v>1606047</v>
      </c>
      <c r="S827" s="14" t="str">
        <f t="shared" si="207"/>
        <v>神器7碎片5等级21</v>
      </c>
      <c r="T827" s="29" t="s">
        <v>649</v>
      </c>
      <c r="U827" s="14">
        <f t="shared" si="204"/>
        <v>21</v>
      </c>
      <c r="V827" s="36">
        <f t="shared" si="208"/>
        <v>2.0819999999999999</v>
      </c>
      <c r="W827" s="17">
        <f t="shared" si="205"/>
        <v>6.2459999999999995E-2</v>
      </c>
      <c r="X827" s="14">
        <f t="shared" si="209"/>
        <v>2</v>
      </c>
      <c r="Y827" s="14">
        <f t="shared" si="210"/>
        <v>3</v>
      </c>
      <c r="Z827" s="14">
        <f t="shared" si="211"/>
        <v>0</v>
      </c>
      <c r="AA827" s="14" t="str">
        <f t="shared" si="212"/>
        <v>DefExt</v>
      </c>
      <c r="AB827" s="14">
        <f t="shared" si="206"/>
        <v>1500</v>
      </c>
      <c r="AC827" s="14" t="str">
        <f t="shared" si="213"/>
        <v>HPExt</v>
      </c>
      <c r="AD827" s="14">
        <f t="shared" si="214"/>
        <v>4523</v>
      </c>
      <c r="AE827" s="14" t="str">
        <f t="shared" si="215"/>
        <v>[x]</v>
      </c>
      <c r="AF827" s="27" t="str">
        <f t="shared" si="216"/>
        <v>[x]</v>
      </c>
      <c r="AG827" s="27" t="str">
        <f t="shared" si="217"/>
        <v>[x]</v>
      </c>
    </row>
    <row r="828" spans="16:33" ht="16.5" x14ac:dyDescent="0.2">
      <c r="P828" s="13">
        <v>772</v>
      </c>
      <c r="Q828" s="14">
        <f t="shared" si="202"/>
        <v>40</v>
      </c>
      <c r="R828" s="14">
        <f t="shared" si="203"/>
        <v>1606048</v>
      </c>
      <c r="S828" s="14" t="str">
        <f t="shared" si="207"/>
        <v>神器7碎片6等级1</v>
      </c>
      <c r="T828" s="29" t="s">
        <v>649</v>
      </c>
      <c r="U828" s="14">
        <f t="shared" si="204"/>
        <v>1</v>
      </c>
      <c r="V828" s="36">
        <f t="shared" si="208"/>
        <v>0.20200000000000001</v>
      </c>
      <c r="W828" s="17">
        <f t="shared" si="205"/>
        <v>6.0600000000000003E-3</v>
      </c>
      <c r="X828" s="14">
        <f t="shared" si="209"/>
        <v>1</v>
      </c>
      <c r="Y828" s="14">
        <f t="shared" si="210"/>
        <v>2</v>
      </c>
      <c r="Z828" s="14">
        <f t="shared" si="211"/>
        <v>3</v>
      </c>
      <c r="AA828" s="14" t="str">
        <f t="shared" si="212"/>
        <v>AtkExt</v>
      </c>
      <c r="AB828" s="14">
        <f t="shared" si="206"/>
        <v>145</v>
      </c>
      <c r="AC828" s="14" t="str">
        <f t="shared" si="213"/>
        <v>DefExt</v>
      </c>
      <c r="AD828" s="14">
        <f t="shared" si="214"/>
        <v>72</v>
      </c>
      <c r="AE828" s="14" t="str">
        <f t="shared" si="215"/>
        <v>HPExt</v>
      </c>
      <c r="AF828" s="27">
        <f t="shared" si="216"/>
        <v>438</v>
      </c>
      <c r="AG828" s="27" t="str">
        <f t="shared" si="217"/>
        <v>[x]</v>
      </c>
    </row>
    <row r="829" spans="16:33" ht="16.5" x14ac:dyDescent="0.2">
      <c r="P829" s="13">
        <v>773</v>
      </c>
      <c r="Q829" s="14">
        <f t="shared" si="202"/>
        <v>40</v>
      </c>
      <c r="R829" s="14">
        <f t="shared" si="203"/>
        <v>1606048</v>
      </c>
      <c r="S829" s="14" t="str">
        <f t="shared" si="207"/>
        <v>神器7碎片6等级2</v>
      </c>
      <c r="T829" s="29" t="s">
        <v>649</v>
      </c>
      <c r="U829" s="14">
        <f t="shared" si="204"/>
        <v>2</v>
      </c>
      <c r="V829" s="36">
        <f t="shared" si="208"/>
        <v>0.25800000000000001</v>
      </c>
      <c r="W829" s="17">
        <f t="shared" si="205"/>
        <v>7.7400000000000004E-3</v>
      </c>
      <c r="X829" s="14">
        <f t="shared" si="209"/>
        <v>1</v>
      </c>
      <c r="Y829" s="14">
        <f t="shared" si="210"/>
        <v>2</v>
      </c>
      <c r="Z829" s="14">
        <f t="shared" si="211"/>
        <v>3</v>
      </c>
      <c r="AA829" s="14" t="str">
        <f t="shared" si="212"/>
        <v>AtkExt</v>
      </c>
      <c r="AB829" s="14">
        <f t="shared" si="206"/>
        <v>186</v>
      </c>
      <c r="AC829" s="14" t="str">
        <f t="shared" si="213"/>
        <v>DefExt</v>
      </c>
      <c r="AD829" s="14">
        <f t="shared" si="214"/>
        <v>92</v>
      </c>
      <c r="AE829" s="14" t="str">
        <f t="shared" si="215"/>
        <v>HPExt</v>
      </c>
      <c r="AF829" s="27">
        <f t="shared" si="216"/>
        <v>560</v>
      </c>
      <c r="AG829" s="27" t="str">
        <f t="shared" si="217"/>
        <v>[x]</v>
      </c>
    </row>
    <row r="830" spans="16:33" ht="16.5" x14ac:dyDescent="0.2">
      <c r="P830" s="13">
        <v>774</v>
      </c>
      <c r="Q830" s="14">
        <f t="shared" si="202"/>
        <v>40</v>
      </c>
      <c r="R830" s="14">
        <f t="shared" si="203"/>
        <v>1606048</v>
      </c>
      <c r="S830" s="14" t="str">
        <f t="shared" si="207"/>
        <v>神器7碎片6等级3</v>
      </c>
      <c r="T830" s="29" t="s">
        <v>649</v>
      </c>
      <c r="U830" s="14">
        <f t="shared" si="204"/>
        <v>3</v>
      </c>
      <c r="V830" s="36">
        <f t="shared" si="208"/>
        <v>0.31800000000000006</v>
      </c>
      <c r="W830" s="17">
        <f t="shared" si="205"/>
        <v>9.5400000000000016E-3</v>
      </c>
      <c r="X830" s="14">
        <f t="shared" si="209"/>
        <v>1</v>
      </c>
      <c r="Y830" s="14">
        <f t="shared" si="210"/>
        <v>2</v>
      </c>
      <c r="Z830" s="14">
        <f t="shared" si="211"/>
        <v>3</v>
      </c>
      <c r="AA830" s="14" t="str">
        <f t="shared" si="212"/>
        <v>AtkExt</v>
      </c>
      <c r="AB830" s="14">
        <f t="shared" si="206"/>
        <v>229</v>
      </c>
      <c r="AC830" s="14" t="str">
        <f t="shared" si="213"/>
        <v>DefExt</v>
      </c>
      <c r="AD830" s="14">
        <f t="shared" si="214"/>
        <v>114</v>
      </c>
      <c r="AE830" s="14" t="str">
        <f t="shared" si="215"/>
        <v>HPExt</v>
      </c>
      <c r="AF830" s="27">
        <f t="shared" si="216"/>
        <v>690</v>
      </c>
      <c r="AG830" s="27" t="str">
        <f t="shared" si="217"/>
        <v>[x]</v>
      </c>
    </row>
    <row r="831" spans="16:33" ht="16.5" x14ac:dyDescent="0.2">
      <c r="P831" s="13">
        <v>775</v>
      </c>
      <c r="Q831" s="14">
        <f t="shared" si="202"/>
        <v>40</v>
      </c>
      <c r="R831" s="14">
        <f t="shared" si="203"/>
        <v>1606048</v>
      </c>
      <c r="S831" s="14" t="str">
        <f t="shared" si="207"/>
        <v>神器7碎片6等级4</v>
      </c>
      <c r="T831" s="29" t="s">
        <v>649</v>
      </c>
      <c r="U831" s="14">
        <f t="shared" si="204"/>
        <v>4</v>
      </c>
      <c r="V831" s="36">
        <f t="shared" si="208"/>
        <v>0.38200000000000001</v>
      </c>
      <c r="W831" s="17">
        <f t="shared" si="205"/>
        <v>1.146E-2</v>
      </c>
      <c r="X831" s="14">
        <f t="shared" si="209"/>
        <v>1</v>
      </c>
      <c r="Y831" s="14">
        <f t="shared" si="210"/>
        <v>2</v>
      </c>
      <c r="Z831" s="14">
        <f t="shared" si="211"/>
        <v>3</v>
      </c>
      <c r="AA831" s="14" t="str">
        <f t="shared" si="212"/>
        <v>AtkExt</v>
      </c>
      <c r="AB831" s="14">
        <f t="shared" si="206"/>
        <v>275</v>
      </c>
      <c r="AC831" s="14" t="str">
        <f t="shared" si="213"/>
        <v>DefExt</v>
      </c>
      <c r="AD831" s="14">
        <f t="shared" si="214"/>
        <v>137</v>
      </c>
      <c r="AE831" s="14" t="str">
        <f t="shared" si="215"/>
        <v>HPExt</v>
      </c>
      <c r="AF831" s="27">
        <f t="shared" si="216"/>
        <v>829</v>
      </c>
      <c r="AG831" s="27" t="str">
        <f t="shared" si="217"/>
        <v>[x]</v>
      </c>
    </row>
    <row r="832" spans="16:33" ht="16.5" x14ac:dyDescent="0.2">
      <c r="P832" s="13">
        <v>776</v>
      </c>
      <c r="Q832" s="14">
        <f t="shared" si="202"/>
        <v>40</v>
      </c>
      <c r="R832" s="14">
        <f t="shared" si="203"/>
        <v>1606048</v>
      </c>
      <c r="S832" s="14" t="str">
        <f t="shared" si="207"/>
        <v>神器7碎片6等级5</v>
      </c>
      <c r="T832" s="29" t="s">
        <v>649</v>
      </c>
      <c r="U832" s="14">
        <f t="shared" si="204"/>
        <v>5</v>
      </c>
      <c r="V832" s="36">
        <f t="shared" si="208"/>
        <v>0.45</v>
      </c>
      <c r="W832" s="17">
        <f t="shared" si="205"/>
        <v>1.35E-2</v>
      </c>
      <c r="X832" s="14">
        <f t="shared" si="209"/>
        <v>1</v>
      </c>
      <c r="Y832" s="14">
        <f t="shared" si="210"/>
        <v>2</v>
      </c>
      <c r="Z832" s="14">
        <f t="shared" si="211"/>
        <v>3</v>
      </c>
      <c r="AA832" s="14" t="str">
        <f t="shared" si="212"/>
        <v>AtkExt</v>
      </c>
      <c r="AB832" s="14">
        <f t="shared" si="206"/>
        <v>325</v>
      </c>
      <c r="AC832" s="14" t="str">
        <f t="shared" si="213"/>
        <v>DefExt</v>
      </c>
      <c r="AD832" s="14">
        <f t="shared" si="214"/>
        <v>162</v>
      </c>
      <c r="AE832" s="14" t="str">
        <f t="shared" si="215"/>
        <v>HPExt</v>
      </c>
      <c r="AF832" s="27">
        <f t="shared" si="216"/>
        <v>977</v>
      </c>
      <c r="AG832" s="27" t="str">
        <f t="shared" si="217"/>
        <v>[x]</v>
      </c>
    </row>
    <row r="833" spans="16:33" ht="16.5" x14ac:dyDescent="0.2">
      <c r="P833" s="13">
        <v>777</v>
      </c>
      <c r="Q833" s="14">
        <f t="shared" si="202"/>
        <v>40</v>
      </c>
      <c r="R833" s="14">
        <f t="shared" si="203"/>
        <v>1606048</v>
      </c>
      <c r="S833" s="14" t="str">
        <f t="shared" si="207"/>
        <v>神器7碎片6等级6</v>
      </c>
      <c r="T833" s="29" t="s">
        <v>649</v>
      </c>
      <c r="U833" s="14">
        <f t="shared" si="204"/>
        <v>6</v>
      </c>
      <c r="V833" s="36">
        <f t="shared" si="208"/>
        <v>0.52200000000000002</v>
      </c>
      <c r="W833" s="17">
        <f t="shared" si="205"/>
        <v>1.566E-2</v>
      </c>
      <c r="X833" s="14">
        <f t="shared" si="209"/>
        <v>1</v>
      </c>
      <c r="Y833" s="14">
        <f t="shared" si="210"/>
        <v>2</v>
      </c>
      <c r="Z833" s="14">
        <f t="shared" si="211"/>
        <v>3</v>
      </c>
      <c r="AA833" s="14" t="str">
        <f t="shared" si="212"/>
        <v>AtkExt</v>
      </c>
      <c r="AB833" s="14">
        <f t="shared" si="206"/>
        <v>377</v>
      </c>
      <c r="AC833" s="14" t="str">
        <f t="shared" si="213"/>
        <v>DefExt</v>
      </c>
      <c r="AD833" s="14">
        <f t="shared" si="214"/>
        <v>188</v>
      </c>
      <c r="AE833" s="14" t="str">
        <f t="shared" si="215"/>
        <v>HPExt</v>
      </c>
      <c r="AF833" s="27">
        <f t="shared" si="216"/>
        <v>1134</v>
      </c>
      <c r="AG833" s="27" t="str">
        <f t="shared" si="217"/>
        <v>[x]</v>
      </c>
    </row>
    <row r="834" spans="16:33" ht="16.5" x14ac:dyDescent="0.2">
      <c r="P834" s="13">
        <v>778</v>
      </c>
      <c r="Q834" s="14">
        <f t="shared" si="202"/>
        <v>40</v>
      </c>
      <c r="R834" s="14">
        <f t="shared" si="203"/>
        <v>1606048</v>
      </c>
      <c r="S834" s="14" t="str">
        <f t="shared" si="207"/>
        <v>神器7碎片6等级7</v>
      </c>
      <c r="T834" s="29" t="s">
        <v>649</v>
      </c>
      <c r="U834" s="14">
        <f t="shared" si="204"/>
        <v>7</v>
      </c>
      <c r="V834" s="36">
        <f t="shared" si="208"/>
        <v>0.59799999999999998</v>
      </c>
      <c r="W834" s="17">
        <f t="shared" si="205"/>
        <v>1.7939999999999998E-2</v>
      </c>
      <c r="X834" s="14">
        <f t="shared" si="209"/>
        <v>1</v>
      </c>
      <c r="Y834" s="14">
        <f t="shared" si="210"/>
        <v>2</v>
      </c>
      <c r="Z834" s="14">
        <f t="shared" si="211"/>
        <v>3</v>
      </c>
      <c r="AA834" s="14" t="str">
        <f t="shared" si="212"/>
        <v>AtkExt</v>
      </c>
      <c r="AB834" s="14">
        <f t="shared" si="206"/>
        <v>432</v>
      </c>
      <c r="AC834" s="14" t="str">
        <f t="shared" si="213"/>
        <v>DefExt</v>
      </c>
      <c r="AD834" s="14">
        <f t="shared" si="214"/>
        <v>215</v>
      </c>
      <c r="AE834" s="14" t="str">
        <f t="shared" si="215"/>
        <v>HPExt</v>
      </c>
      <c r="AF834" s="27">
        <f t="shared" si="216"/>
        <v>1299</v>
      </c>
      <c r="AG834" s="27" t="str">
        <f t="shared" si="217"/>
        <v>[x]</v>
      </c>
    </row>
    <row r="835" spans="16:33" ht="16.5" x14ac:dyDescent="0.2">
      <c r="P835" s="13">
        <v>779</v>
      </c>
      <c r="Q835" s="14">
        <f t="shared" si="202"/>
        <v>40</v>
      </c>
      <c r="R835" s="14">
        <f t="shared" si="203"/>
        <v>1606048</v>
      </c>
      <c r="S835" s="14" t="str">
        <f t="shared" si="207"/>
        <v>神器7碎片6等级8</v>
      </c>
      <c r="T835" s="29" t="s">
        <v>649</v>
      </c>
      <c r="U835" s="14">
        <f t="shared" si="204"/>
        <v>8</v>
      </c>
      <c r="V835" s="36">
        <f t="shared" si="208"/>
        <v>0.67800000000000005</v>
      </c>
      <c r="W835" s="17">
        <f t="shared" si="205"/>
        <v>2.034E-2</v>
      </c>
      <c r="X835" s="14">
        <f t="shared" si="209"/>
        <v>1</v>
      </c>
      <c r="Y835" s="14">
        <f t="shared" si="210"/>
        <v>2</v>
      </c>
      <c r="Z835" s="14">
        <f t="shared" si="211"/>
        <v>3</v>
      </c>
      <c r="AA835" s="14" t="str">
        <f t="shared" si="212"/>
        <v>AtkExt</v>
      </c>
      <c r="AB835" s="14">
        <f t="shared" si="206"/>
        <v>489</v>
      </c>
      <c r="AC835" s="14" t="str">
        <f t="shared" si="213"/>
        <v>DefExt</v>
      </c>
      <c r="AD835" s="14">
        <f t="shared" si="214"/>
        <v>244</v>
      </c>
      <c r="AE835" s="14" t="str">
        <f t="shared" si="215"/>
        <v>HPExt</v>
      </c>
      <c r="AF835" s="27">
        <f t="shared" si="216"/>
        <v>1472</v>
      </c>
      <c r="AG835" s="27" t="str">
        <f t="shared" si="217"/>
        <v>[x]</v>
      </c>
    </row>
    <row r="836" spans="16:33" ht="16.5" x14ac:dyDescent="0.2">
      <c r="P836" s="13">
        <v>780</v>
      </c>
      <c r="Q836" s="14">
        <f t="shared" si="202"/>
        <v>40</v>
      </c>
      <c r="R836" s="14">
        <f t="shared" si="203"/>
        <v>1606048</v>
      </c>
      <c r="S836" s="14" t="str">
        <f t="shared" si="207"/>
        <v>神器7碎片6等级9</v>
      </c>
      <c r="T836" s="29" t="s">
        <v>649</v>
      </c>
      <c r="U836" s="14">
        <f t="shared" si="204"/>
        <v>9</v>
      </c>
      <c r="V836" s="36">
        <f t="shared" si="208"/>
        <v>0.76200000000000001</v>
      </c>
      <c r="W836" s="17">
        <f t="shared" si="205"/>
        <v>2.2859999999999998E-2</v>
      </c>
      <c r="X836" s="14">
        <f t="shared" si="209"/>
        <v>1</v>
      </c>
      <c r="Y836" s="14">
        <f t="shared" si="210"/>
        <v>2</v>
      </c>
      <c r="Z836" s="14">
        <f t="shared" si="211"/>
        <v>3</v>
      </c>
      <c r="AA836" s="14" t="str">
        <f t="shared" si="212"/>
        <v>AtkExt</v>
      </c>
      <c r="AB836" s="14">
        <f t="shared" si="206"/>
        <v>550</v>
      </c>
      <c r="AC836" s="14" t="str">
        <f t="shared" si="213"/>
        <v>DefExt</v>
      </c>
      <c r="AD836" s="14">
        <f t="shared" si="214"/>
        <v>274</v>
      </c>
      <c r="AE836" s="14" t="str">
        <f t="shared" si="215"/>
        <v>HPExt</v>
      </c>
      <c r="AF836" s="27">
        <f t="shared" si="216"/>
        <v>1655</v>
      </c>
      <c r="AG836" s="27" t="str">
        <f t="shared" si="217"/>
        <v>[x]</v>
      </c>
    </row>
    <row r="837" spans="16:33" ht="16.5" x14ac:dyDescent="0.2">
      <c r="P837" s="13">
        <v>781</v>
      </c>
      <c r="Q837" s="14">
        <f t="shared" si="202"/>
        <v>40</v>
      </c>
      <c r="R837" s="14">
        <f t="shared" si="203"/>
        <v>1606048</v>
      </c>
      <c r="S837" s="14" t="str">
        <f t="shared" si="207"/>
        <v>神器7碎片6等级10</v>
      </c>
      <c r="T837" s="29" t="s">
        <v>649</v>
      </c>
      <c r="U837" s="14">
        <f t="shared" si="204"/>
        <v>10</v>
      </c>
      <c r="V837" s="36">
        <f t="shared" si="208"/>
        <v>0.85000000000000009</v>
      </c>
      <c r="W837" s="17">
        <f t="shared" si="205"/>
        <v>2.5500000000000002E-2</v>
      </c>
      <c r="X837" s="14">
        <f t="shared" si="209"/>
        <v>1</v>
      </c>
      <c r="Y837" s="14">
        <f t="shared" si="210"/>
        <v>2</v>
      </c>
      <c r="Z837" s="14">
        <f t="shared" si="211"/>
        <v>3</v>
      </c>
      <c r="AA837" s="14" t="str">
        <f t="shared" si="212"/>
        <v>AtkExt</v>
      </c>
      <c r="AB837" s="14">
        <f t="shared" si="206"/>
        <v>614</v>
      </c>
      <c r="AC837" s="14" t="str">
        <f t="shared" si="213"/>
        <v>DefExt</v>
      </c>
      <c r="AD837" s="14">
        <f t="shared" si="214"/>
        <v>306</v>
      </c>
      <c r="AE837" s="14" t="str">
        <f t="shared" si="215"/>
        <v>HPExt</v>
      </c>
      <c r="AF837" s="27">
        <f t="shared" si="216"/>
        <v>1846</v>
      </c>
      <c r="AG837" s="27" t="str">
        <f t="shared" si="217"/>
        <v>[x]</v>
      </c>
    </row>
    <row r="838" spans="16:33" ht="16.5" x14ac:dyDescent="0.2">
      <c r="P838" s="13">
        <v>782</v>
      </c>
      <c r="Q838" s="14">
        <f t="shared" si="202"/>
        <v>40</v>
      </c>
      <c r="R838" s="14">
        <f t="shared" si="203"/>
        <v>1606048</v>
      </c>
      <c r="S838" s="14" t="str">
        <f t="shared" si="207"/>
        <v>神器7碎片6等级11</v>
      </c>
      <c r="T838" s="29" t="s">
        <v>649</v>
      </c>
      <c r="U838" s="14">
        <f t="shared" si="204"/>
        <v>11</v>
      </c>
      <c r="V838" s="36">
        <f t="shared" si="208"/>
        <v>0.94200000000000006</v>
      </c>
      <c r="W838" s="17">
        <f t="shared" si="205"/>
        <v>2.826E-2</v>
      </c>
      <c r="X838" s="14">
        <f t="shared" si="209"/>
        <v>1</v>
      </c>
      <c r="Y838" s="14">
        <f t="shared" si="210"/>
        <v>2</v>
      </c>
      <c r="Z838" s="14">
        <f t="shared" si="211"/>
        <v>3</v>
      </c>
      <c r="AA838" s="14" t="str">
        <f t="shared" si="212"/>
        <v>AtkExt</v>
      </c>
      <c r="AB838" s="14">
        <f t="shared" si="206"/>
        <v>680</v>
      </c>
      <c r="AC838" s="14" t="str">
        <f t="shared" si="213"/>
        <v>DefExt</v>
      </c>
      <c r="AD838" s="14">
        <f t="shared" si="214"/>
        <v>339</v>
      </c>
      <c r="AE838" s="14" t="str">
        <f t="shared" si="215"/>
        <v>HPExt</v>
      </c>
      <c r="AF838" s="27">
        <f t="shared" si="216"/>
        <v>2046</v>
      </c>
      <c r="AG838" s="27" t="str">
        <f t="shared" si="217"/>
        <v>[x]</v>
      </c>
    </row>
    <row r="839" spans="16:33" ht="16.5" x14ac:dyDescent="0.2">
      <c r="P839" s="13">
        <v>783</v>
      </c>
      <c r="Q839" s="14">
        <f t="shared" si="202"/>
        <v>40</v>
      </c>
      <c r="R839" s="14">
        <f t="shared" si="203"/>
        <v>1606048</v>
      </c>
      <c r="S839" s="14" t="str">
        <f t="shared" si="207"/>
        <v>神器7碎片6等级12</v>
      </c>
      <c r="T839" s="29" t="s">
        <v>649</v>
      </c>
      <c r="U839" s="14">
        <f t="shared" si="204"/>
        <v>12</v>
      </c>
      <c r="V839" s="36">
        <f t="shared" si="208"/>
        <v>1.0380000000000003</v>
      </c>
      <c r="W839" s="17">
        <f t="shared" si="205"/>
        <v>3.1140000000000008E-2</v>
      </c>
      <c r="X839" s="14">
        <f t="shared" si="209"/>
        <v>1</v>
      </c>
      <c r="Y839" s="14">
        <f t="shared" si="210"/>
        <v>2</v>
      </c>
      <c r="Z839" s="14">
        <f t="shared" si="211"/>
        <v>3</v>
      </c>
      <c r="AA839" s="14" t="str">
        <f t="shared" si="212"/>
        <v>AtkExt</v>
      </c>
      <c r="AB839" s="14">
        <f t="shared" si="206"/>
        <v>749</v>
      </c>
      <c r="AC839" s="14" t="str">
        <f t="shared" si="213"/>
        <v>DefExt</v>
      </c>
      <c r="AD839" s="14">
        <f t="shared" si="214"/>
        <v>373</v>
      </c>
      <c r="AE839" s="14" t="str">
        <f t="shared" si="215"/>
        <v>HPExt</v>
      </c>
      <c r="AF839" s="27">
        <f t="shared" si="216"/>
        <v>2255</v>
      </c>
      <c r="AG839" s="27" t="str">
        <f t="shared" si="217"/>
        <v>[x]</v>
      </c>
    </row>
    <row r="840" spans="16:33" ht="16.5" x14ac:dyDescent="0.2">
      <c r="P840" s="13">
        <v>784</v>
      </c>
      <c r="Q840" s="14">
        <f t="shared" si="202"/>
        <v>40</v>
      </c>
      <c r="R840" s="14">
        <f t="shared" si="203"/>
        <v>1606048</v>
      </c>
      <c r="S840" s="14" t="str">
        <f t="shared" si="207"/>
        <v>神器7碎片6等级13</v>
      </c>
      <c r="T840" s="29" t="s">
        <v>649</v>
      </c>
      <c r="U840" s="14">
        <f t="shared" si="204"/>
        <v>13</v>
      </c>
      <c r="V840" s="36">
        <f t="shared" si="208"/>
        <v>1.1380000000000001</v>
      </c>
      <c r="W840" s="17">
        <f t="shared" si="205"/>
        <v>3.4140000000000004E-2</v>
      </c>
      <c r="X840" s="14">
        <f t="shared" si="209"/>
        <v>1</v>
      </c>
      <c r="Y840" s="14">
        <f t="shared" si="210"/>
        <v>2</v>
      </c>
      <c r="Z840" s="14">
        <f t="shared" si="211"/>
        <v>3</v>
      </c>
      <c r="AA840" s="14" t="str">
        <f t="shared" si="212"/>
        <v>AtkExt</v>
      </c>
      <c r="AB840" s="14">
        <f t="shared" si="206"/>
        <v>822</v>
      </c>
      <c r="AC840" s="14" t="str">
        <f t="shared" si="213"/>
        <v>DefExt</v>
      </c>
      <c r="AD840" s="14">
        <f t="shared" si="214"/>
        <v>409</v>
      </c>
      <c r="AE840" s="14" t="str">
        <f t="shared" si="215"/>
        <v>HPExt</v>
      </c>
      <c r="AF840" s="27">
        <f t="shared" si="216"/>
        <v>2472</v>
      </c>
      <c r="AG840" s="27" t="str">
        <f t="shared" si="217"/>
        <v>[x]</v>
      </c>
    </row>
    <row r="841" spans="16:33" ht="16.5" x14ac:dyDescent="0.2">
      <c r="P841" s="13">
        <v>785</v>
      </c>
      <c r="Q841" s="14">
        <f t="shared" si="202"/>
        <v>40</v>
      </c>
      <c r="R841" s="14">
        <f t="shared" si="203"/>
        <v>1606048</v>
      </c>
      <c r="S841" s="14" t="str">
        <f t="shared" si="207"/>
        <v>神器7碎片6等级14</v>
      </c>
      <c r="T841" s="29" t="s">
        <v>649</v>
      </c>
      <c r="U841" s="14">
        <f t="shared" si="204"/>
        <v>14</v>
      </c>
      <c r="V841" s="36">
        <f t="shared" si="208"/>
        <v>1.242</v>
      </c>
      <c r="W841" s="17">
        <f t="shared" si="205"/>
        <v>3.7260000000000001E-2</v>
      </c>
      <c r="X841" s="14">
        <f t="shared" si="209"/>
        <v>1</v>
      </c>
      <c r="Y841" s="14">
        <f t="shared" si="210"/>
        <v>2</v>
      </c>
      <c r="Z841" s="14">
        <f t="shared" si="211"/>
        <v>3</v>
      </c>
      <c r="AA841" s="14" t="str">
        <f t="shared" si="212"/>
        <v>AtkExt</v>
      </c>
      <c r="AB841" s="14">
        <f t="shared" si="206"/>
        <v>897</v>
      </c>
      <c r="AC841" s="14" t="str">
        <f t="shared" si="213"/>
        <v>DefExt</v>
      </c>
      <c r="AD841" s="14">
        <f t="shared" si="214"/>
        <v>447</v>
      </c>
      <c r="AE841" s="14" t="str">
        <f t="shared" si="215"/>
        <v>HPExt</v>
      </c>
      <c r="AF841" s="27">
        <f t="shared" si="216"/>
        <v>2698</v>
      </c>
      <c r="AG841" s="27" t="str">
        <f t="shared" si="217"/>
        <v>[x]</v>
      </c>
    </row>
    <row r="842" spans="16:33" ht="16.5" x14ac:dyDescent="0.2">
      <c r="P842" s="13">
        <v>786</v>
      </c>
      <c r="Q842" s="14">
        <f t="shared" si="202"/>
        <v>40</v>
      </c>
      <c r="R842" s="14">
        <f t="shared" si="203"/>
        <v>1606048</v>
      </c>
      <c r="S842" s="14" t="str">
        <f t="shared" si="207"/>
        <v>神器7碎片6等级15</v>
      </c>
      <c r="T842" s="29" t="s">
        <v>649</v>
      </c>
      <c r="U842" s="14">
        <f t="shared" si="204"/>
        <v>15</v>
      </c>
      <c r="V842" s="36">
        <f t="shared" si="208"/>
        <v>1.35</v>
      </c>
      <c r="W842" s="17">
        <f t="shared" si="205"/>
        <v>4.0500000000000001E-2</v>
      </c>
      <c r="X842" s="14">
        <f t="shared" si="209"/>
        <v>1</v>
      </c>
      <c r="Y842" s="14">
        <f t="shared" si="210"/>
        <v>2</v>
      </c>
      <c r="Z842" s="14">
        <f t="shared" si="211"/>
        <v>3</v>
      </c>
      <c r="AA842" s="14" t="str">
        <f t="shared" si="212"/>
        <v>AtkExt</v>
      </c>
      <c r="AB842" s="14">
        <f t="shared" si="206"/>
        <v>975</v>
      </c>
      <c r="AC842" s="14" t="str">
        <f t="shared" si="213"/>
        <v>DefExt</v>
      </c>
      <c r="AD842" s="14">
        <f t="shared" si="214"/>
        <v>486</v>
      </c>
      <c r="AE842" s="14" t="str">
        <f t="shared" si="215"/>
        <v>HPExt</v>
      </c>
      <c r="AF842" s="27">
        <f t="shared" si="216"/>
        <v>2932</v>
      </c>
      <c r="AG842" s="27" t="str">
        <f t="shared" si="217"/>
        <v>[x]</v>
      </c>
    </row>
    <row r="843" spans="16:33" ht="16.5" x14ac:dyDescent="0.2">
      <c r="P843" s="13">
        <v>787</v>
      </c>
      <c r="Q843" s="14">
        <f t="shared" si="202"/>
        <v>40</v>
      </c>
      <c r="R843" s="14">
        <f t="shared" si="203"/>
        <v>1606048</v>
      </c>
      <c r="S843" s="14" t="str">
        <f t="shared" si="207"/>
        <v>神器7碎片6等级16</v>
      </c>
      <c r="T843" s="29" t="s">
        <v>649</v>
      </c>
      <c r="U843" s="14">
        <f t="shared" si="204"/>
        <v>16</v>
      </c>
      <c r="V843" s="36">
        <f t="shared" si="208"/>
        <v>1.4620000000000002</v>
      </c>
      <c r="W843" s="17">
        <f t="shared" si="205"/>
        <v>4.3860000000000003E-2</v>
      </c>
      <c r="X843" s="14">
        <f t="shared" si="209"/>
        <v>1</v>
      </c>
      <c r="Y843" s="14">
        <f t="shared" si="210"/>
        <v>2</v>
      </c>
      <c r="Z843" s="14">
        <f t="shared" si="211"/>
        <v>3</v>
      </c>
      <c r="AA843" s="14" t="str">
        <f t="shared" si="212"/>
        <v>AtkExt</v>
      </c>
      <c r="AB843" s="14">
        <f t="shared" si="206"/>
        <v>1056</v>
      </c>
      <c r="AC843" s="14" t="str">
        <f t="shared" si="213"/>
        <v>DefExt</v>
      </c>
      <c r="AD843" s="14">
        <f t="shared" si="214"/>
        <v>526</v>
      </c>
      <c r="AE843" s="14" t="str">
        <f t="shared" si="215"/>
        <v>HPExt</v>
      </c>
      <c r="AF843" s="27">
        <f t="shared" si="216"/>
        <v>3176</v>
      </c>
      <c r="AG843" s="27" t="str">
        <f t="shared" si="217"/>
        <v>[x]</v>
      </c>
    </row>
    <row r="844" spans="16:33" ht="16.5" x14ac:dyDescent="0.2">
      <c r="P844" s="13">
        <v>788</v>
      </c>
      <c r="Q844" s="14">
        <f t="shared" si="202"/>
        <v>40</v>
      </c>
      <c r="R844" s="14">
        <f t="shared" si="203"/>
        <v>1606048</v>
      </c>
      <c r="S844" s="14" t="str">
        <f t="shared" si="207"/>
        <v>神器7碎片6等级17</v>
      </c>
      <c r="T844" s="29" t="s">
        <v>649</v>
      </c>
      <c r="U844" s="14">
        <f t="shared" si="204"/>
        <v>17</v>
      </c>
      <c r="V844" s="36">
        <f t="shared" si="208"/>
        <v>1.5779999999999998</v>
      </c>
      <c r="W844" s="17">
        <f t="shared" si="205"/>
        <v>4.7339999999999993E-2</v>
      </c>
      <c r="X844" s="14">
        <f t="shared" si="209"/>
        <v>1</v>
      </c>
      <c r="Y844" s="14">
        <f t="shared" si="210"/>
        <v>2</v>
      </c>
      <c r="Z844" s="14">
        <f t="shared" si="211"/>
        <v>3</v>
      </c>
      <c r="AA844" s="14" t="str">
        <f t="shared" si="212"/>
        <v>AtkExt</v>
      </c>
      <c r="AB844" s="14">
        <f t="shared" si="206"/>
        <v>1139</v>
      </c>
      <c r="AC844" s="14" t="str">
        <f t="shared" si="213"/>
        <v>DefExt</v>
      </c>
      <c r="AD844" s="14">
        <f t="shared" si="214"/>
        <v>568</v>
      </c>
      <c r="AE844" s="14" t="str">
        <f t="shared" si="215"/>
        <v>HPExt</v>
      </c>
      <c r="AF844" s="27">
        <f t="shared" si="216"/>
        <v>3428</v>
      </c>
      <c r="AG844" s="27" t="str">
        <f t="shared" si="217"/>
        <v>[x]</v>
      </c>
    </row>
    <row r="845" spans="16:33" ht="16.5" x14ac:dyDescent="0.2">
      <c r="P845" s="13">
        <v>789</v>
      </c>
      <c r="Q845" s="14">
        <f t="shared" si="202"/>
        <v>40</v>
      </c>
      <c r="R845" s="14">
        <f t="shared" si="203"/>
        <v>1606048</v>
      </c>
      <c r="S845" s="14" t="str">
        <f t="shared" si="207"/>
        <v>神器7碎片6等级18</v>
      </c>
      <c r="T845" s="29" t="s">
        <v>649</v>
      </c>
      <c r="U845" s="14">
        <f t="shared" si="204"/>
        <v>18</v>
      </c>
      <c r="V845" s="36">
        <f t="shared" si="208"/>
        <v>1.698</v>
      </c>
      <c r="W845" s="17">
        <f t="shared" si="205"/>
        <v>5.0939999999999999E-2</v>
      </c>
      <c r="X845" s="14">
        <f t="shared" si="209"/>
        <v>1</v>
      </c>
      <c r="Y845" s="14">
        <f t="shared" si="210"/>
        <v>2</v>
      </c>
      <c r="Z845" s="14">
        <f t="shared" si="211"/>
        <v>3</v>
      </c>
      <c r="AA845" s="14" t="str">
        <f t="shared" si="212"/>
        <v>AtkExt</v>
      </c>
      <c r="AB845" s="14">
        <f t="shared" si="206"/>
        <v>1226</v>
      </c>
      <c r="AC845" s="14" t="str">
        <f t="shared" si="213"/>
        <v>DefExt</v>
      </c>
      <c r="AD845" s="14">
        <f t="shared" si="214"/>
        <v>611</v>
      </c>
      <c r="AE845" s="14" t="str">
        <f t="shared" si="215"/>
        <v>HPExt</v>
      </c>
      <c r="AF845" s="27">
        <f t="shared" si="216"/>
        <v>3688</v>
      </c>
      <c r="AG845" s="27" t="str">
        <f t="shared" si="217"/>
        <v>[x]</v>
      </c>
    </row>
    <row r="846" spans="16:33" ht="16.5" x14ac:dyDescent="0.2">
      <c r="P846" s="13">
        <v>790</v>
      </c>
      <c r="Q846" s="14">
        <f t="shared" si="202"/>
        <v>40</v>
      </c>
      <c r="R846" s="14">
        <f t="shared" si="203"/>
        <v>1606048</v>
      </c>
      <c r="S846" s="14" t="str">
        <f t="shared" si="207"/>
        <v>神器7碎片6等级19</v>
      </c>
      <c r="T846" s="29" t="s">
        <v>649</v>
      </c>
      <c r="U846" s="14">
        <f t="shared" si="204"/>
        <v>19</v>
      </c>
      <c r="V846" s="36">
        <f t="shared" si="208"/>
        <v>1.8220000000000001</v>
      </c>
      <c r="W846" s="17">
        <f t="shared" si="205"/>
        <v>5.466E-2</v>
      </c>
      <c r="X846" s="14">
        <f t="shared" si="209"/>
        <v>1</v>
      </c>
      <c r="Y846" s="14">
        <f t="shared" si="210"/>
        <v>2</v>
      </c>
      <c r="Z846" s="14">
        <f t="shared" si="211"/>
        <v>3</v>
      </c>
      <c r="AA846" s="14" t="str">
        <f t="shared" si="212"/>
        <v>AtkExt</v>
      </c>
      <c r="AB846" s="14">
        <f t="shared" si="206"/>
        <v>1316</v>
      </c>
      <c r="AC846" s="14" t="str">
        <f t="shared" si="213"/>
        <v>DefExt</v>
      </c>
      <c r="AD846" s="14">
        <f t="shared" si="214"/>
        <v>656</v>
      </c>
      <c r="AE846" s="14" t="str">
        <f t="shared" si="215"/>
        <v>HPExt</v>
      </c>
      <c r="AF846" s="27">
        <f t="shared" si="216"/>
        <v>3958</v>
      </c>
      <c r="AG846" s="27" t="str">
        <f t="shared" si="217"/>
        <v>[x]</v>
      </c>
    </row>
    <row r="847" spans="16:33" ht="16.5" x14ac:dyDescent="0.2">
      <c r="P847" s="13">
        <v>791</v>
      </c>
      <c r="Q847" s="14">
        <f t="shared" si="202"/>
        <v>40</v>
      </c>
      <c r="R847" s="14">
        <f t="shared" si="203"/>
        <v>1606048</v>
      </c>
      <c r="S847" s="14" t="str">
        <f t="shared" si="207"/>
        <v>神器7碎片6等级20</v>
      </c>
      <c r="T847" s="29" t="s">
        <v>649</v>
      </c>
      <c r="U847" s="14">
        <f t="shared" si="204"/>
        <v>20</v>
      </c>
      <c r="V847" s="36">
        <f t="shared" si="208"/>
        <v>1.95</v>
      </c>
      <c r="W847" s="17">
        <f t="shared" si="205"/>
        <v>5.8499999999999996E-2</v>
      </c>
      <c r="X847" s="14">
        <f t="shared" si="209"/>
        <v>1</v>
      </c>
      <c r="Y847" s="14">
        <f t="shared" si="210"/>
        <v>2</v>
      </c>
      <c r="Z847" s="14">
        <f t="shared" si="211"/>
        <v>3</v>
      </c>
      <c r="AA847" s="14" t="str">
        <f t="shared" si="212"/>
        <v>AtkExt</v>
      </c>
      <c r="AB847" s="14">
        <f t="shared" si="206"/>
        <v>1408</v>
      </c>
      <c r="AC847" s="14" t="str">
        <f t="shared" si="213"/>
        <v>DefExt</v>
      </c>
      <c r="AD847" s="14">
        <f t="shared" si="214"/>
        <v>702</v>
      </c>
      <c r="AE847" s="14" t="str">
        <f t="shared" si="215"/>
        <v>HPExt</v>
      </c>
      <c r="AF847" s="27">
        <f t="shared" si="216"/>
        <v>4236</v>
      </c>
      <c r="AG847" s="27" t="str">
        <f t="shared" si="217"/>
        <v>[x]</v>
      </c>
    </row>
    <row r="848" spans="16:33" ht="16.5" x14ac:dyDescent="0.2">
      <c r="P848" s="13">
        <v>792</v>
      </c>
      <c r="Q848" s="14">
        <f t="shared" si="202"/>
        <v>40</v>
      </c>
      <c r="R848" s="14">
        <f t="shared" si="203"/>
        <v>1606048</v>
      </c>
      <c r="S848" s="14" t="str">
        <f t="shared" si="207"/>
        <v>神器7碎片6等级21</v>
      </c>
      <c r="T848" s="29" t="s">
        <v>649</v>
      </c>
      <c r="U848" s="14">
        <f t="shared" si="204"/>
        <v>21</v>
      </c>
      <c r="V848" s="36">
        <f t="shared" si="208"/>
        <v>2.0819999999999999</v>
      </c>
      <c r="W848" s="17">
        <f t="shared" si="205"/>
        <v>6.2459999999999995E-2</v>
      </c>
      <c r="X848" s="14">
        <f t="shared" si="209"/>
        <v>1</v>
      </c>
      <c r="Y848" s="14">
        <f t="shared" si="210"/>
        <v>2</v>
      </c>
      <c r="Z848" s="14">
        <f t="shared" si="211"/>
        <v>3</v>
      </c>
      <c r="AA848" s="14" t="str">
        <f t="shared" si="212"/>
        <v>AtkExt</v>
      </c>
      <c r="AB848" s="14">
        <f t="shared" si="206"/>
        <v>1504</v>
      </c>
      <c r="AC848" s="14" t="str">
        <f t="shared" si="213"/>
        <v>DefExt</v>
      </c>
      <c r="AD848" s="14">
        <f t="shared" si="214"/>
        <v>750</v>
      </c>
      <c r="AE848" s="14" t="str">
        <f t="shared" si="215"/>
        <v>HPExt</v>
      </c>
      <c r="AF848" s="27">
        <f t="shared" si="216"/>
        <v>4523</v>
      </c>
      <c r="AG848" s="27" t="str">
        <f t="shared" si="217"/>
        <v>[x]</v>
      </c>
    </row>
    <row r="849" spans="16:33" ht="16.5" x14ac:dyDescent="0.2">
      <c r="P849" s="13">
        <v>793</v>
      </c>
      <c r="Q849" s="14">
        <f t="shared" si="202"/>
        <v>41</v>
      </c>
      <c r="R849" s="14">
        <f t="shared" si="203"/>
        <v>1606049</v>
      </c>
      <c r="S849" s="14" t="str">
        <f t="shared" si="207"/>
        <v>神器7碎片7等级1</v>
      </c>
      <c r="T849" s="29" t="s">
        <v>649</v>
      </c>
      <c r="U849" s="14">
        <f t="shared" si="204"/>
        <v>1</v>
      </c>
      <c r="V849" s="36">
        <f t="shared" si="208"/>
        <v>0.20200000000000001</v>
      </c>
      <c r="W849" s="17">
        <f t="shared" si="205"/>
        <v>1.0100000000000001E-2</v>
      </c>
      <c r="X849" s="14">
        <f t="shared" si="209"/>
        <v>1</v>
      </c>
      <c r="Y849" s="14">
        <f t="shared" si="210"/>
        <v>3</v>
      </c>
      <c r="Z849" s="14">
        <f t="shared" si="211"/>
        <v>0</v>
      </c>
      <c r="AA849" s="14" t="str">
        <f t="shared" si="212"/>
        <v>AtkExt</v>
      </c>
      <c r="AB849" s="14">
        <f t="shared" si="206"/>
        <v>486</v>
      </c>
      <c r="AC849" s="14" t="str">
        <f t="shared" si="213"/>
        <v>HPExt</v>
      </c>
      <c r="AD849" s="14">
        <f t="shared" si="214"/>
        <v>1462</v>
      </c>
      <c r="AE849" s="14" t="str">
        <f t="shared" si="215"/>
        <v>[x]</v>
      </c>
      <c r="AF849" s="27" t="str">
        <f t="shared" si="216"/>
        <v>[x]</v>
      </c>
      <c r="AG849" s="27">
        <f t="shared" si="217"/>
        <v>1</v>
      </c>
    </row>
    <row r="850" spans="16:33" ht="16.5" x14ac:dyDescent="0.2">
      <c r="P850" s="13">
        <v>794</v>
      </c>
      <c r="Q850" s="14">
        <f t="shared" si="202"/>
        <v>41</v>
      </c>
      <c r="R850" s="14">
        <f t="shared" si="203"/>
        <v>1606049</v>
      </c>
      <c r="S850" s="14" t="str">
        <f t="shared" si="207"/>
        <v>神器7碎片7等级2</v>
      </c>
      <c r="T850" s="29" t="s">
        <v>649</v>
      </c>
      <c r="U850" s="14">
        <f t="shared" si="204"/>
        <v>2</v>
      </c>
      <c r="V850" s="36">
        <f t="shared" si="208"/>
        <v>0.25800000000000001</v>
      </c>
      <c r="W850" s="17">
        <f t="shared" si="205"/>
        <v>1.2900000000000002E-2</v>
      </c>
      <c r="X850" s="14">
        <f t="shared" si="209"/>
        <v>1</v>
      </c>
      <c r="Y850" s="14">
        <f t="shared" si="210"/>
        <v>3</v>
      </c>
      <c r="Z850" s="14">
        <f t="shared" si="211"/>
        <v>0</v>
      </c>
      <c r="AA850" s="14" t="str">
        <f t="shared" si="212"/>
        <v>AtkExt</v>
      </c>
      <c r="AB850" s="14">
        <f t="shared" si="206"/>
        <v>621</v>
      </c>
      <c r="AC850" s="14" t="str">
        <f t="shared" si="213"/>
        <v>HPExt</v>
      </c>
      <c r="AD850" s="14">
        <f t="shared" si="214"/>
        <v>1868</v>
      </c>
      <c r="AE850" s="14" t="str">
        <f t="shared" si="215"/>
        <v>[x]</v>
      </c>
      <c r="AF850" s="27" t="str">
        <f t="shared" si="216"/>
        <v>[x]</v>
      </c>
      <c r="AG850" s="27">
        <f t="shared" si="217"/>
        <v>2</v>
      </c>
    </row>
    <row r="851" spans="16:33" ht="16.5" x14ac:dyDescent="0.2">
      <c r="P851" s="13">
        <v>795</v>
      </c>
      <c r="Q851" s="14">
        <f t="shared" si="202"/>
        <v>41</v>
      </c>
      <c r="R851" s="14">
        <f t="shared" si="203"/>
        <v>1606049</v>
      </c>
      <c r="S851" s="14" t="str">
        <f t="shared" si="207"/>
        <v>神器7碎片7等级3</v>
      </c>
      <c r="T851" s="29" t="s">
        <v>649</v>
      </c>
      <c r="U851" s="14">
        <f t="shared" si="204"/>
        <v>3</v>
      </c>
      <c r="V851" s="36">
        <f t="shared" si="208"/>
        <v>0.31800000000000006</v>
      </c>
      <c r="W851" s="17">
        <f t="shared" si="205"/>
        <v>1.5900000000000004E-2</v>
      </c>
      <c r="X851" s="14">
        <f t="shared" si="209"/>
        <v>1</v>
      </c>
      <c r="Y851" s="14">
        <f t="shared" si="210"/>
        <v>3</v>
      </c>
      <c r="Z851" s="14">
        <f t="shared" si="211"/>
        <v>0</v>
      </c>
      <c r="AA851" s="14" t="str">
        <f t="shared" si="212"/>
        <v>AtkExt</v>
      </c>
      <c r="AB851" s="14">
        <f t="shared" si="206"/>
        <v>765</v>
      </c>
      <c r="AC851" s="14" t="str">
        <f t="shared" si="213"/>
        <v>HPExt</v>
      </c>
      <c r="AD851" s="14">
        <f t="shared" si="214"/>
        <v>2302</v>
      </c>
      <c r="AE851" s="14" t="str">
        <f t="shared" si="215"/>
        <v>[x]</v>
      </c>
      <c r="AF851" s="27" t="str">
        <f t="shared" si="216"/>
        <v>[x]</v>
      </c>
      <c r="AG851" s="27">
        <f t="shared" si="217"/>
        <v>3</v>
      </c>
    </row>
    <row r="852" spans="16:33" ht="16.5" x14ac:dyDescent="0.2">
      <c r="P852" s="13">
        <v>796</v>
      </c>
      <c r="Q852" s="14">
        <f t="shared" si="202"/>
        <v>41</v>
      </c>
      <c r="R852" s="14">
        <f t="shared" si="203"/>
        <v>1606049</v>
      </c>
      <c r="S852" s="14" t="str">
        <f t="shared" si="207"/>
        <v>神器7碎片7等级4</v>
      </c>
      <c r="T852" s="29" t="s">
        <v>649</v>
      </c>
      <c r="U852" s="14">
        <f t="shared" si="204"/>
        <v>4</v>
      </c>
      <c r="V852" s="36">
        <f t="shared" si="208"/>
        <v>0.38200000000000001</v>
      </c>
      <c r="W852" s="17">
        <f t="shared" si="205"/>
        <v>1.9100000000000002E-2</v>
      </c>
      <c r="X852" s="14">
        <f t="shared" si="209"/>
        <v>1</v>
      </c>
      <c r="Y852" s="14">
        <f t="shared" si="210"/>
        <v>3</v>
      </c>
      <c r="Z852" s="14">
        <f t="shared" si="211"/>
        <v>0</v>
      </c>
      <c r="AA852" s="14" t="str">
        <f t="shared" si="212"/>
        <v>AtkExt</v>
      </c>
      <c r="AB852" s="14">
        <f t="shared" si="206"/>
        <v>919</v>
      </c>
      <c r="AC852" s="14" t="str">
        <f t="shared" si="213"/>
        <v>HPExt</v>
      </c>
      <c r="AD852" s="14">
        <f t="shared" si="214"/>
        <v>2766</v>
      </c>
      <c r="AE852" s="14" t="str">
        <f t="shared" si="215"/>
        <v>[x]</v>
      </c>
      <c r="AF852" s="27" t="str">
        <f t="shared" si="216"/>
        <v>[x]</v>
      </c>
      <c r="AG852" s="27">
        <f t="shared" si="217"/>
        <v>4</v>
      </c>
    </row>
    <row r="853" spans="16:33" ht="16.5" x14ac:dyDescent="0.2">
      <c r="P853" s="13">
        <v>797</v>
      </c>
      <c r="Q853" s="14">
        <f t="shared" si="202"/>
        <v>41</v>
      </c>
      <c r="R853" s="14">
        <f t="shared" si="203"/>
        <v>1606049</v>
      </c>
      <c r="S853" s="14" t="str">
        <f t="shared" si="207"/>
        <v>神器7碎片7等级5</v>
      </c>
      <c r="T853" s="29" t="s">
        <v>649</v>
      </c>
      <c r="U853" s="14">
        <f t="shared" si="204"/>
        <v>5</v>
      </c>
      <c r="V853" s="36">
        <f t="shared" si="208"/>
        <v>0.45</v>
      </c>
      <c r="W853" s="17">
        <f t="shared" si="205"/>
        <v>2.2500000000000003E-2</v>
      </c>
      <c r="X853" s="14">
        <f t="shared" si="209"/>
        <v>1</v>
      </c>
      <c r="Y853" s="14">
        <f t="shared" si="210"/>
        <v>3</v>
      </c>
      <c r="Z853" s="14">
        <f t="shared" si="211"/>
        <v>0</v>
      </c>
      <c r="AA853" s="14" t="str">
        <f t="shared" si="212"/>
        <v>AtkExt</v>
      </c>
      <c r="AB853" s="14">
        <f t="shared" si="206"/>
        <v>1083</v>
      </c>
      <c r="AC853" s="14" t="str">
        <f t="shared" si="213"/>
        <v>HPExt</v>
      </c>
      <c r="AD853" s="14">
        <f t="shared" si="214"/>
        <v>3258</v>
      </c>
      <c r="AE853" s="14" t="str">
        <f t="shared" si="215"/>
        <v>[x]</v>
      </c>
      <c r="AF853" s="27" t="str">
        <f t="shared" si="216"/>
        <v>[x]</v>
      </c>
      <c r="AG853" s="27">
        <f t="shared" si="217"/>
        <v>5</v>
      </c>
    </row>
    <row r="854" spans="16:33" ht="16.5" x14ac:dyDescent="0.2">
      <c r="P854" s="13">
        <v>798</v>
      </c>
      <c r="Q854" s="14">
        <f t="shared" si="202"/>
        <v>41</v>
      </c>
      <c r="R854" s="14">
        <f t="shared" si="203"/>
        <v>1606049</v>
      </c>
      <c r="S854" s="14" t="str">
        <f t="shared" si="207"/>
        <v>神器7碎片7等级6</v>
      </c>
      <c r="T854" s="29" t="s">
        <v>649</v>
      </c>
      <c r="U854" s="14">
        <f t="shared" si="204"/>
        <v>6</v>
      </c>
      <c r="V854" s="36">
        <f t="shared" si="208"/>
        <v>0.52200000000000002</v>
      </c>
      <c r="W854" s="17">
        <f t="shared" si="205"/>
        <v>2.6100000000000002E-2</v>
      </c>
      <c r="X854" s="14">
        <f t="shared" si="209"/>
        <v>1</v>
      </c>
      <c r="Y854" s="14">
        <f t="shared" si="210"/>
        <v>3</v>
      </c>
      <c r="Z854" s="14">
        <f t="shared" si="211"/>
        <v>0</v>
      </c>
      <c r="AA854" s="14" t="str">
        <f t="shared" si="212"/>
        <v>AtkExt</v>
      </c>
      <c r="AB854" s="14">
        <f t="shared" si="206"/>
        <v>1257</v>
      </c>
      <c r="AC854" s="14" t="str">
        <f t="shared" si="213"/>
        <v>HPExt</v>
      </c>
      <c r="AD854" s="14">
        <f t="shared" si="214"/>
        <v>3780</v>
      </c>
      <c r="AE854" s="14" t="str">
        <f t="shared" si="215"/>
        <v>[x]</v>
      </c>
      <c r="AF854" s="27" t="str">
        <f t="shared" si="216"/>
        <v>[x]</v>
      </c>
      <c r="AG854" s="27">
        <f t="shared" si="217"/>
        <v>6</v>
      </c>
    </row>
    <row r="855" spans="16:33" ht="16.5" x14ac:dyDescent="0.2">
      <c r="P855" s="13">
        <v>799</v>
      </c>
      <c r="Q855" s="14">
        <f t="shared" si="202"/>
        <v>41</v>
      </c>
      <c r="R855" s="14">
        <f t="shared" si="203"/>
        <v>1606049</v>
      </c>
      <c r="S855" s="14" t="str">
        <f t="shared" si="207"/>
        <v>神器7碎片7等级7</v>
      </c>
      <c r="T855" s="29" t="s">
        <v>649</v>
      </c>
      <c r="U855" s="14">
        <f t="shared" si="204"/>
        <v>7</v>
      </c>
      <c r="V855" s="36">
        <f t="shared" si="208"/>
        <v>0.59799999999999998</v>
      </c>
      <c r="W855" s="17">
        <f t="shared" si="205"/>
        <v>2.9899999999999999E-2</v>
      </c>
      <c r="X855" s="14">
        <f t="shared" si="209"/>
        <v>1</v>
      </c>
      <c r="Y855" s="14">
        <f t="shared" si="210"/>
        <v>3</v>
      </c>
      <c r="Z855" s="14">
        <f t="shared" si="211"/>
        <v>0</v>
      </c>
      <c r="AA855" s="14" t="str">
        <f t="shared" si="212"/>
        <v>AtkExt</v>
      </c>
      <c r="AB855" s="14">
        <f t="shared" si="206"/>
        <v>1440</v>
      </c>
      <c r="AC855" s="14" t="str">
        <f t="shared" si="213"/>
        <v>HPExt</v>
      </c>
      <c r="AD855" s="14">
        <f t="shared" si="214"/>
        <v>4330</v>
      </c>
      <c r="AE855" s="14" t="str">
        <f t="shared" si="215"/>
        <v>[x]</v>
      </c>
      <c r="AF855" s="27" t="str">
        <f t="shared" si="216"/>
        <v>[x]</v>
      </c>
      <c r="AG855" s="27">
        <f t="shared" si="217"/>
        <v>7</v>
      </c>
    </row>
    <row r="856" spans="16:33" ht="16.5" x14ac:dyDescent="0.2">
      <c r="P856" s="13">
        <v>800</v>
      </c>
      <c r="Q856" s="14">
        <f t="shared" si="202"/>
        <v>41</v>
      </c>
      <c r="R856" s="14">
        <f t="shared" si="203"/>
        <v>1606049</v>
      </c>
      <c r="S856" s="14" t="str">
        <f t="shared" si="207"/>
        <v>神器7碎片7等级8</v>
      </c>
      <c r="T856" s="29" t="s">
        <v>649</v>
      </c>
      <c r="U856" s="14">
        <f t="shared" si="204"/>
        <v>8</v>
      </c>
      <c r="V856" s="36">
        <f t="shared" si="208"/>
        <v>0.67800000000000005</v>
      </c>
      <c r="W856" s="17">
        <f t="shared" si="205"/>
        <v>3.3900000000000007E-2</v>
      </c>
      <c r="X856" s="14">
        <f t="shared" si="209"/>
        <v>1</v>
      </c>
      <c r="Y856" s="14">
        <f t="shared" si="210"/>
        <v>3</v>
      </c>
      <c r="Z856" s="14">
        <f t="shared" si="211"/>
        <v>0</v>
      </c>
      <c r="AA856" s="14" t="str">
        <f t="shared" si="212"/>
        <v>AtkExt</v>
      </c>
      <c r="AB856" s="14">
        <f t="shared" si="206"/>
        <v>1632</v>
      </c>
      <c r="AC856" s="14" t="str">
        <f t="shared" si="213"/>
        <v>HPExt</v>
      </c>
      <c r="AD856" s="14">
        <f t="shared" si="214"/>
        <v>4909</v>
      </c>
      <c r="AE856" s="14" t="str">
        <f t="shared" si="215"/>
        <v>[x]</v>
      </c>
      <c r="AF856" s="27" t="str">
        <f t="shared" si="216"/>
        <v>[x]</v>
      </c>
      <c r="AG856" s="27">
        <f t="shared" si="217"/>
        <v>8</v>
      </c>
    </row>
    <row r="857" spans="16:33" ht="16.5" x14ac:dyDescent="0.2">
      <c r="P857" s="13">
        <v>801</v>
      </c>
      <c r="Q857" s="14">
        <f t="shared" si="202"/>
        <v>41</v>
      </c>
      <c r="R857" s="14">
        <f t="shared" si="203"/>
        <v>1606049</v>
      </c>
      <c r="S857" s="14" t="str">
        <f t="shared" si="207"/>
        <v>神器7碎片7等级9</v>
      </c>
      <c r="T857" s="29" t="s">
        <v>649</v>
      </c>
      <c r="U857" s="14">
        <f t="shared" si="204"/>
        <v>9</v>
      </c>
      <c r="V857" s="36">
        <f t="shared" si="208"/>
        <v>0.76200000000000001</v>
      </c>
      <c r="W857" s="17">
        <f t="shared" si="205"/>
        <v>3.8100000000000002E-2</v>
      </c>
      <c r="X857" s="14">
        <f t="shared" si="209"/>
        <v>1</v>
      </c>
      <c r="Y857" s="14">
        <f t="shared" si="210"/>
        <v>3</v>
      </c>
      <c r="Z857" s="14">
        <f t="shared" si="211"/>
        <v>0</v>
      </c>
      <c r="AA857" s="14" t="str">
        <f t="shared" si="212"/>
        <v>AtkExt</v>
      </c>
      <c r="AB857" s="14">
        <f t="shared" si="206"/>
        <v>1834</v>
      </c>
      <c r="AC857" s="14" t="str">
        <f t="shared" si="213"/>
        <v>HPExt</v>
      </c>
      <c r="AD857" s="14">
        <f t="shared" si="214"/>
        <v>5518</v>
      </c>
      <c r="AE857" s="14" t="str">
        <f t="shared" si="215"/>
        <v>[x]</v>
      </c>
      <c r="AF857" s="27" t="str">
        <f t="shared" si="216"/>
        <v>[x]</v>
      </c>
      <c r="AG857" s="27">
        <f t="shared" si="217"/>
        <v>9</v>
      </c>
    </row>
    <row r="858" spans="16:33" ht="16.5" x14ac:dyDescent="0.2">
      <c r="P858" s="13">
        <v>802</v>
      </c>
      <c r="Q858" s="14">
        <f t="shared" si="202"/>
        <v>41</v>
      </c>
      <c r="R858" s="14">
        <f t="shared" si="203"/>
        <v>1606049</v>
      </c>
      <c r="S858" s="14" t="str">
        <f t="shared" si="207"/>
        <v>神器7碎片7等级10</v>
      </c>
      <c r="T858" s="29" t="s">
        <v>649</v>
      </c>
      <c r="U858" s="14">
        <f t="shared" si="204"/>
        <v>10</v>
      </c>
      <c r="V858" s="36">
        <f t="shared" si="208"/>
        <v>0.85000000000000009</v>
      </c>
      <c r="W858" s="17">
        <f t="shared" si="205"/>
        <v>4.250000000000001E-2</v>
      </c>
      <c r="X858" s="14">
        <f t="shared" si="209"/>
        <v>1</v>
      </c>
      <c r="Y858" s="14">
        <f t="shared" si="210"/>
        <v>3</v>
      </c>
      <c r="Z858" s="14">
        <f t="shared" si="211"/>
        <v>0</v>
      </c>
      <c r="AA858" s="14" t="str">
        <f t="shared" si="212"/>
        <v>AtkExt</v>
      </c>
      <c r="AB858" s="14">
        <f t="shared" si="206"/>
        <v>2046</v>
      </c>
      <c r="AC858" s="14" t="str">
        <f t="shared" si="213"/>
        <v>HPExt</v>
      </c>
      <c r="AD858" s="14">
        <f t="shared" si="214"/>
        <v>6155</v>
      </c>
      <c r="AE858" s="14" t="str">
        <f t="shared" si="215"/>
        <v>[x]</v>
      </c>
      <c r="AF858" s="27" t="str">
        <f t="shared" si="216"/>
        <v>[x]</v>
      </c>
      <c r="AG858" s="27">
        <f t="shared" si="217"/>
        <v>10</v>
      </c>
    </row>
    <row r="859" spans="16:33" ht="16.5" x14ac:dyDescent="0.2">
      <c r="P859" s="13">
        <v>803</v>
      </c>
      <c r="Q859" s="14">
        <f t="shared" si="202"/>
        <v>41</v>
      </c>
      <c r="R859" s="14">
        <f t="shared" si="203"/>
        <v>1606049</v>
      </c>
      <c r="S859" s="14" t="str">
        <f t="shared" si="207"/>
        <v>神器7碎片7等级11</v>
      </c>
      <c r="T859" s="29" t="s">
        <v>649</v>
      </c>
      <c r="U859" s="14">
        <f t="shared" si="204"/>
        <v>11</v>
      </c>
      <c r="V859" s="36">
        <f t="shared" si="208"/>
        <v>0.94200000000000006</v>
      </c>
      <c r="W859" s="17">
        <f t="shared" si="205"/>
        <v>4.7100000000000003E-2</v>
      </c>
      <c r="X859" s="14">
        <f t="shared" si="209"/>
        <v>1</v>
      </c>
      <c r="Y859" s="14">
        <f t="shared" si="210"/>
        <v>3</v>
      </c>
      <c r="Z859" s="14">
        <f t="shared" si="211"/>
        <v>0</v>
      </c>
      <c r="AA859" s="14" t="str">
        <f t="shared" si="212"/>
        <v>AtkExt</v>
      </c>
      <c r="AB859" s="14">
        <f t="shared" si="206"/>
        <v>2268</v>
      </c>
      <c r="AC859" s="14" t="str">
        <f t="shared" si="213"/>
        <v>HPExt</v>
      </c>
      <c r="AD859" s="14">
        <f t="shared" si="214"/>
        <v>6821</v>
      </c>
      <c r="AE859" s="14" t="str">
        <f t="shared" si="215"/>
        <v>[x]</v>
      </c>
      <c r="AF859" s="27" t="str">
        <f t="shared" si="216"/>
        <v>[x]</v>
      </c>
      <c r="AG859" s="27">
        <f t="shared" si="217"/>
        <v>11</v>
      </c>
    </row>
    <row r="860" spans="16:33" ht="16.5" x14ac:dyDescent="0.2">
      <c r="P860" s="13">
        <v>804</v>
      </c>
      <c r="Q860" s="14">
        <f t="shared" si="202"/>
        <v>41</v>
      </c>
      <c r="R860" s="14">
        <f t="shared" si="203"/>
        <v>1606049</v>
      </c>
      <c r="S860" s="14" t="str">
        <f t="shared" si="207"/>
        <v>神器7碎片7等级12</v>
      </c>
      <c r="T860" s="29" t="s">
        <v>649</v>
      </c>
      <c r="U860" s="14">
        <f t="shared" si="204"/>
        <v>12</v>
      </c>
      <c r="V860" s="36">
        <f t="shared" si="208"/>
        <v>1.0380000000000003</v>
      </c>
      <c r="W860" s="17">
        <f t="shared" si="205"/>
        <v>5.1900000000000016E-2</v>
      </c>
      <c r="X860" s="14">
        <f t="shared" si="209"/>
        <v>1</v>
      </c>
      <c r="Y860" s="14">
        <f t="shared" si="210"/>
        <v>3</v>
      </c>
      <c r="Z860" s="14">
        <f t="shared" si="211"/>
        <v>0</v>
      </c>
      <c r="AA860" s="14" t="str">
        <f t="shared" si="212"/>
        <v>AtkExt</v>
      </c>
      <c r="AB860" s="14">
        <f t="shared" si="206"/>
        <v>2499</v>
      </c>
      <c r="AC860" s="14" t="str">
        <f t="shared" si="213"/>
        <v>HPExt</v>
      </c>
      <c r="AD860" s="14">
        <f t="shared" si="214"/>
        <v>7516</v>
      </c>
      <c r="AE860" s="14" t="str">
        <f t="shared" si="215"/>
        <v>[x]</v>
      </c>
      <c r="AF860" s="27" t="str">
        <f t="shared" si="216"/>
        <v>[x]</v>
      </c>
      <c r="AG860" s="27">
        <f t="shared" si="217"/>
        <v>12</v>
      </c>
    </row>
    <row r="861" spans="16:33" ht="16.5" x14ac:dyDescent="0.2">
      <c r="P861" s="13">
        <v>805</v>
      </c>
      <c r="Q861" s="14">
        <f t="shared" si="202"/>
        <v>41</v>
      </c>
      <c r="R861" s="14">
        <f t="shared" si="203"/>
        <v>1606049</v>
      </c>
      <c r="S861" s="14" t="str">
        <f t="shared" si="207"/>
        <v>神器7碎片7等级13</v>
      </c>
      <c r="T861" s="29" t="s">
        <v>649</v>
      </c>
      <c r="U861" s="14">
        <f t="shared" si="204"/>
        <v>13</v>
      </c>
      <c r="V861" s="36">
        <f t="shared" si="208"/>
        <v>1.1380000000000001</v>
      </c>
      <c r="W861" s="17">
        <f t="shared" si="205"/>
        <v>5.6900000000000006E-2</v>
      </c>
      <c r="X861" s="14">
        <f t="shared" si="209"/>
        <v>1</v>
      </c>
      <c r="Y861" s="14">
        <f t="shared" si="210"/>
        <v>3</v>
      </c>
      <c r="Z861" s="14">
        <f t="shared" si="211"/>
        <v>0</v>
      </c>
      <c r="AA861" s="14" t="str">
        <f t="shared" si="212"/>
        <v>AtkExt</v>
      </c>
      <c r="AB861" s="14">
        <f t="shared" si="206"/>
        <v>2740</v>
      </c>
      <c r="AC861" s="14" t="str">
        <f t="shared" si="213"/>
        <v>HPExt</v>
      </c>
      <c r="AD861" s="14">
        <f t="shared" si="214"/>
        <v>8241</v>
      </c>
      <c r="AE861" s="14" t="str">
        <f t="shared" si="215"/>
        <v>[x]</v>
      </c>
      <c r="AF861" s="27" t="str">
        <f t="shared" si="216"/>
        <v>[x]</v>
      </c>
      <c r="AG861" s="27">
        <f t="shared" si="217"/>
        <v>13</v>
      </c>
    </row>
    <row r="862" spans="16:33" ht="16.5" x14ac:dyDescent="0.2">
      <c r="P862" s="13">
        <v>806</v>
      </c>
      <c r="Q862" s="14">
        <f t="shared" si="202"/>
        <v>41</v>
      </c>
      <c r="R862" s="14">
        <f t="shared" si="203"/>
        <v>1606049</v>
      </c>
      <c r="S862" s="14" t="str">
        <f t="shared" si="207"/>
        <v>神器7碎片7等级14</v>
      </c>
      <c r="T862" s="29" t="s">
        <v>649</v>
      </c>
      <c r="U862" s="14">
        <f t="shared" si="204"/>
        <v>14</v>
      </c>
      <c r="V862" s="36">
        <f t="shared" si="208"/>
        <v>1.242</v>
      </c>
      <c r="W862" s="17">
        <f t="shared" si="205"/>
        <v>6.2100000000000002E-2</v>
      </c>
      <c r="X862" s="14">
        <f t="shared" si="209"/>
        <v>1</v>
      </c>
      <c r="Y862" s="14">
        <f t="shared" si="210"/>
        <v>3</v>
      </c>
      <c r="Z862" s="14">
        <f t="shared" si="211"/>
        <v>0</v>
      </c>
      <c r="AA862" s="14" t="str">
        <f t="shared" si="212"/>
        <v>AtkExt</v>
      </c>
      <c r="AB862" s="14">
        <f t="shared" si="206"/>
        <v>2990</v>
      </c>
      <c r="AC862" s="14" t="str">
        <f t="shared" si="213"/>
        <v>HPExt</v>
      </c>
      <c r="AD862" s="14">
        <f t="shared" si="214"/>
        <v>8994</v>
      </c>
      <c r="AE862" s="14" t="str">
        <f t="shared" si="215"/>
        <v>[x]</v>
      </c>
      <c r="AF862" s="27" t="str">
        <f t="shared" si="216"/>
        <v>[x]</v>
      </c>
      <c r="AG862" s="27">
        <f t="shared" si="217"/>
        <v>14</v>
      </c>
    </row>
    <row r="863" spans="16:33" ht="16.5" x14ac:dyDescent="0.2">
      <c r="P863" s="13">
        <v>807</v>
      </c>
      <c r="Q863" s="14">
        <f t="shared" si="202"/>
        <v>41</v>
      </c>
      <c r="R863" s="14">
        <f t="shared" si="203"/>
        <v>1606049</v>
      </c>
      <c r="S863" s="14" t="str">
        <f t="shared" si="207"/>
        <v>神器7碎片7等级15</v>
      </c>
      <c r="T863" s="29" t="s">
        <v>649</v>
      </c>
      <c r="U863" s="14">
        <f t="shared" si="204"/>
        <v>15</v>
      </c>
      <c r="V863" s="36">
        <f t="shared" si="208"/>
        <v>1.35</v>
      </c>
      <c r="W863" s="17">
        <f t="shared" si="205"/>
        <v>6.7500000000000004E-2</v>
      </c>
      <c r="X863" s="14">
        <f t="shared" si="209"/>
        <v>1</v>
      </c>
      <c r="Y863" s="14">
        <f t="shared" si="210"/>
        <v>3</v>
      </c>
      <c r="Z863" s="14">
        <f t="shared" si="211"/>
        <v>0</v>
      </c>
      <c r="AA863" s="14" t="str">
        <f t="shared" si="212"/>
        <v>AtkExt</v>
      </c>
      <c r="AB863" s="14">
        <f t="shared" si="206"/>
        <v>3250</v>
      </c>
      <c r="AC863" s="14" t="str">
        <f t="shared" si="213"/>
        <v>HPExt</v>
      </c>
      <c r="AD863" s="14">
        <f t="shared" si="214"/>
        <v>9776</v>
      </c>
      <c r="AE863" s="14" t="str">
        <f t="shared" si="215"/>
        <v>[x]</v>
      </c>
      <c r="AF863" s="27" t="str">
        <f t="shared" si="216"/>
        <v>[x]</v>
      </c>
      <c r="AG863" s="27">
        <f t="shared" si="217"/>
        <v>15</v>
      </c>
    </row>
    <row r="864" spans="16:33" ht="16.5" x14ac:dyDescent="0.2">
      <c r="P864" s="13">
        <v>808</v>
      </c>
      <c r="Q864" s="14">
        <f t="shared" si="202"/>
        <v>41</v>
      </c>
      <c r="R864" s="14">
        <f t="shared" si="203"/>
        <v>1606049</v>
      </c>
      <c r="S864" s="14" t="str">
        <f t="shared" si="207"/>
        <v>神器7碎片7等级16</v>
      </c>
      <c r="T864" s="29" t="s">
        <v>649</v>
      </c>
      <c r="U864" s="14">
        <f t="shared" si="204"/>
        <v>16</v>
      </c>
      <c r="V864" s="36">
        <f t="shared" si="208"/>
        <v>1.4620000000000002</v>
      </c>
      <c r="W864" s="17">
        <f t="shared" si="205"/>
        <v>7.3100000000000012E-2</v>
      </c>
      <c r="X864" s="14">
        <f t="shared" si="209"/>
        <v>1</v>
      </c>
      <c r="Y864" s="14">
        <f t="shared" si="210"/>
        <v>3</v>
      </c>
      <c r="Z864" s="14">
        <f t="shared" si="211"/>
        <v>0</v>
      </c>
      <c r="AA864" s="14" t="str">
        <f t="shared" si="212"/>
        <v>AtkExt</v>
      </c>
      <c r="AB864" s="14">
        <f t="shared" si="206"/>
        <v>3520</v>
      </c>
      <c r="AC864" s="14" t="str">
        <f t="shared" si="213"/>
        <v>HPExt</v>
      </c>
      <c r="AD864" s="14">
        <f t="shared" si="214"/>
        <v>10587</v>
      </c>
      <c r="AE864" s="14" t="str">
        <f t="shared" si="215"/>
        <v>[x]</v>
      </c>
      <c r="AF864" s="27" t="str">
        <f t="shared" si="216"/>
        <v>[x]</v>
      </c>
      <c r="AG864" s="27">
        <f t="shared" si="217"/>
        <v>16</v>
      </c>
    </row>
    <row r="865" spans="16:33" ht="16.5" x14ac:dyDescent="0.2">
      <c r="P865" s="13">
        <v>809</v>
      </c>
      <c r="Q865" s="14">
        <f t="shared" si="202"/>
        <v>41</v>
      </c>
      <c r="R865" s="14">
        <f t="shared" si="203"/>
        <v>1606049</v>
      </c>
      <c r="S865" s="14" t="str">
        <f t="shared" si="207"/>
        <v>神器7碎片7等级17</v>
      </c>
      <c r="T865" s="29" t="s">
        <v>649</v>
      </c>
      <c r="U865" s="14">
        <f t="shared" si="204"/>
        <v>17</v>
      </c>
      <c r="V865" s="36">
        <f t="shared" si="208"/>
        <v>1.5779999999999998</v>
      </c>
      <c r="W865" s="17">
        <f t="shared" si="205"/>
        <v>7.8899999999999998E-2</v>
      </c>
      <c r="X865" s="14">
        <f t="shared" si="209"/>
        <v>1</v>
      </c>
      <c r="Y865" s="14">
        <f t="shared" si="210"/>
        <v>3</v>
      </c>
      <c r="Z865" s="14">
        <f t="shared" si="211"/>
        <v>0</v>
      </c>
      <c r="AA865" s="14" t="str">
        <f t="shared" si="212"/>
        <v>AtkExt</v>
      </c>
      <c r="AB865" s="14">
        <f t="shared" si="206"/>
        <v>3799</v>
      </c>
      <c r="AC865" s="14" t="str">
        <f t="shared" si="213"/>
        <v>HPExt</v>
      </c>
      <c r="AD865" s="14">
        <f t="shared" si="214"/>
        <v>11427</v>
      </c>
      <c r="AE865" s="14" t="str">
        <f t="shared" si="215"/>
        <v>[x]</v>
      </c>
      <c r="AF865" s="27" t="str">
        <f t="shared" si="216"/>
        <v>[x]</v>
      </c>
      <c r="AG865" s="27">
        <f t="shared" si="217"/>
        <v>17</v>
      </c>
    </row>
    <row r="866" spans="16:33" ht="16.5" x14ac:dyDescent="0.2">
      <c r="P866" s="13">
        <v>810</v>
      </c>
      <c r="Q866" s="14">
        <f t="shared" si="202"/>
        <v>41</v>
      </c>
      <c r="R866" s="14">
        <f t="shared" si="203"/>
        <v>1606049</v>
      </c>
      <c r="S866" s="14" t="str">
        <f t="shared" si="207"/>
        <v>神器7碎片7等级18</v>
      </c>
      <c r="T866" s="29" t="s">
        <v>649</v>
      </c>
      <c r="U866" s="14">
        <f t="shared" si="204"/>
        <v>18</v>
      </c>
      <c r="V866" s="36">
        <f t="shared" si="208"/>
        <v>1.698</v>
      </c>
      <c r="W866" s="17">
        <f t="shared" si="205"/>
        <v>8.4900000000000003E-2</v>
      </c>
      <c r="X866" s="14">
        <f t="shared" si="209"/>
        <v>1</v>
      </c>
      <c r="Y866" s="14">
        <f t="shared" si="210"/>
        <v>3</v>
      </c>
      <c r="Z866" s="14">
        <f t="shared" si="211"/>
        <v>0</v>
      </c>
      <c r="AA866" s="14" t="str">
        <f t="shared" si="212"/>
        <v>AtkExt</v>
      </c>
      <c r="AB866" s="14">
        <f t="shared" si="206"/>
        <v>4088</v>
      </c>
      <c r="AC866" s="14" t="str">
        <f t="shared" si="213"/>
        <v>HPExt</v>
      </c>
      <c r="AD866" s="14">
        <f t="shared" si="214"/>
        <v>12296</v>
      </c>
      <c r="AE866" s="14" t="str">
        <f t="shared" si="215"/>
        <v>[x]</v>
      </c>
      <c r="AF866" s="27" t="str">
        <f t="shared" si="216"/>
        <v>[x]</v>
      </c>
      <c r="AG866" s="27">
        <f t="shared" si="217"/>
        <v>18</v>
      </c>
    </row>
    <row r="867" spans="16:33" ht="16.5" x14ac:dyDescent="0.2">
      <c r="P867" s="13">
        <v>811</v>
      </c>
      <c r="Q867" s="14">
        <f t="shared" si="202"/>
        <v>41</v>
      </c>
      <c r="R867" s="14">
        <f t="shared" si="203"/>
        <v>1606049</v>
      </c>
      <c r="S867" s="14" t="str">
        <f t="shared" si="207"/>
        <v>神器7碎片7等级19</v>
      </c>
      <c r="T867" s="29" t="s">
        <v>649</v>
      </c>
      <c r="U867" s="14">
        <f t="shared" si="204"/>
        <v>19</v>
      </c>
      <c r="V867" s="36">
        <f t="shared" si="208"/>
        <v>1.8220000000000001</v>
      </c>
      <c r="W867" s="17">
        <f t="shared" si="205"/>
        <v>9.1100000000000014E-2</v>
      </c>
      <c r="X867" s="14">
        <f t="shared" si="209"/>
        <v>1</v>
      </c>
      <c r="Y867" s="14">
        <f t="shared" si="210"/>
        <v>3</v>
      </c>
      <c r="Z867" s="14">
        <f t="shared" si="211"/>
        <v>0</v>
      </c>
      <c r="AA867" s="14" t="str">
        <f t="shared" si="212"/>
        <v>AtkExt</v>
      </c>
      <c r="AB867" s="14">
        <f t="shared" si="206"/>
        <v>4387</v>
      </c>
      <c r="AC867" s="14" t="str">
        <f t="shared" si="213"/>
        <v>HPExt</v>
      </c>
      <c r="AD867" s="14">
        <f t="shared" si="214"/>
        <v>13194</v>
      </c>
      <c r="AE867" s="14" t="str">
        <f t="shared" si="215"/>
        <v>[x]</v>
      </c>
      <c r="AF867" s="27" t="str">
        <f t="shared" si="216"/>
        <v>[x]</v>
      </c>
      <c r="AG867" s="27">
        <f t="shared" si="217"/>
        <v>19</v>
      </c>
    </row>
    <row r="868" spans="16:33" ht="16.5" x14ac:dyDescent="0.2">
      <c r="P868" s="13">
        <v>812</v>
      </c>
      <c r="Q868" s="14">
        <f t="shared" si="202"/>
        <v>41</v>
      </c>
      <c r="R868" s="14">
        <f t="shared" si="203"/>
        <v>1606049</v>
      </c>
      <c r="S868" s="14" t="str">
        <f t="shared" si="207"/>
        <v>神器7碎片7等级20</v>
      </c>
      <c r="T868" s="29" t="s">
        <v>649</v>
      </c>
      <c r="U868" s="14">
        <f t="shared" si="204"/>
        <v>20</v>
      </c>
      <c r="V868" s="36">
        <f t="shared" si="208"/>
        <v>1.95</v>
      </c>
      <c r="W868" s="17">
        <f t="shared" si="205"/>
        <v>9.7500000000000003E-2</v>
      </c>
      <c r="X868" s="14">
        <f t="shared" si="209"/>
        <v>1</v>
      </c>
      <c r="Y868" s="14">
        <f t="shared" si="210"/>
        <v>3</v>
      </c>
      <c r="Z868" s="14">
        <f t="shared" si="211"/>
        <v>0</v>
      </c>
      <c r="AA868" s="14" t="str">
        <f t="shared" si="212"/>
        <v>AtkExt</v>
      </c>
      <c r="AB868" s="14">
        <f t="shared" si="206"/>
        <v>4695</v>
      </c>
      <c r="AC868" s="14" t="str">
        <f t="shared" si="213"/>
        <v>HPExt</v>
      </c>
      <c r="AD868" s="14">
        <f t="shared" si="214"/>
        <v>14121</v>
      </c>
      <c r="AE868" s="14" t="str">
        <f t="shared" si="215"/>
        <v>[x]</v>
      </c>
      <c r="AF868" s="27" t="str">
        <f t="shared" si="216"/>
        <v>[x]</v>
      </c>
      <c r="AG868" s="27">
        <f t="shared" si="217"/>
        <v>20</v>
      </c>
    </row>
    <row r="869" spans="16:33" ht="16.5" x14ac:dyDescent="0.2">
      <c r="P869" s="13">
        <v>813</v>
      </c>
      <c r="Q869" s="14">
        <f t="shared" si="202"/>
        <v>41</v>
      </c>
      <c r="R869" s="14">
        <f t="shared" si="203"/>
        <v>1606049</v>
      </c>
      <c r="S869" s="14" t="str">
        <f t="shared" si="207"/>
        <v>神器7碎片7等级21</v>
      </c>
      <c r="T869" s="29" t="s">
        <v>649</v>
      </c>
      <c r="U869" s="14">
        <f t="shared" si="204"/>
        <v>21</v>
      </c>
      <c r="V869" s="36">
        <f t="shared" si="208"/>
        <v>2.0819999999999999</v>
      </c>
      <c r="W869" s="17">
        <f t="shared" si="205"/>
        <v>0.1041</v>
      </c>
      <c r="X869" s="14">
        <f t="shared" si="209"/>
        <v>1</v>
      </c>
      <c r="Y869" s="14">
        <f t="shared" si="210"/>
        <v>3</v>
      </c>
      <c r="Z869" s="14">
        <f t="shared" si="211"/>
        <v>0</v>
      </c>
      <c r="AA869" s="14" t="str">
        <f t="shared" si="212"/>
        <v>AtkExt</v>
      </c>
      <c r="AB869" s="14">
        <f t="shared" si="206"/>
        <v>5013</v>
      </c>
      <c r="AC869" s="14" t="str">
        <f t="shared" si="213"/>
        <v>HPExt</v>
      </c>
      <c r="AD869" s="14">
        <f t="shared" si="214"/>
        <v>15077</v>
      </c>
      <c r="AE869" s="14" t="str">
        <f t="shared" si="215"/>
        <v>[x]</v>
      </c>
      <c r="AF869" s="27" t="str">
        <f t="shared" si="216"/>
        <v>[x]</v>
      </c>
      <c r="AG869" s="27">
        <f t="shared" si="217"/>
        <v>21</v>
      </c>
    </row>
    <row r="870" spans="16:33" ht="16.5" x14ac:dyDescent="0.2">
      <c r="P870" s="13">
        <v>814</v>
      </c>
      <c r="Q870" s="14">
        <f t="shared" si="202"/>
        <v>42</v>
      </c>
      <c r="R870" s="14">
        <f t="shared" si="203"/>
        <v>1606050</v>
      </c>
      <c r="S870" s="14" t="str">
        <f t="shared" si="207"/>
        <v>神器7碎片8等级1</v>
      </c>
      <c r="T870" s="29" t="s">
        <v>649</v>
      </c>
      <c r="U870" s="14">
        <f t="shared" si="204"/>
        <v>1</v>
      </c>
      <c r="V870" s="36">
        <f t="shared" si="208"/>
        <v>0.20200000000000001</v>
      </c>
      <c r="W870" s="17">
        <f t="shared" si="205"/>
        <v>1.0100000000000001E-2</v>
      </c>
      <c r="X870" s="14">
        <f t="shared" si="209"/>
        <v>1</v>
      </c>
      <c r="Y870" s="14">
        <f t="shared" si="210"/>
        <v>3</v>
      </c>
      <c r="Z870" s="14">
        <f t="shared" si="211"/>
        <v>0</v>
      </c>
      <c r="AA870" s="14" t="str">
        <f t="shared" si="212"/>
        <v>AtkExt</v>
      </c>
      <c r="AB870" s="14">
        <f t="shared" si="206"/>
        <v>243</v>
      </c>
      <c r="AC870" s="14" t="str">
        <f t="shared" si="213"/>
        <v>HPExt</v>
      </c>
      <c r="AD870" s="14">
        <f t="shared" si="214"/>
        <v>731</v>
      </c>
      <c r="AE870" s="14" t="str">
        <f t="shared" si="215"/>
        <v>[x]</v>
      </c>
      <c r="AF870" s="27" t="str">
        <f t="shared" si="216"/>
        <v>[x]</v>
      </c>
      <c r="AG870" s="27">
        <f t="shared" si="217"/>
        <v>3</v>
      </c>
    </row>
    <row r="871" spans="16:33" ht="16.5" x14ac:dyDescent="0.2">
      <c r="P871" s="13">
        <v>815</v>
      </c>
      <c r="Q871" s="14">
        <f t="shared" si="202"/>
        <v>42</v>
      </c>
      <c r="R871" s="14">
        <f t="shared" si="203"/>
        <v>1606050</v>
      </c>
      <c r="S871" s="14" t="str">
        <f t="shared" si="207"/>
        <v>神器7碎片8等级2</v>
      </c>
      <c r="T871" s="29" t="s">
        <v>649</v>
      </c>
      <c r="U871" s="14">
        <f t="shared" si="204"/>
        <v>2</v>
      </c>
      <c r="V871" s="36">
        <f t="shared" si="208"/>
        <v>0.25800000000000001</v>
      </c>
      <c r="W871" s="17">
        <f t="shared" si="205"/>
        <v>1.2900000000000002E-2</v>
      </c>
      <c r="X871" s="14">
        <f t="shared" si="209"/>
        <v>1</v>
      </c>
      <c r="Y871" s="14">
        <f t="shared" si="210"/>
        <v>3</v>
      </c>
      <c r="Z871" s="14">
        <f t="shared" si="211"/>
        <v>0</v>
      </c>
      <c r="AA871" s="14" t="str">
        <f t="shared" si="212"/>
        <v>AtkExt</v>
      </c>
      <c r="AB871" s="14">
        <f t="shared" si="206"/>
        <v>310</v>
      </c>
      <c r="AC871" s="14" t="str">
        <f t="shared" si="213"/>
        <v>HPExt</v>
      </c>
      <c r="AD871" s="14">
        <f t="shared" si="214"/>
        <v>934</v>
      </c>
      <c r="AE871" s="14" t="str">
        <f t="shared" si="215"/>
        <v>[x]</v>
      </c>
      <c r="AF871" s="27" t="str">
        <f t="shared" si="216"/>
        <v>[x]</v>
      </c>
      <c r="AG871" s="27">
        <f t="shared" si="217"/>
        <v>6</v>
      </c>
    </row>
    <row r="872" spans="16:33" ht="16.5" x14ac:dyDescent="0.2">
      <c r="P872" s="13">
        <v>816</v>
      </c>
      <c r="Q872" s="14">
        <f t="shared" si="202"/>
        <v>42</v>
      </c>
      <c r="R872" s="14">
        <f t="shared" si="203"/>
        <v>1606050</v>
      </c>
      <c r="S872" s="14" t="str">
        <f t="shared" si="207"/>
        <v>神器7碎片8等级3</v>
      </c>
      <c r="T872" s="29" t="s">
        <v>649</v>
      </c>
      <c r="U872" s="14">
        <f t="shared" si="204"/>
        <v>3</v>
      </c>
      <c r="V872" s="36">
        <f t="shared" si="208"/>
        <v>0.31800000000000006</v>
      </c>
      <c r="W872" s="17">
        <f t="shared" si="205"/>
        <v>1.5900000000000004E-2</v>
      </c>
      <c r="X872" s="14">
        <f t="shared" si="209"/>
        <v>1</v>
      </c>
      <c r="Y872" s="14">
        <f t="shared" si="210"/>
        <v>3</v>
      </c>
      <c r="Z872" s="14">
        <f t="shared" si="211"/>
        <v>0</v>
      </c>
      <c r="AA872" s="14" t="str">
        <f t="shared" si="212"/>
        <v>AtkExt</v>
      </c>
      <c r="AB872" s="14">
        <f t="shared" si="206"/>
        <v>382</v>
      </c>
      <c r="AC872" s="14" t="str">
        <f t="shared" si="213"/>
        <v>HPExt</v>
      </c>
      <c r="AD872" s="14">
        <f t="shared" si="214"/>
        <v>1151</v>
      </c>
      <c r="AE872" s="14" t="str">
        <f t="shared" si="215"/>
        <v>[x]</v>
      </c>
      <c r="AF872" s="27" t="str">
        <f t="shared" si="216"/>
        <v>[x]</v>
      </c>
      <c r="AG872" s="27">
        <f t="shared" si="217"/>
        <v>9</v>
      </c>
    </row>
    <row r="873" spans="16:33" ht="16.5" x14ac:dyDescent="0.2">
      <c r="P873" s="13">
        <v>817</v>
      </c>
      <c r="Q873" s="14">
        <f t="shared" si="202"/>
        <v>42</v>
      </c>
      <c r="R873" s="14">
        <f t="shared" si="203"/>
        <v>1606050</v>
      </c>
      <c r="S873" s="14" t="str">
        <f t="shared" si="207"/>
        <v>神器7碎片8等级4</v>
      </c>
      <c r="T873" s="29" t="s">
        <v>649</v>
      </c>
      <c r="U873" s="14">
        <f t="shared" si="204"/>
        <v>4</v>
      </c>
      <c r="V873" s="36">
        <f t="shared" si="208"/>
        <v>0.38200000000000001</v>
      </c>
      <c r="W873" s="17">
        <f t="shared" si="205"/>
        <v>1.9100000000000002E-2</v>
      </c>
      <c r="X873" s="14">
        <f t="shared" si="209"/>
        <v>1</v>
      </c>
      <c r="Y873" s="14">
        <f t="shared" si="210"/>
        <v>3</v>
      </c>
      <c r="Z873" s="14">
        <f t="shared" si="211"/>
        <v>0</v>
      </c>
      <c r="AA873" s="14" t="str">
        <f t="shared" si="212"/>
        <v>AtkExt</v>
      </c>
      <c r="AB873" s="14">
        <f t="shared" si="206"/>
        <v>459</v>
      </c>
      <c r="AC873" s="14" t="str">
        <f t="shared" si="213"/>
        <v>HPExt</v>
      </c>
      <c r="AD873" s="14">
        <f t="shared" si="214"/>
        <v>1383</v>
      </c>
      <c r="AE873" s="14" t="str">
        <f t="shared" si="215"/>
        <v>[x]</v>
      </c>
      <c r="AF873" s="27" t="str">
        <f t="shared" si="216"/>
        <v>[x]</v>
      </c>
      <c r="AG873" s="27">
        <f t="shared" si="217"/>
        <v>12</v>
      </c>
    </row>
    <row r="874" spans="16:33" ht="16.5" x14ac:dyDescent="0.2">
      <c r="P874" s="13">
        <v>818</v>
      </c>
      <c r="Q874" s="14">
        <f t="shared" si="202"/>
        <v>42</v>
      </c>
      <c r="R874" s="14">
        <f t="shared" si="203"/>
        <v>1606050</v>
      </c>
      <c r="S874" s="14" t="str">
        <f t="shared" si="207"/>
        <v>神器7碎片8等级5</v>
      </c>
      <c r="T874" s="29" t="s">
        <v>649</v>
      </c>
      <c r="U874" s="14">
        <f t="shared" si="204"/>
        <v>5</v>
      </c>
      <c r="V874" s="36">
        <f t="shared" si="208"/>
        <v>0.45</v>
      </c>
      <c r="W874" s="17">
        <f t="shared" si="205"/>
        <v>2.2500000000000003E-2</v>
      </c>
      <c r="X874" s="14">
        <f t="shared" si="209"/>
        <v>1</v>
      </c>
      <c r="Y874" s="14">
        <f t="shared" si="210"/>
        <v>3</v>
      </c>
      <c r="Z874" s="14">
        <f t="shared" si="211"/>
        <v>0</v>
      </c>
      <c r="AA874" s="14" t="str">
        <f t="shared" si="212"/>
        <v>AtkExt</v>
      </c>
      <c r="AB874" s="14">
        <f t="shared" si="206"/>
        <v>541</v>
      </c>
      <c r="AC874" s="14" t="str">
        <f t="shared" si="213"/>
        <v>HPExt</v>
      </c>
      <c r="AD874" s="14">
        <f t="shared" si="214"/>
        <v>1629</v>
      </c>
      <c r="AE874" s="14" t="str">
        <f t="shared" si="215"/>
        <v>[x]</v>
      </c>
      <c r="AF874" s="27" t="str">
        <f t="shared" si="216"/>
        <v>[x]</v>
      </c>
      <c r="AG874" s="27">
        <f t="shared" si="217"/>
        <v>15</v>
      </c>
    </row>
    <row r="875" spans="16:33" ht="16.5" x14ac:dyDescent="0.2">
      <c r="P875" s="13">
        <v>819</v>
      </c>
      <c r="Q875" s="14">
        <f t="shared" si="202"/>
        <v>42</v>
      </c>
      <c r="R875" s="14">
        <f t="shared" si="203"/>
        <v>1606050</v>
      </c>
      <c r="S875" s="14" t="str">
        <f t="shared" si="207"/>
        <v>神器7碎片8等级6</v>
      </c>
      <c r="T875" s="29" t="s">
        <v>649</v>
      </c>
      <c r="U875" s="14">
        <f t="shared" si="204"/>
        <v>6</v>
      </c>
      <c r="V875" s="36">
        <f t="shared" si="208"/>
        <v>0.52200000000000002</v>
      </c>
      <c r="W875" s="17">
        <f t="shared" si="205"/>
        <v>2.6100000000000002E-2</v>
      </c>
      <c r="X875" s="14">
        <f t="shared" si="209"/>
        <v>1</v>
      </c>
      <c r="Y875" s="14">
        <f t="shared" si="210"/>
        <v>3</v>
      </c>
      <c r="Z875" s="14">
        <f t="shared" si="211"/>
        <v>0</v>
      </c>
      <c r="AA875" s="14" t="str">
        <f t="shared" si="212"/>
        <v>AtkExt</v>
      </c>
      <c r="AB875" s="14">
        <f t="shared" si="206"/>
        <v>628</v>
      </c>
      <c r="AC875" s="14" t="str">
        <f t="shared" si="213"/>
        <v>HPExt</v>
      </c>
      <c r="AD875" s="14">
        <f t="shared" si="214"/>
        <v>1890</v>
      </c>
      <c r="AE875" s="14" t="str">
        <f t="shared" si="215"/>
        <v>[x]</v>
      </c>
      <c r="AF875" s="27" t="str">
        <f t="shared" si="216"/>
        <v>[x]</v>
      </c>
      <c r="AG875" s="27">
        <f t="shared" si="217"/>
        <v>18</v>
      </c>
    </row>
    <row r="876" spans="16:33" ht="16.5" x14ac:dyDescent="0.2">
      <c r="P876" s="13">
        <v>820</v>
      </c>
      <c r="Q876" s="14">
        <f t="shared" si="202"/>
        <v>42</v>
      </c>
      <c r="R876" s="14">
        <f t="shared" si="203"/>
        <v>1606050</v>
      </c>
      <c r="S876" s="14" t="str">
        <f t="shared" si="207"/>
        <v>神器7碎片8等级7</v>
      </c>
      <c r="T876" s="29" t="s">
        <v>649</v>
      </c>
      <c r="U876" s="14">
        <f t="shared" si="204"/>
        <v>7</v>
      </c>
      <c r="V876" s="36">
        <f t="shared" si="208"/>
        <v>0.59799999999999998</v>
      </c>
      <c r="W876" s="17">
        <f t="shared" si="205"/>
        <v>2.9899999999999999E-2</v>
      </c>
      <c r="X876" s="14">
        <f t="shared" si="209"/>
        <v>1</v>
      </c>
      <c r="Y876" s="14">
        <f t="shared" si="210"/>
        <v>3</v>
      </c>
      <c r="Z876" s="14">
        <f t="shared" si="211"/>
        <v>0</v>
      </c>
      <c r="AA876" s="14" t="str">
        <f t="shared" si="212"/>
        <v>AtkExt</v>
      </c>
      <c r="AB876" s="14">
        <f t="shared" si="206"/>
        <v>720</v>
      </c>
      <c r="AC876" s="14" t="str">
        <f t="shared" si="213"/>
        <v>HPExt</v>
      </c>
      <c r="AD876" s="14">
        <f t="shared" si="214"/>
        <v>2165</v>
      </c>
      <c r="AE876" s="14" t="str">
        <f t="shared" si="215"/>
        <v>[x]</v>
      </c>
      <c r="AF876" s="27" t="str">
        <f t="shared" si="216"/>
        <v>[x]</v>
      </c>
      <c r="AG876" s="27">
        <f t="shared" si="217"/>
        <v>21</v>
      </c>
    </row>
    <row r="877" spans="16:33" ht="16.5" x14ac:dyDescent="0.2">
      <c r="P877" s="13">
        <v>821</v>
      </c>
      <c r="Q877" s="14">
        <f t="shared" si="202"/>
        <v>42</v>
      </c>
      <c r="R877" s="14">
        <f t="shared" si="203"/>
        <v>1606050</v>
      </c>
      <c r="S877" s="14" t="str">
        <f t="shared" si="207"/>
        <v>神器7碎片8等级8</v>
      </c>
      <c r="T877" s="29" t="s">
        <v>649</v>
      </c>
      <c r="U877" s="14">
        <f t="shared" si="204"/>
        <v>8</v>
      </c>
      <c r="V877" s="36">
        <f t="shared" si="208"/>
        <v>0.67800000000000005</v>
      </c>
      <c r="W877" s="17">
        <f t="shared" si="205"/>
        <v>3.3900000000000007E-2</v>
      </c>
      <c r="X877" s="14">
        <f t="shared" si="209"/>
        <v>1</v>
      </c>
      <c r="Y877" s="14">
        <f t="shared" si="210"/>
        <v>3</v>
      </c>
      <c r="Z877" s="14">
        <f t="shared" si="211"/>
        <v>0</v>
      </c>
      <c r="AA877" s="14" t="str">
        <f t="shared" si="212"/>
        <v>AtkExt</v>
      </c>
      <c r="AB877" s="14">
        <f t="shared" si="206"/>
        <v>816</v>
      </c>
      <c r="AC877" s="14" t="str">
        <f t="shared" si="213"/>
        <v>HPExt</v>
      </c>
      <c r="AD877" s="14">
        <f t="shared" si="214"/>
        <v>2454</v>
      </c>
      <c r="AE877" s="14" t="str">
        <f t="shared" si="215"/>
        <v>[x]</v>
      </c>
      <c r="AF877" s="27" t="str">
        <f t="shared" si="216"/>
        <v>[x]</v>
      </c>
      <c r="AG877" s="27">
        <f t="shared" si="217"/>
        <v>24</v>
      </c>
    </row>
    <row r="878" spans="16:33" ht="16.5" x14ac:dyDescent="0.2">
      <c r="P878" s="13">
        <v>822</v>
      </c>
      <c r="Q878" s="14">
        <f t="shared" si="202"/>
        <v>42</v>
      </c>
      <c r="R878" s="14">
        <f t="shared" si="203"/>
        <v>1606050</v>
      </c>
      <c r="S878" s="14" t="str">
        <f t="shared" si="207"/>
        <v>神器7碎片8等级9</v>
      </c>
      <c r="T878" s="29" t="s">
        <v>649</v>
      </c>
      <c r="U878" s="14">
        <f t="shared" si="204"/>
        <v>9</v>
      </c>
      <c r="V878" s="36">
        <f t="shared" si="208"/>
        <v>0.76200000000000001</v>
      </c>
      <c r="W878" s="17">
        <f t="shared" si="205"/>
        <v>3.8100000000000002E-2</v>
      </c>
      <c r="X878" s="14">
        <f t="shared" si="209"/>
        <v>1</v>
      </c>
      <c r="Y878" s="14">
        <f t="shared" si="210"/>
        <v>3</v>
      </c>
      <c r="Z878" s="14">
        <f t="shared" si="211"/>
        <v>0</v>
      </c>
      <c r="AA878" s="14" t="str">
        <f t="shared" si="212"/>
        <v>AtkExt</v>
      </c>
      <c r="AB878" s="14">
        <f t="shared" si="206"/>
        <v>917</v>
      </c>
      <c r="AC878" s="14" t="str">
        <f t="shared" si="213"/>
        <v>HPExt</v>
      </c>
      <c r="AD878" s="14">
        <f t="shared" si="214"/>
        <v>2759</v>
      </c>
      <c r="AE878" s="14" t="str">
        <f t="shared" si="215"/>
        <v>[x]</v>
      </c>
      <c r="AF878" s="27" t="str">
        <f t="shared" si="216"/>
        <v>[x]</v>
      </c>
      <c r="AG878" s="27">
        <f t="shared" si="217"/>
        <v>27</v>
      </c>
    </row>
    <row r="879" spans="16:33" ht="16.5" x14ac:dyDescent="0.2">
      <c r="P879" s="13">
        <v>823</v>
      </c>
      <c r="Q879" s="14">
        <f t="shared" si="202"/>
        <v>42</v>
      </c>
      <c r="R879" s="14">
        <f t="shared" si="203"/>
        <v>1606050</v>
      </c>
      <c r="S879" s="14" t="str">
        <f t="shared" si="207"/>
        <v>神器7碎片8等级10</v>
      </c>
      <c r="T879" s="29" t="s">
        <v>649</v>
      </c>
      <c r="U879" s="14">
        <f t="shared" si="204"/>
        <v>10</v>
      </c>
      <c r="V879" s="36">
        <f t="shared" si="208"/>
        <v>0.85000000000000009</v>
      </c>
      <c r="W879" s="17">
        <f t="shared" si="205"/>
        <v>4.250000000000001E-2</v>
      </c>
      <c r="X879" s="14">
        <f t="shared" si="209"/>
        <v>1</v>
      </c>
      <c r="Y879" s="14">
        <f t="shared" si="210"/>
        <v>3</v>
      </c>
      <c r="Z879" s="14">
        <f t="shared" si="211"/>
        <v>0</v>
      </c>
      <c r="AA879" s="14" t="str">
        <f t="shared" si="212"/>
        <v>AtkExt</v>
      </c>
      <c r="AB879" s="14">
        <f t="shared" si="206"/>
        <v>1023</v>
      </c>
      <c r="AC879" s="14" t="str">
        <f t="shared" si="213"/>
        <v>HPExt</v>
      </c>
      <c r="AD879" s="14">
        <f t="shared" si="214"/>
        <v>3077</v>
      </c>
      <c r="AE879" s="14" t="str">
        <f t="shared" si="215"/>
        <v>[x]</v>
      </c>
      <c r="AF879" s="27" t="str">
        <f t="shared" si="216"/>
        <v>[x]</v>
      </c>
      <c r="AG879" s="27">
        <f t="shared" si="217"/>
        <v>30</v>
      </c>
    </row>
    <row r="880" spans="16:33" ht="16.5" x14ac:dyDescent="0.2">
      <c r="P880" s="13">
        <v>824</v>
      </c>
      <c r="Q880" s="14">
        <f t="shared" si="202"/>
        <v>42</v>
      </c>
      <c r="R880" s="14">
        <f t="shared" si="203"/>
        <v>1606050</v>
      </c>
      <c r="S880" s="14" t="str">
        <f t="shared" si="207"/>
        <v>神器7碎片8等级11</v>
      </c>
      <c r="T880" s="29" t="s">
        <v>649</v>
      </c>
      <c r="U880" s="14">
        <f t="shared" si="204"/>
        <v>11</v>
      </c>
      <c r="V880" s="36">
        <f t="shared" si="208"/>
        <v>0.94200000000000006</v>
      </c>
      <c r="W880" s="17">
        <f t="shared" si="205"/>
        <v>4.7100000000000003E-2</v>
      </c>
      <c r="X880" s="14">
        <f t="shared" si="209"/>
        <v>1</v>
      </c>
      <c r="Y880" s="14">
        <f t="shared" si="210"/>
        <v>3</v>
      </c>
      <c r="Z880" s="14">
        <f t="shared" si="211"/>
        <v>0</v>
      </c>
      <c r="AA880" s="14" t="str">
        <f t="shared" si="212"/>
        <v>AtkExt</v>
      </c>
      <c r="AB880" s="14">
        <f t="shared" si="206"/>
        <v>1134</v>
      </c>
      <c r="AC880" s="14" t="str">
        <f t="shared" si="213"/>
        <v>HPExt</v>
      </c>
      <c r="AD880" s="14">
        <f t="shared" si="214"/>
        <v>3410</v>
      </c>
      <c r="AE880" s="14" t="str">
        <f t="shared" si="215"/>
        <v>[x]</v>
      </c>
      <c r="AF880" s="27" t="str">
        <f t="shared" si="216"/>
        <v>[x]</v>
      </c>
      <c r="AG880" s="27">
        <f t="shared" si="217"/>
        <v>33</v>
      </c>
    </row>
    <row r="881" spans="16:33" ht="16.5" x14ac:dyDescent="0.2">
      <c r="P881" s="13">
        <v>825</v>
      </c>
      <c r="Q881" s="14">
        <f t="shared" si="202"/>
        <v>42</v>
      </c>
      <c r="R881" s="14">
        <f t="shared" si="203"/>
        <v>1606050</v>
      </c>
      <c r="S881" s="14" t="str">
        <f t="shared" si="207"/>
        <v>神器7碎片8等级12</v>
      </c>
      <c r="T881" s="29" t="s">
        <v>649</v>
      </c>
      <c r="U881" s="14">
        <f t="shared" si="204"/>
        <v>12</v>
      </c>
      <c r="V881" s="36">
        <f t="shared" si="208"/>
        <v>1.0380000000000003</v>
      </c>
      <c r="W881" s="17">
        <f t="shared" si="205"/>
        <v>5.1900000000000016E-2</v>
      </c>
      <c r="X881" s="14">
        <f t="shared" si="209"/>
        <v>1</v>
      </c>
      <c r="Y881" s="14">
        <f t="shared" si="210"/>
        <v>3</v>
      </c>
      <c r="Z881" s="14">
        <f t="shared" si="211"/>
        <v>0</v>
      </c>
      <c r="AA881" s="14" t="str">
        <f t="shared" si="212"/>
        <v>AtkExt</v>
      </c>
      <c r="AB881" s="14">
        <f t="shared" si="206"/>
        <v>1249</v>
      </c>
      <c r="AC881" s="14" t="str">
        <f t="shared" si="213"/>
        <v>HPExt</v>
      </c>
      <c r="AD881" s="14">
        <f t="shared" si="214"/>
        <v>3758</v>
      </c>
      <c r="AE881" s="14" t="str">
        <f t="shared" si="215"/>
        <v>[x]</v>
      </c>
      <c r="AF881" s="27" t="str">
        <f t="shared" si="216"/>
        <v>[x]</v>
      </c>
      <c r="AG881" s="27">
        <f t="shared" si="217"/>
        <v>36</v>
      </c>
    </row>
    <row r="882" spans="16:33" ht="16.5" x14ac:dyDescent="0.2">
      <c r="P882" s="13">
        <v>826</v>
      </c>
      <c r="Q882" s="14">
        <f t="shared" si="202"/>
        <v>42</v>
      </c>
      <c r="R882" s="14">
        <f t="shared" si="203"/>
        <v>1606050</v>
      </c>
      <c r="S882" s="14" t="str">
        <f t="shared" si="207"/>
        <v>神器7碎片8等级13</v>
      </c>
      <c r="T882" s="29" t="s">
        <v>649</v>
      </c>
      <c r="U882" s="14">
        <f t="shared" si="204"/>
        <v>13</v>
      </c>
      <c r="V882" s="36">
        <f t="shared" si="208"/>
        <v>1.1380000000000001</v>
      </c>
      <c r="W882" s="17">
        <f t="shared" si="205"/>
        <v>5.6900000000000006E-2</v>
      </c>
      <c r="X882" s="14">
        <f t="shared" si="209"/>
        <v>1</v>
      </c>
      <c r="Y882" s="14">
        <f t="shared" si="210"/>
        <v>3</v>
      </c>
      <c r="Z882" s="14">
        <f t="shared" si="211"/>
        <v>0</v>
      </c>
      <c r="AA882" s="14" t="str">
        <f t="shared" si="212"/>
        <v>AtkExt</v>
      </c>
      <c r="AB882" s="14">
        <f t="shared" si="206"/>
        <v>1370</v>
      </c>
      <c r="AC882" s="14" t="str">
        <f t="shared" si="213"/>
        <v>HPExt</v>
      </c>
      <c r="AD882" s="14">
        <f t="shared" si="214"/>
        <v>4120</v>
      </c>
      <c r="AE882" s="14" t="str">
        <f t="shared" si="215"/>
        <v>[x]</v>
      </c>
      <c r="AF882" s="27" t="str">
        <f t="shared" si="216"/>
        <v>[x]</v>
      </c>
      <c r="AG882" s="27">
        <f t="shared" si="217"/>
        <v>39</v>
      </c>
    </row>
    <row r="883" spans="16:33" ht="16.5" x14ac:dyDescent="0.2">
      <c r="P883" s="13">
        <v>827</v>
      </c>
      <c r="Q883" s="14">
        <f t="shared" si="202"/>
        <v>42</v>
      </c>
      <c r="R883" s="14">
        <f t="shared" si="203"/>
        <v>1606050</v>
      </c>
      <c r="S883" s="14" t="str">
        <f t="shared" si="207"/>
        <v>神器7碎片8等级14</v>
      </c>
      <c r="T883" s="29" t="s">
        <v>649</v>
      </c>
      <c r="U883" s="14">
        <f t="shared" si="204"/>
        <v>14</v>
      </c>
      <c r="V883" s="36">
        <f t="shared" si="208"/>
        <v>1.242</v>
      </c>
      <c r="W883" s="17">
        <f t="shared" si="205"/>
        <v>6.2100000000000002E-2</v>
      </c>
      <c r="X883" s="14">
        <f t="shared" si="209"/>
        <v>1</v>
      </c>
      <c r="Y883" s="14">
        <f t="shared" si="210"/>
        <v>3</v>
      </c>
      <c r="Z883" s="14">
        <f t="shared" si="211"/>
        <v>0</v>
      </c>
      <c r="AA883" s="14" t="str">
        <f t="shared" si="212"/>
        <v>AtkExt</v>
      </c>
      <c r="AB883" s="14">
        <f t="shared" si="206"/>
        <v>1495</v>
      </c>
      <c r="AC883" s="14" t="str">
        <f t="shared" si="213"/>
        <v>HPExt</v>
      </c>
      <c r="AD883" s="14">
        <f t="shared" si="214"/>
        <v>4497</v>
      </c>
      <c r="AE883" s="14" t="str">
        <f t="shared" si="215"/>
        <v>[x]</v>
      </c>
      <c r="AF883" s="27" t="str">
        <f t="shared" si="216"/>
        <v>[x]</v>
      </c>
      <c r="AG883" s="27">
        <f t="shared" si="217"/>
        <v>42</v>
      </c>
    </row>
    <row r="884" spans="16:33" ht="16.5" x14ac:dyDescent="0.2">
      <c r="P884" s="13">
        <v>828</v>
      </c>
      <c r="Q884" s="14">
        <f t="shared" si="202"/>
        <v>42</v>
      </c>
      <c r="R884" s="14">
        <f t="shared" si="203"/>
        <v>1606050</v>
      </c>
      <c r="S884" s="14" t="str">
        <f t="shared" si="207"/>
        <v>神器7碎片8等级15</v>
      </c>
      <c r="T884" s="29" t="s">
        <v>649</v>
      </c>
      <c r="U884" s="14">
        <f t="shared" si="204"/>
        <v>15</v>
      </c>
      <c r="V884" s="36">
        <f t="shared" si="208"/>
        <v>1.35</v>
      </c>
      <c r="W884" s="17">
        <f t="shared" si="205"/>
        <v>6.7500000000000004E-2</v>
      </c>
      <c r="X884" s="14">
        <f t="shared" si="209"/>
        <v>1</v>
      </c>
      <c r="Y884" s="14">
        <f t="shared" si="210"/>
        <v>3</v>
      </c>
      <c r="Z884" s="14">
        <f t="shared" si="211"/>
        <v>0</v>
      </c>
      <c r="AA884" s="14" t="str">
        <f t="shared" si="212"/>
        <v>AtkExt</v>
      </c>
      <c r="AB884" s="14">
        <f t="shared" si="206"/>
        <v>1625</v>
      </c>
      <c r="AC884" s="14" t="str">
        <f t="shared" si="213"/>
        <v>HPExt</v>
      </c>
      <c r="AD884" s="14">
        <f t="shared" si="214"/>
        <v>4888</v>
      </c>
      <c r="AE884" s="14" t="str">
        <f t="shared" si="215"/>
        <v>[x]</v>
      </c>
      <c r="AF884" s="27" t="str">
        <f t="shared" si="216"/>
        <v>[x]</v>
      </c>
      <c r="AG884" s="27">
        <f t="shared" si="217"/>
        <v>45</v>
      </c>
    </row>
    <row r="885" spans="16:33" ht="16.5" x14ac:dyDescent="0.2">
      <c r="P885" s="13">
        <v>829</v>
      </c>
      <c r="Q885" s="14">
        <f t="shared" si="202"/>
        <v>42</v>
      </c>
      <c r="R885" s="14">
        <f t="shared" si="203"/>
        <v>1606050</v>
      </c>
      <c r="S885" s="14" t="str">
        <f t="shared" si="207"/>
        <v>神器7碎片8等级16</v>
      </c>
      <c r="T885" s="29" t="s">
        <v>649</v>
      </c>
      <c r="U885" s="14">
        <f t="shared" si="204"/>
        <v>16</v>
      </c>
      <c r="V885" s="36">
        <f t="shared" si="208"/>
        <v>1.4620000000000002</v>
      </c>
      <c r="W885" s="17">
        <f t="shared" si="205"/>
        <v>7.3100000000000012E-2</v>
      </c>
      <c r="X885" s="14">
        <f t="shared" si="209"/>
        <v>1</v>
      </c>
      <c r="Y885" s="14">
        <f t="shared" si="210"/>
        <v>3</v>
      </c>
      <c r="Z885" s="14">
        <f t="shared" si="211"/>
        <v>0</v>
      </c>
      <c r="AA885" s="14" t="str">
        <f t="shared" si="212"/>
        <v>AtkExt</v>
      </c>
      <c r="AB885" s="14">
        <f t="shared" si="206"/>
        <v>1760</v>
      </c>
      <c r="AC885" s="14" t="str">
        <f t="shared" si="213"/>
        <v>HPExt</v>
      </c>
      <c r="AD885" s="14">
        <f t="shared" si="214"/>
        <v>5293</v>
      </c>
      <c r="AE885" s="14" t="str">
        <f t="shared" si="215"/>
        <v>[x]</v>
      </c>
      <c r="AF885" s="27" t="str">
        <f t="shared" si="216"/>
        <v>[x]</v>
      </c>
      <c r="AG885" s="27">
        <f t="shared" si="217"/>
        <v>48</v>
      </c>
    </row>
    <row r="886" spans="16:33" ht="16.5" x14ac:dyDescent="0.2">
      <c r="P886" s="13">
        <v>830</v>
      </c>
      <c r="Q886" s="14">
        <f t="shared" si="202"/>
        <v>42</v>
      </c>
      <c r="R886" s="14">
        <f t="shared" si="203"/>
        <v>1606050</v>
      </c>
      <c r="S886" s="14" t="str">
        <f t="shared" si="207"/>
        <v>神器7碎片8等级17</v>
      </c>
      <c r="T886" s="29" t="s">
        <v>649</v>
      </c>
      <c r="U886" s="14">
        <f t="shared" si="204"/>
        <v>17</v>
      </c>
      <c r="V886" s="36">
        <f t="shared" si="208"/>
        <v>1.5779999999999998</v>
      </c>
      <c r="W886" s="17">
        <f t="shared" si="205"/>
        <v>7.8899999999999998E-2</v>
      </c>
      <c r="X886" s="14">
        <f t="shared" si="209"/>
        <v>1</v>
      </c>
      <c r="Y886" s="14">
        <f t="shared" si="210"/>
        <v>3</v>
      </c>
      <c r="Z886" s="14">
        <f t="shared" si="211"/>
        <v>0</v>
      </c>
      <c r="AA886" s="14" t="str">
        <f t="shared" si="212"/>
        <v>AtkExt</v>
      </c>
      <c r="AB886" s="14">
        <f t="shared" si="206"/>
        <v>1899</v>
      </c>
      <c r="AC886" s="14" t="str">
        <f t="shared" si="213"/>
        <v>HPExt</v>
      </c>
      <c r="AD886" s="14">
        <f t="shared" si="214"/>
        <v>5713</v>
      </c>
      <c r="AE886" s="14" t="str">
        <f t="shared" si="215"/>
        <v>[x]</v>
      </c>
      <c r="AF886" s="27" t="str">
        <f t="shared" si="216"/>
        <v>[x]</v>
      </c>
      <c r="AG886" s="27">
        <f t="shared" si="217"/>
        <v>51</v>
      </c>
    </row>
    <row r="887" spans="16:33" ht="16.5" x14ac:dyDescent="0.2">
      <c r="P887" s="13">
        <v>831</v>
      </c>
      <c r="Q887" s="14">
        <f t="shared" si="202"/>
        <v>42</v>
      </c>
      <c r="R887" s="14">
        <f t="shared" si="203"/>
        <v>1606050</v>
      </c>
      <c r="S887" s="14" t="str">
        <f t="shared" si="207"/>
        <v>神器7碎片8等级18</v>
      </c>
      <c r="T887" s="29" t="s">
        <v>649</v>
      </c>
      <c r="U887" s="14">
        <f t="shared" si="204"/>
        <v>18</v>
      </c>
      <c r="V887" s="36">
        <f t="shared" si="208"/>
        <v>1.698</v>
      </c>
      <c r="W887" s="17">
        <f t="shared" si="205"/>
        <v>8.4900000000000003E-2</v>
      </c>
      <c r="X887" s="14">
        <f t="shared" si="209"/>
        <v>1</v>
      </c>
      <c r="Y887" s="14">
        <f t="shared" si="210"/>
        <v>3</v>
      </c>
      <c r="Z887" s="14">
        <f t="shared" si="211"/>
        <v>0</v>
      </c>
      <c r="AA887" s="14" t="str">
        <f t="shared" si="212"/>
        <v>AtkExt</v>
      </c>
      <c r="AB887" s="14">
        <f t="shared" si="206"/>
        <v>2044</v>
      </c>
      <c r="AC887" s="14" t="str">
        <f t="shared" si="213"/>
        <v>HPExt</v>
      </c>
      <c r="AD887" s="14">
        <f t="shared" si="214"/>
        <v>6148</v>
      </c>
      <c r="AE887" s="14" t="str">
        <f t="shared" si="215"/>
        <v>[x]</v>
      </c>
      <c r="AF887" s="27" t="str">
        <f t="shared" si="216"/>
        <v>[x]</v>
      </c>
      <c r="AG887" s="27">
        <f t="shared" si="217"/>
        <v>54</v>
      </c>
    </row>
    <row r="888" spans="16:33" ht="16.5" x14ac:dyDescent="0.2">
      <c r="P888" s="13">
        <v>832</v>
      </c>
      <c r="Q888" s="14">
        <f t="shared" si="202"/>
        <v>42</v>
      </c>
      <c r="R888" s="14">
        <f t="shared" si="203"/>
        <v>1606050</v>
      </c>
      <c r="S888" s="14" t="str">
        <f t="shared" si="207"/>
        <v>神器7碎片8等级19</v>
      </c>
      <c r="T888" s="29" t="s">
        <v>649</v>
      </c>
      <c r="U888" s="14">
        <f t="shared" si="204"/>
        <v>19</v>
      </c>
      <c r="V888" s="36">
        <f t="shared" si="208"/>
        <v>1.8220000000000001</v>
      </c>
      <c r="W888" s="17">
        <f t="shared" si="205"/>
        <v>9.1100000000000014E-2</v>
      </c>
      <c r="X888" s="14">
        <f t="shared" si="209"/>
        <v>1</v>
      </c>
      <c r="Y888" s="14">
        <f t="shared" si="210"/>
        <v>3</v>
      </c>
      <c r="Z888" s="14">
        <f t="shared" si="211"/>
        <v>0</v>
      </c>
      <c r="AA888" s="14" t="str">
        <f t="shared" si="212"/>
        <v>AtkExt</v>
      </c>
      <c r="AB888" s="14">
        <f t="shared" si="206"/>
        <v>2193</v>
      </c>
      <c r="AC888" s="14" t="str">
        <f t="shared" si="213"/>
        <v>HPExt</v>
      </c>
      <c r="AD888" s="14">
        <f t="shared" si="214"/>
        <v>6597</v>
      </c>
      <c r="AE888" s="14" t="str">
        <f t="shared" si="215"/>
        <v>[x]</v>
      </c>
      <c r="AF888" s="27" t="str">
        <f t="shared" si="216"/>
        <v>[x]</v>
      </c>
      <c r="AG888" s="27">
        <f t="shared" si="217"/>
        <v>57</v>
      </c>
    </row>
    <row r="889" spans="16:33" ht="16.5" x14ac:dyDescent="0.2">
      <c r="P889" s="13">
        <v>833</v>
      </c>
      <c r="Q889" s="14">
        <f t="shared" ref="Q889:Q890" si="218">MATCH(P889-1,$X$4:$X$46,1)</f>
        <v>42</v>
      </c>
      <c r="R889" s="14">
        <f t="shared" ref="R889:R890" si="219">INDEX($S$5:$S$46,Q889)</f>
        <v>1606050</v>
      </c>
      <c r="S889" s="14" t="str">
        <f t="shared" si="207"/>
        <v>神器7碎片8等级20</v>
      </c>
      <c r="T889" s="29" t="s">
        <v>649</v>
      </c>
      <c r="U889" s="14">
        <f t="shared" si="204"/>
        <v>20</v>
      </c>
      <c r="V889" s="36">
        <f t="shared" si="208"/>
        <v>1.95</v>
      </c>
      <c r="W889" s="17">
        <f t="shared" ref="W889:W890" si="220">INDEX($V$5:$V$46,Q889)*V889</f>
        <v>9.7500000000000003E-2</v>
      </c>
      <c r="X889" s="14">
        <f t="shared" si="209"/>
        <v>1</v>
      </c>
      <c r="Y889" s="14">
        <f t="shared" si="210"/>
        <v>3</v>
      </c>
      <c r="Z889" s="14">
        <f t="shared" si="211"/>
        <v>0</v>
      </c>
      <c r="AA889" s="14" t="str">
        <f t="shared" si="212"/>
        <v>AtkExt</v>
      </c>
      <c r="AB889" s="14">
        <f t="shared" si="206"/>
        <v>2347</v>
      </c>
      <c r="AC889" s="14" t="str">
        <f t="shared" si="213"/>
        <v>HPExt</v>
      </c>
      <c r="AD889" s="14">
        <f t="shared" si="214"/>
        <v>7060</v>
      </c>
      <c r="AE889" s="14" t="str">
        <f t="shared" si="215"/>
        <v>[x]</v>
      </c>
      <c r="AF889" s="27" t="str">
        <f t="shared" si="216"/>
        <v>[x]</v>
      </c>
      <c r="AG889" s="27">
        <f t="shared" si="217"/>
        <v>60</v>
      </c>
    </row>
    <row r="890" spans="16:33" ht="16.5" x14ac:dyDescent="0.2">
      <c r="P890" s="13">
        <v>834</v>
      </c>
      <c r="Q890" s="14">
        <f t="shared" si="218"/>
        <v>42</v>
      </c>
      <c r="R890" s="14">
        <f t="shared" si="219"/>
        <v>1606050</v>
      </c>
      <c r="S890" s="14" t="str">
        <f t="shared" ref="S890" si="221">INDEX($P$5:$P$46,Q890)&amp;"碎片"&amp;INDEX($R$5:$R$46,Q890)&amp;"等级"&amp;U890</f>
        <v>神器7碎片8等级21</v>
      </c>
      <c r="T890" s="29" t="s">
        <v>649</v>
      </c>
      <c r="U890" s="14">
        <f t="shared" si="204"/>
        <v>21</v>
      </c>
      <c r="V890" s="36">
        <f t="shared" ref="V890" si="222">15%+U890*5%+U890*U890*0.2%</f>
        <v>2.0819999999999999</v>
      </c>
      <c r="W890" s="17">
        <f t="shared" si="220"/>
        <v>0.1041</v>
      </c>
      <c r="X890" s="14">
        <f t="shared" si="209"/>
        <v>1</v>
      </c>
      <c r="Y890" s="14">
        <f t="shared" si="210"/>
        <v>3</v>
      </c>
      <c r="Z890" s="14">
        <f t="shared" si="211"/>
        <v>0</v>
      </c>
      <c r="AA890" s="14" t="str">
        <f t="shared" ref="AA890" si="223">INDEX($Y$3:$AA$3,X890)</f>
        <v>AtkExt</v>
      </c>
      <c r="AB890" s="14">
        <f t="shared" si="206"/>
        <v>2506</v>
      </c>
      <c r="AC890" s="14" t="str">
        <f t="shared" ref="AC890" si="224">IF(Y890&gt;0,INDEX($Y$3:$AA$3,Y890),"[x]")</f>
        <v>HPExt</v>
      </c>
      <c r="AD890" s="14">
        <f t="shared" ref="AD890" si="225">IF(Y890&gt;0,INT(INDEX($E$4:$G$4,Y890)*W890*INDEX($Y$5:$AA$46,Q890,Y890)),"[x]")</f>
        <v>7538</v>
      </c>
      <c r="AE890" s="14" t="str">
        <f t="shared" ref="AE890" si="226">IF(Z890&gt;0,INDEX($Y$3:$AA$3,Z890),"[x]")</f>
        <v>[x]</v>
      </c>
      <c r="AF890" s="27" t="str">
        <f t="shared" ref="AF890" si="227">IF(Z890&gt;0,INT(INDEX($E$4:$G$4,Z890)*W890*INDEX($Y$5:$AA$46,Q890,Z890)),"[x]")</f>
        <v>[x]</v>
      </c>
      <c r="AG890" s="27">
        <f t="shared" ref="AG890" si="228">IF(INDEX($AE$5:$AE$46,Q890)&gt;0,INDEX($AE$5:$AE$46,Q890)*U890,"[x]")</f>
        <v>63</v>
      </c>
    </row>
  </sheetData>
  <mergeCells count="4">
    <mergeCell ref="A14:F14"/>
    <mergeCell ref="A25:G25"/>
    <mergeCell ref="A2:G2"/>
    <mergeCell ref="P2:AE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50"/>
  <sheetViews>
    <sheetView workbookViewId="0">
      <selection activeCell="N3" sqref="N3"/>
    </sheetView>
  </sheetViews>
  <sheetFormatPr defaultRowHeight="14.25" x14ac:dyDescent="0.2"/>
  <cols>
    <col min="1" max="2" width="9.625" bestFit="1" customWidth="1"/>
    <col min="5" max="5" width="10" customWidth="1"/>
    <col min="6" max="6" width="12.25" customWidth="1"/>
    <col min="7" max="7" width="10.375" style="20" customWidth="1"/>
    <col min="8" max="8" width="11.375" style="20" customWidth="1"/>
    <col min="9" max="9" width="11.375" customWidth="1"/>
    <col min="10" max="10" width="13.375" style="20" customWidth="1"/>
    <col min="11" max="11" width="9.75" customWidth="1"/>
    <col min="12" max="12" width="8.5" style="20" customWidth="1"/>
    <col min="13" max="13" width="8.75" customWidth="1"/>
    <col min="14" max="14" width="44.375" customWidth="1"/>
    <col min="15" max="15" width="9.625" bestFit="1" customWidth="1"/>
    <col min="16" max="17" width="9.625" style="20" customWidth="1"/>
    <col min="18" max="18" width="11.375" style="20" customWidth="1"/>
    <col min="19" max="19" width="10.875" style="20" customWidth="1"/>
    <col min="20" max="20" width="12.875" style="20" customWidth="1"/>
    <col min="21" max="21" width="11.75" style="20" customWidth="1"/>
    <col min="22" max="22" width="10.375" style="20" customWidth="1"/>
    <col min="23" max="23" width="11" style="20" customWidth="1"/>
    <col min="24" max="24" width="9.625" style="20" customWidth="1"/>
    <col min="25" max="25" width="12" style="20" customWidth="1"/>
    <col min="26" max="26" width="12.125" customWidth="1"/>
    <col min="27" max="27" width="10.5" style="20" customWidth="1"/>
    <col min="28" max="28" width="9.875" style="20" customWidth="1"/>
    <col min="29" max="29" width="11" customWidth="1"/>
    <col min="30" max="30" width="12" bestFit="1" customWidth="1"/>
    <col min="31" max="31" width="10.625" style="20" customWidth="1"/>
    <col min="32" max="32" width="11.375" style="20" customWidth="1"/>
    <col min="33" max="34" width="12" customWidth="1"/>
    <col min="35" max="36" width="12.75" customWidth="1"/>
    <col min="37" max="37" width="14.125" customWidth="1"/>
    <col min="38" max="39" width="10.625" style="20" customWidth="1"/>
    <col min="40" max="40" width="13.25" customWidth="1"/>
    <col min="41" max="41" width="13.125" customWidth="1"/>
  </cols>
  <sheetData>
    <row r="2" spans="1:41" ht="20.25" x14ac:dyDescent="0.2">
      <c r="A2" s="63" t="s">
        <v>309</v>
      </c>
      <c r="B2" s="63"/>
      <c r="C2" s="63"/>
    </row>
    <row r="3" spans="1:41" ht="17.25" x14ac:dyDescent="0.2">
      <c r="A3" s="12" t="s">
        <v>310</v>
      </c>
      <c r="B3" s="12" t="s">
        <v>311</v>
      </c>
      <c r="C3" s="12" t="s">
        <v>312</v>
      </c>
    </row>
    <row r="4" spans="1:41" x14ac:dyDescent="0.2">
      <c r="A4" s="14">
        <f>新属性投放!T80</f>
        <v>37870</v>
      </c>
      <c r="B4" s="14">
        <f>新属性投放!U80</f>
        <v>18830.666666666668</v>
      </c>
      <c r="C4" s="14">
        <f>新属性投放!V80</f>
        <v>196044</v>
      </c>
    </row>
    <row r="7" spans="1:41" x14ac:dyDescent="0.2">
      <c r="O7">
        <v>1</v>
      </c>
      <c r="P7" s="20">
        <v>1</v>
      </c>
      <c r="R7" s="20">
        <f t="shared" ref="R7:W7" si="0">3/7</f>
        <v>0.42857142857142855</v>
      </c>
      <c r="S7" s="20">
        <f t="shared" si="0"/>
        <v>0.42857142857142855</v>
      </c>
      <c r="T7" s="20">
        <f t="shared" si="0"/>
        <v>0.42857142857142855</v>
      </c>
      <c r="U7" s="20">
        <f t="shared" si="0"/>
        <v>0.42857142857142855</v>
      </c>
      <c r="V7" s="20">
        <f t="shared" si="0"/>
        <v>0.42857142857142855</v>
      </c>
      <c r="W7" s="20">
        <f t="shared" si="0"/>
        <v>0.42857142857142855</v>
      </c>
      <c r="X7" s="20">
        <f t="shared" ref="X7:AC7" si="1">4/7</f>
        <v>0.5714285714285714</v>
      </c>
      <c r="Y7" s="20">
        <f t="shared" si="1"/>
        <v>0.5714285714285714</v>
      </c>
      <c r="Z7" s="20">
        <f t="shared" si="1"/>
        <v>0.5714285714285714</v>
      </c>
      <c r="AA7" s="20">
        <f t="shared" si="1"/>
        <v>0.5714285714285714</v>
      </c>
      <c r="AB7" s="20">
        <f t="shared" si="1"/>
        <v>0.5714285714285714</v>
      </c>
      <c r="AC7" s="20">
        <f t="shared" si="1"/>
        <v>0.5714285714285714</v>
      </c>
      <c r="AL7" s="20">
        <f>SUM(AL9:AL23)</f>
        <v>511</v>
      </c>
      <c r="AM7" s="20">
        <v>5000000</v>
      </c>
      <c r="AN7">
        <v>5000</v>
      </c>
    </row>
    <row r="8" spans="1:41" ht="17.25" x14ac:dyDescent="0.2">
      <c r="A8" s="12" t="s">
        <v>324</v>
      </c>
      <c r="B8" s="12" t="s">
        <v>325</v>
      </c>
      <c r="C8" s="12" t="s">
        <v>326</v>
      </c>
      <c r="D8" s="12" t="s">
        <v>310</v>
      </c>
      <c r="E8" s="12" t="s">
        <v>311</v>
      </c>
      <c r="F8" s="12" t="s">
        <v>312</v>
      </c>
      <c r="G8" s="12" t="s">
        <v>333</v>
      </c>
      <c r="H8" s="12"/>
      <c r="I8" s="12" t="s">
        <v>327</v>
      </c>
      <c r="J8" s="12"/>
      <c r="K8" s="12" t="s">
        <v>329</v>
      </c>
      <c r="L8" s="12"/>
      <c r="M8" s="12" t="s">
        <v>331</v>
      </c>
      <c r="N8" s="12" t="s">
        <v>361</v>
      </c>
      <c r="O8" s="12" t="s">
        <v>382</v>
      </c>
      <c r="P8" s="12" t="s">
        <v>383</v>
      </c>
      <c r="Q8" s="12" t="s">
        <v>384</v>
      </c>
      <c r="R8" s="12" t="s">
        <v>385</v>
      </c>
      <c r="S8" s="12" t="s">
        <v>386</v>
      </c>
      <c r="T8" s="12" t="s">
        <v>387</v>
      </c>
      <c r="U8" s="12" t="s">
        <v>388</v>
      </c>
      <c r="V8" s="12" t="s">
        <v>389</v>
      </c>
      <c r="W8" s="12" t="s">
        <v>390</v>
      </c>
      <c r="X8" s="12" t="s">
        <v>391</v>
      </c>
      <c r="Y8" s="12" t="s">
        <v>392</v>
      </c>
      <c r="Z8" s="12" t="s">
        <v>393</v>
      </c>
      <c r="AA8" s="12" t="s">
        <v>394</v>
      </c>
      <c r="AB8" s="12" t="s">
        <v>395</v>
      </c>
      <c r="AC8" s="12" t="s">
        <v>396</v>
      </c>
      <c r="AD8" s="12" t="s">
        <v>435</v>
      </c>
      <c r="AK8" s="12" t="s">
        <v>441</v>
      </c>
      <c r="AL8" s="12" t="s">
        <v>444</v>
      </c>
      <c r="AM8" s="12" t="s">
        <v>446</v>
      </c>
      <c r="AN8" s="12" t="s">
        <v>442</v>
      </c>
      <c r="AO8" s="12" t="s">
        <v>443</v>
      </c>
    </row>
    <row r="9" spans="1:41" ht="16.5" x14ac:dyDescent="0.2">
      <c r="A9" s="13">
        <v>1102001</v>
      </c>
      <c r="B9" s="13" t="s">
        <v>150</v>
      </c>
      <c r="C9" s="13">
        <v>1501001</v>
      </c>
      <c r="D9" s="14">
        <f>VLOOKUP(A9,职业属性倾向!$A$19:$J$39,8,FALSE)</f>
        <v>1.5</v>
      </c>
      <c r="E9" s="14">
        <f>VLOOKUP(A9,职业属性倾向!$A$19:$J$39,9,FALSE)</f>
        <v>0.75</v>
      </c>
      <c r="F9" s="14">
        <f>VLOOKUP(A9,职业属性倾向!$A$19:$J$39,10,FALSE)</f>
        <v>0.75</v>
      </c>
      <c r="G9" s="14">
        <f>INDEX(卡牌属性!$G$5:$G$41,MATCH(专属武器!A9,卡牌属性!$A$5:$A$41,0))</f>
        <v>1.5</v>
      </c>
      <c r="H9" s="13" t="s">
        <v>328</v>
      </c>
      <c r="I9" s="13">
        <f>INT(A$4*D9*$G9)</f>
        <v>85207</v>
      </c>
      <c r="J9" s="13" t="s">
        <v>330</v>
      </c>
      <c r="K9" s="13">
        <f>INT(A$4*E9*$G9)</f>
        <v>42603</v>
      </c>
      <c r="L9" s="13" t="s">
        <v>332</v>
      </c>
      <c r="M9" s="13">
        <f>INT(A$4*F9*$G9)</f>
        <v>42603</v>
      </c>
      <c r="N9" s="13" t="s">
        <v>359</v>
      </c>
      <c r="O9" s="13" t="s">
        <v>397</v>
      </c>
      <c r="P9" s="13" t="s">
        <v>398</v>
      </c>
      <c r="Q9" s="13"/>
      <c r="R9" s="13" t="s">
        <v>399</v>
      </c>
      <c r="S9" s="13" t="s">
        <v>400</v>
      </c>
      <c r="T9" s="13" t="s">
        <v>401</v>
      </c>
      <c r="U9" s="13" t="s">
        <v>402</v>
      </c>
      <c r="V9" s="13" t="s">
        <v>403</v>
      </c>
      <c r="W9" s="13" t="s">
        <v>404</v>
      </c>
      <c r="X9" s="13" t="s">
        <v>399</v>
      </c>
      <c r="Y9" s="13" t="s">
        <v>400</v>
      </c>
      <c r="Z9" s="13" t="s">
        <v>401</v>
      </c>
      <c r="AA9" s="13" t="s">
        <v>402</v>
      </c>
      <c r="AB9" s="13" t="s">
        <v>403</v>
      </c>
      <c r="AC9" s="13" t="s">
        <v>404</v>
      </c>
      <c r="AD9" s="13">
        <v>130300109</v>
      </c>
      <c r="AF9" s="15" t="s">
        <v>39</v>
      </c>
      <c r="AG9" s="13">
        <v>250</v>
      </c>
      <c r="AK9" s="13">
        <v>1</v>
      </c>
      <c r="AL9" s="13">
        <v>1</v>
      </c>
      <c r="AM9" s="13">
        <f>ROUND(AM$7*AL9/AL$7/500,0)*500</f>
        <v>10000</v>
      </c>
      <c r="AN9" s="13">
        <f>ROUND(AN$7*AL9/AL$7,0)</f>
        <v>10</v>
      </c>
      <c r="AO9" s="13"/>
    </row>
    <row r="10" spans="1:41" ht="16.5" x14ac:dyDescent="0.2">
      <c r="A10" s="13">
        <v>1102002</v>
      </c>
      <c r="B10" s="13" t="s">
        <v>151</v>
      </c>
      <c r="C10" s="13">
        <v>1501002</v>
      </c>
      <c r="D10" s="14">
        <f>VLOOKUP(A10,职业属性倾向!$A$19:$J$39,8,FALSE)</f>
        <v>0.5</v>
      </c>
      <c r="E10" s="14">
        <f>VLOOKUP(A10,职业属性倾向!$A$19:$J$39,9,FALSE)</f>
        <v>1.25</v>
      </c>
      <c r="F10" s="14">
        <f>VLOOKUP(A10,职业属性倾向!$A$19:$J$39,10,FALSE)</f>
        <v>1.25</v>
      </c>
      <c r="G10" s="14">
        <f>INDEX(卡牌属性!$G$5:$G$41,MATCH(专属武器!A10,卡牌属性!$A$5:$A$41,0))</f>
        <v>1.1499999999999999</v>
      </c>
      <c r="H10" s="13" t="s">
        <v>328</v>
      </c>
      <c r="I10" s="13">
        <f t="shared" ref="I10:I29" si="2">INT(A$4*D10*$G10)</f>
        <v>21775</v>
      </c>
      <c r="J10" s="13" t="s">
        <v>330</v>
      </c>
      <c r="K10" s="13">
        <f t="shared" ref="K10:K29" si="3">INT(A$4*E10*$G10)</f>
        <v>54438</v>
      </c>
      <c r="L10" s="13" t="s">
        <v>332</v>
      </c>
      <c r="M10" s="13">
        <f t="shared" ref="M10:M29" si="4">INT(A$4*F10*$G10)</f>
        <v>54438</v>
      </c>
      <c r="N10" s="13" t="s">
        <v>362</v>
      </c>
      <c r="O10" s="13" t="s">
        <v>397</v>
      </c>
      <c r="P10" s="13" t="s">
        <v>398</v>
      </c>
      <c r="Q10" s="13"/>
      <c r="R10" s="13" t="s">
        <v>405</v>
      </c>
      <c r="S10" s="13" t="s">
        <v>406</v>
      </c>
      <c r="T10" s="13" t="s">
        <v>407</v>
      </c>
      <c r="U10" s="13" t="s">
        <v>406</v>
      </c>
      <c r="V10" s="13" t="s">
        <v>402</v>
      </c>
      <c r="W10" s="13" t="s">
        <v>399</v>
      </c>
      <c r="X10" s="13" t="s">
        <v>405</v>
      </c>
      <c r="Y10" s="13" t="s">
        <v>406</v>
      </c>
      <c r="Z10" s="13" t="s">
        <v>407</v>
      </c>
      <c r="AA10" s="13" t="s">
        <v>406</v>
      </c>
      <c r="AB10" s="13" t="s">
        <v>402</v>
      </c>
      <c r="AC10" s="13" t="s">
        <v>399</v>
      </c>
      <c r="AD10" s="13">
        <v>130300209</v>
      </c>
      <c r="AF10" s="15" t="s">
        <v>42</v>
      </c>
      <c r="AG10" s="13">
        <v>125</v>
      </c>
      <c r="AH10" s="37"/>
      <c r="AK10" s="13">
        <v>2</v>
      </c>
      <c r="AL10" s="13">
        <v>2</v>
      </c>
      <c r="AM10" s="13">
        <f>ROUND(AM$7*AL10/AL$7/1000,0)*1000</f>
        <v>20000</v>
      </c>
      <c r="AN10" s="13">
        <f>ROUND(AN$7*AL10/AL$7,0)</f>
        <v>20</v>
      </c>
      <c r="AO10" s="13"/>
    </row>
    <row r="11" spans="1:41" ht="16.5" x14ac:dyDescent="0.2">
      <c r="A11" s="13">
        <v>1102003</v>
      </c>
      <c r="B11" s="13" t="s">
        <v>152</v>
      </c>
      <c r="C11" s="13">
        <v>1501003</v>
      </c>
      <c r="D11" s="14">
        <f>VLOOKUP(A11,职业属性倾向!$A$19:$J$39,8,FALSE)</f>
        <v>1.8</v>
      </c>
      <c r="E11" s="14">
        <f>VLOOKUP(A11,职业属性倾向!$A$19:$J$39,9,FALSE)</f>
        <v>0.7</v>
      </c>
      <c r="F11" s="14">
        <f>VLOOKUP(A11,职业属性倾向!$A$19:$J$39,10,FALSE)</f>
        <v>0.5</v>
      </c>
      <c r="G11" s="14">
        <f>INDEX(卡牌属性!$G$5:$G$41,MATCH(专属武器!A11,卡牌属性!$A$5:$A$41,0))</f>
        <v>1.1499999999999999</v>
      </c>
      <c r="H11" s="13" t="s">
        <v>328</v>
      </c>
      <c r="I11" s="13">
        <f t="shared" si="2"/>
        <v>78390</v>
      </c>
      <c r="J11" s="13" t="s">
        <v>330</v>
      </c>
      <c r="K11" s="13">
        <f t="shared" si="3"/>
        <v>30485</v>
      </c>
      <c r="L11" s="13" t="s">
        <v>332</v>
      </c>
      <c r="M11" s="13">
        <f t="shared" si="4"/>
        <v>21775</v>
      </c>
      <c r="N11" s="13" t="s">
        <v>363</v>
      </c>
      <c r="O11" s="13" t="s">
        <v>397</v>
      </c>
      <c r="P11" s="13" t="s">
        <v>398</v>
      </c>
      <c r="Q11" s="13"/>
      <c r="R11" s="13" t="s">
        <v>408</v>
      </c>
      <c r="S11" s="13" t="s">
        <v>406</v>
      </c>
      <c r="T11" s="13" t="s">
        <v>410</v>
      </c>
      <c r="U11" s="13" t="s">
        <v>411</v>
      </c>
      <c r="V11" s="13" t="s">
        <v>402</v>
      </c>
      <c r="W11" s="13" t="s">
        <v>412</v>
      </c>
      <c r="X11" s="13" t="s">
        <v>408</v>
      </c>
      <c r="Y11" s="13" t="s">
        <v>406</v>
      </c>
      <c r="Z11" s="13" t="s">
        <v>410</v>
      </c>
      <c r="AA11" s="13" t="s">
        <v>411</v>
      </c>
      <c r="AB11" s="13" t="s">
        <v>402</v>
      </c>
      <c r="AC11" s="13" t="s">
        <v>412</v>
      </c>
      <c r="AD11" s="13">
        <v>130300309</v>
      </c>
      <c r="AF11" s="15" t="s">
        <v>433</v>
      </c>
      <c r="AG11" s="13">
        <v>2250</v>
      </c>
      <c r="AH11" s="37"/>
      <c r="AK11" s="13">
        <v>3</v>
      </c>
      <c r="AL11" s="13">
        <v>3</v>
      </c>
      <c r="AM11" s="13">
        <f>ROUND(AM$7*AL11/AL$7/5000,0)*5000</f>
        <v>30000</v>
      </c>
      <c r="AN11" s="13">
        <f>ROUND(AN$7*AL11/AL$7/5,0)*5</f>
        <v>30</v>
      </c>
      <c r="AO11" s="13">
        <v>5</v>
      </c>
    </row>
    <row r="12" spans="1:41" ht="16.5" x14ac:dyDescent="0.2">
      <c r="A12" s="13">
        <v>1102004</v>
      </c>
      <c r="B12" s="13" t="s">
        <v>153</v>
      </c>
      <c r="C12" s="13">
        <v>1501004</v>
      </c>
      <c r="D12" s="14">
        <f>VLOOKUP(A12,职业属性倾向!$A$19:$J$39,8,FALSE)</f>
        <v>2.2000000000000002</v>
      </c>
      <c r="E12" s="14">
        <f>VLOOKUP(A12,职业属性倾向!$A$19:$J$39,9,FALSE)</f>
        <v>0.3</v>
      </c>
      <c r="F12" s="14">
        <f>VLOOKUP(A12,职业属性倾向!$A$19:$J$39,10,FALSE)</f>
        <v>0.5</v>
      </c>
      <c r="G12" s="14">
        <f>INDEX(卡牌属性!$G$5:$G$41,MATCH(专属武器!A12,卡牌属性!$A$5:$A$41,0))</f>
        <v>1</v>
      </c>
      <c r="H12" s="13" t="s">
        <v>328</v>
      </c>
      <c r="I12" s="13">
        <f t="shared" si="2"/>
        <v>83314</v>
      </c>
      <c r="J12" s="13" t="s">
        <v>330</v>
      </c>
      <c r="K12" s="13">
        <f t="shared" si="3"/>
        <v>11361</v>
      </c>
      <c r="L12" s="13" t="s">
        <v>332</v>
      </c>
      <c r="M12" s="13">
        <f t="shared" si="4"/>
        <v>18935</v>
      </c>
      <c r="N12" s="13" t="s">
        <v>364</v>
      </c>
      <c r="O12" s="13" t="s">
        <v>397</v>
      </c>
      <c r="P12" s="13" t="s">
        <v>398</v>
      </c>
      <c r="Q12" s="13"/>
      <c r="R12" s="13" t="s">
        <v>406</v>
      </c>
      <c r="S12" s="13" t="s">
        <v>411</v>
      </c>
      <c r="T12" s="13" t="s">
        <v>406</v>
      </c>
      <c r="U12" s="13" t="s">
        <v>461</v>
      </c>
      <c r="V12" s="13" t="s">
        <v>413</v>
      </c>
      <c r="W12" s="13" t="s">
        <v>407</v>
      </c>
      <c r="X12" s="13" t="s">
        <v>406</v>
      </c>
      <c r="Y12" s="13" t="s">
        <v>411</v>
      </c>
      <c r="Z12" s="13" t="s">
        <v>406</v>
      </c>
      <c r="AA12" s="13" t="s">
        <v>461</v>
      </c>
      <c r="AB12" s="13" t="s">
        <v>413</v>
      </c>
      <c r="AC12" s="13" t="s">
        <v>407</v>
      </c>
      <c r="AD12" s="13">
        <v>130300409</v>
      </c>
      <c r="AF12" s="15" t="s">
        <v>48</v>
      </c>
      <c r="AG12" s="13">
        <v>0.25</v>
      </c>
      <c r="AK12" s="13">
        <v>4</v>
      </c>
      <c r="AL12" s="13">
        <v>5</v>
      </c>
      <c r="AM12" s="13">
        <f>ROUND(AM$7*AL12/AL$7/5000,0)*5000</f>
        <v>50000</v>
      </c>
      <c r="AN12" s="13">
        <f>ROUND(AN$7*AL12/AL$7/5,0)*5</f>
        <v>50</v>
      </c>
      <c r="AO12" s="13">
        <v>5</v>
      </c>
    </row>
    <row r="13" spans="1:41" ht="16.5" x14ac:dyDescent="0.2">
      <c r="A13" s="13">
        <v>1102005</v>
      </c>
      <c r="B13" s="13" t="s">
        <v>154</v>
      </c>
      <c r="C13" s="13">
        <v>1501005</v>
      </c>
      <c r="D13" s="14">
        <f>VLOOKUP(A13,职业属性倾向!$A$19:$J$39,8,FALSE)</f>
        <v>0.5</v>
      </c>
      <c r="E13" s="14">
        <f>VLOOKUP(A13,职业属性倾向!$A$19:$J$39,9,FALSE)</f>
        <v>1</v>
      </c>
      <c r="F13" s="14">
        <f>VLOOKUP(A13,职业属性倾向!$A$19:$J$39,10,FALSE)</f>
        <v>1.5</v>
      </c>
      <c r="G13" s="14">
        <f>INDEX(卡牌属性!$G$5:$G$41,MATCH(专属武器!A13,卡牌属性!$A$5:$A$41,0))</f>
        <v>1.1499999999999999</v>
      </c>
      <c r="H13" s="13" t="s">
        <v>328</v>
      </c>
      <c r="I13" s="13">
        <f t="shared" si="2"/>
        <v>21775</v>
      </c>
      <c r="J13" s="13" t="s">
        <v>330</v>
      </c>
      <c r="K13" s="13">
        <f t="shared" si="3"/>
        <v>43550</v>
      </c>
      <c r="L13" s="13" t="s">
        <v>332</v>
      </c>
      <c r="M13" s="13">
        <f t="shared" si="4"/>
        <v>65325</v>
      </c>
      <c r="N13" s="13" t="s">
        <v>365</v>
      </c>
      <c r="O13" s="13" t="s">
        <v>397</v>
      </c>
      <c r="P13" s="13" t="s">
        <v>398</v>
      </c>
      <c r="Q13" s="13"/>
      <c r="R13" s="13" t="s">
        <v>407</v>
      </c>
      <c r="S13" s="13" t="s">
        <v>414</v>
      </c>
      <c r="T13" s="13" t="s">
        <v>405</v>
      </c>
      <c r="U13" s="13" t="s">
        <v>402</v>
      </c>
      <c r="V13" s="13" t="s">
        <v>401</v>
      </c>
      <c r="W13" s="13" t="s">
        <v>414</v>
      </c>
      <c r="X13" s="13" t="s">
        <v>407</v>
      </c>
      <c r="Y13" s="13" t="s">
        <v>414</v>
      </c>
      <c r="Z13" s="13" t="s">
        <v>405</v>
      </c>
      <c r="AA13" s="13" t="s">
        <v>402</v>
      </c>
      <c r="AB13" s="13" t="s">
        <v>401</v>
      </c>
      <c r="AC13" s="13" t="s">
        <v>414</v>
      </c>
      <c r="AD13" s="13">
        <v>130300509</v>
      </c>
      <c r="AF13" s="15" t="s">
        <v>462</v>
      </c>
      <c r="AG13" s="13">
        <v>0.5</v>
      </c>
      <c r="AK13" s="13">
        <v>5</v>
      </c>
      <c r="AL13" s="13">
        <v>10</v>
      </c>
      <c r="AM13" s="13">
        <f>ROUND(AM$7*AL13/AL$7/5000,0)*5000</f>
        <v>100000</v>
      </c>
      <c r="AN13" s="13">
        <f>ROUND(AN$7*AL13/AL$7/50,0)*50</f>
        <v>100</v>
      </c>
      <c r="AO13" s="13">
        <v>10</v>
      </c>
    </row>
    <row r="14" spans="1:41" ht="16.5" x14ac:dyDescent="0.2">
      <c r="A14" s="13">
        <v>1102006</v>
      </c>
      <c r="B14" s="13" t="s">
        <v>155</v>
      </c>
      <c r="C14" s="13">
        <v>1501006</v>
      </c>
      <c r="D14" s="14">
        <f>VLOOKUP(A14,职业属性倾向!$A$19:$J$39,8,FALSE)</f>
        <v>1.5</v>
      </c>
      <c r="E14" s="14">
        <f>VLOOKUP(A14,职业属性倾向!$A$19:$J$39,9,FALSE)</f>
        <v>1</v>
      </c>
      <c r="F14" s="14">
        <f>VLOOKUP(A14,职业属性倾向!$A$19:$J$39,10,FALSE)</f>
        <v>0.5</v>
      </c>
      <c r="G14" s="14">
        <f>INDEX(卡牌属性!$G$5:$G$41,MATCH(专属武器!A14,卡牌属性!$A$5:$A$41,0))</f>
        <v>1.5</v>
      </c>
      <c r="H14" s="13" t="s">
        <v>328</v>
      </c>
      <c r="I14" s="13">
        <f t="shared" si="2"/>
        <v>85207</v>
      </c>
      <c r="J14" s="13" t="s">
        <v>330</v>
      </c>
      <c r="K14" s="13">
        <f t="shared" si="3"/>
        <v>56805</v>
      </c>
      <c r="L14" s="13" t="s">
        <v>332</v>
      </c>
      <c r="M14" s="13">
        <f t="shared" si="4"/>
        <v>28402</v>
      </c>
      <c r="N14" s="13" t="s">
        <v>366</v>
      </c>
      <c r="O14" s="13" t="s">
        <v>397</v>
      </c>
      <c r="P14" s="13" t="s">
        <v>398</v>
      </c>
      <c r="Q14" s="13"/>
      <c r="R14" s="13" t="s">
        <v>406</v>
      </c>
      <c r="S14" s="13" t="s">
        <v>411</v>
      </c>
      <c r="T14" s="13" t="s">
        <v>405</v>
      </c>
      <c r="U14" s="13" t="s">
        <v>461</v>
      </c>
      <c r="V14" s="13" t="s">
        <v>402</v>
      </c>
      <c r="W14" s="13" t="s">
        <v>411</v>
      </c>
      <c r="X14" s="13" t="s">
        <v>406</v>
      </c>
      <c r="Y14" s="13" t="s">
        <v>411</v>
      </c>
      <c r="Z14" s="13" t="s">
        <v>405</v>
      </c>
      <c r="AA14" s="13" t="s">
        <v>461</v>
      </c>
      <c r="AB14" s="13" t="s">
        <v>402</v>
      </c>
      <c r="AC14" s="13" t="s">
        <v>411</v>
      </c>
      <c r="AD14" s="13">
        <v>130300609</v>
      </c>
      <c r="AF14" s="15" t="s">
        <v>54</v>
      </c>
      <c r="AG14" s="13">
        <v>0.35</v>
      </c>
      <c r="AK14" s="13">
        <v>6</v>
      </c>
      <c r="AL14" s="13">
        <v>15</v>
      </c>
      <c r="AM14" s="13">
        <f>ROUND(AM$7*AL14/AL$7/10000,0)*10000</f>
        <v>150000</v>
      </c>
      <c r="AN14" s="13">
        <f t="shared" ref="AN14:AN23" si="5">ROUND(AN$7*AL14/AL$7/50,0)*50</f>
        <v>150</v>
      </c>
      <c r="AO14" s="13">
        <v>10</v>
      </c>
    </row>
    <row r="15" spans="1:41" ht="16.5" x14ac:dyDescent="0.2">
      <c r="A15" s="13">
        <v>1102007</v>
      </c>
      <c r="B15" s="13" t="s">
        <v>156</v>
      </c>
      <c r="C15" s="13">
        <v>1501007</v>
      </c>
      <c r="D15" s="14">
        <f>VLOOKUP(A15,职业属性倾向!$A$19:$J$39,8,FALSE)</f>
        <v>1.4</v>
      </c>
      <c r="E15" s="14">
        <f>VLOOKUP(A15,职业属性倾向!$A$19:$J$39,9,FALSE)</f>
        <v>0.8</v>
      </c>
      <c r="F15" s="14">
        <f>VLOOKUP(A15,职业属性倾向!$A$19:$J$39,10,FALSE)</f>
        <v>0.8</v>
      </c>
      <c r="G15" s="14">
        <f>INDEX(卡牌属性!$G$5:$G$41,MATCH(专属武器!A15,卡牌属性!$A$5:$A$41,0))</f>
        <v>1.3</v>
      </c>
      <c r="H15" s="13" t="s">
        <v>328</v>
      </c>
      <c r="I15" s="13">
        <f t="shared" si="2"/>
        <v>68923</v>
      </c>
      <c r="J15" s="13" t="s">
        <v>330</v>
      </c>
      <c r="K15" s="13">
        <f t="shared" si="3"/>
        <v>39384</v>
      </c>
      <c r="L15" s="13" t="s">
        <v>332</v>
      </c>
      <c r="M15" s="13">
        <f t="shared" si="4"/>
        <v>39384</v>
      </c>
      <c r="N15" s="13" t="s">
        <v>367</v>
      </c>
      <c r="O15" s="13" t="s">
        <v>397</v>
      </c>
      <c r="P15" s="13" t="s">
        <v>398</v>
      </c>
      <c r="Q15" s="13"/>
      <c r="R15" s="13" t="s">
        <v>401</v>
      </c>
      <c r="S15" s="13" t="s">
        <v>415</v>
      </c>
      <c r="T15" s="13" t="s">
        <v>405</v>
      </c>
      <c r="U15" s="13" t="s">
        <v>416</v>
      </c>
      <c r="V15" s="13" t="s">
        <v>415</v>
      </c>
      <c r="W15" s="13" t="s">
        <v>422</v>
      </c>
      <c r="X15" s="13" t="s">
        <v>401</v>
      </c>
      <c r="Y15" s="13" t="s">
        <v>415</v>
      </c>
      <c r="Z15" s="13" t="s">
        <v>405</v>
      </c>
      <c r="AA15" s="13" t="s">
        <v>416</v>
      </c>
      <c r="AB15" s="13" t="s">
        <v>415</v>
      </c>
      <c r="AC15" s="13" t="s">
        <v>402</v>
      </c>
      <c r="AD15" s="13">
        <v>130300709</v>
      </c>
      <c r="AF15" s="15" t="s">
        <v>434</v>
      </c>
      <c r="AG15" s="13">
        <v>0.35</v>
      </c>
      <c r="AK15" s="13">
        <v>7</v>
      </c>
      <c r="AL15" s="13">
        <v>20</v>
      </c>
      <c r="AM15" s="13">
        <f>ROUND(AM$7*AL15/AL$7/10000,0)*10000</f>
        <v>200000</v>
      </c>
      <c r="AN15" s="13">
        <f t="shared" si="5"/>
        <v>200</v>
      </c>
      <c r="AO15" s="13">
        <v>10</v>
      </c>
    </row>
    <row r="16" spans="1:41" ht="16.5" x14ac:dyDescent="0.2">
      <c r="A16" s="13">
        <v>1102008</v>
      </c>
      <c r="B16" s="13" t="s">
        <v>157</v>
      </c>
      <c r="C16" s="13">
        <v>1501008</v>
      </c>
      <c r="D16" s="14">
        <f>VLOOKUP(A16,职业属性倾向!$A$19:$J$39,8,FALSE)</f>
        <v>2</v>
      </c>
      <c r="E16" s="14">
        <f>VLOOKUP(A16,职业属性倾向!$A$19:$J$39,9,FALSE)</f>
        <v>0.5</v>
      </c>
      <c r="F16" s="14">
        <f>VLOOKUP(A16,职业属性倾向!$A$19:$J$39,10,FALSE)</f>
        <v>0.5</v>
      </c>
      <c r="G16" s="14">
        <f>INDEX(卡牌属性!$G$5:$G$41,MATCH(专属武器!A16,卡牌属性!$A$5:$A$41,0))</f>
        <v>1.3</v>
      </c>
      <c r="H16" s="13" t="s">
        <v>328</v>
      </c>
      <c r="I16" s="13">
        <f t="shared" si="2"/>
        <v>98462</v>
      </c>
      <c r="J16" s="13" t="s">
        <v>330</v>
      </c>
      <c r="K16" s="13">
        <f t="shared" si="3"/>
        <v>24615</v>
      </c>
      <c r="L16" s="13" t="s">
        <v>332</v>
      </c>
      <c r="M16" s="13">
        <f t="shared" si="4"/>
        <v>24615</v>
      </c>
      <c r="N16" s="13" t="s">
        <v>368</v>
      </c>
      <c r="O16" s="13" t="s">
        <v>397</v>
      </c>
      <c r="P16" s="13" t="s">
        <v>398</v>
      </c>
      <c r="Q16" s="13"/>
      <c r="R16" s="13" t="s">
        <v>406</v>
      </c>
      <c r="S16" s="13" t="s">
        <v>415</v>
      </c>
      <c r="T16" s="13" t="s">
        <v>405</v>
      </c>
      <c r="U16" s="13" t="s">
        <v>416</v>
      </c>
      <c r="V16" s="13" t="s">
        <v>415</v>
      </c>
      <c r="W16" s="13" t="s">
        <v>418</v>
      </c>
      <c r="X16" s="13" t="s">
        <v>401</v>
      </c>
      <c r="Y16" s="13" t="s">
        <v>415</v>
      </c>
      <c r="Z16" s="13" t="s">
        <v>405</v>
      </c>
      <c r="AA16" s="13" t="s">
        <v>416</v>
      </c>
      <c r="AB16" s="13" t="s">
        <v>415</v>
      </c>
      <c r="AC16" s="13" t="s">
        <v>418</v>
      </c>
      <c r="AD16" s="13">
        <v>130300809</v>
      </c>
      <c r="AF16" s="15" t="s">
        <v>60</v>
      </c>
      <c r="AG16" s="13">
        <v>0.25</v>
      </c>
      <c r="AK16" s="13">
        <v>8</v>
      </c>
      <c r="AL16" s="13">
        <v>25</v>
      </c>
      <c r="AM16" s="13">
        <f t="shared" ref="AM16:AM23" si="6">ROUND(AM$7*AL16/AL$7/50000,0)*50000</f>
        <v>250000</v>
      </c>
      <c r="AN16" s="13">
        <f t="shared" si="5"/>
        <v>250</v>
      </c>
      <c r="AO16" s="13">
        <v>20</v>
      </c>
    </row>
    <row r="17" spans="1:41" ht="16.5" x14ac:dyDescent="0.2">
      <c r="A17" s="13">
        <v>1102009</v>
      </c>
      <c r="B17" s="13" t="s">
        <v>158</v>
      </c>
      <c r="C17" s="13">
        <v>1501009</v>
      </c>
      <c r="D17" s="14">
        <f>VLOOKUP(A17,职业属性倾向!$A$19:$J$39,8,FALSE)</f>
        <v>0.5</v>
      </c>
      <c r="E17" s="14">
        <f>VLOOKUP(A17,职业属性倾向!$A$19:$J$39,9,FALSE)</f>
        <v>1.5</v>
      </c>
      <c r="F17" s="14">
        <f>VLOOKUP(A17,职业属性倾向!$A$19:$J$39,10,FALSE)</f>
        <v>1</v>
      </c>
      <c r="G17" s="14">
        <f>INDEX(卡牌属性!$G$5:$G$41,MATCH(专属武器!A17,卡牌属性!$A$5:$A$41,0))</f>
        <v>1.3</v>
      </c>
      <c r="H17" s="13" t="s">
        <v>328</v>
      </c>
      <c r="I17" s="13">
        <f t="shared" si="2"/>
        <v>24615</v>
      </c>
      <c r="J17" s="13" t="s">
        <v>330</v>
      </c>
      <c r="K17" s="13">
        <f t="shared" si="3"/>
        <v>73846</v>
      </c>
      <c r="L17" s="13" t="s">
        <v>332</v>
      </c>
      <c r="M17" s="13">
        <f t="shared" si="4"/>
        <v>49231</v>
      </c>
      <c r="N17" s="13" t="s">
        <v>369</v>
      </c>
      <c r="O17" s="13" t="s">
        <v>397</v>
      </c>
      <c r="P17" s="13" t="s">
        <v>398</v>
      </c>
      <c r="Q17" s="13"/>
      <c r="R17" s="13" t="s">
        <v>419</v>
      </c>
      <c r="S17" s="13" t="s">
        <v>400</v>
      </c>
      <c r="T17" s="13" t="s">
        <v>420</v>
      </c>
      <c r="U17" s="13" t="s">
        <v>402</v>
      </c>
      <c r="V17" s="13" t="s">
        <v>421</v>
      </c>
      <c r="W17" s="13" t="s">
        <v>423</v>
      </c>
      <c r="X17" s="13" t="s">
        <v>419</v>
      </c>
      <c r="Y17" s="13" t="s">
        <v>400</v>
      </c>
      <c r="Z17" s="13" t="s">
        <v>420</v>
      </c>
      <c r="AA17" s="13" t="s">
        <v>402</v>
      </c>
      <c r="AB17" s="13" t="s">
        <v>421</v>
      </c>
      <c r="AC17" s="13" t="s">
        <v>423</v>
      </c>
      <c r="AD17" s="13">
        <v>130300909</v>
      </c>
      <c r="AF17" s="15" t="s">
        <v>63</v>
      </c>
      <c r="AG17" s="13">
        <v>0.25</v>
      </c>
      <c r="AK17" s="13">
        <v>9</v>
      </c>
      <c r="AL17" s="13">
        <v>30</v>
      </c>
      <c r="AM17" s="13">
        <f t="shared" si="6"/>
        <v>300000</v>
      </c>
      <c r="AN17" s="13">
        <f t="shared" si="5"/>
        <v>300</v>
      </c>
      <c r="AO17" s="13">
        <v>20</v>
      </c>
    </row>
    <row r="18" spans="1:41" ht="16.5" x14ac:dyDescent="0.2">
      <c r="A18" s="13">
        <v>1102010</v>
      </c>
      <c r="B18" s="13" t="s">
        <v>159</v>
      </c>
      <c r="C18" s="13">
        <v>1501010</v>
      </c>
      <c r="D18" s="14">
        <f>VLOOKUP(A18,职业属性倾向!$A$19:$J$39,8,FALSE)</f>
        <v>1.5</v>
      </c>
      <c r="E18" s="14">
        <f>VLOOKUP(A18,职业属性倾向!$A$19:$J$39,9,FALSE)</f>
        <v>0.75</v>
      </c>
      <c r="F18" s="14">
        <f>VLOOKUP(A18,职业属性倾向!$A$19:$J$39,10,FALSE)</f>
        <v>0.75</v>
      </c>
      <c r="G18" s="14">
        <f>INDEX(卡牌属性!$G$5:$G$41,MATCH(专属武器!A18,卡牌属性!$A$5:$A$41,0))</f>
        <v>1.5</v>
      </c>
      <c r="H18" s="13" t="s">
        <v>328</v>
      </c>
      <c r="I18" s="13">
        <f t="shared" si="2"/>
        <v>85207</v>
      </c>
      <c r="J18" s="13" t="s">
        <v>330</v>
      </c>
      <c r="K18" s="13">
        <f t="shared" si="3"/>
        <v>42603</v>
      </c>
      <c r="L18" s="13" t="s">
        <v>332</v>
      </c>
      <c r="M18" s="13">
        <f t="shared" si="4"/>
        <v>42603</v>
      </c>
      <c r="N18" s="13" t="s">
        <v>370</v>
      </c>
      <c r="O18" s="13" t="s">
        <v>397</v>
      </c>
      <c r="P18" s="13" t="s">
        <v>398</v>
      </c>
      <c r="Q18" s="13"/>
      <c r="R18" s="13" t="s">
        <v>406</v>
      </c>
      <c r="S18" s="13" t="s">
        <v>402</v>
      </c>
      <c r="T18" s="13" t="s">
        <v>424</v>
      </c>
      <c r="U18" s="13" t="s">
        <v>415</v>
      </c>
      <c r="V18" s="13" t="s">
        <v>425</v>
      </c>
      <c r="W18" s="13" t="s">
        <v>408</v>
      </c>
      <c r="X18" s="13" t="s">
        <v>406</v>
      </c>
      <c r="Y18" s="13" t="s">
        <v>402</v>
      </c>
      <c r="Z18" s="13" t="s">
        <v>424</v>
      </c>
      <c r="AA18" s="13" t="s">
        <v>415</v>
      </c>
      <c r="AB18" s="13" t="s">
        <v>425</v>
      </c>
      <c r="AC18" s="13" t="s">
        <v>408</v>
      </c>
      <c r="AD18" s="13">
        <v>130301009</v>
      </c>
      <c r="AF18" s="15" t="s">
        <v>66</v>
      </c>
      <c r="AG18" s="13">
        <v>0.25</v>
      </c>
      <c r="AK18" s="13">
        <v>10</v>
      </c>
      <c r="AL18" s="13">
        <v>40</v>
      </c>
      <c r="AM18" s="13">
        <f t="shared" si="6"/>
        <v>400000</v>
      </c>
      <c r="AN18" s="13">
        <f t="shared" si="5"/>
        <v>400</v>
      </c>
      <c r="AO18" s="13">
        <v>20</v>
      </c>
    </row>
    <row r="19" spans="1:41" ht="16.5" x14ac:dyDescent="0.2">
      <c r="A19" s="13">
        <v>1102011</v>
      </c>
      <c r="B19" s="13" t="s">
        <v>160</v>
      </c>
      <c r="C19" s="13">
        <v>1501011</v>
      </c>
      <c r="D19" s="14">
        <f>VLOOKUP(A19,职业属性倾向!$A$19:$J$39,8,FALSE)</f>
        <v>0.8</v>
      </c>
      <c r="E19" s="14">
        <f>VLOOKUP(A19,职业属性倾向!$A$19:$J$39,9,FALSE)</f>
        <v>0.5</v>
      </c>
      <c r="F19" s="14">
        <f>VLOOKUP(A19,职业属性倾向!$A$19:$J$39,10,FALSE)</f>
        <v>1.7</v>
      </c>
      <c r="G19" s="14">
        <f>INDEX(卡牌属性!$G$5:$G$41,MATCH(专属武器!A19,卡牌属性!$A$5:$A$41,0))</f>
        <v>1.5</v>
      </c>
      <c r="H19" s="13" t="s">
        <v>328</v>
      </c>
      <c r="I19" s="13">
        <f t="shared" si="2"/>
        <v>45444</v>
      </c>
      <c r="J19" s="13" t="s">
        <v>330</v>
      </c>
      <c r="K19" s="13">
        <f t="shared" si="3"/>
        <v>28402</v>
      </c>
      <c r="L19" s="13" t="s">
        <v>332</v>
      </c>
      <c r="M19" s="13">
        <f t="shared" si="4"/>
        <v>96568</v>
      </c>
      <c r="N19" s="13" t="s">
        <v>371</v>
      </c>
      <c r="O19" s="13" t="s">
        <v>397</v>
      </c>
      <c r="P19" s="13" t="s">
        <v>398</v>
      </c>
      <c r="Q19" s="13"/>
      <c r="R19" s="13" t="s">
        <v>425</v>
      </c>
      <c r="S19" s="13" t="s">
        <v>406</v>
      </c>
      <c r="T19" s="13" t="s">
        <v>425</v>
      </c>
      <c r="U19" s="13" t="s">
        <v>425</v>
      </c>
      <c r="V19" s="13" t="s">
        <v>402</v>
      </c>
      <c r="W19" s="13" t="s">
        <v>425</v>
      </c>
      <c r="X19" s="13" t="s">
        <v>425</v>
      </c>
      <c r="Y19" s="13" t="s">
        <v>406</v>
      </c>
      <c r="Z19" s="13" t="s">
        <v>425</v>
      </c>
      <c r="AA19" s="13" t="s">
        <v>425</v>
      </c>
      <c r="AB19" s="13" t="s">
        <v>402</v>
      </c>
      <c r="AC19" s="13" t="s">
        <v>425</v>
      </c>
      <c r="AD19" s="13">
        <v>130301109</v>
      </c>
      <c r="AF19" s="15" t="s">
        <v>310</v>
      </c>
      <c r="AG19" s="13">
        <v>250</v>
      </c>
      <c r="AK19" s="13">
        <v>11</v>
      </c>
      <c r="AL19" s="13">
        <v>50</v>
      </c>
      <c r="AM19" s="13">
        <f t="shared" si="6"/>
        <v>500000</v>
      </c>
      <c r="AN19" s="13">
        <f t="shared" si="5"/>
        <v>500</v>
      </c>
      <c r="AO19" s="13">
        <v>30</v>
      </c>
    </row>
    <row r="20" spans="1:41" ht="16.5" x14ac:dyDescent="0.2">
      <c r="A20" s="13">
        <v>1102012</v>
      </c>
      <c r="B20" s="13" t="s">
        <v>161</v>
      </c>
      <c r="C20" s="13">
        <v>1501012</v>
      </c>
      <c r="D20" s="14">
        <f>VLOOKUP(A20,职业属性倾向!$A$19:$J$39,8,FALSE)</f>
        <v>1</v>
      </c>
      <c r="E20" s="14">
        <f>VLOOKUP(A20,职业属性倾向!$A$19:$J$39,9,FALSE)</f>
        <v>1</v>
      </c>
      <c r="F20" s="14">
        <f>VLOOKUP(A20,职业属性倾向!$A$19:$J$39,10,FALSE)</f>
        <v>1</v>
      </c>
      <c r="G20" s="14">
        <f>INDEX(卡牌属性!$G$5:$G$41,MATCH(专属武器!A20,卡牌属性!$A$5:$A$41,0))</f>
        <v>1.5</v>
      </c>
      <c r="H20" s="13" t="s">
        <v>328</v>
      </c>
      <c r="I20" s="13">
        <f t="shared" si="2"/>
        <v>56805</v>
      </c>
      <c r="J20" s="13" t="s">
        <v>330</v>
      </c>
      <c r="K20" s="13">
        <f t="shared" si="3"/>
        <v>56805</v>
      </c>
      <c r="L20" s="13" t="s">
        <v>332</v>
      </c>
      <c r="M20" s="13">
        <f t="shared" si="4"/>
        <v>56805</v>
      </c>
      <c r="N20" s="13" t="s">
        <v>372</v>
      </c>
      <c r="O20" s="13" t="s">
        <v>397</v>
      </c>
      <c r="P20" s="13" t="s">
        <v>398</v>
      </c>
      <c r="Q20" s="13"/>
      <c r="R20" s="13" t="s">
        <v>406</v>
      </c>
      <c r="S20" s="13" t="s">
        <v>426</v>
      </c>
      <c r="T20" s="13" t="s">
        <v>414</v>
      </c>
      <c r="U20" s="13" t="s">
        <v>406</v>
      </c>
      <c r="V20" s="13" t="s">
        <v>411</v>
      </c>
      <c r="W20" s="13" t="s">
        <v>426</v>
      </c>
      <c r="X20" s="13" t="s">
        <v>406</v>
      </c>
      <c r="Y20" s="13" t="s">
        <v>426</v>
      </c>
      <c r="Z20" s="13" t="s">
        <v>414</v>
      </c>
      <c r="AA20" s="13" t="s">
        <v>406</v>
      </c>
      <c r="AB20" s="13" t="s">
        <v>411</v>
      </c>
      <c r="AC20" s="13" t="s">
        <v>426</v>
      </c>
      <c r="AD20" s="13">
        <v>130301209</v>
      </c>
      <c r="AF20" s="15" t="s">
        <v>311</v>
      </c>
      <c r="AG20" s="13">
        <v>125</v>
      </c>
      <c r="AK20" s="13">
        <v>12</v>
      </c>
      <c r="AL20" s="13">
        <v>60</v>
      </c>
      <c r="AM20" s="13">
        <f t="shared" si="6"/>
        <v>600000</v>
      </c>
      <c r="AN20" s="13">
        <f t="shared" si="5"/>
        <v>600</v>
      </c>
      <c r="AO20" s="13">
        <v>30</v>
      </c>
    </row>
    <row r="21" spans="1:41" ht="16.5" x14ac:dyDescent="0.2">
      <c r="A21" s="13">
        <v>1102013</v>
      </c>
      <c r="B21" s="13" t="s">
        <v>162</v>
      </c>
      <c r="C21" s="13">
        <v>1501013</v>
      </c>
      <c r="D21" s="14">
        <f>VLOOKUP(A21,职业属性倾向!$A$19:$J$39,8,FALSE)</f>
        <v>2</v>
      </c>
      <c r="E21" s="14">
        <f>VLOOKUP(A21,职业属性倾向!$A$19:$J$39,9,FALSE)</f>
        <v>0.5</v>
      </c>
      <c r="F21" s="14">
        <f>VLOOKUP(A21,职业属性倾向!$A$19:$J$39,10,FALSE)</f>
        <v>0.5</v>
      </c>
      <c r="G21" s="14">
        <f>INDEX(卡牌属性!$G$5:$G$41,MATCH(专属武器!A21,卡牌属性!$A$5:$A$41,0))</f>
        <v>1</v>
      </c>
      <c r="H21" s="13" t="s">
        <v>328</v>
      </c>
      <c r="I21" s="13">
        <f t="shared" si="2"/>
        <v>75740</v>
      </c>
      <c r="J21" s="13" t="s">
        <v>330</v>
      </c>
      <c r="K21" s="13">
        <f t="shared" si="3"/>
        <v>18935</v>
      </c>
      <c r="L21" s="13" t="s">
        <v>332</v>
      </c>
      <c r="M21" s="13">
        <f t="shared" si="4"/>
        <v>18935</v>
      </c>
      <c r="N21" s="13" t="s">
        <v>373</v>
      </c>
      <c r="O21" s="13" t="s">
        <v>397</v>
      </c>
      <c r="P21" s="13" t="s">
        <v>398</v>
      </c>
      <c r="Q21" s="13"/>
      <c r="R21" s="13" t="s">
        <v>406</v>
      </c>
      <c r="S21" s="13" t="s">
        <v>408</v>
      </c>
      <c r="T21" s="13" t="s">
        <v>400</v>
      </c>
      <c r="U21" s="13" t="s">
        <v>461</v>
      </c>
      <c r="V21" s="13" t="s">
        <v>402</v>
      </c>
      <c r="W21" s="13" t="s">
        <v>406</v>
      </c>
      <c r="X21" s="13" t="s">
        <v>406</v>
      </c>
      <c r="Y21" s="13" t="s">
        <v>408</v>
      </c>
      <c r="Z21" s="13" t="s">
        <v>400</v>
      </c>
      <c r="AA21" s="13" t="s">
        <v>461</v>
      </c>
      <c r="AB21" s="13" t="s">
        <v>402</v>
      </c>
      <c r="AC21" s="13" t="s">
        <v>406</v>
      </c>
      <c r="AD21" s="13">
        <v>130301309</v>
      </c>
      <c r="AF21" s="15" t="s">
        <v>312</v>
      </c>
      <c r="AG21" s="13">
        <v>2250</v>
      </c>
      <c r="AK21" s="13">
        <v>13</v>
      </c>
      <c r="AL21" s="13">
        <v>70</v>
      </c>
      <c r="AM21" s="13">
        <f t="shared" si="6"/>
        <v>700000</v>
      </c>
      <c r="AN21" s="13">
        <f t="shared" si="5"/>
        <v>700</v>
      </c>
      <c r="AO21" s="13">
        <v>30</v>
      </c>
    </row>
    <row r="22" spans="1:41" ht="16.5" x14ac:dyDescent="0.2">
      <c r="A22" s="13">
        <v>1102014</v>
      </c>
      <c r="B22" s="13" t="s">
        <v>163</v>
      </c>
      <c r="C22" s="13">
        <v>1501014</v>
      </c>
      <c r="D22" s="14">
        <f>VLOOKUP(A22,职业属性倾向!$A$19:$J$39,8,FALSE)</f>
        <v>1.5</v>
      </c>
      <c r="E22" s="14">
        <f>VLOOKUP(A22,职业属性倾向!$A$19:$J$39,9,FALSE)</f>
        <v>1</v>
      </c>
      <c r="F22" s="14">
        <f>VLOOKUP(A22,职业属性倾向!$A$19:$J$39,10,FALSE)</f>
        <v>0.5</v>
      </c>
      <c r="G22" s="14">
        <f>INDEX(卡牌属性!$G$5:$G$41,MATCH(专属武器!A22,卡牌属性!$A$5:$A$41,0))</f>
        <v>1.3</v>
      </c>
      <c r="H22" s="13" t="s">
        <v>328</v>
      </c>
      <c r="I22" s="13">
        <f t="shared" si="2"/>
        <v>73846</v>
      </c>
      <c r="J22" s="13" t="s">
        <v>330</v>
      </c>
      <c r="K22" s="13">
        <f t="shared" si="3"/>
        <v>49231</v>
      </c>
      <c r="L22" s="13" t="s">
        <v>332</v>
      </c>
      <c r="M22" s="13">
        <f t="shared" si="4"/>
        <v>24615</v>
      </c>
      <c r="N22" s="13" t="s">
        <v>374</v>
      </c>
      <c r="O22" s="13" t="s">
        <v>397</v>
      </c>
      <c r="P22" s="13" t="s">
        <v>398</v>
      </c>
      <c r="Q22" s="13"/>
      <c r="R22" s="13" t="s">
        <v>416</v>
      </c>
      <c r="S22" s="13" t="s">
        <v>407</v>
      </c>
      <c r="T22" s="13" t="s">
        <v>420</v>
      </c>
      <c r="U22" s="13" t="s">
        <v>461</v>
      </c>
      <c r="V22" s="13" t="s">
        <v>406</v>
      </c>
      <c r="W22" s="13" t="s">
        <v>408</v>
      </c>
      <c r="X22" s="13" t="s">
        <v>416</v>
      </c>
      <c r="Y22" s="13" t="s">
        <v>407</v>
      </c>
      <c r="Z22" s="13" t="s">
        <v>420</v>
      </c>
      <c r="AA22" s="13" t="s">
        <v>461</v>
      </c>
      <c r="AB22" s="13" t="s">
        <v>406</v>
      </c>
      <c r="AC22" s="13" t="s">
        <v>408</v>
      </c>
      <c r="AD22" s="13">
        <v>130301409</v>
      </c>
      <c r="AF22" s="15" t="s">
        <v>409</v>
      </c>
      <c r="AG22" s="13">
        <v>0.25</v>
      </c>
      <c r="AK22" s="13">
        <v>14</v>
      </c>
      <c r="AL22" s="13">
        <v>80</v>
      </c>
      <c r="AM22" s="13">
        <f t="shared" si="6"/>
        <v>800000</v>
      </c>
      <c r="AN22" s="13">
        <f t="shared" si="5"/>
        <v>800</v>
      </c>
      <c r="AO22" s="13">
        <v>50</v>
      </c>
    </row>
    <row r="23" spans="1:41" ht="16.5" x14ac:dyDescent="0.2">
      <c r="A23" s="13">
        <v>1102015</v>
      </c>
      <c r="B23" s="13" t="s">
        <v>164</v>
      </c>
      <c r="C23" s="13">
        <v>1501015</v>
      </c>
      <c r="D23" s="14">
        <f>VLOOKUP(A23,职业属性倾向!$A$19:$J$39,8,FALSE)</f>
        <v>1</v>
      </c>
      <c r="E23" s="14">
        <f>VLOOKUP(A23,职业属性倾向!$A$19:$J$39,9,FALSE)</f>
        <v>1</v>
      </c>
      <c r="F23" s="14">
        <f>VLOOKUP(A23,职业属性倾向!$A$19:$J$39,10,FALSE)</f>
        <v>1</v>
      </c>
      <c r="G23" s="14">
        <f>INDEX(卡牌属性!$G$5:$G$41,MATCH(专属武器!A23,卡牌属性!$A$5:$A$41,0))</f>
        <v>1</v>
      </c>
      <c r="H23" s="13" t="s">
        <v>328</v>
      </c>
      <c r="I23" s="13">
        <f t="shared" si="2"/>
        <v>37870</v>
      </c>
      <c r="J23" s="13" t="s">
        <v>330</v>
      </c>
      <c r="K23" s="13">
        <f t="shared" si="3"/>
        <v>37870</v>
      </c>
      <c r="L23" s="13" t="s">
        <v>332</v>
      </c>
      <c r="M23" s="13">
        <f t="shared" si="4"/>
        <v>37870</v>
      </c>
      <c r="N23" s="13" t="s">
        <v>375</v>
      </c>
      <c r="O23" s="13" t="s">
        <v>397</v>
      </c>
      <c r="P23" s="13" t="s">
        <v>398</v>
      </c>
      <c r="Q23" s="13"/>
      <c r="R23" s="13" t="s">
        <v>416</v>
      </c>
      <c r="S23" s="13" t="s">
        <v>407</v>
      </c>
      <c r="T23" s="13" t="s">
        <v>420</v>
      </c>
      <c r="U23" s="13" t="s">
        <v>421</v>
      </c>
      <c r="V23" s="13" t="s">
        <v>406</v>
      </c>
      <c r="W23" s="13" t="s">
        <v>402</v>
      </c>
      <c r="X23" s="13" t="s">
        <v>416</v>
      </c>
      <c r="Y23" s="13" t="s">
        <v>407</v>
      </c>
      <c r="Z23" s="13" t="s">
        <v>420</v>
      </c>
      <c r="AA23" s="13" t="s">
        <v>421</v>
      </c>
      <c r="AB23" s="13" t="s">
        <v>406</v>
      </c>
      <c r="AC23" s="13" t="s">
        <v>402</v>
      </c>
      <c r="AD23" s="13">
        <v>130301509</v>
      </c>
      <c r="AF23" s="15" t="s">
        <v>417</v>
      </c>
      <c r="AG23" s="13">
        <v>0.25</v>
      </c>
      <c r="AK23" s="13">
        <v>15</v>
      </c>
      <c r="AL23" s="13">
        <v>100</v>
      </c>
      <c r="AM23" s="13">
        <f t="shared" si="6"/>
        <v>1000000</v>
      </c>
      <c r="AN23" s="13">
        <f t="shared" si="5"/>
        <v>1000</v>
      </c>
      <c r="AO23" s="13">
        <v>60</v>
      </c>
    </row>
    <row r="24" spans="1:41" ht="16.5" x14ac:dyDescent="0.2">
      <c r="A24" s="13">
        <v>1102016</v>
      </c>
      <c r="B24" s="13" t="s">
        <v>165</v>
      </c>
      <c r="C24" s="13">
        <v>1501016</v>
      </c>
      <c r="D24" s="14">
        <f>VLOOKUP(A24,职业属性倾向!$A$19:$J$39,8,FALSE)</f>
        <v>0.5</v>
      </c>
      <c r="E24" s="14">
        <f>VLOOKUP(A24,职业属性倾向!$A$19:$J$39,9,FALSE)</f>
        <v>1.5</v>
      </c>
      <c r="F24" s="14">
        <f>VLOOKUP(A24,职业属性倾向!$A$19:$J$39,10,FALSE)</f>
        <v>1</v>
      </c>
      <c r="G24" s="14">
        <f>INDEX(卡牌属性!$G$5:$G$41,MATCH(专属武器!A24,卡牌属性!$A$5:$A$41,0))</f>
        <v>1.5</v>
      </c>
      <c r="H24" s="13" t="s">
        <v>328</v>
      </c>
      <c r="I24" s="13">
        <f t="shared" si="2"/>
        <v>28402</v>
      </c>
      <c r="J24" s="13" t="s">
        <v>330</v>
      </c>
      <c r="K24" s="13">
        <f t="shared" si="3"/>
        <v>85207</v>
      </c>
      <c r="L24" s="13" t="s">
        <v>332</v>
      </c>
      <c r="M24" s="13">
        <f t="shared" si="4"/>
        <v>56805</v>
      </c>
      <c r="N24" s="13" t="s">
        <v>376</v>
      </c>
      <c r="O24" s="13" t="s">
        <v>397</v>
      </c>
      <c r="P24" s="13" t="s">
        <v>398</v>
      </c>
      <c r="Q24" s="13"/>
      <c r="R24" s="13" t="s">
        <v>414</v>
      </c>
      <c r="S24" s="13" t="s">
        <v>406</v>
      </c>
      <c r="T24" s="13" t="s">
        <v>423</v>
      </c>
      <c r="U24" s="13" t="s">
        <v>427</v>
      </c>
      <c r="V24" s="13" t="s">
        <v>414</v>
      </c>
      <c r="W24" s="13" t="s">
        <v>428</v>
      </c>
      <c r="X24" s="13" t="s">
        <v>414</v>
      </c>
      <c r="Y24" s="13" t="s">
        <v>406</v>
      </c>
      <c r="Z24" s="13" t="s">
        <v>423</v>
      </c>
      <c r="AA24" s="13" t="s">
        <v>427</v>
      </c>
      <c r="AB24" s="13" t="s">
        <v>414</v>
      </c>
      <c r="AC24" s="13" t="s">
        <v>428</v>
      </c>
      <c r="AD24" s="13">
        <v>130301609</v>
      </c>
      <c r="AF24" s="15" t="s">
        <v>262</v>
      </c>
      <c r="AG24" s="13">
        <v>100</v>
      </c>
    </row>
    <row r="25" spans="1:41" ht="16.5" x14ac:dyDescent="0.2">
      <c r="A25" s="13">
        <v>1102017</v>
      </c>
      <c r="B25" s="13" t="s">
        <v>166</v>
      </c>
      <c r="C25" s="13">
        <v>1501017</v>
      </c>
      <c r="D25" s="14">
        <f>VLOOKUP(A25,职业属性倾向!$A$19:$J$39,8,FALSE)</f>
        <v>2</v>
      </c>
      <c r="E25" s="14">
        <f>VLOOKUP(A25,职业属性倾向!$A$19:$J$39,9,FALSE)</f>
        <v>0.5</v>
      </c>
      <c r="F25" s="14">
        <f>VLOOKUP(A25,职业属性倾向!$A$19:$J$39,10,FALSE)</f>
        <v>0.5</v>
      </c>
      <c r="G25" s="14">
        <f>INDEX(卡牌属性!$G$5:$G$41,MATCH(专属武器!A25,卡牌属性!$A$5:$A$41,0))</f>
        <v>1.3</v>
      </c>
      <c r="H25" s="13" t="s">
        <v>328</v>
      </c>
      <c r="I25" s="13">
        <f t="shared" si="2"/>
        <v>98462</v>
      </c>
      <c r="J25" s="13" t="s">
        <v>330</v>
      </c>
      <c r="K25" s="13">
        <f t="shared" si="3"/>
        <v>24615</v>
      </c>
      <c r="L25" s="13" t="s">
        <v>332</v>
      </c>
      <c r="M25" s="13">
        <f t="shared" si="4"/>
        <v>24615</v>
      </c>
      <c r="N25" s="13" t="s">
        <v>377</v>
      </c>
      <c r="O25" s="13" t="s">
        <v>397</v>
      </c>
      <c r="P25" s="13" t="s">
        <v>398</v>
      </c>
      <c r="Q25" s="13"/>
      <c r="R25" s="13" t="s">
        <v>416</v>
      </c>
      <c r="S25" s="13" t="s">
        <v>411</v>
      </c>
      <c r="T25" s="13" t="s">
        <v>412</v>
      </c>
      <c r="U25" s="13" t="s">
        <v>429</v>
      </c>
      <c r="V25" s="13" t="s">
        <v>416</v>
      </c>
      <c r="W25" s="13" t="s">
        <v>461</v>
      </c>
      <c r="X25" s="13" t="s">
        <v>416</v>
      </c>
      <c r="Y25" s="13" t="s">
        <v>411</v>
      </c>
      <c r="Z25" s="13" t="s">
        <v>412</v>
      </c>
      <c r="AA25" s="13" t="s">
        <v>429</v>
      </c>
      <c r="AB25" s="13" t="s">
        <v>416</v>
      </c>
      <c r="AC25" s="13" t="s">
        <v>461</v>
      </c>
      <c r="AD25" s="13">
        <v>130301709</v>
      </c>
    </row>
    <row r="26" spans="1:41" ht="16.5" x14ac:dyDescent="0.2">
      <c r="A26" s="13">
        <v>1102018</v>
      </c>
      <c r="B26" s="13" t="s">
        <v>167</v>
      </c>
      <c r="C26" s="13">
        <v>1501018</v>
      </c>
      <c r="D26" s="14">
        <f>VLOOKUP(A26,职业属性倾向!$A$19:$J$39,8,FALSE)</f>
        <v>2</v>
      </c>
      <c r="E26" s="14">
        <f>VLOOKUP(A26,职业属性倾向!$A$19:$J$39,9,FALSE)</f>
        <v>0.5</v>
      </c>
      <c r="F26" s="14">
        <f>VLOOKUP(A26,职业属性倾向!$A$19:$J$39,10,FALSE)</f>
        <v>0.5</v>
      </c>
      <c r="G26" s="14">
        <f>INDEX(卡牌属性!$G$5:$G$41,MATCH(专属武器!A26,卡牌属性!$A$5:$A$41,0))</f>
        <v>1</v>
      </c>
      <c r="H26" s="13" t="s">
        <v>328</v>
      </c>
      <c r="I26" s="13">
        <f t="shared" si="2"/>
        <v>75740</v>
      </c>
      <c r="J26" s="13" t="s">
        <v>330</v>
      </c>
      <c r="K26" s="13">
        <f t="shared" si="3"/>
        <v>18935</v>
      </c>
      <c r="L26" s="13" t="s">
        <v>332</v>
      </c>
      <c r="M26" s="13">
        <f t="shared" si="4"/>
        <v>18935</v>
      </c>
      <c r="N26" s="13" t="s">
        <v>378</v>
      </c>
      <c r="O26" s="13" t="s">
        <v>397</v>
      </c>
      <c r="P26" s="13" t="s">
        <v>398</v>
      </c>
      <c r="Q26" s="13"/>
      <c r="R26" s="13" t="s">
        <v>411</v>
      </c>
      <c r="S26" s="13" t="s">
        <v>416</v>
      </c>
      <c r="T26" s="13" t="s">
        <v>423</v>
      </c>
      <c r="U26" s="13" t="s">
        <v>416</v>
      </c>
      <c r="V26" s="13" t="s">
        <v>429</v>
      </c>
      <c r="W26" s="13" t="s">
        <v>461</v>
      </c>
      <c r="X26" s="13" t="s">
        <v>411</v>
      </c>
      <c r="Y26" s="13" t="s">
        <v>416</v>
      </c>
      <c r="Z26" s="13" t="s">
        <v>423</v>
      </c>
      <c r="AA26" s="13" t="s">
        <v>416</v>
      </c>
      <c r="AB26" s="13" t="s">
        <v>429</v>
      </c>
      <c r="AC26" s="13" t="s">
        <v>461</v>
      </c>
      <c r="AD26" s="13">
        <v>130301809</v>
      </c>
    </row>
    <row r="27" spans="1:41" ht="16.5" x14ac:dyDescent="0.2">
      <c r="A27" s="13">
        <v>1102019</v>
      </c>
      <c r="B27" s="13" t="s">
        <v>168</v>
      </c>
      <c r="C27" s="13">
        <v>1501019</v>
      </c>
      <c r="D27" s="14">
        <f>VLOOKUP(A27,职业属性倾向!$A$19:$J$39,8,FALSE)</f>
        <v>0.8</v>
      </c>
      <c r="E27" s="14">
        <f>VLOOKUP(A27,职业属性倾向!$A$19:$J$39,9,FALSE)</f>
        <v>1.2</v>
      </c>
      <c r="F27" s="14">
        <f>VLOOKUP(A27,职业属性倾向!$A$19:$J$39,10,FALSE)</f>
        <v>1</v>
      </c>
      <c r="G27" s="14">
        <f>INDEX(卡牌属性!$G$5:$G$41,MATCH(专属武器!A27,卡牌属性!$A$5:$A$41,0))</f>
        <v>1</v>
      </c>
      <c r="H27" s="13" t="s">
        <v>328</v>
      </c>
      <c r="I27" s="13">
        <f t="shared" si="2"/>
        <v>30296</v>
      </c>
      <c r="J27" s="13" t="s">
        <v>330</v>
      </c>
      <c r="K27" s="13">
        <f t="shared" si="3"/>
        <v>45444</v>
      </c>
      <c r="L27" s="13" t="s">
        <v>332</v>
      </c>
      <c r="M27" s="13">
        <f t="shared" si="4"/>
        <v>37870</v>
      </c>
      <c r="N27" s="13" t="s">
        <v>379</v>
      </c>
      <c r="O27" s="13" t="s">
        <v>397</v>
      </c>
      <c r="P27" s="13" t="s">
        <v>398</v>
      </c>
      <c r="Q27" s="13"/>
      <c r="R27" s="13" t="s">
        <v>402</v>
      </c>
      <c r="S27" s="13" t="s">
        <v>416</v>
      </c>
      <c r="T27" s="13" t="s">
        <v>430</v>
      </c>
      <c r="U27" s="13" t="s">
        <v>402</v>
      </c>
      <c r="V27" s="13" t="s">
        <v>430</v>
      </c>
      <c r="W27" s="13" t="s">
        <v>431</v>
      </c>
      <c r="X27" s="13" t="s">
        <v>402</v>
      </c>
      <c r="Y27" s="13" t="s">
        <v>416</v>
      </c>
      <c r="Z27" s="13" t="s">
        <v>430</v>
      </c>
      <c r="AA27" s="13" t="s">
        <v>402</v>
      </c>
      <c r="AB27" s="13" t="s">
        <v>430</v>
      </c>
      <c r="AC27" s="13" t="s">
        <v>431</v>
      </c>
      <c r="AD27" s="13">
        <v>130301909</v>
      </c>
    </row>
    <row r="28" spans="1:41" ht="16.5" x14ac:dyDescent="0.2">
      <c r="A28" s="13">
        <v>1102020</v>
      </c>
      <c r="B28" s="13" t="s">
        <v>169</v>
      </c>
      <c r="C28" s="13">
        <v>1501020</v>
      </c>
      <c r="D28" s="14">
        <f>VLOOKUP(A28,职业属性倾向!$A$19:$J$39,8,FALSE)</f>
        <v>2</v>
      </c>
      <c r="E28" s="14">
        <f>VLOOKUP(A28,职业属性倾向!$A$19:$J$39,9,FALSE)</f>
        <v>0.5</v>
      </c>
      <c r="F28" s="14">
        <f>VLOOKUP(A28,职业属性倾向!$A$19:$J$39,10,FALSE)</f>
        <v>0.5</v>
      </c>
      <c r="G28" s="14">
        <f>INDEX(卡牌属性!$G$5:$G$41,MATCH(专属武器!A28,卡牌属性!$A$5:$A$41,0))</f>
        <v>1.1499999999999999</v>
      </c>
      <c r="H28" s="13" t="s">
        <v>328</v>
      </c>
      <c r="I28" s="13">
        <f t="shared" si="2"/>
        <v>87101</v>
      </c>
      <c r="J28" s="13" t="s">
        <v>330</v>
      </c>
      <c r="K28" s="13">
        <f t="shared" si="3"/>
        <v>21775</v>
      </c>
      <c r="L28" s="13" t="s">
        <v>332</v>
      </c>
      <c r="M28" s="13">
        <f t="shared" si="4"/>
        <v>21775</v>
      </c>
      <c r="N28" s="13" t="s">
        <v>380</v>
      </c>
      <c r="O28" s="13" t="s">
        <v>397</v>
      </c>
      <c r="P28" s="13" t="s">
        <v>398</v>
      </c>
      <c r="Q28" s="13"/>
      <c r="R28" s="13" t="s">
        <v>424</v>
      </c>
      <c r="S28" s="13" t="s">
        <v>411</v>
      </c>
      <c r="T28" s="13" t="s">
        <v>461</v>
      </c>
      <c r="U28" s="13" t="s">
        <v>432</v>
      </c>
      <c r="V28" s="13" t="s">
        <v>461</v>
      </c>
      <c r="W28" s="13" t="s">
        <v>424</v>
      </c>
      <c r="X28" s="13" t="s">
        <v>424</v>
      </c>
      <c r="Y28" s="13" t="s">
        <v>411</v>
      </c>
      <c r="Z28" s="13" t="s">
        <v>461</v>
      </c>
      <c r="AA28" s="13" t="s">
        <v>432</v>
      </c>
      <c r="AB28" s="13" t="s">
        <v>461</v>
      </c>
      <c r="AC28" s="13" t="s">
        <v>424</v>
      </c>
      <c r="AD28" s="13">
        <v>130302009</v>
      </c>
    </row>
    <row r="29" spans="1:41" ht="16.5" x14ac:dyDescent="0.2">
      <c r="A29" s="13">
        <v>1102021</v>
      </c>
      <c r="B29" s="13" t="s">
        <v>170</v>
      </c>
      <c r="C29" s="13">
        <v>1501021</v>
      </c>
      <c r="D29" s="14">
        <f>VLOOKUP(A29,职业属性倾向!$A$19:$J$39,8,FALSE)</f>
        <v>1.5</v>
      </c>
      <c r="E29" s="14">
        <f>VLOOKUP(A29,职业属性倾向!$A$19:$J$39,9,FALSE)</f>
        <v>0.75</v>
      </c>
      <c r="F29" s="14">
        <f>VLOOKUP(A29,职业属性倾向!$A$19:$J$39,10,FALSE)</f>
        <v>0.75</v>
      </c>
      <c r="G29" s="14">
        <f>INDEX(卡牌属性!$G$5:$G$41,MATCH(专属武器!A29,卡牌属性!$A$5:$A$41,0))</f>
        <v>1</v>
      </c>
      <c r="H29" s="13" t="s">
        <v>328</v>
      </c>
      <c r="I29" s="13">
        <f t="shared" si="2"/>
        <v>56805</v>
      </c>
      <c r="J29" s="13" t="s">
        <v>330</v>
      </c>
      <c r="K29" s="13">
        <f t="shared" si="3"/>
        <v>28402</v>
      </c>
      <c r="L29" s="13" t="s">
        <v>332</v>
      </c>
      <c r="M29" s="13">
        <f t="shared" si="4"/>
        <v>28402</v>
      </c>
      <c r="N29" s="13" t="s">
        <v>381</v>
      </c>
      <c r="O29" s="13" t="s">
        <v>397</v>
      </c>
      <c r="P29" s="13" t="s">
        <v>398</v>
      </c>
      <c r="Q29" s="13"/>
      <c r="R29" s="13" t="s">
        <v>424</v>
      </c>
      <c r="S29" s="13" t="s">
        <v>407</v>
      </c>
      <c r="T29" s="13" t="s">
        <v>401</v>
      </c>
      <c r="U29" s="13" t="s">
        <v>411</v>
      </c>
      <c r="V29" s="13" t="s">
        <v>414</v>
      </c>
      <c r="W29" s="13" t="s">
        <v>406</v>
      </c>
      <c r="X29" s="13" t="s">
        <v>424</v>
      </c>
      <c r="Y29" s="13" t="s">
        <v>407</v>
      </c>
      <c r="Z29" s="13" t="s">
        <v>401</v>
      </c>
      <c r="AA29" s="13" t="s">
        <v>411</v>
      </c>
      <c r="AB29" s="13" t="s">
        <v>414</v>
      </c>
      <c r="AC29" s="13" t="s">
        <v>406</v>
      </c>
      <c r="AD29" s="13">
        <v>130302109</v>
      </c>
    </row>
    <row r="30" spans="1:41" x14ac:dyDescent="0.2">
      <c r="AC30" s="20"/>
      <c r="AD30" s="20"/>
    </row>
    <row r="31" spans="1:41" x14ac:dyDescent="0.2">
      <c r="AC31" s="20"/>
      <c r="AD31" s="20"/>
    </row>
    <row r="32" spans="1:41" s="20" customFormat="1" x14ac:dyDescent="0.2"/>
    <row r="33" spans="1:37" s="20" customFormat="1" x14ac:dyDescent="0.2"/>
    <row r="34" spans="1:37" s="20" customFormat="1" ht="20.25" x14ac:dyDescent="0.2">
      <c r="A34" s="63" t="s">
        <v>357</v>
      </c>
      <c r="B34" s="63"/>
      <c r="C34" s="63"/>
      <c r="D34" s="63"/>
      <c r="E34" s="63"/>
      <c r="F34" s="63"/>
      <c r="G34" s="63"/>
      <c r="H34" s="63"/>
      <c r="I34" s="63"/>
      <c r="J34" s="63"/>
      <c r="M34"/>
      <c r="N34" s="20">
        <f>SUM(N36:N45)</f>
        <v>16</v>
      </c>
      <c r="O34"/>
      <c r="R34"/>
      <c r="S34"/>
      <c r="Y34" s="63" t="s">
        <v>356</v>
      </c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</row>
    <row r="35" spans="1:37" ht="17.25" x14ac:dyDescent="0.2">
      <c r="A35" s="12" t="s">
        <v>334</v>
      </c>
      <c r="B35" s="12" t="s">
        <v>335</v>
      </c>
      <c r="C35" s="12" t="s">
        <v>336</v>
      </c>
      <c r="D35" s="12" t="s">
        <v>337</v>
      </c>
      <c r="E35" s="12" t="s">
        <v>346</v>
      </c>
      <c r="F35" s="12" t="s">
        <v>347</v>
      </c>
      <c r="G35" s="12" t="s">
        <v>348</v>
      </c>
      <c r="H35" s="12" t="s">
        <v>349</v>
      </c>
      <c r="I35" s="12" t="s">
        <v>350</v>
      </c>
      <c r="J35" s="12" t="s">
        <v>351</v>
      </c>
      <c r="M35" s="12" t="s">
        <v>336</v>
      </c>
      <c r="N35" s="12" t="s">
        <v>342</v>
      </c>
      <c r="O35" s="12" t="s">
        <v>338</v>
      </c>
      <c r="P35" s="12" t="s">
        <v>339</v>
      </c>
      <c r="Q35" s="12" t="s">
        <v>340</v>
      </c>
      <c r="R35" s="12" t="s">
        <v>341</v>
      </c>
      <c r="S35" s="12" t="s">
        <v>352</v>
      </c>
      <c r="T35" s="12" t="s">
        <v>353</v>
      </c>
      <c r="U35" s="12" t="s">
        <v>354</v>
      </c>
      <c r="Y35" s="12" t="s">
        <v>334</v>
      </c>
      <c r="Z35" s="12" t="s">
        <v>335</v>
      </c>
      <c r="AA35" s="12" t="s">
        <v>325</v>
      </c>
      <c r="AB35" s="12" t="s">
        <v>336</v>
      </c>
      <c r="AC35" s="12" t="s">
        <v>358</v>
      </c>
      <c r="AD35" s="12" t="s">
        <v>437</v>
      </c>
      <c r="AE35" s="12" t="s">
        <v>438</v>
      </c>
      <c r="AF35" s="12" t="s">
        <v>436</v>
      </c>
      <c r="AG35" s="12" t="s">
        <v>439</v>
      </c>
      <c r="AH35" s="12" t="s">
        <v>447</v>
      </c>
      <c r="AI35" s="12" t="s">
        <v>440</v>
      </c>
      <c r="AJ35" s="12" t="s">
        <v>448</v>
      </c>
      <c r="AK35" s="12" t="s">
        <v>449</v>
      </c>
    </row>
    <row r="36" spans="1:37" ht="16.5" x14ac:dyDescent="0.2">
      <c r="A36" s="13">
        <v>1</v>
      </c>
      <c r="B36" s="13">
        <f>INDEX($C$9:$C$29,INT((A36-1)/10)+1)</f>
        <v>1501001</v>
      </c>
      <c r="C36" s="13">
        <f>MOD(A36-1,10)+1</f>
        <v>1</v>
      </c>
      <c r="D36" s="14">
        <f>INDEX(O$36:O$45,$C36)</f>
        <v>0.06</v>
      </c>
      <c r="E36" s="14" t="str">
        <f>INDEX(P$36:P$45,$C36)</f>
        <v>金币</v>
      </c>
      <c r="F36" s="14">
        <f>INDEX(Q$36:Q$45,$C36)</f>
        <v>1000</v>
      </c>
      <c r="G36" s="14" t="str">
        <f>INDEX(R$36:R$45,$C36)</f>
        <v>低级强化石</v>
      </c>
      <c r="H36" s="14">
        <f>INDEX(S$36:S$45,$C36)</f>
        <v>10</v>
      </c>
      <c r="I36" s="14"/>
      <c r="J36" s="14"/>
      <c r="M36" s="13">
        <v>1</v>
      </c>
      <c r="N36" s="13">
        <v>1</v>
      </c>
      <c r="O36" s="13">
        <f>ROUND(SUM(N$36:N36)/$N$34,2)</f>
        <v>0.06</v>
      </c>
      <c r="P36" s="13" t="s">
        <v>355</v>
      </c>
      <c r="Q36" s="13">
        <v>1000</v>
      </c>
      <c r="R36" s="13" t="s">
        <v>343</v>
      </c>
      <c r="S36" s="13">
        <v>10</v>
      </c>
      <c r="T36" s="13"/>
      <c r="U36" s="13"/>
      <c r="Y36" s="13">
        <v>1</v>
      </c>
      <c r="Z36" s="13">
        <f>INDEX($C$9:$C$29,INT((Y36-1)/15)+1)</f>
        <v>1501001</v>
      </c>
      <c r="AA36" s="14" t="str">
        <f>INDEX($B$9:$B$29,MATCH(Z36,$C$9:$C$29,0))</f>
        <v>关羽</v>
      </c>
      <c r="AB36" s="13">
        <f t="shared" ref="AB36:AB99" si="7">MOD(Y36-1,15)+1</f>
        <v>1</v>
      </c>
      <c r="AC36" s="14" t="str">
        <f>IF(MOD(AB36,15)=3,INDEX($AD$9:$AD$29,MATCH(Z36,$C$9:$C$29,0)),"")</f>
        <v/>
      </c>
      <c r="AD36" s="14" t="str">
        <f>IF(AC36="",INDEX($O$9:$AC$29,MATCH($Z36,$C$9:$C$29,0),AB36),"")</f>
        <v>AtkExt</v>
      </c>
      <c r="AE36" s="14">
        <f>IF(AC36="",ROUND(INDEX($AG$9:$AG$24,MATCH(AD36,$AF$9:$AF$24,0))*INDEX($O$7:$AC$7,AB36),2),"")</f>
        <v>250</v>
      </c>
      <c r="AF36" s="13" t="s">
        <v>446</v>
      </c>
      <c r="AG36" s="13"/>
      <c r="AH36" s="13" t="s">
        <v>445</v>
      </c>
      <c r="AI36" s="14">
        <f t="shared" ref="AI36:AI99" si="8">INDEX($AN$9:$AN$23,AB36)</f>
        <v>10</v>
      </c>
      <c r="AJ36" s="14" t="str">
        <f t="shared" ref="AJ36:AJ99" si="9">IF(AB36&gt;2,AA36&amp;"碎片","")</f>
        <v/>
      </c>
      <c r="AK36" s="13" t="str">
        <f t="shared" ref="AK36:AK99" si="10">IF(AB36&gt;2,INDEX($AO$9:$AO$23,AB36),"")</f>
        <v/>
      </c>
    </row>
    <row r="37" spans="1:37" ht="16.5" x14ac:dyDescent="0.2">
      <c r="A37" s="13">
        <v>2</v>
      </c>
      <c r="B37" s="13">
        <f t="shared" ref="B37:B100" si="11">INDEX($C$9:$C$29,INT((A37-1)/10)+1)</f>
        <v>1501001</v>
      </c>
      <c r="C37" s="13">
        <f t="shared" ref="C37:C100" si="12">MOD(A37-1,10)+1</f>
        <v>2</v>
      </c>
      <c r="D37" s="14">
        <f t="shared" ref="D37:D100" si="13">INDEX($O$36:$O$45,C37)</f>
        <v>0.13</v>
      </c>
      <c r="E37" s="14" t="str">
        <f t="shared" ref="E37:E100" si="14">INDEX(P$36:P$45,$C37)</f>
        <v>金币</v>
      </c>
      <c r="F37" s="14">
        <f t="shared" ref="F37:F100" si="15">INDEX(Q$36:Q$45,$C37)</f>
        <v>2000</v>
      </c>
      <c r="G37" s="14" t="str">
        <f t="shared" ref="G37:G100" si="16">INDEX(R$36:R$45,$C37)</f>
        <v>低级强化石</v>
      </c>
      <c r="H37" s="14">
        <f t="shared" ref="H37:H100" si="17">INDEX(S$36:S$45,$C37)</f>
        <v>15</v>
      </c>
      <c r="I37" s="14"/>
      <c r="J37" s="14"/>
      <c r="M37" s="13">
        <v>2</v>
      </c>
      <c r="N37" s="13">
        <v>1</v>
      </c>
      <c r="O37" s="13">
        <f>ROUND(SUM(N$36:N37)/$N$34,2)</f>
        <v>0.13</v>
      </c>
      <c r="P37" s="13" t="s">
        <v>355</v>
      </c>
      <c r="Q37" s="13">
        <v>2000</v>
      </c>
      <c r="R37" s="13" t="s">
        <v>343</v>
      </c>
      <c r="S37" s="13">
        <v>15</v>
      </c>
      <c r="T37" s="13"/>
      <c r="U37" s="13"/>
      <c r="Y37" s="13">
        <v>2</v>
      </c>
      <c r="Z37" s="13">
        <f t="shared" ref="Z37:Z100" si="18">INDEX($C$9:$C$29,INT((Y37-1)/15)+1)</f>
        <v>1501001</v>
      </c>
      <c r="AA37" s="14" t="str">
        <f t="shared" ref="AA37:AA100" si="19">INDEX($B$9:$B$29,MATCH(Z37,$C$9:$C$29,0))</f>
        <v>关羽</v>
      </c>
      <c r="AB37" s="13">
        <f t="shared" si="7"/>
        <v>2</v>
      </c>
      <c r="AC37" s="14" t="str">
        <f t="shared" ref="AC37:AC100" si="20">IF(MOD(AB37,15)=3,INDEX($AD$9:$AD$29,MATCH(Z37,$C$9:$C$29,0)),"")</f>
        <v/>
      </c>
      <c r="AD37" s="14" t="str">
        <f t="shared" ref="AD37:AD100" si="21">IF(AC37="",INDEX($O$9:$AC$29,MATCH($Z37,$C$9:$C$29,0),AB37),"")</f>
        <v>HPExt</v>
      </c>
      <c r="AE37" s="14">
        <f t="shared" ref="AE37:AE100" si="22">IF(AC37="",ROUND(INDEX($AG$9:$AG$24,MATCH(AD37,$AF$9:$AF$24,0))*INDEX($O$7:$AC$7,AB37),2),"")</f>
        <v>2250</v>
      </c>
      <c r="AF37" s="13" t="s">
        <v>446</v>
      </c>
      <c r="AG37" s="13"/>
      <c r="AH37" s="13" t="s">
        <v>445</v>
      </c>
      <c r="AI37" s="14">
        <f t="shared" si="8"/>
        <v>20</v>
      </c>
      <c r="AJ37" s="14" t="str">
        <f t="shared" si="9"/>
        <v/>
      </c>
      <c r="AK37" s="13" t="str">
        <f t="shared" si="10"/>
        <v/>
      </c>
    </row>
    <row r="38" spans="1:37" ht="16.5" x14ac:dyDescent="0.2">
      <c r="A38" s="13">
        <v>3</v>
      </c>
      <c r="B38" s="13">
        <f t="shared" si="11"/>
        <v>1501001</v>
      </c>
      <c r="C38" s="13">
        <f t="shared" si="12"/>
        <v>3</v>
      </c>
      <c r="D38" s="14">
        <f t="shared" si="13"/>
        <v>0.19</v>
      </c>
      <c r="E38" s="14" t="str">
        <f t="shared" si="14"/>
        <v>金币</v>
      </c>
      <c r="F38" s="14">
        <f t="shared" si="15"/>
        <v>3000</v>
      </c>
      <c r="G38" s="14" t="str">
        <f t="shared" si="16"/>
        <v>低级强化石</v>
      </c>
      <c r="H38" s="14">
        <f t="shared" si="17"/>
        <v>20</v>
      </c>
      <c r="I38" s="14"/>
      <c r="J38" s="14"/>
      <c r="M38" s="13">
        <v>3</v>
      </c>
      <c r="N38" s="13">
        <v>1</v>
      </c>
      <c r="O38" s="13">
        <f>ROUND(SUM(N$36:N38)/$N$34,2)</f>
        <v>0.19</v>
      </c>
      <c r="P38" s="13" t="s">
        <v>355</v>
      </c>
      <c r="Q38" s="13">
        <v>3000</v>
      </c>
      <c r="R38" s="13" t="s">
        <v>343</v>
      </c>
      <c r="S38" s="13">
        <v>20</v>
      </c>
      <c r="T38" s="13"/>
      <c r="U38" s="13"/>
      <c r="Y38" s="13">
        <v>3</v>
      </c>
      <c r="Z38" s="13">
        <f t="shared" si="18"/>
        <v>1501001</v>
      </c>
      <c r="AA38" s="14" t="str">
        <f t="shared" si="19"/>
        <v>关羽</v>
      </c>
      <c r="AB38" s="13">
        <f t="shared" si="7"/>
        <v>3</v>
      </c>
      <c r="AC38" s="14">
        <f t="shared" si="20"/>
        <v>130300109</v>
      </c>
      <c r="AD38" s="14" t="str">
        <f t="shared" si="21"/>
        <v/>
      </c>
      <c r="AE38" s="14" t="str">
        <f t="shared" si="22"/>
        <v/>
      </c>
      <c r="AF38" s="13" t="s">
        <v>446</v>
      </c>
      <c r="AG38" s="13"/>
      <c r="AH38" s="13" t="s">
        <v>445</v>
      </c>
      <c r="AI38" s="14">
        <f t="shared" si="8"/>
        <v>30</v>
      </c>
      <c r="AJ38" s="14" t="str">
        <f t="shared" si="9"/>
        <v>关羽碎片</v>
      </c>
      <c r="AK38" s="13">
        <f t="shared" si="10"/>
        <v>5</v>
      </c>
    </row>
    <row r="39" spans="1:37" ht="16.5" x14ac:dyDescent="0.2">
      <c r="A39" s="13">
        <v>4</v>
      </c>
      <c r="B39" s="13">
        <f t="shared" si="11"/>
        <v>1501001</v>
      </c>
      <c r="C39" s="13">
        <f t="shared" si="12"/>
        <v>4</v>
      </c>
      <c r="D39" s="14">
        <f t="shared" si="13"/>
        <v>0.28000000000000003</v>
      </c>
      <c r="E39" s="14" t="str">
        <f t="shared" si="14"/>
        <v>金币</v>
      </c>
      <c r="F39" s="14">
        <f t="shared" si="15"/>
        <v>4000</v>
      </c>
      <c r="G39" s="14" t="str">
        <f t="shared" si="16"/>
        <v>低级强化石</v>
      </c>
      <c r="H39" s="14">
        <f t="shared" si="17"/>
        <v>20</v>
      </c>
      <c r="I39" s="14" t="str">
        <f t="shared" ref="I39:J45" si="23">INDEX(T$36:T$45,$C39)</f>
        <v>中级强化石</v>
      </c>
      <c r="J39" s="14">
        <f t="shared" si="23"/>
        <v>10</v>
      </c>
      <c r="M39" s="13">
        <v>4</v>
      </c>
      <c r="N39" s="13">
        <v>1.5</v>
      </c>
      <c r="O39" s="13">
        <f>ROUND(SUM(N$36:N39)/$N$34,2)</f>
        <v>0.28000000000000003</v>
      </c>
      <c r="P39" s="13" t="s">
        <v>355</v>
      </c>
      <c r="Q39" s="13">
        <v>4000</v>
      </c>
      <c r="R39" s="13" t="s">
        <v>343</v>
      </c>
      <c r="S39" s="13">
        <v>20</v>
      </c>
      <c r="T39" s="13" t="s">
        <v>344</v>
      </c>
      <c r="U39" s="13">
        <v>10</v>
      </c>
      <c r="Y39" s="13">
        <v>4</v>
      </c>
      <c r="Z39" s="13">
        <f t="shared" si="18"/>
        <v>1501001</v>
      </c>
      <c r="AA39" s="14" t="str">
        <f t="shared" si="19"/>
        <v>关羽</v>
      </c>
      <c r="AB39" s="13">
        <f t="shared" si="7"/>
        <v>4</v>
      </c>
      <c r="AC39" s="14" t="str">
        <f t="shared" si="20"/>
        <v/>
      </c>
      <c r="AD39" s="14" t="str">
        <f t="shared" si="21"/>
        <v>AtkRate</v>
      </c>
      <c r="AE39" s="14">
        <f t="shared" si="22"/>
        <v>0.11</v>
      </c>
      <c r="AF39" s="13" t="s">
        <v>446</v>
      </c>
      <c r="AG39" s="13"/>
      <c r="AH39" s="13" t="s">
        <v>445</v>
      </c>
      <c r="AI39" s="14">
        <f t="shared" si="8"/>
        <v>50</v>
      </c>
      <c r="AJ39" s="14" t="str">
        <f t="shared" si="9"/>
        <v>关羽碎片</v>
      </c>
      <c r="AK39" s="13">
        <f t="shared" si="10"/>
        <v>5</v>
      </c>
    </row>
    <row r="40" spans="1:37" ht="16.5" x14ac:dyDescent="0.2">
      <c r="A40" s="13">
        <v>5</v>
      </c>
      <c r="B40" s="13">
        <f t="shared" si="11"/>
        <v>1501001</v>
      </c>
      <c r="C40" s="13">
        <f t="shared" si="12"/>
        <v>5</v>
      </c>
      <c r="D40" s="14">
        <f t="shared" si="13"/>
        <v>0.38</v>
      </c>
      <c r="E40" s="14" t="str">
        <f t="shared" si="14"/>
        <v>金币</v>
      </c>
      <c r="F40" s="14">
        <f t="shared" si="15"/>
        <v>5000</v>
      </c>
      <c r="G40" s="14" t="str">
        <f t="shared" si="16"/>
        <v>低级强化石</v>
      </c>
      <c r="H40" s="14">
        <f t="shared" si="17"/>
        <v>20</v>
      </c>
      <c r="I40" s="14" t="str">
        <f t="shared" si="23"/>
        <v>中级强化石</v>
      </c>
      <c r="J40" s="14">
        <f t="shared" si="23"/>
        <v>15</v>
      </c>
      <c r="M40" s="13">
        <v>5</v>
      </c>
      <c r="N40" s="13">
        <v>1.5</v>
      </c>
      <c r="O40" s="13">
        <f>ROUND(SUM(N$36:N40)/$N$34,2)</f>
        <v>0.38</v>
      </c>
      <c r="P40" s="13" t="s">
        <v>355</v>
      </c>
      <c r="Q40" s="13">
        <v>5000</v>
      </c>
      <c r="R40" s="13" t="s">
        <v>343</v>
      </c>
      <c r="S40" s="13">
        <v>20</v>
      </c>
      <c r="T40" s="13" t="s">
        <v>344</v>
      </c>
      <c r="U40" s="13">
        <v>15</v>
      </c>
      <c r="Y40" s="13">
        <v>5</v>
      </c>
      <c r="Z40" s="13">
        <f t="shared" si="18"/>
        <v>1501001</v>
      </c>
      <c r="AA40" s="14" t="str">
        <f t="shared" si="19"/>
        <v>关羽</v>
      </c>
      <c r="AB40" s="13">
        <f t="shared" si="7"/>
        <v>5</v>
      </c>
      <c r="AC40" s="14" t="str">
        <f t="shared" si="20"/>
        <v/>
      </c>
      <c r="AD40" s="14" t="str">
        <f t="shared" si="21"/>
        <v>HPRate</v>
      </c>
      <c r="AE40" s="14">
        <f t="shared" si="22"/>
        <v>0.11</v>
      </c>
      <c r="AF40" s="13" t="s">
        <v>446</v>
      </c>
      <c r="AG40" s="13"/>
      <c r="AH40" s="13" t="s">
        <v>445</v>
      </c>
      <c r="AI40" s="14">
        <f t="shared" si="8"/>
        <v>100</v>
      </c>
      <c r="AJ40" s="14" t="str">
        <f t="shared" si="9"/>
        <v>关羽碎片</v>
      </c>
      <c r="AK40" s="13">
        <f t="shared" si="10"/>
        <v>10</v>
      </c>
    </row>
    <row r="41" spans="1:37" ht="16.5" x14ac:dyDescent="0.2">
      <c r="A41" s="13">
        <v>6</v>
      </c>
      <c r="B41" s="13">
        <f t="shared" si="11"/>
        <v>1501001</v>
      </c>
      <c r="C41" s="13">
        <f t="shared" si="12"/>
        <v>6</v>
      </c>
      <c r="D41" s="14">
        <f t="shared" si="13"/>
        <v>0.47</v>
      </c>
      <c r="E41" s="14" t="str">
        <f t="shared" si="14"/>
        <v>金币</v>
      </c>
      <c r="F41" s="14">
        <f t="shared" si="15"/>
        <v>6000</v>
      </c>
      <c r="G41" s="14" t="str">
        <f t="shared" si="16"/>
        <v>低级强化石</v>
      </c>
      <c r="H41" s="14">
        <f t="shared" si="17"/>
        <v>20</v>
      </c>
      <c r="I41" s="14" t="str">
        <f t="shared" si="23"/>
        <v>中级强化石</v>
      </c>
      <c r="J41" s="14">
        <f t="shared" si="23"/>
        <v>20</v>
      </c>
      <c r="M41" s="13">
        <v>6</v>
      </c>
      <c r="N41" s="13">
        <v>1.5</v>
      </c>
      <c r="O41" s="13">
        <f>ROUND(SUM(N$36:N41)/$N$34,2)</f>
        <v>0.47</v>
      </c>
      <c r="P41" s="13" t="s">
        <v>355</v>
      </c>
      <c r="Q41" s="13">
        <v>6000</v>
      </c>
      <c r="R41" s="13" t="s">
        <v>343</v>
      </c>
      <c r="S41" s="13">
        <v>20</v>
      </c>
      <c r="T41" s="13" t="s">
        <v>344</v>
      </c>
      <c r="U41" s="13">
        <v>20</v>
      </c>
      <c r="Y41" s="13">
        <v>6</v>
      </c>
      <c r="Z41" s="13">
        <f t="shared" si="18"/>
        <v>1501001</v>
      </c>
      <c r="AA41" s="14" t="str">
        <f t="shared" si="19"/>
        <v>关羽</v>
      </c>
      <c r="AB41" s="13">
        <f t="shared" si="7"/>
        <v>6</v>
      </c>
      <c r="AC41" s="14" t="str">
        <f t="shared" si="20"/>
        <v/>
      </c>
      <c r="AD41" s="14" t="str">
        <f t="shared" si="21"/>
        <v>AtkRate</v>
      </c>
      <c r="AE41" s="14">
        <f t="shared" si="22"/>
        <v>0.11</v>
      </c>
      <c r="AF41" s="13" t="s">
        <v>446</v>
      </c>
      <c r="AG41" s="13"/>
      <c r="AH41" s="13" t="s">
        <v>445</v>
      </c>
      <c r="AI41" s="14">
        <f t="shared" si="8"/>
        <v>150</v>
      </c>
      <c r="AJ41" s="14" t="str">
        <f t="shared" si="9"/>
        <v>关羽碎片</v>
      </c>
      <c r="AK41" s="13">
        <f t="shared" si="10"/>
        <v>10</v>
      </c>
    </row>
    <row r="42" spans="1:37" ht="16.5" x14ac:dyDescent="0.2">
      <c r="A42" s="13">
        <v>7</v>
      </c>
      <c r="B42" s="13">
        <f t="shared" si="11"/>
        <v>1501001</v>
      </c>
      <c r="C42" s="13">
        <f t="shared" si="12"/>
        <v>7</v>
      </c>
      <c r="D42" s="14">
        <f t="shared" si="13"/>
        <v>0.59</v>
      </c>
      <c r="E42" s="14" t="str">
        <f t="shared" si="14"/>
        <v>金币</v>
      </c>
      <c r="F42" s="14">
        <f t="shared" si="15"/>
        <v>7000</v>
      </c>
      <c r="G42" s="14" t="str">
        <f t="shared" si="16"/>
        <v>中级强化石</v>
      </c>
      <c r="H42" s="14">
        <f t="shared" si="17"/>
        <v>20</v>
      </c>
      <c r="I42" s="14" t="str">
        <f t="shared" si="23"/>
        <v>高级强化石</v>
      </c>
      <c r="J42" s="14">
        <f t="shared" si="23"/>
        <v>10</v>
      </c>
      <c r="M42" s="13">
        <v>7</v>
      </c>
      <c r="N42" s="13">
        <v>2</v>
      </c>
      <c r="O42" s="13">
        <f>ROUND(SUM(N$36:N42)/$N$34,2)</f>
        <v>0.59</v>
      </c>
      <c r="P42" s="13" t="s">
        <v>355</v>
      </c>
      <c r="Q42" s="13">
        <v>7000</v>
      </c>
      <c r="R42" s="13" t="s">
        <v>344</v>
      </c>
      <c r="S42" s="13">
        <v>20</v>
      </c>
      <c r="T42" s="13" t="s">
        <v>345</v>
      </c>
      <c r="U42" s="13">
        <v>10</v>
      </c>
      <c r="Y42" s="13">
        <v>7</v>
      </c>
      <c r="Z42" s="13">
        <f t="shared" si="18"/>
        <v>1501001</v>
      </c>
      <c r="AA42" s="14" t="str">
        <f t="shared" si="19"/>
        <v>关羽</v>
      </c>
      <c r="AB42" s="13">
        <f t="shared" si="7"/>
        <v>7</v>
      </c>
      <c r="AC42" s="14" t="str">
        <f t="shared" si="20"/>
        <v/>
      </c>
      <c r="AD42" s="14" t="str">
        <f t="shared" si="21"/>
        <v>DefRate</v>
      </c>
      <c r="AE42" s="14">
        <f t="shared" si="22"/>
        <v>0.11</v>
      </c>
      <c r="AF42" s="13" t="s">
        <v>446</v>
      </c>
      <c r="AG42" s="13"/>
      <c r="AH42" s="13" t="s">
        <v>445</v>
      </c>
      <c r="AI42" s="14">
        <f t="shared" si="8"/>
        <v>200</v>
      </c>
      <c r="AJ42" s="14" t="str">
        <f t="shared" si="9"/>
        <v>关羽碎片</v>
      </c>
      <c r="AK42" s="13">
        <f t="shared" si="10"/>
        <v>10</v>
      </c>
    </row>
    <row r="43" spans="1:37" ht="16.5" x14ac:dyDescent="0.2">
      <c r="A43" s="13">
        <v>8</v>
      </c>
      <c r="B43" s="13">
        <f t="shared" si="11"/>
        <v>1501001</v>
      </c>
      <c r="C43" s="13">
        <f t="shared" si="12"/>
        <v>8</v>
      </c>
      <c r="D43" s="14">
        <f t="shared" si="13"/>
        <v>0.72</v>
      </c>
      <c r="E43" s="14" t="str">
        <f t="shared" si="14"/>
        <v>金币</v>
      </c>
      <c r="F43" s="14">
        <f t="shared" si="15"/>
        <v>8000</v>
      </c>
      <c r="G43" s="14" t="str">
        <f t="shared" si="16"/>
        <v>中级强化石</v>
      </c>
      <c r="H43" s="14">
        <f t="shared" si="17"/>
        <v>20</v>
      </c>
      <c r="I43" s="14" t="str">
        <f t="shared" si="23"/>
        <v>高级强化石</v>
      </c>
      <c r="J43" s="14">
        <f t="shared" si="23"/>
        <v>15</v>
      </c>
      <c r="M43" s="13">
        <v>8</v>
      </c>
      <c r="N43" s="13">
        <v>2</v>
      </c>
      <c r="O43" s="13">
        <f>ROUND(SUM(N$36:N43)/$N$34,2)</f>
        <v>0.72</v>
      </c>
      <c r="P43" s="13" t="s">
        <v>355</v>
      </c>
      <c r="Q43" s="13">
        <v>8000</v>
      </c>
      <c r="R43" s="13" t="s">
        <v>344</v>
      </c>
      <c r="S43" s="13">
        <v>20</v>
      </c>
      <c r="T43" s="13" t="s">
        <v>345</v>
      </c>
      <c r="U43" s="13">
        <v>15</v>
      </c>
      <c r="Y43" s="13">
        <v>8</v>
      </c>
      <c r="Z43" s="13">
        <f t="shared" si="18"/>
        <v>1501001</v>
      </c>
      <c r="AA43" s="14" t="str">
        <f t="shared" si="19"/>
        <v>关羽</v>
      </c>
      <c r="AB43" s="13">
        <f t="shared" si="7"/>
        <v>8</v>
      </c>
      <c r="AC43" s="14" t="str">
        <f t="shared" si="20"/>
        <v/>
      </c>
      <c r="AD43" s="14" t="str">
        <f t="shared" si="21"/>
        <v>AtkRate</v>
      </c>
      <c r="AE43" s="14">
        <f t="shared" si="22"/>
        <v>0.11</v>
      </c>
      <c r="AF43" s="13" t="s">
        <v>446</v>
      </c>
      <c r="AG43" s="13"/>
      <c r="AH43" s="13" t="s">
        <v>445</v>
      </c>
      <c r="AI43" s="14">
        <f t="shared" si="8"/>
        <v>250</v>
      </c>
      <c r="AJ43" s="14" t="str">
        <f t="shared" si="9"/>
        <v>关羽碎片</v>
      </c>
      <c r="AK43" s="13">
        <f t="shared" si="10"/>
        <v>20</v>
      </c>
    </row>
    <row r="44" spans="1:37" ht="16.5" x14ac:dyDescent="0.2">
      <c r="A44" s="13">
        <v>9</v>
      </c>
      <c r="B44" s="13">
        <f t="shared" si="11"/>
        <v>1501001</v>
      </c>
      <c r="C44" s="13">
        <f t="shared" si="12"/>
        <v>9</v>
      </c>
      <c r="D44" s="14">
        <f t="shared" si="13"/>
        <v>0.84</v>
      </c>
      <c r="E44" s="14" t="str">
        <f t="shared" si="14"/>
        <v>金币</v>
      </c>
      <c r="F44" s="14">
        <f t="shared" si="15"/>
        <v>9000</v>
      </c>
      <c r="G44" s="14" t="str">
        <f t="shared" si="16"/>
        <v>中级强化石</v>
      </c>
      <c r="H44" s="14">
        <f t="shared" si="17"/>
        <v>20</v>
      </c>
      <c r="I44" s="14" t="str">
        <f t="shared" si="23"/>
        <v>高级强化石</v>
      </c>
      <c r="J44" s="14">
        <f t="shared" si="23"/>
        <v>20</v>
      </c>
      <c r="M44" s="13">
        <v>9</v>
      </c>
      <c r="N44" s="13">
        <v>2</v>
      </c>
      <c r="O44" s="13">
        <f>ROUND(SUM(N$36:N44)/$N$34,2)</f>
        <v>0.84</v>
      </c>
      <c r="P44" s="13" t="s">
        <v>355</v>
      </c>
      <c r="Q44" s="13">
        <v>9000</v>
      </c>
      <c r="R44" s="13" t="s">
        <v>344</v>
      </c>
      <c r="S44" s="13">
        <v>20</v>
      </c>
      <c r="T44" s="13" t="s">
        <v>345</v>
      </c>
      <c r="U44" s="13">
        <v>20</v>
      </c>
      <c r="Y44" s="13">
        <v>9</v>
      </c>
      <c r="Z44" s="13">
        <f t="shared" si="18"/>
        <v>1501001</v>
      </c>
      <c r="AA44" s="14" t="str">
        <f t="shared" si="19"/>
        <v>关羽</v>
      </c>
      <c r="AB44" s="13">
        <f t="shared" si="7"/>
        <v>9</v>
      </c>
      <c r="AC44" s="14" t="str">
        <f t="shared" si="20"/>
        <v/>
      </c>
      <c r="AD44" s="14" t="str">
        <f t="shared" si="21"/>
        <v>Crit</v>
      </c>
      <c r="AE44" s="14">
        <f t="shared" si="22"/>
        <v>0.11</v>
      </c>
      <c r="AF44" s="13" t="s">
        <v>446</v>
      </c>
      <c r="AG44" s="13"/>
      <c r="AH44" s="13" t="s">
        <v>445</v>
      </c>
      <c r="AI44" s="14">
        <f t="shared" si="8"/>
        <v>300</v>
      </c>
      <c r="AJ44" s="14" t="str">
        <f t="shared" si="9"/>
        <v>关羽碎片</v>
      </c>
      <c r="AK44" s="13">
        <f t="shared" si="10"/>
        <v>20</v>
      </c>
    </row>
    <row r="45" spans="1:37" ht="16.5" x14ac:dyDescent="0.2">
      <c r="A45" s="13">
        <v>10</v>
      </c>
      <c r="B45" s="13">
        <f t="shared" si="11"/>
        <v>1501001</v>
      </c>
      <c r="C45" s="13">
        <f t="shared" si="12"/>
        <v>10</v>
      </c>
      <c r="D45" s="14">
        <f t="shared" si="13"/>
        <v>1</v>
      </c>
      <c r="E45" s="14" t="str">
        <f t="shared" si="14"/>
        <v>金币</v>
      </c>
      <c r="F45" s="14">
        <f t="shared" si="15"/>
        <v>10000</v>
      </c>
      <c r="G45" s="14" t="str">
        <f t="shared" si="16"/>
        <v>中级强化石</v>
      </c>
      <c r="H45" s="14">
        <f t="shared" si="17"/>
        <v>20</v>
      </c>
      <c r="I45" s="14" t="str">
        <f t="shared" si="23"/>
        <v>高级强化石</v>
      </c>
      <c r="J45" s="14">
        <f t="shared" si="23"/>
        <v>25</v>
      </c>
      <c r="M45" s="13">
        <v>10</v>
      </c>
      <c r="N45" s="13">
        <v>2.5</v>
      </c>
      <c r="O45" s="13">
        <f>ROUND(SUM(N$36:N45)/$N$34,2)</f>
        <v>1</v>
      </c>
      <c r="P45" s="13" t="s">
        <v>355</v>
      </c>
      <c r="Q45" s="13">
        <v>10000</v>
      </c>
      <c r="R45" s="13" t="s">
        <v>344</v>
      </c>
      <c r="S45" s="13">
        <v>20</v>
      </c>
      <c r="T45" s="13" t="s">
        <v>345</v>
      </c>
      <c r="U45" s="13">
        <v>25</v>
      </c>
      <c r="Y45" s="13">
        <v>10</v>
      </c>
      <c r="Z45" s="13">
        <f t="shared" si="18"/>
        <v>1501001</v>
      </c>
      <c r="AA45" s="14" t="str">
        <f t="shared" si="19"/>
        <v>关羽</v>
      </c>
      <c r="AB45" s="13">
        <f t="shared" si="7"/>
        <v>10</v>
      </c>
      <c r="AC45" s="14" t="str">
        <f t="shared" si="20"/>
        <v/>
      </c>
      <c r="AD45" s="14" t="str">
        <f t="shared" si="21"/>
        <v>AtkRate</v>
      </c>
      <c r="AE45" s="14">
        <f t="shared" si="22"/>
        <v>0.14000000000000001</v>
      </c>
      <c r="AF45" s="13" t="s">
        <v>446</v>
      </c>
      <c r="AG45" s="13"/>
      <c r="AH45" s="13" t="s">
        <v>445</v>
      </c>
      <c r="AI45" s="14">
        <f t="shared" si="8"/>
        <v>400</v>
      </c>
      <c r="AJ45" s="14" t="str">
        <f t="shared" si="9"/>
        <v>关羽碎片</v>
      </c>
      <c r="AK45" s="13">
        <f t="shared" si="10"/>
        <v>20</v>
      </c>
    </row>
    <row r="46" spans="1:37" ht="16.5" x14ac:dyDescent="0.2">
      <c r="A46" s="13">
        <v>11</v>
      </c>
      <c r="B46" s="13">
        <f t="shared" si="11"/>
        <v>1501002</v>
      </c>
      <c r="C46" s="13">
        <f t="shared" si="12"/>
        <v>1</v>
      </c>
      <c r="D46" s="14">
        <f t="shared" si="13"/>
        <v>0.06</v>
      </c>
      <c r="E46" s="14" t="str">
        <f t="shared" si="14"/>
        <v>金币</v>
      </c>
      <c r="F46" s="14">
        <f t="shared" si="15"/>
        <v>1000</v>
      </c>
      <c r="G46" s="14" t="str">
        <f t="shared" si="16"/>
        <v>低级强化石</v>
      </c>
      <c r="H46" s="14">
        <f t="shared" si="17"/>
        <v>10</v>
      </c>
      <c r="I46" s="14"/>
      <c r="J46" s="14"/>
      <c r="Y46" s="13">
        <v>11</v>
      </c>
      <c r="Z46" s="13">
        <f t="shared" si="18"/>
        <v>1501001</v>
      </c>
      <c r="AA46" s="14" t="str">
        <f t="shared" si="19"/>
        <v>关羽</v>
      </c>
      <c r="AB46" s="13">
        <f t="shared" si="7"/>
        <v>11</v>
      </c>
      <c r="AC46" s="14" t="str">
        <f t="shared" si="20"/>
        <v/>
      </c>
      <c r="AD46" s="14" t="str">
        <f t="shared" si="21"/>
        <v>HPRate</v>
      </c>
      <c r="AE46" s="14">
        <f t="shared" si="22"/>
        <v>0.14000000000000001</v>
      </c>
      <c r="AF46" s="13" t="s">
        <v>446</v>
      </c>
      <c r="AG46" s="13"/>
      <c r="AH46" s="13" t="s">
        <v>445</v>
      </c>
      <c r="AI46" s="14">
        <f t="shared" si="8"/>
        <v>500</v>
      </c>
      <c r="AJ46" s="14" t="str">
        <f t="shared" si="9"/>
        <v>关羽碎片</v>
      </c>
      <c r="AK46" s="13">
        <f t="shared" si="10"/>
        <v>30</v>
      </c>
    </row>
    <row r="47" spans="1:37" ht="16.5" x14ac:dyDescent="0.2">
      <c r="A47" s="13">
        <v>12</v>
      </c>
      <c r="B47" s="13">
        <f t="shared" si="11"/>
        <v>1501002</v>
      </c>
      <c r="C47" s="13">
        <f t="shared" si="12"/>
        <v>2</v>
      </c>
      <c r="D47" s="14">
        <f t="shared" si="13"/>
        <v>0.13</v>
      </c>
      <c r="E47" s="14" t="str">
        <f t="shared" si="14"/>
        <v>金币</v>
      </c>
      <c r="F47" s="14">
        <f t="shared" si="15"/>
        <v>2000</v>
      </c>
      <c r="G47" s="14" t="str">
        <f t="shared" si="16"/>
        <v>低级强化石</v>
      </c>
      <c r="H47" s="14">
        <f t="shared" si="17"/>
        <v>15</v>
      </c>
      <c r="I47" s="14"/>
      <c r="J47" s="14"/>
      <c r="Y47" s="13">
        <v>12</v>
      </c>
      <c r="Z47" s="13">
        <f t="shared" si="18"/>
        <v>1501001</v>
      </c>
      <c r="AA47" s="14" t="str">
        <f t="shared" si="19"/>
        <v>关羽</v>
      </c>
      <c r="AB47" s="13">
        <f t="shared" si="7"/>
        <v>12</v>
      </c>
      <c r="AC47" s="14" t="str">
        <f t="shared" si="20"/>
        <v/>
      </c>
      <c r="AD47" s="14" t="str">
        <f t="shared" si="21"/>
        <v>AtkRate</v>
      </c>
      <c r="AE47" s="14">
        <f t="shared" si="22"/>
        <v>0.14000000000000001</v>
      </c>
      <c r="AF47" s="13" t="s">
        <v>446</v>
      </c>
      <c r="AG47" s="13"/>
      <c r="AH47" s="13" t="s">
        <v>445</v>
      </c>
      <c r="AI47" s="14">
        <f t="shared" si="8"/>
        <v>600</v>
      </c>
      <c r="AJ47" s="14" t="str">
        <f t="shared" si="9"/>
        <v>关羽碎片</v>
      </c>
      <c r="AK47" s="13">
        <f t="shared" si="10"/>
        <v>30</v>
      </c>
    </row>
    <row r="48" spans="1:37" ht="16.5" x14ac:dyDescent="0.2">
      <c r="A48" s="13">
        <v>13</v>
      </c>
      <c r="B48" s="13">
        <f t="shared" si="11"/>
        <v>1501002</v>
      </c>
      <c r="C48" s="13">
        <f t="shared" si="12"/>
        <v>3</v>
      </c>
      <c r="D48" s="14">
        <f t="shared" si="13"/>
        <v>0.19</v>
      </c>
      <c r="E48" s="14" t="str">
        <f t="shared" si="14"/>
        <v>金币</v>
      </c>
      <c r="F48" s="14">
        <f t="shared" si="15"/>
        <v>3000</v>
      </c>
      <c r="G48" s="14" t="str">
        <f t="shared" si="16"/>
        <v>低级强化石</v>
      </c>
      <c r="H48" s="14">
        <f t="shared" si="17"/>
        <v>20</v>
      </c>
      <c r="I48" s="14"/>
      <c r="J48" s="14"/>
      <c r="Y48" s="13">
        <v>13</v>
      </c>
      <c r="Z48" s="13">
        <f t="shared" si="18"/>
        <v>1501001</v>
      </c>
      <c r="AA48" s="14" t="str">
        <f t="shared" si="19"/>
        <v>关羽</v>
      </c>
      <c r="AB48" s="13">
        <f t="shared" si="7"/>
        <v>13</v>
      </c>
      <c r="AC48" s="14" t="str">
        <f t="shared" si="20"/>
        <v/>
      </c>
      <c r="AD48" s="14" t="str">
        <f t="shared" si="21"/>
        <v>DefRate</v>
      </c>
      <c r="AE48" s="14">
        <f t="shared" si="22"/>
        <v>0.14000000000000001</v>
      </c>
      <c r="AF48" s="13" t="s">
        <v>446</v>
      </c>
      <c r="AG48" s="13"/>
      <c r="AH48" s="13" t="s">
        <v>445</v>
      </c>
      <c r="AI48" s="14">
        <f t="shared" si="8"/>
        <v>700</v>
      </c>
      <c r="AJ48" s="14" t="str">
        <f t="shared" si="9"/>
        <v>关羽碎片</v>
      </c>
      <c r="AK48" s="13">
        <f t="shared" si="10"/>
        <v>30</v>
      </c>
    </row>
    <row r="49" spans="1:37" ht="16.5" x14ac:dyDescent="0.2">
      <c r="A49" s="13">
        <v>14</v>
      </c>
      <c r="B49" s="13">
        <f t="shared" si="11"/>
        <v>1501002</v>
      </c>
      <c r="C49" s="13">
        <f t="shared" si="12"/>
        <v>4</v>
      </c>
      <c r="D49" s="14">
        <f t="shared" si="13"/>
        <v>0.28000000000000003</v>
      </c>
      <c r="E49" s="14" t="str">
        <f t="shared" si="14"/>
        <v>金币</v>
      </c>
      <c r="F49" s="14">
        <f t="shared" si="15"/>
        <v>4000</v>
      </c>
      <c r="G49" s="14" t="str">
        <f t="shared" si="16"/>
        <v>低级强化石</v>
      </c>
      <c r="H49" s="14">
        <f t="shared" si="17"/>
        <v>20</v>
      </c>
      <c r="I49" s="14" t="str">
        <f t="shared" ref="I49:J55" si="24">INDEX(T$36:T$45,$C49)</f>
        <v>中级强化石</v>
      </c>
      <c r="J49" s="14">
        <f t="shared" si="24"/>
        <v>10</v>
      </c>
      <c r="Y49" s="13">
        <v>14</v>
      </c>
      <c r="Z49" s="13">
        <f t="shared" si="18"/>
        <v>1501001</v>
      </c>
      <c r="AA49" s="14" t="str">
        <f t="shared" si="19"/>
        <v>关羽</v>
      </c>
      <c r="AB49" s="13">
        <f t="shared" si="7"/>
        <v>14</v>
      </c>
      <c r="AC49" s="14" t="str">
        <f t="shared" si="20"/>
        <v/>
      </c>
      <c r="AD49" s="14" t="str">
        <f t="shared" si="21"/>
        <v>AtkRate</v>
      </c>
      <c r="AE49" s="14">
        <f t="shared" si="22"/>
        <v>0.14000000000000001</v>
      </c>
      <c r="AF49" s="13" t="s">
        <v>446</v>
      </c>
      <c r="AG49" s="13"/>
      <c r="AH49" s="13" t="s">
        <v>445</v>
      </c>
      <c r="AI49" s="14">
        <f t="shared" si="8"/>
        <v>800</v>
      </c>
      <c r="AJ49" s="14" t="str">
        <f t="shared" si="9"/>
        <v>关羽碎片</v>
      </c>
      <c r="AK49" s="13">
        <f t="shared" si="10"/>
        <v>50</v>
      </c>
    </row>
    <row r="50" spans="1:37" ht="16.5" x14ac:dyDescent="0.2">
      <c r="A50" s="13">
        <v>15</v>
      </c>
      <c r="B50" s="13">
        <f t="shared" si="11"/>
        <v>1501002</v>
      </c>
      <c r="C50" s="13">
        <f t="shared" si="12"/>
        <v>5</v>
      </c>
      <c r="D50" s="14">
        <f t="shared" si="13"/>
        <v>0.38</v>
      </c>
      <c r="E50" s="14" t="str">
        <f t="shared" si="14"/>
        <v>金币</v>
      </c>
      <c r="F50" s="14">
        <f t="shared" si="15"/>
        <v>5000</v>
      </c>
      <c r="G50" s="14" t="str">
        <f t="shared" si="16"/>
        <v>低级强化石</v>
      </c>
      <c r="H50" s="14">
        <f t="shared" si="17"/>
        <v>20</v>
      </c>
      <c r="I50" s="14" t="str">
        <f t="shared" si="24"/>
        <v>中级强化石</v>
      </c>
      <c r="J50" s="14">
        <f t="shared" si="24"/>
        <v>15</v>
      </c>
      <c r="Y50" s="13">
        <v>15</v>
      </c>
      <c r="Z50" s="13">
        <f t="shared" si="18"/>
        <v>1501001</v>
      </c>
      <c r="AA50" s="14" t="str">
        <f t="shared" si="19"/>
        <v>关羽</v>
      </c>
      <c r="AB50" s="13">
        <f t="shared" si="7"/>
        <v>15</v>
      </c>
      <c r="AC50" s="14" t="str">
        <f t="shared" si="20"/>
        <v/>
      </c>
      <c r="AD50" s="14" t="str">
        <f t="shared" si="21"/>
        <v>Crit</v>
      </c>
      <c r="AE50" s="14">
        <f t="shared" si="22"/>
        <v>0.14000000000000001</v>
      </c>
      <c r="AF50" s="13" t="s">
        <v>446</v>
      </c>
      <c r="AG50" s="13"/>
      <c r="AH50" s="13" t="s">
        <v>445</v>
      </c>
      <c r="AI50" s="14">
        <f t="shared" si="8"/>
        <v>1000</v>
      </c>
      <c r="AJ50" s="14" t="str">
        <f t="shared" si="9"/>
        <v>关羽碎片</v>
      </c>
      <c r="AK50" s="13">
        <f t="shared" si="10"/>
        <v>60</v>
      </c>
    </row>
    <row r="51" spans="1:37" ht="16.5" x14ac:dyDescent="0.2">
      <c r="A51" s="13">
        <v>16</v>
      </c>
      <c r="B51" s="13">
        <f t="shared" si="11"/>
        <v>1501002</v>
      </c>
      <c r="C51" s="13">
        <f t="shared" si="12"/>
        <v>6</v>
      </c>
      <c r="D51" s="14">
        <f t="shared" si="13"/>
        <v>0.47</v>
      </c>
      <c r="E51" s="14" t="str">
        <f t="shared" si="14"/>
        <v>金币</v>
      </c>
      <c r="F51" s="14">
        <f t="shared" si="15"/>
        <v>6000</v>
      </c>
      <c r="G51" s="14" t="str">
        <f t="shared" si="16"/>
        <v>低级强化石</v>
      </c>
      <c r="H51" s="14">
        <f t="shared" si="17"/>
        <v>20</v>
      </c>
      <c r="I51" s="14" t="str">
        <f t="shared" si="24"/>
        <v>中级强化石</v>
      </c>
      <c r="J51" s="14">
        <f t="shared" si="24"/>
        <v>20</v>
      </c>
      <c r="Y51" s="13">
        <v>16</v>
      </c>
      <c r="Z51" s="13">
        <f t="shared" si="18"/>
        <v>1501002</v>
      </c>
      <c r="AA51" s="14" t="str">
        <f t="shared" si="19"/>
        <v>许褚</v>
      </c>
      <c r="AB51" s="13">
        <f t="shared" si="7"/>
        <v>1</v>
      </c>
      <c r="AC51" s="14" t="str">
        <f t="shared" si="20"/>
        <v/>
      </c>
      <c r="AD51" s="14" t="str">
        <f t="shared" si="21"/>
        <v>AtkExt</v>
      </c>
      <c r="AE51" s="14">
        <f t="shared" si="22"/>
        <v>250</v>
      </c>
      <c r="AF51" s="13" t="s">
        <v>446</v>
      </c>
      <c r="AG51" s="13"/>
      <c r="AH51" s="13" t="s">
        <v>445</v>
      </c>
      <c r="AI51" s="14">
        <f t="shared" si="8"/>
        <v>10</v>
      </c>
      <c r="AJ51" s="14" t="str">
        <f t="shared" si="9"/>
        <v/>
      </c>
      <c r="AK51" s="13" t="str">
        <f t="shared" si="10"/>
        <v/>
      </c>
    </row>
    <row r="52" spans="1:37" ht="16.5" x14ac:dyDescent="0.2">
      <c r="A52" s="13">
        <v>17</v>
      </c>
      <c r="B52" s="13">
        <f t="shared" si="11"/>
        <v>1501002</v>
      </c>
      <c r="C52" s="13">
        <f t="shared" si="12"/>
        <v>7</v>
      </c>
      <c r="D52" s="14">
        <f t="shared" si="13"/>
        <v>0.59</v>
      </c>
      <c r="E52" s="14" t="str">
        <f t="shared" si="14"/>
        <v>金币</v>
      </c>
      <c r="F52" s="14">
        <f t="shared" si="15"/>
        <v>7000</v>
      </c>
      <c r="G52" s="14" t="str">
        <f t="shared" si="16"/>
        <v>中级强化石</v>
      </c>
      <c r="H52" s="14">
        <f t="shared" si="17"/>
        <v>20</v>
      </c>
      <c r="I52" s="14" t="str">
        <f t="shared" si="24"/>
        <v>高级强化石</v>
      </c>
      <c r="J52" s="14">
        <f t="shared" si="24"/>
        <v>10</v>
      </c>
      <c r="Y52" s="13">
        <v>17</v>
      </c>
      <c r="Z52" s="13">
        <f t="shared" si="18"/>
        <v>1501002</v>
      </c>
      <c r="AA52" s="14" t="str">
        <f t="shared" si="19"/>
        <v>许褚</v>
      </c>
      <c r="AB52" s="13">
        <f t="shared" si="7"/>
        <v>2</v>
      </c>
      <c r="AC52" s="14" t="str">
        <f t="shared" si="20"/>
        <v/>
      </c>
      <c r="AD52" s="14" t="str">
        <f t="shared" si="21"/>
        <v>HPExt</v>
      </c>
      <c r="AE52" s="14">
        <f t="shared" si="22"/>
        <v>2250</v>
      </c>
      <c r="AF52" s="13" t="s">
        <v>446</v>
      </c>
      <c r="AG52" s="13"/>
      <c r="AH52" s="13" t="s">
        <v>445</v>
      </c>
      <c r="AI52" s="14">
        <f t="shared" si="8"/>
        <v>20</v>
      </c>
      <c r="AJ52" s="14" t="str">
        <f t="shared" si="9"/>
        <v/>
      </c>
      <c r="AK52" s="13" t="str">
        <f t="shared" si="10"/>
        <v/>
      </c>
    </row>
    <row r="53" spans="1:37" ht="16.5" x14ac:dyDescent="0.2">
      <c r="A53" s="13">
        <v>18</v>
      </c>
      <c r="B53" s="13">
        <f t="shared" si="11"/>
        <v>1501002</v>
      </c>
      <c r="C53" s="13">
        <f t="shared" si="12"/>
        <v>8</v>
      </c>
      <c r="D53" s="14">
        <f t="shared" si="13"/>
        <v>0.72</v>
      </c>
      <c r="E53" s="14" t="str">
        <f t="shared" si="14"/>
        <v>金币</v>
      </c>
      <c r="F53" s="14">
        <f t="shared" si="15"/>
        <v>8000</v>
      </c>
      <c r="G53" s="14" t="str">
        <f t="shared" si="16"/>
        <v>中级强化石</v>
      </c>
      <c r="H53" s="14">
        <f t="shared" si="17"/>
        <v>20</v>
      </c>
      <c r="I53" s="14" t="str">
        <f t="shared" si="24"/>
        <v>高级强化石</v>
      </c>
      <c r="J53" s="14">
        <f t="shared" si="24"/>
        <v>15</v>
      </c>
      <c r="Y53" s="13">
        <v>18</v>
      </c>
      <c r="Z53" s="13">
        <f t="shared" si="18"/>
        <v>1501002</v>
      </c>
      <c r="AA53" s="14" t="str">
        <f t="shared" si="19"/>
        <v>许褚</v>
      </c>
      <c r="AB53" s="13">
        <f t="shared" si="7"/>
        <v>3</v>
      </c>
      <c r="AC53" s="14">
        <f t="shared" si="20"/>
        <v>130300209</v>
      </c>
      <c r="AD53" s="14" t="str">
        <f t="shared" si="21"/>
        <v/>
      </c>
      <c r="AE53" s="14" t="str">
        <f t="shared" si="22"/>
        <v/>
      </c>
      <c r="AF53" s="13" t="s">
        <v>446</v>
      </c>
      <c r="AG53" s="13"/>
      <c r="AH53" s="13" t="s">
        <v>445</v>
      </c>
      <c r="AI53" s="14">
        <f t="shared" si="8"/>
        <v>30</v>
      </c>
      <c r="AJ53" s="14" t="str">
        <f t="shared" si="9"/>
        <v>许褚碎片</v>
      </c>
      <c r="AK53" s="13">
        <f t="shared" si="10"/>
        <v>5</v>
      </c>
    </row>
    <row r="54" spans="1:37" ht="16.5" x14ac:dyDescent="0.2">
      <c r="A54" s="13">
        <v>19</v>
      </c>
      <c r="B54" s="13">
        <f t="shared" si="11"/>
        <v>1501002</v>
      </c>
      <c r="C54" s="13">
        <f t="shared" si="12"/>
        <v>9</v>
      </c>
      <c r="D54" s="14">
        <f t="shared" si="13"/>
        <v>0.84</v>
      </c>
      <c r="E54" s="14" t="str">
        <f t="shared" si="14"/>
        <v>金币</v>
      </c>
      <c r="F54" s="14">
        <f t="shared" si="15"/>
        <v>9000</v>
      </c>
      <c r="G54" s="14" t="str">
        <f t="shared" si="16"/>
        <v>中级强化石</v>
      </c>
      <c r="H54" s="14">
        <f t="shared" si="17"/>
        <v>20</v>
      </c>
      <c r="I54" s="14" t="str">
        <f t="shared" si="24"/>
        <v>高级强化石</v>
      </c>
      <c r="J54" s="14">
        <f t="shared" si="24"/>
        <v>20</v>
      </c>
      <c r="Y54" s="13">
        <v>19</v>
      </c>
      <c r="Z54" s="13">
        <f t="shared" si="18"/>
        <v>1501002</v>
      </c>
      <c r="AA54" s="14" t="str">
        <f t="shared" si="19"/>
        <v>许褚</v>
      </c>
      <c r="AB54" s="13">
        <f t="shared" si="7"/>
        <v>4</v>
      </c>
      <c r="AC54" s="14" t="str">
        <f t="shared" si="20"/>
        <v/>
      </c>
      <c r="AD54" s="14" t="str">
        <f t="shared" si="21"/>
        <v>HPRate</v>
      </c>
      <c r="AE54" s="14">
        <f t="shared" si="22"/>
        <v>0.11</v>
      </c>
      <c r="AF54" s="13" t="s">
        <v>446</v>
      </c>
      <c r="AG54" s="13"/>
      <c r="AH54" s="13" t="s">
        <v>445</v>
      </c>
      <c r="AI54" s="14">
        <f t="shared" si="8"/>
        <v>50</v>
      </c>
      <c r="AJ54" s="14" t="str">
        <f t="shared" si="9"/>
        <v>许褚碎片</v>
      </c>
      <c r="AK54" s="13">
        <f t="shared" si="10"/>
        <v>5</v>
      </c>
    </row>
    <row r="55" spans="1:37" ht="16.5" x14ac:dyDescent="0.2">
      <c r="A55" s="13">
        <v>20</v>
      </c>
      <c r="B55" s="13">
        <f t="shared" si="11"/>
        <v>1501002</v>
      </c>
      <c r="C55" s="13">
        <f t="shared" si="12"/>
        <v>10</v>
      </c>
      <c r="D55" s="14">
        <f t="shared" si="13"/>
        <v>1</v>
      </c>
      <c r="E55" s="14" t="str">
        <f t="shared" si="14"/>
        <v>金币</v>
      </c>
      <c r="F55" s="14">
        <f t="shared" si="15"/>
        <v>10000</v>
      </c>
      <c r="G55" s="14" t="str">
        <f t="shared" si="16"/>
        <v>中级强化石</v>
      </c>
      <c r="H55" s="14">
        <f t="shared" si="17"/>
        <v>20</v>
      </c>
      <c r="I55" s="14" t="str">
        <f t="shared" si="24"/>
        <v>高级强化石</v>
      </c>
      <c r="J55" s="14">
        <f t="shared" si="24"/>
        <v>25</v>
      </c>
      <c r="Y55" s="13">
        <v>20</v>
      </c>
      <c r="Z55" s="13">
        <f t="shared" si="18"/>
        <v>1501002</v>
      </c>
      <c r="AA55" s="14" t="str">
        <f t="shared" si="19"/>
        <v>许褚</v>
      </c>
      <c r="AB55" s="13">
        <f t="shared" si="7"/>
        <v>5</v>
      </c>
      <c r="AC55" s="14" t="str">
        <f t="shared" si="20"/>
        <v/>
      </c>
      <c r="AD55" s="14" t="str">
        <f t="shared" si="21"/>
        <v>AtkRate</v>
      </c>
      <c r="AE55" s="14">
        <f t="shared" si="22"/>
        <v>0.11</v>
      </c>
      <c r="AF55" s="13" t="s">
        <v>446</v>
      </c>
      <c r="AG55" s="13"/>
      <c r="AH55" s="13" t="s">
        <v>445</v>
      </c>
      <c r="AI55" s="14">
        <f t="shared" si="8"/>
        <v>100</v>
      </c>
      <c r="AJ55" s="14" t="str">
        <f t="shared" si="9"/>
        <v>许褚碎片</v>
      </c>
      <c r="AK55" s="13">
        <f t="shared" si="10"/>
        <v>10</v>
      </c>
    </row>
    <row r="56" spans="1:37" ht="16.5" x14ac:dyDescent="0.2">
      <c r="A56" s="13">
        <v>21</v>
      </c>
      <c r="B56" s="13">
        <f t="shared" si="11"/>
        <v>1501003</v>
      </c>
      <c r="C56" s="13">
        <f t="shared" si="12"/>
        <v>1</v>
      </c>
      <c r="D56" s="14">
        <f t="shared" si="13"/>
        <v>0.06</v>
      </c>
      <c r="E56" s="14" t="str">
        <f t="shared" si="14"/>
        <v>金币</v>
      </c>
      <c r="F56" s="14">
        <f t="shared" si="15"/>
        <v>1000</v>
      </c>
      <c r="G56" s="14" t="str">
        <f t="shared" si="16"/>
        <v>低级强化石</v>
      </c>
      <c r="H56" s="14">
        <f t="shared" si="17"/>
        <v>10</v>
      </c>
      <c r="I56" s="14"/>
      <c r="J56" s="14"/>
      <c r="Y56" s="13">
        <v>21</v>
      </c>
      <c r="Z56" s="13">
        <f t="shared" si="18"/>
        <v>1501002</v>
      </c>
      <c r="AA56" s="14" t="str">
        <f t="shared" si="19"/>
        <v>许褚</v>
      </c>
      <c r="AB56" s="13">
        <f t="shared" si="7"/>
        <v>6</v>
      </c>
      <c r="AC56" s="14" t="str">
        <f t="shared" si="20"/>
        <v/>
      </c>
      <c r="AD56" s="14" t="str">
        <f t="shared" si="21"/>
        <v>HPRate</v>
      </c>
      <c r="AE56" s="14">
        <f t="shared" si="22"/>
        <v>0.11</v>
      </c>
      <c r="AF56" s="13" t="s">
        <v>446</v>
      </c>
      <c r="AG56" s="13"/>
      <c r="AH56" s="13" t="s">
        <v>445</v>
      </c>
      <c r="AI56" s="14">
        <f t="shared" si="8"/>
        <v>150</v>
      </c>
      <c r="AJ56" s="14" t="str">
        <f t="shared" si="9"/>
        <v>许褚碎片</v>
      </c>
      <c r="AK56" s="13">
        <f t="shared" si="10"/>
        <v>10</v>
      </c>
    </row>
    <row r="57" spans="1:37" ht="16.5" x14ac:dyDescent="0.2">
      <c r="A57" s="13">
        <v>22</v>
      </c>
      <c r="B57" s="13">
        <f t="shared" si="11"/>
        <v>1501003</v>
      </c>
      <c r="C57" s="13">
        <f t="shared" si="12"/>
        <v>2</v>
      </c>
      <c r="D57" s="14">
        <f t="shared" si="13"/>
        <v>0.13</v>
      </c>
      <c r="E57" s="14" t="str">
        <f t="shared" si="14"/>
        <v>金币</v>
      </c>
      <c r="F57" s="14">
        <f t="shared" si="15"/>
        <v>2000</v>
      </c>
      <c r="G57" s="14" t="str">
        <f t="shared" si="16"/>
        <v>低级强化石</v>
      </c>
      <c r="H57" s="14">
        <f t="shared" si="17"/>
        <v>15</v>
      </c>
      <c r="I57" s="14"/>
      <c r="J57" s="14"/>
      <c r="Y57" s="13">
        <v>22</v>
      </c>
      <c r="Z57" s="13">
        <f t="shared" si="18"/>
        <v>1501002</v>
      </c>
      <c r="AA57" s="14" t="str">
        <f t="shared" si="19"/>
        <v>许褚</v>
      </c>
      <c r="AB57" s="13">
        <f t="shared" si="7"/>
        <v>7</v>
      </c>
      <c r="AC57" s="14" t="str">
        <f t="shared" si="20"/>
        <v/>
      </c>
      <c r="AD57" s="14" t="str">
        <f t="shared" si="21"/>
        <v>AtkRate</v>
      </c>
      <c r="AE57" s="14">
        <f t="shared" si="22"/>
        <v>0.11</v>
      </c>
      <c r="AF57" s="13" t="s">
        <v>446</v>
      </c>
      <c r="AG57" s="13"/>
      <c r="AH57" s="13" t="s">
        <v>445</v>
      </c>
      <c r="AI57" s="14">
        <f t="shared" si="8"/>
        <v>200</v>
      </c>
      <c r="AJ57" s="14" t="str">
        <f t="shared" si="9"/>
        <v>许褚碎片</v>
      </c>
      <c r="AK57" s="13">
        <f t="shared" si="10"/>
        <v>10</v>
      </c>
    </row>
    <row r="58" spans="1:37" ht="16.5" x14ac:dyDescent="0.2">
      <c r="A58" s="13">
        <v>23</v>
      </c>
      <c r="B58" s="13">
        <f t="shared" si="11"/>
        <v>1501003</v>
      </c>
      <c r="C58" s="13">
        <f t="shared" si="12"/>
        <v>3</v>
      </c>
      <c r="D58" s="14">
        <f t="shared" si="13"/>
        <v>0.19</v>
      </c>
      <c r="E58" s="14" t="str">
        <f t="shared" si="14"/>
        <v>金币</v>
      </c>
      <c r="F58" s="14">
        <f t="shared" si="15"/>
        <v>3000</v>
      </c>
      <c r="G58" s="14" t="str">
        <f t="shared" si="16"/>
        <v>低级强化石</v>
      </c>
      <c r="H58" s="14">
        <f t="shared" si="17"/>
        <v>20</v>
      </c>
      <c r="I58" s="14"/>
      <c r="J58" s="14"/>
      <c r="Y58" s="13">
        <v>23</v>
      </c>
      <c r="Z58" s="13">
        <f t="shared" si="18"/>
        <v>1501002</v>
      </c>
      <c r="AA58" s="14" t="str">
        <f t="shared" si="19"/>
        <v>许褚</v>
      </c>
      <c r="AB58" s="13">
        <f t="shared" si="7"/>
        <v>8</v>
      </c>
      <c r="AC58" s="14" t="str">
        <f t="shared" si="20"/>
        <v/>
      </c>
      <c r="AD58" s="14" t="str">
        <f t="shared" si="21"/>
        <v>DefRate</v>
      </c>
      <c r="AE58" s="14">
        <f t="shared" si="22"/>
        <v>0.11</v>
      </c>
      <c r="AF58" s="13" t="s">
        <v>446</v>
      </c>
      <c r="AG58" s="13"/>
      <c r="AH58" s="13" t="s">
        <v>445</v>
      </c>
      <c r="AI58" s="14">
        <f t="shared" si="8"/>
        <v>250</v>
      </c>
      <c r="AJ58" s="14" t="str">
        <f t="shared" si="9"/>
        <v>许褚碎片</v>
      </c>
      <c r="AK58" s="13">
        <f t="shared" si="10"/>
        <v>20</v>
      </c>
    </row>
    <row r="59" spans="1:37" ht="16.5" x14ac:dyDescent="0.2">
      <c r="A59" s="13">
        <v>24</v>
      </c>
      <c r="B59" s="13">
        <f t="shared" si="11"/>
        <v>1501003</v>
      </c>
      <c r="C59" s="13">
        <f t="shared" si="12"/>
        <v>4</v>
      </c>
      <c r="D59" s="14">
        <f t="shared" si="13"/>
        <v>0.28000000000000003</v>
      </c>
      <c r="E59" s="14" t="str">
        <f t="shared" si="14"/>
        <v>金币</v>
      </c>
      <c r="F59" s="14">
        <f t="shared" si="15"/>
        <v>4000</v>
      </c>
      <c r="G59" s="14" t="str">
        <f t="shared" si="16"/>
        <v>低级强化石</v>
      </c>
      <c r="H59" s="14">
        <f t="shared" si="17"/>
        <v>20</v>
      </c>
      <c r="I59" s="14" t="str">
        <f t="shared" ref="I59:J65" si="25">INDEX(T$36:T$45,$C59)</f>
        <v>中级强化石</v>
      </c>
      <c r="J59" s="14">
        <f t="shared" si="25"/>
        <v>10</v>
      </c>
      <c r="Y59" s="13">
        <v>24</v>
      </c>
      <c r="Z59" s="13">
        <f t="shared" si="18"/>
        <v>1501002</v>
      </c>
      <c r="AA59" s="14" t="str">
        <f t="shared" si="19"/>
        <v>许褚</v>
      </c>
      <c r="AB59" s="13">
        <f t="shared" si="7"/>
        <v>9</v>
      </c>
      <c r="AC59" s="14" t="str">
        <f t="shared" si="20"/>
        <v/>
      </c>
      <c r="AD59" s="14" t="str">
        <f t="shared" si="21"/>
        <v>AtkRate</v>
      </c>
      <c r="AE59" s="14">
        <f t="shared" si="22"/>
        <v>0.11</v>
      </c>
      <c r="AF59" s="13" t="s">
        <v>446</v>
      </c>
      <c r="AG59" s="13"/>
      <c r="AH59" s="13" t="s">
        <v>445</v>
      </c>
      <c r="AI59" s="14">
        <f t="shared" si="8"/>
        <v>300</v>
      </c>
      <c r="AJ59" s="14" t="str">
        <f t="shared" si="9"/>
        <v>许褚碎片</v>
      </c>
      <c r="AK59" s="13">
        <f t="shared" si="10"/>
        <v>20</v>
      </c>
    </row>
    <row r="60" spans="1:37" ht="16.5" x14ac:dyDescent="0.2">
      <c r="A60" s="13">
        <v>25</v>
      </c>
      <c r="B60" s="13">
        <f t="shared" si="11"/>
        <v>1501003</v>
      </c>
      <c r="C60" s="13">
        <f t="shared" si="12"/>
        <v>5</v>
      </c>
      <c r="D60" s="14">
        <f t="shared" si="13"/>
        <v>0.38</v>
      </c>
      <c r="E60" s="14" t="str">
        <f t="shared" si="14"/>
        <v>金币</v>
      </c>
      <c r="F60" s="14">
        <f t="shared" si="15"/>
        <v>5000</v>
      </c>
      <c r="G60" s="14" t="str">
        <f t="shared" si="16"/>
        <v>低级强化石</v>
      </c>
      <c r="H60" s="14">
        <f t="shared" si="17"/>
        <v>20</v>
      </c>
      <c r="I60" s="14" t="str">
        <f t="shared" si="25"/>
        <v>中级强化石</v>
      </c>
      <c r="J60" s="14">
        <f t="shared" si="25"/>
        <v>15</v>
      </c>
      <c r="Y60" s="13">
        <v>25</v>
      </c>
      <c r="Z60" s="13">
        <f t="shared" si="18"/>
        <v>1501002</v>
      </c>
      <c r="AA60" s="14" t="str">
        <f t="shared" si="19"/>
        <v>许褚</v>
      </c>
      <c r="AB60" s="13">
        <f t="shared" si="7"/>
        <v>10</v>
      </c>
      <c r="AC60" s="14" t="str">
        <f t="shared" si="20"/>
        <v/>
      </c>
      <c r="AD60" s="14" t="str">
        <f t="shared" si="21"/>
        <v>HPRate</v>
      </c>
      <c r="AE60" s="14">
        <f t="shared" si="22"/>
        <v>0.14000000000000001</v>
      </c>
      <c r="AF60" s="13" t="s">
        <v>446</v>
      </c>
      <c r="AG60" s="13"/>
      <c r="AH60" s="13" t="s">
        <v>445</v>
      </c>
      <c r="AI60" s="14">
        <f t="shared" si="8"/>
        <v>400</v>
      </c>
      <c r="AJ60" s="14" t="str">
        <f t="shared" si="9"/>
        <v>许褚碎片</v>
      </c>
      <c r="AK60" s="13">
        <f t="shared" si="10"/>
        <v>20</v>
      </c>
    </row>
    <row r="61" spans="1:37" ht="16.5" x14ac:dyDescent="0.2">
      <c r="A61" s="13">
        <v>26</v>
      </c>
      <c r="B61" s="13">
        <f t="shared" si="11"/>
        <v>1501003</v>
      </c>
      <c r="C61" s="13">
        <f t="shared" si="12"/>
        <v>6</v>
      </c>
      <c r="D61" s="14">
        <f t="shared" si="13"/>
        <v>0.47</v>
      </c>
      <c r="E61" s="14" t="str">
        <f t="shared" si="14"/>
        <v>金币</v>
      </c>
      <c r="F61" s="14">
        <f t="shared" si="15"/>
        <v>6000</v>
      </c>
      <c r="G61" s="14" t="str">
        <f t="shared" si="16"/>
        <v>低级强化石</v>
      </c>
      <c r="H61" s="14">
        <f t="shared" si="17"/>
        <v>20</v>
      </c>
      <c r="I61" s="14" t="str">
        <f t="shared" si="25"/>
        <v>中级强化石</v>
      </c>
      <c r="J61" s="14">
        <f t="shared" si="25"/>
        <v>20</v>
      </c>
      <c r="Y61" s="13">
        <v>26</v>
      </c>
      <c r="Z61" s="13">
        <f t="shared" si="18"/>
        <v>1501002</v>
      </c>
      <c r="AA61" s="14" t="str">
        <f t="shared" si="19"/>
        <v>许褚</v>
      </c>
      <c r="AB61" s="13">
        <f t="shared" si="7"/>
        <v>11</v>
      </c>
      <c r="AC61" s="14" t="str">
        <f t="shared" si="20"/>
        <v/>
      </c>
      <c r="AD61" s="14" t="str">
        <f t="shared" si="21"/>
        <v>AtkRate</v>
      </c>
      <c r="AE61" s="14">
        <f t="shared" si="22"/>
        <v>0.14000000000000001</v>
      </c>
      <c r="AF61" s="13" t="s">
        <v>446</v>
      </c>
      <c r="AG61" s="13"/>
      <c r="AH61" s="13" t="s">
        <v>445</v>
      </c>
      <c r="AI61" s="14">
        <f t="shared" si="8"/>
        <v>500</v>
      </c>
      <c r="AJ61" s="14" t="str">
        <f t="shared" si="9"/>
        <v>许褚碎片</v>
      </c>
      <c r="AK61" s="13">
        <f t="shared" si="10"/>
        <v>30</v>
      </c>
    </row>
    <row r="62" spans="1:37" ht="16.5" x14ac:dyDescent="0.2">
      <c r="A62" s="13">
        <v>27</v>
      </c>
      <c r="B62" s="13">
        <f t="shared" si="11"/>
        <v>1501003</v>
      </c>
      <c r="C62" s="13">
        <f t="shared" si="12"/>
        <v>7</v>
      </c>
      <c r="D62" s="14">
        <f t="shared" si="13"/>
        <v>0.59</v>
      </c>
      <c r="E62" s="14" t="str">
        <f t="shared" si="14"/>
        <v>金币</v>
      </c>
      <c r="F62" s="14">
        <f t="shared" si="15"/>
        <v>7000</v>
      </c>
      <c r="G62" s="14" t="str">
        <f t="shared" si="16"/>
        <v>中级强化石</v>
      </c>
      <c r="H62" s="14">
        <f t="shared" si="17"/>
        <v>20</v>
      </c>
      <c r="I62" s="14" t="str">
        <f t="shared" si="25"/>
        <v>高级强化石</v>
      </c>
      <c r="J62" s="14">
        <f t="shared" si="25"/>
        <v>10</v>
      </c>
      <c r="Y62" s="13">
        <v>27</v>
      </c>
      <c r="Z62" s="13">
        <f t="shared" si="18"/>
        <v>1501002</v>
      </c>
      <c r="AA62" s="14" t="str">
        <f t="shared" si="19"/>
        <v>许褚</v>
      </c>
      <c r="AB62" s="13">
        <f t="shared" si="7"/>
        <v>12</v>
      </c>
      <c r="AC62" s="14" t="str">
        <f t="shared" si="20"/>
        <v/>
      </c>
      <c r="AD62" s="14" t="str">
        <f t="shared" si="21"/>
        <v>HPRate</v>
      </c>
      <c r="AE62" s="14">
        <f t="shared" si="22"/>
        <v>0.14000000000000001</v>
      </c>
      <c r="AF62" s="13" t="s">
        <v>446</v>
      </c>
      <c r="AG62" s="13"/>
      <c r="AH62" s="13" t="s">
        <v>445</v>
      </c>
      <c r="AI62" s="14">
        <f t="shared" si="8"/>
        <v>600</v>
      </c>
      <c r="AJ62" s="14" t="str">
        <f t="shared" si="9"/>
        <v>许褚碎片</v>
      </c>
      <c r="AK62" s="13">
        <f t="shared" si="10"/>
        <v>30</v>
      </c>
    </row>
    <row r="63" spans="1:37" ht="16.5" x14ac:dyDescent="0.2">
      <c r="A63" s="13">
        <v>28</v>
      </c>
      <c r="B63" s="13">
        <f t="shared" si="11"/>
        <v>1501003</v>
      </c>
      <c r="C63" s="13">
        <f t="shared" si="12"/>
        <v>8</v>
      </c>
      <c r="D63" s="14">
        <f t="shared" si="13"/>
        <v>0.72</v>
      </c>
      <c r="E63" s="14" t="str">
        <f t="shared" si="14"/>
        <v>金币</v>
      </c>
      <c r="F63" s="14">
        <f t="shared" si="15"/>
        <v>8000</v>
      </c>
      <c r="G63" s="14" t="str">
        <f t="shared" si="16"/>
        <v>中级强化石</v>
      </c>
      <c r="H63" s="14">
        <f t="shared" si="17"/>
        <v>20</v>
      </c>
      <c r="I63" s="14" t="str">
        <f t="shared" si="25"/>
        <v>高级强化石</v>
      </c>
      <c r="J63" s="14">
        <f t="shared" si="25"/>
        <v>15</v>
      </c>
      <c r="Y63" s="13">
        <v>28</v>
      </c>
      <c r="Z63" s="13">
        <f t="shared" si="18"/>
        <v>1501002</v>
      </c>
      <c r="AA63" s="14" t="str">
        <f t="shared" si="19"/>
        <v>许褚</v>
      </c>
      <c r="AB63" s="13">
        <f t="shared" si="7"/>
        <v>13</v>
      </c>
      <c r="AC63" s="14" t="str">
        <f t="shared" si="20"/>
        <v/>
      </c>
      <c r="AD63" s="14" t="str">
        <f t="shared" si="21"/>
        <v>AtkRate</v>
      </c>
      <c r="AE63" s="14">
        <f t="shared" si="22"/>
        <v>0.14000000000000001</v>
      </c>
      <c r="AF63" s="13" t="s">
        <v>446</v>
      </c>
      <c r="AG63" s="13"/>
      <c r="AH63" s="13" t="s">
        <v>445</v>
      </c>
      <c r="AI63" s="14">
        <f t="shared" si="8"/>
        <v>700</v>
      </c>
      <c r="AJ63" s="14" t="str">
        <f t="shared" si="9"/>
        <v>许褚碎片</v>
      </c>
      <c r="AK63" s="13">
        <f t="shared" si="10"/>
        <v>30</v>
      </c>
    </row>
    <row r="64" spans="1:37" ht="16.5" x14ac:dyDescent="0.2">
      <c r="A64" s="13">
        <v>29</v>
      </c>
      <c r="B64" s="13">
        <f t="shared" si="11"/>
        <v>1501003</v>
      </c>
      <c r="C64" s="13">
        <f t="shared" si="12"/>
        <v>9</v>
      </c>
      <c r="D64" s="14">
        <f t="shared" si="13"/>
        <v>0.84</v>
      </c>
      <c r="E64" s="14" t="str">
        <f t="shared" si="14"/>
        <v>金币</v>
      </c>
      <c r="F64" s="14">
        <f t="shared" si="15"/>
        <v>9000</v>
      </c>
      <c r="G64" s="14" t="str">
        <f t="shared" si="16"/>
        <v>中级强化石</v>
      </c>
      <c r="H64" s="14">
        <f t="shared" si="17"/>
        <v>20</v>
      </c>
      <c r="I64" s="14" t="str">
        <f t="shared" si="25"/>
        <v>高级强化石</v>
      </c>
      <c r="J64" s="14">
        <f t="shared" si="25"/>
        <v>20</v>
      </c>
      <c r="Y64" s="13">
        <v>29</v>
      </c>
      <c r="Z64" s="13">
        <f t="shared" si="18"/>
        <v>1501002</v>
      </c>
      <c r="AA64" s="14" t="str">
        <f t="shared" si="19"/>
        <v>许褚</v>
      </c>
      <c r="AB64" s="13">
        <f t="shared" si="7"/>
        <v>14</v>
      </c>
      <c r="AC64" s="14" t="str">
        <f t="shared" si="20"/>
        <v/>
      </c>
      <c r="AD64" s="14" t="str">
        <f t="shared" si="21"/>
        <v>DefRate</v>
      </c>
      <c r="AE64" s="14">
        <f t="shared" si="22"/>
        <v>0.14000000000000001</v>
      </c>
      <c r="AF64" s="13" t="s">
        <v>446</v>
      </c>
      <c r="AG64" s="13"/>
      <c r="AH64" s="13" t="s">
        <v>445</v>
      </c>
      <c r="AI64" s="14">
        <f t="shared" si="8"/>
        <v>800</v>
      </c>
      <c r="AJ64" s="14" t="str">
        <f t="shared" si="9"/>
        <v>许褚碎片</v>
      </c>
      <c r="AK64" s="13">
        <f t="shared" si="10"/>
        <v>50</v>
      </c>
    </row>
    <row r="65" spans="1:37" ht="16.5" x14ac:dyDescent="0.2">
      <c r="A65" s="13">
        <v>30</v>
      </c>
      <c r="B65" s="13">
        <f t="shared" si="11"/>
        <v>1501003</v>
      </c>
      <c r="C65" s="13">
        <f t="shared" si="12"/>
        <v>10</v>
      </c>
      <c r="D65" s="14">
        <f t="shared" si="13"/>
        <v>1</v>
      </c>
      <c r="E65" s="14" t="str">
        <f t="shared" si="14"/>
        <v>金币</v>
      </c>
      <c r="F65" s="14">
        <f t="shared" si="15"/>
        <v>10000</v>
      </c>
      <c r="G65" s="14" t="str">
        <f t="shared" si="16"/>
        <v>中级强化石</v>
      </c>
      <c r="H65" s="14">
        <f t="shared" si="17"/>
        <v>20</v>
      </c>
      <c r="I65" s="14" t="str">
        <f t="shared" si="25"/>
        <v>高级强化石</v>
      </c>
      <c r="J65" s="14">
        <f t="shared" si="25"/>
        <v>25</v>
      </c>
      <c r="Y65" s="13">
        <v>30</v>
      </c>
      <c r="Z65" s="13">
        <f t="shared" si="18"/>
        <v>1501002</v>
      </c>
      <c r="AA65" s="14" t="str">
        <f t="shared" si="19"/>
        <v>许褚</v>
      </c>
      <c r="AB65" s="13">
        <f t="shared" si="7"/>
        <v>15</v>
      </c>
      <c r="AC65" s="14" t="str">
        <f t="shared" si="20"/>
        <v/>
      </c>
      <c r="AD65" s="14" t="str">
        <f t="shared" si="21"/>
        <v>AtkRate</v>
      </c>
      <c r="AE65" s="14">
        <f t="shared" si="22"/>
        <v>0.14000000000000001</v>
      </c>
      <c r="AF65" s="13" t="s">
        <v>446</v>
      </c>
      <c r="AG65" s="13"/>
      <c r="AH65" s="13" t="s">
        <v>445</v>
      </c>
      <c r="AI65" s="14">
        <f t="shared" si="8"/>
        <v>1000</v>
      </c>
      <c r="AJ65" s="14" t="str">
        <f t="shared" si="9"/>
        <v>许褚碎片</v>
      </c>
      <c r="AK65" s="13">
        <f t="shared" si="10"/>
        <v>60</v>
      </c>
    </row>
    <row r="66" spans="1:37" ht="16.5" x14ac:dyDescent="0.2">
      <c r="A66" s="13">
        <v>31</v>
      </c>
      <c r="B66" s="13">
        <f t="shared" si="11"/>
        <v>1501004</v>
      </c>
      <c r="C66" s="13">
        <f t="shared" si="12"/>
        <v>1</v>
      </c>
      <c r="D66" s="14">
        <f t="shared" si="13"/>
        <v>0.06</v>
      </c>
      <c r="E66" s="14" t="str">
        <f t="shared" si="14"/>
        <v>金币</v>
      </c>
      <c r="F66" s="14">
        <f t="shared" si="15"/>
        <v>1000</v>
      </c>
      <c r="G66" s="14" t="str">
        <f t="shared" si="16"/>
        <v>低级强化石</v>
      </c>
      <c r="H66" s="14">
        <f t="shared" si="17"/>
        <v>10</v>
      </c>
      <c r="I66" s="14"/>
      <c r="J66" s="14"/>
      <c r="Y66" s="13">
        <v>31</v>
      </c>
      <c r="Z66" s="13">
        <f t="shared" si="18"/>
        <v>1501003</v>
      </c>
      <c r="AA66" s="14" t="str">
        <f t="shared" si="19"/>
        <v>典韦</v>
      </c>
      <c r="AB66" s="13">
        <f t="shared" si="7"/>
        <v>1</v>
      </c>
      <c r="AC66" s="14" t="str">
        <f t="shared" si="20"/>
        <v/>
      </c>
      <c r="AD66" s="14" t="str">
        <f t="shared" si="21"/>
        <v>AtkExt</v>
      </c>
      <c r="AE66" s="14">
        <f t="shared" si="22"/>
        <v>250</v>
      </c>
      <c r="AF66" s="13" t="s">
        <v>446</v>
      </c>
      <c r="AG66" s="13"/>
      <c r="AH66" s="13" t="s">
        <v>445</v>
      </c>
      <c r="AI66" s="14">
        <f t="shared" si="8"/>
        <v>10</v>
      </c>
      <c r="AJ66" s="14" t="str">
        <f t="shared" si="9"/>
        <v/>
      </c>
      <c r="AK66" s="13" t="str">
        <f t="shared" si="10"/>
        <v/>
      </c>
    </row>
    <row r="67" spans="1:37" ht="16.5" x14ac:dyDescent="0.2">
      <c r="A67" s="13">
        <v>32</v>
      </c>
      <c r="B67" s="13">
        <f t="shared" si="11"/>
        <v>1501004</v>
      </c>
      <c r="C67" s="13">
        <f t="shared" si="12"/>
        <v>2</v>
      </c>
      <c r="D67" s="14">
        <f t="shared" si="13"/>
        <v>0.13</v>
      </c>
      <c r="E67" s="14" t="str">
        <f t="shared" si="14"/>
        <v>金币</v>
      </c>
      <c r="F67" s="14">
        <f t="shared" si="15"/>
        <v>2000</v>
      </c>
      <c r="G67" s="14" t="str">
        <f t="shared" si="16"/>
        <v>低级强化石</v>
      </c>
      <c r="H67" s="14">
        <f t="shared" si="17"/>
        <v>15</v>
      </c>
      <c r="I67" s="14"/>
      <c r="J67" s="14"/>
      <c r="Y67" s="13">
        <v>32</v>
      </c>
      <c r="Z67" s="13">
        <f t="shared" si="18"/>
        <v>1501003</v>
      </c>
      <c r="AA67" s="14" t="str">
        <f t="shared" si="19"/>
        <v>典韦</v>
      </c>
      <c r="AB67" s="13">
        <f t="shared" si="7"/>
        <v>2</v>
      </c>
      <c r="AC67" s="14" t="str">
        <f t="shared" si="20"/>
        <v/>
      </c>
      <c r="AD67" s="14" t="str">
        <f t="shared" si="21"/>
        <v>HPExt</v>
      </c>
      <c r="AE67" s="14">
        <f t="shared" si="22"/>
        <v>2250</v>
      </c>
      <c r="AF67" s="13" t="s">
        <v>446</v>
      </c>
      <c r="AG67" s="13"/>
      <c r="AH67" s="13" t="s">
        <v>445</v>
      </c>
      <c r="AI67" s="14">
        <f t="shared" si="8"/>
        <v>20</v>
      </c>
      <c r="AJ67" s="14" t="str">
        <f t="shared" si="9"/>
        <v/>
      </c>
      <c r="AK67" s="13" t="str">
        <f t="shared" si="10"/>
        <v/>
      </c>
    </row>
    <row r="68" spans="1:37" ht="16.5" x14ac:dyDescent="0.2">
      <c r="A68" s="13">
        <v>33</v>
      </c>
      <c r="B68" s="13">
        <f t="shared" si="11"/>
        <v>1501004</v>
      </c>
      <c r="C68" s="13">
        <f t="shared" si="12"/>
        <v>3</v>
      </c>
      <c r="D68" s="14">
        <f t="shared" si="13"/>
        <v>0.19</v>
      </c>
      <c r="E68" s="14" t="str">
        <f t="shared" si="14"/>
        <v>金币</v>
      </c>
      <c r="F68" s="14">
        <f t="shared" si="15"/>
        <v>3000</v>
      </c>
      <c r="G68" s="14" t="str">
        <f t="shared" si="16"/>
        <v>低级强化石</v>
      </c>
      <c r="H68" s="14">
        <f t="shared" si="17"/>
        <v>20</v>
      </c>
      <c r="I68" s="14"/>
      <c r="J68" s="14"/>
      <c r="Y68" s="13">
        <v>33</v>
      </c>
      <c r="Z68" s="13">
        <f t="shared" si="18"/>
        <v>1501003</v>
      </c>
      <c r="AA68" s="14" t="str">
        <f t="shared" si="19"/>
        <v>典韦</v>
      </c>
      <c r="AB68" s="13">
        <f t="shared" si="7"/>
        <v>3</v>
      </c>
      <c r="AC68" s="14">
        <f t="shared" si="20"/>
        <v>130300309</v>
      </c>
      <c r="AD68" s="14" t="str">
        <f t="shared" si="21"/>
        <v/>
      </c>
      <c r="AE68" s="14" t="str">
        <f t="shared" si="22"/>
        <v/>
      </c>
      <c r="AF68" s="13" t="s">
        <v>446</v>
      </c>
      <c r="AG68" s="13"/>
      <c r="AH68" s="13" t="s">
        <v>445</v>
      </c>
      <c r="AI68" s="14">
        <f t="shared" si="8"/>
        <v>30</v>
      </c>
      <c r="AJ68" s="14" t="str">
        <f t="shared" si="9"/>
        <v>典韦碎片</v>
      </c>
      <c r="AK68" s="13">
        <f t="shared" si="10"/>
        <v>5</v>
      </c>
    </row>
    <row r="69" spans="1:37" ht="16.5" x14ac:dyDescent="0.2">
      <c r="A69" s="13">
        <v>34</v>
      </c>
      <c r="B69" s="13">
        <f t="shared" si="11"/>
        <v>1501004</v>
      </c>
      <c r="C69" s="13">
        <f t="shared" si="12"/>
        <v>4</v>
      </c>
      <c r="D69" s="14">
        <f t="shared" si="13"/>
        <v>0.28000000000000003</v>
      </c>
      <c r="E69" s="14" t="str">
        <f t="shared" si="14"/>
        <v>金币</v>
      </c>
      <c r="F69" s="14">
        <f t="shared" si="15"/>
        <v>4000</v>
      </c>
      <c r="G69" s="14" t="str">
        <f t="shared" si="16"/>
        <v>低级强化石</v>
      </c>
      <c r="H69" s="14">
        <f t="shared" si="17"/>
        <v>20</v>
      </c>
      <c r="I69" s="14" t="str">
        <f t="shared" ref="I69:J75" si="26">INDEX(T$36:T$45,$C69)</f>
        <v>中级强化石</v>
      </c>
      <c r="J69" s="14">
        <f t="shared" si="26"/>
        <v>10</v>
      </c>
      <c r="Y69" s="13">
        <v>34</v>
      </c>
      <c r="Z69" s="13">
        <f t="shared" si="18"/>
        <v>1501003</v>
      </c>
      <c r="AA69" s="14" t="str">
        <f t="shared" si="19"/>
        <v>典韦</v>
      </c>
      <c r="AB69" s="13">
        <f t="shared" si="7"/>
        <v>4</v>
      </c>
      <c r="AC69" s="14" t="str">
        <f t="shared" si="20"/>
        <v/>
      </c>
      <c r="AD69" s="14" t="str">
        <f t="shared" si="21"/>
        <v>Crit</v>
      </c>
      <c r="AE69" s="14">
        <f t="shared" si="22"/>
        <v>0.11</v>
      </c>
      <c r="AF69" s="13" t="s">
        <v>446</v>
      </c>
      <c r="AG69" s="13"/>
      <c r="AH69" s="13" t="s">
        <v>445</v>
      </c>
      <c r="AI69" s="14">
        <f t="shared" si="8"/>
        <v>50</v>
      </c>
      <c r="AJ69" s="14" t="str">
        <f t="shared" si="9"/>
        <v>典韦碎片</v>
      </c>
      <c r="AK69" s="13">
        <f t="shared" si="10"/>
        <v>5</v>
      </c>
    </row>
    <row r="70" spans="1:37" ht="16.5" x14ac:dyDescent="0.2">
      <c r="A70" s="13">
        <v>35</v>
      </c>
      <c r="B70" s="13">
        <f t="shared" si="11"/>
        <v>1501004</v>
      </c>
      <c r="C70" s="13">
        <f t="shared" si="12"/>
        <v>5</v>
      </c>
      <c r="D70" s="14">
        <f t="shared" si="13"/>
        <v>0.38</v>
      </c>
      <c r="E70" s="14" t="str">
        <f t="shared" si="14"/>
        <v>金币</v>
      </c>
      <c r="F70" s="14">
        <f t="shared" si="15"/>
        <v>5000</v>
      </c>
      <c r="G70" s="14" t="str">
        <f t="shared" si="16"/>
        <v>低级强化石</v>
      </c>
      <c r="H70" s="14">
        <f t="shared" si="17"/>
        <v>20</v>
      </c>
      <c r="I70" s="14" t="str">
        <f t="shared" si="26"/>
        <v>中级强化石</v>
      </c>
      <c r="J70" s="14">
        <f t="shared" si="26"/>
        <v>15</v>
      </c>
      <c r="Y70" s="13">
        <v>35</v>
      </c>
      <c r="Z70" s="13">
        <f t="shared" si="18"/>
        <v>1501003</v>
      </c>
      <c r="AA70" s="14" t="str">
        <f t="shared" si="19"/>
        <v>典韦</v>
      </c>
      <c r="AB70" s="13">
        <f t="shared" si="7"/>
        <v>5</v>
      </c>
      <c r="AC70" s="14" t="str">
        <f t="shared" si="20"/>
        <v/>
      </c>
      <c r="AD70" s="14" t="str">
        <f t="shared" si="21"/>
        <v>AtkRate</v>
      </c>
      <c r="AE70" s="14">
        <f t="shared" si="22"/>
        <v>0.11</v>
      </c>
      <c r="AF70" s="13" t="s">
        <v>446</v>
      </c>
      <c r="AG70" s="13"/>
      <c r="AH70" s="13" t="s">
        <v>445</v>
      </c>
      <c r="AI70" s="14">
        <f t="shared" si="8"/>
        <v>100</v>
      </c>
      <c r="AJ70" s="14" t="str">
        <f t="shared" si="9"/>
        <v>典韦碎片</v>
      </c>
      <c r="AK70" s="13">
        <f t="shared" si="10"/>
        <v>10</v>
      </c>
    </row>
    <row r="71" spans="1:37" ht="16.5" x14ac:dyDescent="0.2">
      <c r="A71" s="13">
        <v>36</v>
      </c>
      <c r="B71" s="13">
        <f t="shared" si="11"/>
        <v>1501004</v>
      </c>
      <c r="C71" s="13">
        <f t="shared" si="12"/>
        <v>6</v>
      </c>
      <c r="D71" s="14">
        <f t="shared" si="13"/>
        <v>0.47</v>
      </c>
      <c r="E71" s="14" t="str">
        <f t="shared" si="14"/>
        <v>金币</v>
      </c>
      <c r="F71" s="14">
        <f t="shared" si="15"/>
        <v>6000</v>
      </c>
      <c r="G71" s="14" t="str">
        <f t="shared" si="16"/>
        <v>低级强化石</v>
      </c>
      <c r="H71" s="14">
        <f t="shared" si="17"/>
        <v>20</v>
      </c>
      <c r="I71" s="14" t="str">
        <f t="shared" si="26"/>
        <v>中级强化石</v>
      </c>
      <c r="J71" s="14">
        <f t="shared" si="26"/>
        <v>20</v>
      </c>
      <c r="Y71" s="13">
        <v>36</v>
      </c>
      <c r="Z71" s="13">
        <f t="shared" si="18"/>
        <v>1501003</v>
      </c>
      <c r="AA71" s="14" t="str">
        <f t="shared" si="19"/>
        <v>典韦</v>
      </c>
      <c r="AB71" s="13">
        <f t="shared" si="7"/>
        <v>6</v>
      </c>
      <c r="AC71" s="14" t="str">
        <f t="shared" si="20"/>
        <v/>
      </c>
      <c r="AD71" s="14" t="str">
        <f t="shared" si="21"/>
        <v>Block</v>
      </c>
      <c r="AE71" s="14">
        <f t="shared" si="22"/>
        <v>0.11</v>
      </c>
      <c r="AF71" s="13" t="s">
        <v>446</v>
      </c>
      <c r="AG71" s="13"/>
      <c r="AH71" s="13" t="s">
        <v>445</v>
      </c>
      <c r="AI71" s="14">
        <f t="shared" si="8"/>
        <v>150</v>
      </c>
      <c r="AJ71" s="14" t="str">
        <f t="shared" si="9"/>
        <v>典韦碎片</v>
      </c>
      <c r="AK71" s="13">
        <f t="shared" si="10"/>
        <v>10</v>
      </c>
    </row>
    <row r="72" spans="1:37" ht="16.5" x14ac:dyDescent="0.2">
      <c r="A72" s="13">
        <v>37</v>
      </c>
      <c r="B72" s="13">
        <f t="shared" si="11"/>
        <v>1501004</v>
      </c>
      <c r="C72" s="13">
        <f t="shared" si="12"/>
        <v>7</v>
      </c>
      <c r="D72" s="14">
        <f t="shared" si="13"/>
        <v>0.59</v>
      </c>
      <c r="E72" s="14" t="str">
        <f t="shared" si="14"/>
        <v>金币</v>
      </c>
      <c r="F72" s="14">
        <f t="shared" si="15"/>
        <v>7000</v>
      </c>
      <c r="G72" s="14" t="str">
        <f t="shared" si="16"/>
        <v>中级强化石</v>
      </c>
      <c r="H72" s="14">
        <f t="shared" si="17"/>
        <v>20</v>
      </c>
      <c r="I72" s="14" t="str">
        <f t="shared" si="26"/>
        <v>高级强化石</v>
      </c>
      <c r="J72" s="14">
        <f t="shared" si="26"/>
        <v>10</v>
      </c>
      <c r="Y72" s="13">
        <v>37</v>
      </c>
      <c r="Z72" s="13">
        <f t="shared" si="18"/>
        <v>1501003</v>
      </c>
      <c r="AA72" s="14" t="str">
        <f t="shared" si="19"/>
        <v>典韦</v>
      </c>
      <c r="AB72" s="13">
        <f t="shared" si="7"/>
        <v>7</v>
      </c>
      <c r="AC72" s="14" t="str">
        <f t="shared" si="20"/>
        <v/>
      </c>
      <c r="AD72" s="14" t="str">
        <f t="shared" si="21"/>
        <v>Crit</v>
      </c>
      <c r="AE72" s="14">
        <f t="shared" si="22"/>
        <v>0.11</v>
      </c>
      <c r="AF72" s="13" t="s">
        <v>446</v>
      </c>
      <c r="AG72" s="13"/>
      <c r="AH72" s="13" t="s">
        <v>445</v>
      </c>
      <c r="AI72" s="14">
        <f t="shared" si="8"/>
        <v>200</v>
      </c>
      <c r="AJ72" s="14" t="str">
        <f t="shared" si="9"/>
        <v>典韦碎片</v>
      </c>
      <c r="AK72" s="13">
        <f t="shared" si="10"/>
        <v>10</v>
      </c>
    </row>
    <row r="73" spans="1:37" ht="16.5" x14ac:dyDescent="0.2">
      <c r="A73" s="13">
        <v>38</v>
      </c>
      <c r="B73" s="13">
        <f t="shared" si="11"/>
        <v>1501004</v>
      </c>
      <c r="C73" s="13">
        <f t="shared" si="12"/>
        <v>8</v>
      </c>
      <c r="D73" s="14">
        <f t="shared" si="13"/>
        <v>0.72</v>
      </c>
      <c r="E73" s="14" t="str">
        <f t="shared" si="14"/>
        <v>金币</v>
      </c>
      <c r="F73" s="14">
        <f t="shared" si="15"/>
        <v>8000</v>
      </c>
      <c r="G73" s="14" t="str">
        <f t="shared" si="16"/>
        <v>中级强化石</v>
      </c>
      <c r="H73" s="14">
        <f t="shared" si="17"/>
        <v>20</v>
      </c>
      <c r="I73" s="14" t="str">
        <f t="shared" si="26"/>
        <v>高级强化石</v>
      </c>
      <c r="J73" s="14">
        <f t="shared" si="26"/>
        <v>15</v>
      </c>
      <c r="Y73" s="13">
        <v>38</v>
      </c>
      <c r="Z73" s="13">
        <f t="shared" si="18"/>
        <v>1501003</v>
      </c>
      <c r="AA73" s="14" t="str">
        <f t="shared" si="19"/>
        <v>典韦</v>
      </c>
      <c r="AB73" s="13">
        <f t="shared" si="7"/>
        <v>8</v>
      </c>
      <c r="AC73" s="14" t="str">
        <f t="shared" si="20"/>
        <v/>
      </c>
      <c r="AD73" s="14" t="str">
        <f t="shared" si="21"/>
        <v>DefRate</v>
      </c>
      <c r="AE73" s="14">
        <f t="shared" si="22"/>
        <v>0.11</v>
      </c>
      <c r="AF73" s="13" t="s">
        <v>446</v>
      </c>
      <c r="AG73" s="13"/>
      <c r="AH73" s="13" t="s">
        <v>445</v>
      </c>
      <c r="AI73" s="14">
        <f t="shared" si="8"/>
        <v>250</v>
      </c>
      <c r="AJ73" s="14" t="str">
        <f t="shared" si="9"/>
        <v>典韦碎片</v>
      </c>
      <c r="AK73" s="13">
        <f t="shared" si="10"/>
        <v>20</v>
      </c>
    </row>
    <row r="74" spans="1:37" ht="16.5" x14ac:dyDescent="0.2">
      <c r="A74" s="13">
        <v>39</v>
      </c>
      <c r="B74" s="13">
        <f t="shared" si="11"/>
        <v>1501004</v>
      </c>
      <c r="C74" s="13">
        <f t="shared" si="12"/>
        <v>9</v>
      </c>
      <c r="D74" s="14">
        <f t="shared" si="13"/>
        <v>0.84</v>
      </c>
      <c r="E74" s="14" t="str">
        <f t="shared" si="14"/>
        <v>金币</v>
      </c>
      <c r="F74" s="14">
        <f t="shared" si="15"/>
        <v>9000</v>
      </c>
      <c r="G74" s="14" t="str">
        <f t="shared" si="16"/>
        <v>中级强化石</v>
      </c>
      <c r="H74" s="14">
        <f t="shared" si="17"/>
        <v>20</v>
      </c>
      <c r="I74" s="14" t="str">
        <f t="shared" si="26"/>
        <v>高级强化石</v>
      </c>
      <c r="J74" s="14">
        <f t="shared" si="26"/>
        <v>20</v>
      </c>
      <c r="Y74" s="13">
        <v>39</v>
      </c>
      <c r="Z74" s="13">
        <f t="shared" si="18"/>
        <v>1501003</v>
      </c>
      <c r="AA74" s="14" t="str">
        <f t="shared" si="19"/>
        <v>典韦</v>
      </c>
      <c r="AB74" s="13">
        <f t="shared" si="7"/>
        <v>9</v>
      </c>
      <c r="AC74" s="14" t="str">
        <f t="shared" si="20"/>
        <v/>
      </c>
      <c r="AD74" s="14" t="str">
        <f t="shared" si="21"/>
        <v>HPRate</v>
      </c>
      <c r="AE74" s="14">
        <f t="shared" si="22"/>
        <v>0.11</v>
      </c>
      <c r="AF74" s="13" t="s">
        <v>446</v>
      </c>
      <c r="AG74" s="13"/>
      <c r="AH74" s="13" t="s">
        <v>445</v>
      </c>
      <c r="AI74" s="14">
        <f t="shared" si="8"/>
        <v>300</v>
      </c>
      <c r="AJ74" s="14" t="str">
        <f t="shared" si="9"/>
        <v>典韦碎片</v>
      </c>
      <c r="AK74" s="13">
        <f t="shared" si="10"/>
        <v>20</v>
      </c>
    </row>
    <row r="75" spans="1:37" ht="16.5" x14ac:dyDescent="0.2">
      <c r="A75" s="13">
        <v>40</v>
      </c>
      <c r="B75" s="13">
        <f t="shared" si="11"/>
        <v>1501004</v>
      </c>
      <c r="C75" s="13">
        <f t="shared" si="12"/>
        <v>10</v>
      </c>
      <c r="D75" s="14">
        <f t="shared" si="13"/>
        <v>1</v>
      </c>
      <c r="E75" s="14" t="str">
        <f t="shared" si="14"/>
        <v>金币</v>
      </c>
      <c r="F75" s="14">
        <f t="shared" si="15"/>
        <v>10000</v>
      </c>
      <c r="G75" s="14" t="str">
        <f t="shared" si="16"/>
        <v>中级强化石</v>
      </c>
      <c r="H75" s="14">
        <f t="shared" si="17"/>
        <v>20</v>
      </c>
      <c r="I75" s="14" t="str">
        <f t="shared" si="26"/>
        <v>高级强化石</v>
      </c>
      <c r="J75" s="14">
        <f t="shared" si="26"/>
        <v>25</v>
      </c>
      <c r="Y75" s="13">
        <v>40</v>
      </c>
      <c r="Z75" s="13">
        <f t="shared" si="18"/>
        <v>1501003</v>
      </c>
      <c r="AA75" s="14" t="str">
        <f t="shared" si="19"/>
        <v>典韦</v>
      </c>
      <c r="AB75" s="13">
        <f t="shared" si="7"/>
        <v>10</v>
      </c>
      <c r="AC75" s="14" t="str">
        <f t="shared" si="20"/>
        <v/>
      </c>
      <c r="AD75" s="14" t="str">
        <f t="shared" si="21"/>
        <v>Crit</v>
      </c>
      <c r="AE75" s="14">
        <f t="shared" si="22"/>
        <v>0.14000000000000001</v>
      </c>
      <c r="AF75" s="13" t="s">
        <v>446</v>
      </c>
      <c r="AG75" s="13"/>
      <c r="AH75" s="13" t="s">
        <v>445</v>
      </c>
      <c r="AI75" s="14">
        <f t="shared" si="8"/>
        <v>400</v>
      </c>
      <c r="AJ75" s="14" t="str">
        <f t="shared" si="9"/>
        <v>典韦碎片</v>
      </c>
      <c r="AK75" s="13">
        <f t="shared" si="10"/>
        <v>20</v>
      </c>
    </row>
    <row r="76" spans="1:37" ht="16.5" x14ac:dyDescent="0.2">
      <c r="A76" s="13">
        <v>41</v>
      </c>
      <c r="B76" s="13">
        <f t="shared" si="11"/>
        <v>1501005</v>
      </c>
      <c r="C76" s="13">
        <f t="shared" si="12"/>
        <v>1</v>
      </c>
      <c r="D76" s="14">
        <f t="shared" si="13"/>
        <v>0.06</v>
      </c>
      <c r="E76" s="14" t="str">
        <f t="shared" si="14"/>
        <v>金币</v>
      </c>
      <c r="F76" s="14">
        <f t="shared" si="15"/>
        <v>1000</v>
      </c>
      <c r="G76" s="14" t="str">
        <f t="shared" si="16"/>
        <v>低级强化石</v>
      </c>
      <c r="H76" s="14">
        <f t="shared" si="17"/>
        <v>10</v>
      </c>
      <c r="I76" s="14"/>
      <c r="J76" s="14"/>
      <c r="Y76" s="13">
        <v>41</v>
      </c>
      <c r="Z76" s="13">
        <f t="shared" si="18"/>
        <v>1501003</v>
      </c>
      <c r="AA76" s="14" t="str">
        <f t="shared" si="19"/>
        <v>典韦</v>
      </c>
      <c r="AB76" s="13">
        <f t="shared" si="7"/>
        <v>11</v>
      </c>
      <c r="AC76" s="14" t="str">
        <f t="shared" si="20"/>
        <v/>
      </c>
      <c r="AD76" s="14" t="str">
        <f t="shared" si="21"/>
        <v>AtkRate</v>
      </c>
      <c r="AE76" s="14">
        <f t="shared" si="22"/>
        <v>0.14000000000000001</v>
      </c>
      <c r="AF76" s="13" t="s">
        <v>446</v>
      </c>
      <c r="AG76" s="13"/>
      <c r="AH76" s="13" t="s">
        <v>445</v>
      </c>
      <c r="AI76" s="14">
        <f t="shared" si="8"/>
        <v>500</v>
      </c>
      <c r="AJ76" s="14" t="str">
        <f t="shared" si="9"/>
        <v>典韦碎片</v>
      </c>
      <c r="AK76" s="13">
        <f t="shared" si="10"/>
        <v>30</v>
      </c>
    </row>
    <row r="77" spans="1:37" ht="16.5" x14ac:dyDescent="0.2">
      <c r="A77" s="13">
        <v>42</v>
      </c>
      <c r="B77" s="13">
        <f t="shared" si="11"/>
        <v>1501005</v>
      </c>
      <c r="C77" s="13">
        <f t="shared" si="12"/>
        <v>2</v>
      </c>
      <c r="D77" s="14">
        <f t="shared" si="13"/>
        <v>0.13</v>
      </c>
      <c r="E77" s="14" t="str">
        <f t="shared" si="14"/>
        <v>金币</v>
      </c>
      <c r="F77" s="14">
        <f t="shared" si="15"/>
        <v>2000</v>
      </c>
      <c r="G77" s="14" t="str">
        <f t="shared" si="16"/>
        <v>低级强化石</v>
      </c>
      <c r="H77" s="14">
        <f t="shared" si="17"/>
        <v>15</v>
      </c>
      <c r="I77" s="14"/>
      <c r="J77" s="14"/>
      <c r="Y77" s="13">
        <v>42</v>
      </c>
      <c r="Z77" s="13">
        <f t="shared" si="18"/>
        <v>1501003</v>
      </c>
      <c r="AA77" s="14" t="str">
        <f t="shared" si="19"/>
        <v>典韦</v>
      </c>
      <c r="AB77" s="13">
        <f t="shared" si="7"/>
        <v>12</v>
      </c>
      <c r="AC77" s="14" t="str">
        <f t="shared" si="20"/>
        <v/>
      </c>
      <c r="AD77" s="14" t="str">
        <f t="shared" si="21"/>
        <v>Block</v>
      </c>
      <c r="AE77" s="14">
        <f t="shared" si="22"/>
        <v>0.14000000000000001</v>
      </c>
      <c r="AF77" s="13" t="s">
        <v>446</v>
      </c>
      <c r="AG77" s="13"/>
      <c r="AH77" s="13" t="s">
        <v>445</v>
      </c>
      <c r="AI77" s="14">
        <f t="shared" si="8"/>
        <v>600</v>
      </c>
      <c r="AJ77" s="14" t="str">
        <f t="shared" si="9"/>
        <v>典韦碎片</v>
      </c>
      <c r="AK77" s="13">
        <f t="shared" si="10"/>
        <v>30</v>
      </c>
    </row>
    <row r="78" spans="1:37" ht="16.5" x14ac:dyDescent="0.2">
      <c r="A78" s="13">
        <v>43</v>
      </c>
      <c r="B78" s="13">
        <f t="shared" si="11"/>
        <v>1501005</v>
      </c>
      <c r="C78" s="13">
        <f t="shared" si="12"/>
        <v>3</v>
      </c>
      <c r="D78" s="14">
        <f t="shared" si="13"/>
        <v>0.19</v>
      </c>
      <c r="E78" s="14" t="str">
        <f t="shared" si="14"/>
        <v>金币</v>
      </c>
      <c r="F78" s="14">
        <f t="shared" si="15"/>
        <v>3000</v>
      </c>
      <c r="G78" s="14" t="str">
        <f t="shared" si="16"/>
        <v>低级强化石</v>
      </c>
      <c r="H78" s="14">
        <f t="shared" si="17"/>
        <v>20</v>
      </c>
      <c r="I78" s="14"/>
      <c r="J78" s="14"/>
      <c r="Y78" s="13">
        <v>43</v>
      </c>
      <c r="Z78" s="13">
        <f t="shared" si="18"/>
        <v>1501003</v>
      </c>
      <c r="AA78" s="14" t="str">
        <f t="shared" si="19"/>
        <v>典韦</v>
      </c>
      <c r="AB78" s="13">
        <f t="shared" si="7"/>
        <v>13</v>
      </c>
      <c r="AC78" s="14" t="str">
        <f t="shared" si="20"/>
        <v/>
      </c>
      <c r="AD78" s="14" t="str">
        <f t="shared" si="21"/>
        <v>Crit</v>
      </c>
      <c r="AE78" s="14">
        <f t="shared" si="22"/>
        <v>0.14000000000000001</v>
      </c>
      <c r="AF78" s="13" t="s">
        <v>446</v>
      </c>
      <c r="AG78" s="13"/>
      <c r="AH78" s="13" t="s">
        <v>445</v>
      </c>
      <c r="AI78" s="14">
        <f t="shared" si="8"/>
        <v>700</v>
      </c>
      <c r="AJ78" s="14" t="str">
        <f t="shared" si="9"/>
        <v>典韦碎片</v>
      </c>
      <c r="AK78" s="13">
        <f t="shared" si="10"/>
        <v>30</v>
      </c>
    </row>
    <row r="79" spans="1:37" ht="16.5" x14ac:dyDescent="0.2">
      <c r="A79" s="13">
        <v>44</v>
      </c>
      <c r="B79" s="13">
        <f t="shared" si="11"/>
        <v>1501005</v>
      </c>
      <c r="C79" s="13">
        <f t="shared" si="12"/>
        <v>4</v>
      </c>
      <c r="D79" s="14">
        <f t="shared" si="13"/>
        <v>0.28000000000000003</v>
      </c>
      <c r="E79" s="14" t="str">
        <f t="shared" si="14"/>
        <v>金币</v>
      </c>
      <c r="F79" s="14">
        <f t="shared" si="15"/>
        <v>4000</v>
      </c>
      <c r="G79" s="14" t="str">
        <f t="shared" si="16"/>
        <v>低级强化石</v>
      </c>
      <c r="H79" s="14">
        <f t="shared" si="17"/>
        <v>20</v>
      </c>
      <c r="I79" s="14" t="str">
        <f t="shared" ref="I79:J85" si="27">INDEX(T$36:T$45,$C79)</f>
        <v>中级强化石</v>
      </c>
      <c r="J79" s="14">
        <f t="shared" si="27"/>
        <v>10</v>
      </c>
      <c r="Y79" s="13">
        <v>44</v>
      </c>
      <c r="Z79" s="13">
        <f t="shared" si="18"/>
        <v>1501003</v>
      </c>
      <c r="AA79" s="14" t="str">
        <f t="shared" si="19"/>
        <v>典韦</v>
      </c>
      <c r="AB79" s="13">
        <f t="shared" si="7"/>
        <v>14</v>
      </c>
      <c r="AC79" s="14" t="str">
        <f t="shared" si="20"/>
        <v/>
      </c>
      <c r="AD79" s="14" t="str">
        <f t="shared" si="21"/>
        <v>DefRate</v>
      </c>
      <c r="AE79" s="14">
        <f t="shared" si="22"/>
        <v>0.14000000000000001</v>
      </c>
      <c r="AF79" s="13" t="s">
        <v>446</v>
      </c>
      <c r="AG79" s="13"/>
      <c r="AH79" s="13" t="s">
        <v>445</v>
      </c>
      <c r="AI79" s="14">
        <f t="shared" si="8"/>
        <v>800</v>
      </c>
      <c r="AJ79" s="14" t="str">
        <f t="shared" si="9"/>
        <v>典韦碎片</v>
      </c>
      <c r="AK79" s="13">
        <f t="shared" si="10"/>
        <v>50</v>
      </c>
    </row>
    <row r="80" spans="1:37" ht="16.5" x14ac:dyDescent="0.2">
      <c r="A80" s="13">
        <v>45</v>
      </c>
      <c r="B80" s="13">
        <f t="shared" si="11"/>
        <v>1501005</v>
      </c>
      <c r="C80" s="13">
        <f t="shared" si="12"/>
        <v>5</v>
      </c>
      <c r="D80" s="14">
        <f t="shared" si="13"/>
        <v>0.38</v>
      </c>
      <c r="E80" s="14" t="str">
        <f t="shared" si="14"/>
        <v>金币</v>
      </c>
      <c r="F80" s="14">
        <f t="shared" si="15"/>
        <v>5000</v>
      </c>
      <c r="G80" s="14" t="str">
        <f t="shared" si="16"/>
        <v>低级强化石</v>
      </c>
      <c r="H80" s="14">
        <f t="shared" si="17"/>
        <v>20</v>
      </c>
      <c r="I80" s="14" t="str">
        <f t="shared" si="27"/>
        <v>中级强化石</v>
      </c>
      <c r="J80" s="14">
        <f t="shared" si="27"/>
        <v>15</v>
      </c>
      <c r="Y80" s="13">
        <v>45</v>
      </c>
      <c r="Z80" s="13">
        <f t="shared" si="18"/>
        <v>1501003</v>
      </c>
      <c r="AA80" s="14" t="str">
        <f t="shared" si="19"/>
        <v>典韦</v>
      </c>
      <c r="AB80" s="13">
        <f t="shared" si="7"/>
        <v>15</v>
      </c>
      <c r="AC80" s="14" t="str">
        <f t="shared" si="20"/>
        <v/>
      </c>
      <c r="AD80" s="14" t="str">
        <f t="shared" si="21"/>
        <v>HPRate</v>
      </c>
      <c r="AE80" s="14">
        <f t="shared" si="22"/>
        <v>0.14000000000000001</v>
      </c>
      <c r="AF80" s="13" t="s">
        <v>446</v>
      </c>
      <c r="AG80" s="13"/>
      <c r="AH80" s="13" t="s">
        <v>445</v>
      </c>
      <c r="AI80" s="14">
        <f t="shared" si="8"/>
        <v>1000</v>
      </c>
      <c r="AJ80" s="14" t="str">
        <f t="shared" si="9"/>
        <v>典韦碎片</v>
      </c>
      <c r="AK80" s="13">
        <f t="shared" si="10"/>
        <v>60</v>
      </c>
    </row>
    <row r="81" spans="1:37" ht="16.5" x14ac:dyDescent="0.2">
      <c r="A81" s="13">
        <v>46</v>
      </c>
      <c r="B81" s="13">
        <f t="shared" si="11"/>
        <v>1501005</v>
      </c>
      <c r="C81" s="13">
        <f t="shared" si="12"/>
        <v>6</v>
      </c>
      <c r="D81" s="14">
        <f t="shared" si="13"/>
        <v>0.47</v>
      </c>
      <c r="E81" s="14" t="str">
        <f t="shared" si="14"/>
        <v>金币</v>
      </c>
      <c r="F81" s="14">
        <f t="shared" si="15"/>
        <v>6000</v>
      </c>
      <c r="G81" s="14" t="str">
        <f t="shared" si="16"/>
        <v>低级强化石</v>
      </c>
      <c r="H81" s="14">
        <f t="shared" si="17"/>
        <v>20</v>
      </c>
      <c r="I81" s="14" t="str">
        <f t="shared" si="27"/>
        <v>中级强化石</v>
      </c>
      <c r="J81" s="14">
        <f t="shared" si="27"/>
        <v>20</v>
      </c>
      <c r="Y81" s="13">
        <v>46</v>
      </c>
      <c r="Z81" s="13">
        <f t="shared" si="18"/>
        <v>1501004</v>
      </c>
      <c r="AA81" s="14" t="str">
        <f t="shared" si="19"/>
        <v>唐流雨</v>
      </c>
      <c r="AB81" s="13">
        <f t="shared" si="7"/>
        <v>1</v>
      </c>
      <c r="AC81" s="14" t="str">
        <f t="shared" si="20"/>
        <v/>
      </c>
      <c r="AD81" s="14" t="str">
        <f t="shared" si="21"/>
        <v>AtkExt</v>
      </c>
      <c r="AE81" s="14">
        <f t="shared" si="22"/>
        <v>250</v>
      </c>
      <c r="AF81" s="13" t="s">
        <v>446</v>
      </c>
      <c r="AG81" s="13"/>
      <c r="AH81" s="13" t="s">
        <v>445</v>
      </c>
      <c r="AI81" s="14">
        <f t="shared" si="8"/>
        <v>10</v>
      </c>
      <c r="AJ81" s="14" t="str">
        <f t="shared" si="9"/>
        <v/>
      </c>
      <c r="AK81" s="13" t="str">
        <f t="shared" si="10"/>
        <v/>
      </c>
    </row>
    <row r="82" spans="1:37" ht="16.5" x14ac:dyDescent="0.2">
      <c r="A82" s="13">
        <v>47</v>
      </c>
      <c r="B82" s="13">
        <f t="shared" si="11"/>
        <v>1501005</v>
      </c>
      <c r="C82" s="13">
        <f t="shared" si="12"/>
        <v>7</v>
      </c>
      <c r="D82" s="14">
        <f t="shared" si="13"/>
        <v>0.59</v>
      </c>
      <c r="E82" s="14" t="str">
        <f t="shared" si="14"/>
        <v>金币</v>
      </c>
      <c r="F82" s="14">
        <f t="shared" si="15"/>
        <v>7000</v>
      </c>
      <c r="G82" s="14" t="str">
        <f t="shared" si="16"/>
        <v>中级强化石</v>
      </c>
      <c r="H82" s="14">
        <f t="shared" si="17"/>
        <v>20</v>
      </c>
      <c r="I82" s="14" t="str">
        <f t="shared" si="27"/>
        <v>高级强化石</v>
      </c>
      <c r="J82" s="14">
        <f t="shared" si="27"/>
        <v>10</v>
      </c>
      <c r="Y82" s="13">
        <v>47</v>
      </c>
      <c r="Z82" s="13">
        <f t="shared" si="18"/>
        <v>1501004</v>
      </c>
      <c r="AA82" s="14" t="str">
        <f t="shared" si="19"/>
        <v>唐流雨</v>
      </c>
      <c r="AB82" s="13">
        <f t="shared" si="7"/>
        <v>2</v>
      </c>
      <c r="AC82" s="14" t="str">
        <f t="shared" si="20"/>
        <v/>
      </c>
      <c r="AD82" s="14" t="str">
        <f t="shared" si="21"/>
        <v>HPExt</v>
      </c>
      <c r="AE82" s="14">
        <f t="shared" si="22"/>
        <v>2250</v>
      </c>
      <c r="AF82" s="13" t="s">
        <v>446</v>
      </c>
      <c r="AG82" s="13"/>
      <c r="AH82" s="13" t="s">
        <v>445</v>
      </c>
      <c r="AI82" s="14">
        <f t="shared" si="8"/>
        <v>20</v>
      </c>
      <c r="AJ82" s="14" t="str">
        <f t="shared" si="9"/>
        <v/>
      </c>
      <c r="AK82" s="13" t="str">
        <f t="shared" si="10"/>
        <v/>
      </c>
    </row>
    <row r="83" spans="1:37" ht="16.5" x14ac:dyDescent="0.2">
      <c r="A83" s="13">
        <v>48</v>
      </c>
      <c r="B83" s="13">
        <f t="shared" si="11"/>
        <v>1501005</v>
      </c>
      <c r="C83" s="13">
        <f t="shared" si="12"/>
        <v>8</v>
      </c>
      <c r="D83" s="14">
        <f t="shared" si="13"/>
        <v>0.72</v>
      </c>
      <c r="E83" s="14" t="str">
        <f t="shared" si="14"/>
        <v>金币</v>
      </c>
      <c r="F83" s="14">
        <f t="shared" si="15"/>
        <v>8000</v>
      </c>
      <c r="G83" s="14" t="str">
        <f t="shared" si="16"/>
        <v>中级强化石</v>
      </c>
      <c r="H83" s="14">
        <f t="shared" si="17"/>
        <v>20</v>
      </c>
      <c r="I83" s="14" t="str">
        <f t="shared" si="27"/>
        <v>高级强化石</v>
      </c>
      <c r="J83" s="14">
        <f t="shared" si="27"/>
        <v>15</v>
      </c>
      <c r="Y83" s="13">
        <v>48</v>
      </c>
      <c r="Z83" s="13">
        <f t="shared" si="18"/>
        <v>1501004</v>
      </c>
      <c r="AA83" s="14" t="str">
        <f t="shared" si="19"/>
        <v>唐流雨</v>
      </c>
      <c r="AB83" s="13">
        <f t="shared" si="7"/>
        <v>3</v>
      </c>
      <c r="AC83" s="14">
        <f t="shared" si="20"/>
        <v>130300409</v>
      </c>
      <c r="AD83" s="14" t="str">
        <f t="shared" si="21"/>
        <v/>
      </c>
      <c r="AE83" s="14" t="str">
        <f t="shared" si="22"/>
        <v/>
      </c>
      <c r="AF83" s="13" t="s">
        <v>446</v>
      </c>
      <c r="AG83" s="13"/>
      <c r="AH83" s="13" t="s">
        <v>445</v>
      </c>
      <c r="AI83" s="14">
        <f t="shared" si="8"/>
        <v>30</v>
      </c>
      <c r="AJ83" s="14" t="str">
        <f t="shared" si="9"/>
        <v>唐流雨碎片</v>
      </c>
      <c r="AK83" s="13">
        <f t="shared" si="10"/>
        <v>5</v>
      </c>
    </row>
    <row r="84" spans="1:37" ht="16.5" x14ac:dyDescent="0.2">
      <c r="A84" s="13">
        <v>49</v>
      </c>
      <c r="B84" s="13">
        <f t="shared" si="11"/>
        <v>1501005</v>
      </c>
      <c r="C84" s="13">
        <f t="shared" si="12"/>
        <v>9</v>
      </c>
      <c r="D84" s="14">
        <f t="shared" si="13"/>
        <v>0.84</v>
      </c>
      <c r="E84" s="14" t="str">
        <f t="shared" si="14"/>
        <v>金币</v>
      </c>
      <c r="F84" s="14">
        <f t="shared" si="15"/>
        <v>9000</v>
      </c>
      <c r="G84" s="14" t="str">
        <f t="shared" si="16"/>
        <v>中级强化石</v>
      </c>
      <c r="H84" s="14">
        <f t="shared" si="17"/>
        <v>20</v>
      </c>
      <c r="I84" s="14" t="str">
        <f t="shared" si="27"/>
        <v>高级强化石</v>
      </c>
      <c r="J84" s="14">
        <f t="shared" si="27"/>
        <v>20</v>
      </c>
      <c r="Y84" s="13">
        <v>49</v>
      </c>
      <c r="Z84" s="13">
        <f t="shared" si="18"/>
        <v>1501004</v>
      </c>
      <c r="AA84" s="14" t="str">
        <f t="shared" si="19"/>
        <v>唐流雨</v>
      </c>
      <c r="AB84" s="13">
        <f t="shared" si="7"/>
        <v>4</v>
      </c>
      <c r="AC84" s="14" t="str">
        <f t="shared" si="20"/>
        <v/>
      </c>
      <c r="AD84" s="14" t="str">
        <f t="shared" si="21"/>
        <v>AtkRate</v>
      </c>
      <c r="AE84" s="14">
        <f t="shared" si="22"/>
        <v>0.11</v>
      </c>
      <c r="AF84" s="13" t="s">
        <v>446</v>
      </c>
      <c r="AG84" s="13"/>
      <c r="AH84" s="13" t="s">
        <v>445</v>
      </c>
      <c r="AI84" s="14">
        <f t="shared" si="8"/>
        <v>50</v>
      </c>
      <c r="AJ84" s="14" t="str">
        <f t="shared" si="9"/>
        <v>唐流雨碎片</v>
      </c>
      <c r="AK84" s="13">
        <f t="shared" si="10"/>
        <v>5</v>
      </c>
    </row>
    <row r="85" spans="1:37" ht="16.5" x14ac:dyDescent="0.2">
      <c r="A85" s="13">
        <v>50</v>
      </c>
      <c r="B85" s="13">
        <f t="shared" si="11"/>
        <v>1501005</v>
      </c>
      <c r="C85" s="13">
        <f t="shared" si="12"/>
        <v>10</v>
      </c>
      <c r="D85" s="14">
        <f t="shared" si="13"/>
        <v>1</v>
      </c>
      <c r="E85" s="14" t="str">
        <f t="shared" si="14"/>
        <v>金币</v>
      </c>
      <c r="F85" s="14">
        <f t="shared" si="15"/>
        <v>10000</v>
      </c>
      <c r="G85" s="14" t="str">
        <f t="shared" si="16"/>
        <v>中级强化石</v>
      </c>
      <c r="H85" s="14">
        <f t="shared" si="17"/>
        <v>20</v>
      </c>
      <c r="I85" s="14" t="str">
        <f t="shared" si="27"/>
        <v>高级强化石</v>
      </c>
      <c r="J85" s="14">
        <f t="shared" si="27"/>
        <v>25</v>
      </c>
      <c r="Y85" s="13">
        <v>50</v>
      </c>
      <c r="Z85" s="13">
        <f t="shared" si="18"/>
        <v>1501004</v>
      </c>
      <c r="AA85" s="14" t="str">
        <f t="shared" si="19"/>
        <v>唐流雨</v>
      </c>
      <c r="AB85" s="13">
        <f t="shared" si="7"/>
        <v>5</v>
      </c>
      <c r="AC85" s="14" t="str">
        <f t="shared" si="20"/>
        <v/>
      </c>
      <c r="AD85" s="14" t="str">
        <f t="shared" si="21"/>
        <v>Crit</v>
      </c>
      <c r="AE85" s="14">
        <f t="shared" si="22"/>
        <v>0.11</v>
      </c>
      <c r="AF85" s="13" t="s">
        <v>446</v>
      </c>
      <c r="AG85" s="13"/>
      <c r="AH85" s="13" t="s">
        <v>445</v>
      </c>
      <c r="AI85" s="14">
        <f t="shared" si="8"/>
        <v>100</v>
      </c>
      <c r="AJ85" s="14" t="str">
        <f t="shared" si="9"/>
        <v>唐流雨碎片</v>
      </c>
      <c r="AK85" s="13">
        <f t="shared" si="10"/>
        <v>10</v>
      </c>
    </row>
    <row r="86" spans="1:37" ht="16.5" x14ac:dyDescent="0.2">
      <c r="A86" s="13">
        <v>51</v>
      </c>
      <c r="B86" s="13">
        <f t="shared" si="11"/>
        <v>1501006</v>
      </c>
      <c r="C86" s="13">
        <f t="shared" si="12"/>
        <v>1</v>
      </c>
      <c r="D86" s="14">
        <f t="shared" si="13"/>
        <v>0.06</v>
      </c>
      <c r="E86" s="14" t="str">
        <f t="shared" si="14"/>
        <v>金币</v>
      </c>
      <c r="F86" s="14">
        <f t="shared" si="15"/>
        <v>1000</v>
      </c>
      <c r="G86" s="14" t="str">
        <f t="shared" si="16"/>
        <v>低级强化石</v>
      </c>
      <c r="H86" s="14">
        <f t="shared" si="17"/>
        <v>10</v>
      </c>
      <c r="I86" s="14"/>
      <c r="J86" s="14"/>
      <c r="Y86" s="13">
        <v>51</v>
      </c>
      <c r="Z86" s="13">
        <f t="shared" si="18"/>
        <v>1501004</v>
      </c>
      <c r="AA86" s="14" t="str">
        <f t="shared" si="19"/>
        <v>唐流雨</v>
      </c>
      <c r="AB86" s="13">
        <f t="shared" si="7"/>
        <v>6</v>
      </c>
      <c r="AC86" s="14" t="str">
        <f t="shared" si="20"/>
        <v/>
      </c>
      <c r="AD86" s="14" t="str">
        <f t="shared" si="21"/>
        <v>AtkRate</v>
      </c>
      <c r="AE86" s="14">
        <f t="shared" si="22"/>
        <v>0.11</v>
      </c>
      <c r="AF86" s="13" t="s">
        <v>446</v>
      </c>
      <c r="AG86" s="13"/>
      <c r="AH86" s="13" t="s">
        <v>445</v>
      </c>
      <c r="AI86" s="14">
        <f t="shared" si="8"/>
        <v>150</v>
      </c>
      <c r="AJ86" s="14" t="str">
        <f t="shared" si="9"/>
        <v>唐流雨碎片</v>
      </c>
      <c r="AK86" s="13">
        <f t="shared" si="10"/>
        <v>10</v>
      </c>
    </row>
    <row r="87" spans="1:37" ht="16.5" x14ac:dyDescent="0.2">
      <c r="A87" s="13">
        <v>52</v>
      </c>
      <c r="B87" s="13">
        <f t="shared" si="11"/>
        <v>1501006</v>
      </c>
      <c r="C87" s="13">
        <f t="shared" si="12"/>
        <v>2</v>
      </c>
      <c r="D87" s="14">
        <f t="shared" si="13"/>
        <v>0.13</v>
      </c>
      <c r="E87" s="14" t="str">
        <f t="shared" si="14"/>
        <v>金币</v>
      </c>
      <c r="F87" s="14">
        <f t="shared" si="15"/>
        <v>2000</v>
      </c>
      <c r="G87" s="14" t="str">
        <f t="shared" si="16"/>
        <v>低级强化石</v>
      </c>
      <c r="H87" s="14">
        <f t="shared" si="17"/>
        <v>15</v>
      </c>
      <c r="I87" s="14"/>
      <c r="J87" s="14"/>
      <c r="Y87" s="13">
        <v>52</v>
      </c>
      <c r="Z87" s="13">
        <f t="shared" si="18"/>
        <v>1501004</v>
      </c>
      <c r="AA87" s="14" t="str">
        <f t="shared" si="19"/>
        <v>唐流雨</v>
      </c>
      <c r="AB87" s="13">
        <f t="shared" si="7"/>
        <v>7</v>
      </c>
      <c r="AC87" s="14" t="str">
        <f t="shared" si="20"/>
        <v/>
      </c>
      <c r="AD87" s="14" t="str">
        <f t="shared" si="21"/>
        <v>CritRate</v>
      </c>
      <c r="AE87" s="14">
        <f t="shared" si="22"/>
        <v>0.21</v>
      </c>
      <c r="AF87" s="13" t="s">
        <v>446</v>
      </c>
      <c r="AG87" s="13"/>
      <c r="AH87" s="13" t="s">
        <v>445</v>
      </c>
      <c r="AI87" s="14">
        <f t="shared" si="8"/>
        <v>200</v>
      </c>
      <c r="AJ87" s="14" t="str">
        <f t="shared" si="9"/>
        <v>唐流雨碎片</v>
      </c>
      <c r="AK87" s="13">
        <f t="shared" si="10"/>
        <v>10</v>
      </c>
    </row>
    <row r="88" spans="1:37" ht="16.5" x14ac:dyDescent="0.2">
      <c r="A88" s="13">
        <v>53</v>
      </c>
      <c r="B88" s="13">
        <f t="shared" si="11"/>
        <v>1501006</v>
      </c>
      <c r="C88" s="13">
        <f t="shared" si="12"/>
        <v>3</v>
      </c>
      <c r="D88" s="14">
        <f t="shared" si="13"/>
        <v>0.19</v>
      </c>
      <c r="E88" s="14" t="str">
        <f t="shared" si="14"/>
        <v>金币</v>
      </c>
      <c r="F88" s="14">
        <f t="shared" si="15"/>
        <v>3000</v>
      </c>
      <c r="G88" s="14" t="str">
        <f t="shared" si="16"/>
        <v>低级强化石</v>
      </c>
      <c r="H88" s="14">
        <f t="shared" si="17"/>
        <v>20</v>
      </c>
      <c r="I88" s="14"/>
      <c r="J88" s="14"/>
      <c r="Y88" s="13">
        <v>53</v>
      </c>
      <c r="Z88" s="13">
        <f t="shared" si="18"/>
        <v>1501004</v>
      </c>
      <c r="AA88" s="14" t="str">
        <f t="shared" si="19"/>
        <v>唐流雨</v>
      </c>
      <c r="AB88" s="13">
        <f t="shared" si="7"/>
        <v>8</v>
      </c>
      <c r="AC88" s="14" t="str">
        <f t="shared" si="20"/>
        <v/>
      </c>
      <c r="AD88" s="14" t="str">
        <f t="shared" si="21"/>
        <v>AtkRate</v>
      </c>
      <c r="AE88" s="14">
        <f t="shared" si="22"/>
        <v>0.11</v>
      </c>
      <c r="AF88" s="13" t="s">
        <v>446</v>
      </c>
      <c r="AG88" s="13"/>
      <c r="AH88" s="13" t="s">
        <v>445</v>
      </c>
      <c r="AI88" s="14">
        <f t="shared" si="8"/>
        <v>250</v>
      </c>
      <c r="AJ88" s="14" t="str">
        <f t="shared" si="9"/>
        <v>唐流雨碎片</v>
      </c>
      <c r="AK88" s="13">
        <f t="shared" si="10"/>
        <v>20</v>
      </c>
    </row>
    <row r="89" spans="1:37" ht="16.5" x14ac:dyDescent="0.2">
      <c r="A89" s="13">
        <v>54</v>
      </c>
      <c r="B89" s="13">
        <f t="shared" si="11"/>
        <v>1501006</v>
      </c>
      <c r="C89" s="13">
        <f t="shared" si="12"/>
        <v>4</v>
      </c>
      <c r="D89" s="14">
        <f t="shared" si="13"/>
        <v>0.28000000000000003</v>
      </c>
      <c r="E89" s="14" t="str">
        <f t="shared" si="14"/>
        <v>金币</v>
      </c>
      <c r="F89" s="14">
        <f t="shared" si="15"/>
        <v>4000</v>
      </c>
      <c r="G89" s="14" t="str">
        <f t="shared" si="16"/>
        <v>低级强化石</v>
      </c>
      <c r="H89" s="14">
        <f t="shared" si="17"/>
        <v>20</v>
      </c>
      <c r="I89" s="14" t="str">
        <f t="shared" ref="I89:J95" si="28">INDEX(T$36:T$45,$C89)</f>
        <v>中级强化石</v>
      </c>
      <c r="J89" s="14">
        <f t="shared" si="28"/>
        <v>10</v>
      </c>
      <c r="Y89" s="13">
        <v>54</v>
      </c>
      <c r="Z89" s="13">
        <f t="shared" si="18"/>
        <v>1501004</v>
      </c>
      <c r="AA89" s="14" t="str">
        <f t="shared" si="19"/>
        <v>唐流雨</v>
      </c>
      <c r="AB89" s="13">
        <f t="shared" si="7"/>
        <v>9</v>
      </c>
      <c r="AC89" s="14" t="str">
        <f t="shared" si="20"/>
        <v/>
      </c>
      <c r="AD89" s="14" t="str">
        <f t="shared" si="21"/>
        <v>HPRate</v>
      </c>
      <c r="AE89" s="14">
        <f t="shared" si="22"/>
        <v>0.11</v>
      </c>
      <c r="AF89" s="13" t="s">
        <v>446</v>
      </c>
      <c r="AG89" s="13"/>
      <c r="AH89" s="13" t="s">
        <v>445</v>
      </c>
      <c r="AI89" s="14">
        <f t="shared" si="8"/>
        <v>300</v>
      </c>
      <c r="AJ89" s="14" t="str">
        <f t="shared" si="9"/>
        <v>唐流雨碎片</v>
      </c>
      <c r="AK89" s="13">
        <f t="shared" si="10"/>
        <v>20</v>
      </c>
    </row>
    <row r="90" spans="1:37" ht="16.5" x14ac:dyDescent="0.2">
      <c r="A90" s="13">
        <v>55</v>
      </c>
      <c r="B90" s="13">
        <f t="shared" si="11"/>
        <v>1501006</v>
      </c>
      <c r="C90" s="13">
        <f t="shared" si="12"/>
        <v>5</v>
      </c>
      <c r="D90" s="14">
        <f t="shared" si="13"/>
        <v>0.38</v>
      </c>
      <c r="E90" s="14" t="str">
        <f t="shared" si="14"/>
        <v>金币</v>
      </c>
      <c r="F90" s="14">
        <f t="shared" si="15"/>
        <v>5000</v>
      </c>
      <c r="G90" s="14" t="str">
        <f t="shared" si="16"/>
        <v>低级强化石</v>
      </c>
      <c r="H90" s="14">
        <f t="shared" si="17"/>
        <v>20</v>
      </c>
      <c r="I90" s="14" t="str">
        <f t="shared" si="28"/>
        <v>中级强化石</v>
      </c>
      <c r="J90" s="14">
        <f t="shared" si="28"/>
        <v>15</v>
      </c>
      <c r="Y90" s="13">
        <v>55</v>
      </c>
      <c r="Z90" s="13">
        <f t="shared" si="18"/>
        <v>1501004</v>
      </c>
      <c r="AA90" s="14" t="str">
        <f t="shared" si="19"/>
        <v>唐流雨</v>
      </c>
      <c r="AB90" s="13">
        <f t="shared" si="7"/>
        <v>10</v>
      </c>
      <c r="AC90" s="14" t="str">
        <f t="shared" si="20"/>
        <v/>
      </c>
      <c r="AD90" s="14" t="str">
        <f t="shared" si="21"/>
        <v>AtkRate</v>
      </c>
      <c r="AE90" s="14">
        <f t="shared" si="22"/>
        <v>0.14000000000000001</v>
      </c>
      <c r="AF90" s="13" t="s">
        <v>446</v>
      </c>
      <c r="AG90" s="13"/>
      <c r="AH90" s="13" t="s">
        <v>445</v>
      </c>
      <c r="AI90" s="14">
        <f t="shared" si="8"/>
        <v>400</v>
      </c>
      <c r="AJ90" s="14" t="str">
        <f t="shared" si="9"/>
        <v>唐流雨碎片</v>
      </c>
      <c r="AK90" s="13">
        <f t="shared" si="10"/>
        <v>20</v>
      </c>
    </row>
    <row r="91" spans="1:37" ht="16.5" x14ac:dyDescent="0.2">
      <c r="A91" s="13">
        <v>56</v>
      </c>
      <c r="B91" s="13">
        <f t="shared" si="11"/>
        <v>1501006</v>
      </c>
      <c r="C91" s="13">
        <f t="shared" si="12"/>
        <v>6</v>
      </c>
      <c r="D91" s="14">
        <f t="shared" si="13"/>
        <v>0.47</v>
      </c>
      <c r="E91" s="14" t="str">
        <f t="shared" si="14"/>
        <v>金币</v>
      </c>
      <c r="F91" s="14">
        <f t="shared" si="15"/>
        <v>6000</v>
      </c>
      <c r="G91" s="14" t="str">
        <f t="shared" si="16"/>
        <v>低级强化石</v>
      </c>
      <c r="H91" s="14">
        <f t="shared" si="17"/>
        <v>20</v>
      </c>
      <c r="I91" s="14" t="str">
        <f t="shared" si="28"/>
        <v>中级强化石</v>
      </c>
      <c r="J91" s="14">
        <f t="shared" si="28"/>
        <v>20</v>
      </c>
      <c r="Y91" s="13">
        <v>56</v>
      </c>
      <c r="Z91" s="13">
        <f t="shared" si="18"/>
        <v>1501004</v>
      </c>
      <c r="AA91" s="14" t="str">
        <f t="shared" si="19"/>
        <v>唐流雨</v>
      </c>
      <c r="AB91" s="13">
        <f t="shared" si="7"/>
        <v>11</v>
      </c>
      <c r="AC91" s="14" t="str">
        <f t="shared" si="20"/>
        <v/>
      </c>
      <c r="AD91" s="14" t="str">
        <f t="shared" si="21"/>
        <v>Crit</v>
      </c>
      <c r="AE91" s="14">
        <f t="shared" si="22"/>
        <v>0.14000000000000001</v>
      </c>
      <c r="AF91" s="13" t="s">
        <v>446</v>
      </c>
      <c r="AG91" s="13"/>
      <c r="AH91" s="13" t="s">
        <v>445</v>
      </c>
      <c r="AI91" s="14">
        <f t="shared" si="8"/>
        <v>500</v>
      </c>
      <c r="AJ91" s="14" t="str">
        <f t="shared" si="9"/>
        <v>唐流雨碎片</v>
      </c>
      <c r="AK91" s="13">
        <f t="shared" si="10"/>
        <v>30</v>
      </c>
    </row>
    <row r="92" spans="1:37" ht="16.5" x14ac:dyDescent="0.2">
      <c r="A92" s="13">
        <v>57</v>
      </c>
      <c r="B92" s="13">
        <f t="shared" si="11"/>
        <v>1501006</v>
      </c>
      <c r="C92" s="13">
        <f t="shared" si="12"/>
        <v>7</v>
      </c>
      <c r="D92" s="14">
        <f t="shared" si="13"/>
        <v>0.59</v>
      </c>
      <c r="E92" s="14" t="str">
        <f t="shared" si="14"/>
        <v>金币</v>
      </c>
      <c r="F92" s="14">
        <f t="shared" si="15"/>
        <v>7000</v>
      </c>
      <c r="G92" s="14" t="str">
        <f t="shared" si="16"/>
        <v>中级强化石</v>
      </c>
      <c r="H92" s="14">
        <f t="shared" si="17"/>
        <v>20</v>
      </c>
      <c r="I92" s="14" t="str">
        <f t="shared" si="28"/>
        <v>高级强化石</v>
      </c>
      <c r="J92" s="14">
        <f t="shared" si="28"/>
        <v>10</v>
      </c>
      <c r="Y92" s="13">
        <v>57</v>
      </c>
      <c r="Z92" s="13">
        <f t="shared" si="18"/>
        <v>1501004</v>
      </c>
      <c r="AA92" s="14" t="str">
        <f t="shared" si="19"/>
        <v>唐流雨</v>
      </c>
      <c r="AB92" s="13">
        <f t="shared" si="7"/>
        <v>12</v>
      </c>
      <c r="AC92" s="14" t="str">
        <f t="shared" si="20"/>
        <v/>
      </c>
      <c r="AD92" s="14" t="str">
        <f t="shared" si="21"/>
        <v>AtkRate</v>
      </c>
      <c r="AE92" s="14">
        <f t="shared" si="22"/>
        <v>0.14000000000000001</v>
      </c>
      <c r="AF92" s="13" t="s">
        <v>446</v>
      </c>
      <c r="AG92" s="13"/>
      <c r="AH92" s="13" t="s">
        <v>445</v>
      </c>
      <c r="AI92" s="14">
        <f t="shared" si="8"/>
        <v>600</v>
      </c>
      <c r="AJ92" s="14" t="str">
        <f t="shared" si="9"/>
        <v>唐流雨碎片</v>
      </c>
      <c r="AK92" s="13">
        <f t="shared" si="10"/>
        <v>30</v>
      </c>
    </row>
    <row r="93" spans="1:37" ht="16.5" x14ac:dyDescent="0.2">
      <c r="A93" s="13">
        <v>58</v>
      </c>
      <c r="B93" s="13">
        <f t="shared" si="11"/>
        <v>1501006</v>
      </c>
      <c r="C93" s="13">
        <f t="shared" si="12"/>
        <v>8</v>
      </c>
      <c r="D93" s="14">
        <f t="shared" si="13"/>
        <v>0.72</v>
      </c>
      <c r="E93" s="14" t="str">
        <f t="shared" si="14"/>
        <v>金币</v>
      </c>
      <c r="F93" s="14">
        <f t="shared" si="15"/>
        <v>8000</v>
      </c>
      <c r="G93" s="14" t="str">
        <f t="shared" si="16"/>
        <v>中级强化石</v>
      </c>
      <c r="H93" s="14">
        <f t="shared" si="17"/>
        <v>20</v>
      </c>
      <c r="I93" s="14" t="str">
        <f t="shared" si="28"/>
        <v>高级强化石</v>
      </c>
      <c r="J93" s="14">
        <f t="shared" si="28"/>
        <v>15</v>
      </c>
      <c r="Y93" s="13">
        <v>58</v>
      </c>
      <c r="Z93" s="13">
        <f t="shared" si="18"/>
        <v>1501004</v>
      </c>
      <c r="AA93" s="14" t="str">
        <f t="shared" si="19"/>
        <v>唐流雨</v>
      </c>
      <c r="AB93" s="13">
        <f t="shared" si="7"/>
        <v>13</v>
      </c>
      <c r="AC93" s="14" t="str">
        <f t="shared" si="20"/>
        <v/>
      </c>
      <c r="AD93" s="14" t="str">
        <f t="shared" si="21"/>
        <v>CritRate</v>
      </c>
      <c r="AE93" s="14">
        <f t="shared" si="22"/>
        <v>0.28999999999999998</v>
      </c>
      <c r="AF93" s="13" t="s">
        <v>446</v>
      </c>
      <c r="AG93" s="13"/>
      <c r="AH93" s="13" t="s">
        <v>445</v>
      </c>
      <c r="AI93" s="14">
        <f t="shared" si="8"/>
        <v>700</v>
      </c>
      <c r="AJ93" s="14" t="str">
        <f t="shared" si="9"/>
        <v>唐流雨碎片</v>
      </c>
      <c r="AK93" s="13">
        <f t="shared" si="10"/>
        <v>30</v>
      </c>
    </row>
    <row r="94" spans="1:37" ht="16.5" x14ac:dyDescent="0.2">
      <c r="A94" s="13">
        <v>59</v>
      </c>
      <c r="B94" s="13">
        <f t="shared" si="11"/>
        <v>1501006</v>
      </c>
      <c r="C94" s="13">
        <f t="shared" si="12"/>
        <v>9</v>
      </c>
      <c r="D94" s="14">
        <f t="shared" si="13"/>
        <v>0.84</v>
      </c>
      <c r="E94" s="14" t="str">
        <f t="shared" si="14"/>
        <v>金币</v>
      </c>
      <c r="F94" s="14">
        <f t="shared" si="15"/>
        <v>9000</v>
      </c>
      <c r="G94" s="14" t="str">
        <f t="shared" si="16"/>
        <v>中级强化石</v>
      </c>
      <c r="H94" s="14">
        <f t="shared" si="17"/>
        <v>20</v>
      </c>
      <c r="I94" s="14" t="str">
        <f t="shared" si="28"/>
        <v>高级强化石</v>
      </c>
      <c r="J94" s="14">
        <f t="shared" si="28"/>
        <v>20</v>
      </c>
      <c r="Y94" s="13">
        <v>59</v>
      </c>
      <c r="Z94" s="13">
        <f t="shared" si="18"/>
        <v>1501004</v>
      </c>
      <c r="AA94" s="14" t="str">
        <f t="shared" si="19"/>
        <v>唐流雨</v>
      </c>
      <c r="AB94" s="13">
        <f t="shared" si="7"/>
        <v>14</v>
      </c>
      <c r="AC94" s="14" t="str">
        <f t="shared" si="20"/>
        <v/>
      </c>
      <c r="AD94" s="14" t="str">
        <f t="shared" si="21"/>
        <v>AtkRate</v>
      </c>
      <c r="AE94" s="14">
        <f t="shared" si="22"/>
        <v>0.14000000000000001</v>
      </c>
      <c r="AF94" s="13" t="s">
        <v>446</v>
      </c>
      <c r="AG94" s="13"/>
      <c r="AH94" s="13" t="s">
        <v>445</v>
      </c>
      <c r="AI94" s="14">
        <f t="shared" si="8"/>
        <v>800</v>
      </c>
      <c r="AJ94" s="14" t="str">
        <f t="shared" si="9"/>
        <v>唐流雨碎片</v>
      </c>
      <c r="AK94" s="13">
        <f t="shared" si="10"/>
        <v>50</v>
      </c>
    </row>
    <row r="95" spans="1:37" ht="16.5" x14ac:dyDescent="0.2">
      <c r="A95" s="13">
        <v>60</v>
      </c>
      <c r="B95" s="13">
        <f t="shared" si="11"/>
        <v>1501006</v>
      </c>
      <c r="C95" s="13">
        <f t="shared" si="12"/>
        <v>10</v>
      </c>
      <c r="D95" s="14">
        <f t="shared" si="13"/>
        <v>1</v>
      </c>
      <c r="E95" s="14" t="str">
        <f t="shared" si="14"/>
        <v>金币</v>
      </c>
      <c r="F95" s="14">
        <f t="shared" si="15"/>
        <v>10000</v>
      </c>
      <c r="G95" s="14" t="str">
        <f t="shared" si="16"/>
        <v>中级强化石</v>
      </c>
      <c r="H95" s="14">
        <f t="shared" si="17"/>
        <v>20</v>
      </c>
      <c r="I95" s="14" t="str">
        <f t="shared" si="28"/>
        <v>高级强化石</v>
      </c>
      <c r="J95" s="14">
        <f t="shared" si="28"/>
        <v>25</v>
      </c>
      <c r="Y95" s="13">
        <v>60</v>
      </c>
      <c r="Z95" s="13">
        <f t="shared" si="18"/>
        <v>1501004</v>
      </c>
      <c r="AA95" s="14" t="str">
        <f t="shared" si="19"/>
        <v>唐流雨</v>
      </c>
      <c r="AB95" s="13">
        <f t="shared" si="7"/>
        <v>15</v>
      </c>
      <c r="AC95" s="14" t="str">
        <f t="shared" si="20"/>
        <v/>
      </c>
      <c r="AD95" s="14" t="str">
        <f t="shared" si="21"/>
        <v>HPRate</v>
      </c>
      <c r="AE95" s="14">
        <f t="shared" si="22"/>
        <v>0.14000000000000001</v>
      </c>
      <c r="AF95" s="13" t="s">
        <v>446</v>
      </c>
      <c r="AG95" s="13"/>
      <c r="AH95" s="13" t="s">
        <v>445</v>
      </c>
      <c r="AI95" s="14">
        <f t="shared" si="8"/>
        <v>1000</v>
      </c>
      <c r="AJ95" s="14" t="str">
        <f t="shared" si="9"/>
        <v>唐流雨碎片</v>
      </c>
      <c r="AK95" s="13">
        <f t="shared" si="10"/>
        <v>60</v>
      </c>
    </row>
    <row r="96" spans="1:37" ht="16.5" x14ac:dyDescent="0.2">
      <c r="A96" s="13">
        <v>61</v>
      </c>
      <c r="B96" s="13">
        <f t="shared" si="11"/>
        <v>1501007</v>
      </c>
      <c r="C96" s="13">
        <f t="shared" si="12"/>
        <v>1</v>
      </c>
      <c r="D96" s="14">
        <f t="shared" si="13"/>
        <v>0.06</v>
      </c>
      <c r="E96" s="14" t="str">
        <f t="shared" si="14"/>
        <v>金币</v>
      </c>
      <c r="F96" s="14">
        <f t="shared" si="15"/>
        <v>1000</v>
      </c>
      <c r="G96" s="14" t="str">
        <f t="shared" si="16"/>
        <v>低级强化石</v>
      </c>
      <c r="H96" s="14">
        <f t="shared" si="17"/>
        <v>10</v>
      </c>
      <c r="I96" s="14"/>
      <c r="J96" s="14"/>
      <c r="Y96" s="13">
        <v>61</v>
      </c>
      <c r="Z96" s="13">
        <f t="shared" si="18"/>
        <v>1501005</v>
      </c>
      <c r="AA96" s="14" t="str">
        <f t="shared" si="19"/>
        <v>李轩辕</v>
      </c>
      <c r="AB96" s="13">
        <f t="shared" si="7"/>
        <v>1</v>
      </c>
      <c r="AC96" s="14" t="str">
        <f t="shared" si="20"/>
        <v/>
      </c>
      <c r="AD96" s="14" t="str">
        <f t="shared" si="21"/>
        <v>AtkExt</v>
      </c>
      <c r="AE96" s="14">
        <f t="shared" si="22"/>
        <v>250</v>
      </c>
      <c r="AF96" s="13" t="s">
        <v>446</v>
      </c>
      <c r="AG96" s="13"/>
      <c r="AH96" s="13" t="s">
        <v>445</v>
      </c>
      <c r="AI96" s="14">
        <f t="shared" si="8"/>
        <v>10</v>
      </c>
      <c r="AJ96" s="14" t="str">
        <f t="shared" si="9"/>
        <v/>
      </c>
      <c r="AK96" s="13" t="str">
        <f t="shared" si="10"/>
        <v/>
      </c>
    </row>
    <row r="97" spans="1:37" ht="16.5" x14ac:dyDescent="0.2">
      <c r="A97" s="13">
        <v>62</v>
      </c>
      <c r="B97" s="13">
        <f t="shared" si="11"/>
        <v>1501007</v>
      </c>
      <c r="C97" s="13">
        <f t="shared" si="12"/>
        <v>2</v>
      </c>
      <c r="D97" s="14">
        <f t="shared" si="13"/>
        <v>0.13</v>
      </c>
      <c r="E97" s="14" t="str">
        <f t="shared" si="14"/>
        <v>金币</v>
      </c>
      <c r="F97" s="14">
        <f t="shared" si="15"/>
        <v>2000</v>
      </c>
      <c r="G97" s="14" t="str">
        <f t="shared" si="16"/>
        <v>低级强化石</v>
      </c>
      <c r="H97" s="14">
        <f t="shared" si="17"/>
        <v>15</v>
      </c>
      <c r="I97" s="14"/>
      <c r="J97" s="14"/>
      <c r="Y97" s="13">
        <v>62</v>
      </c>
      <c r="Z97" s="13">
        <f t="shared" si="18"/>
        <v>1501005</v>
      </c>
      <c r="AA97" s="14" t="str">
        <f t="shared" si="19"/>
        <v>李轩辕</v>
      </c>
      <c r="AB97" s="13">
        <f t="shared" si="7"/>
        <v>2</v>
      </c>
      <c r="AC97" s="14" t="str">
        <f t="shared" si="20"/>
        <v/>
      </c>
      <c r="AD97" s="14" t="str">
        <f t="shared" si="21"/>
        <v>HPExt</v>
      </c>
      <c r="AE97" s="14">
        <f t="shared" si="22"/>
        <v>2250</v>
      </c>
      <c r="AF97" s="13" t="s">
        <v>446</v>
      </c>
      <c r="AG97" s="13"/>
      <c r="AH97" s="13" t="s">
        <v>445</v>
      </c>
      <c r="AI97" s="14">
        <f t="shared" si="8"/>
        <v>20</v>
      </c>
      <c r="AJ97" s="14" t="str">
        <f t="shared" si="9"/>
        <v/>
      </c>
      <c r="AK97" s="13" t="str">
        <f t="shared" si="10"/>
        <v/>
      </c>
    </row>
    <row r="98" spans="1:37" ht="16.5" x14ac:dyDescent="0.2">
      <c r="A98" s="13">
        <v>63</v>
      </c>
      <c r="B98" s="13">
        <f t="shared" si="11"/>
        <v>1501007</v>
      </c>
      <c r="C98" s="13">
        <f t="shared" si="12"/>
        <v>3</v>
      </c>
      <c r="D98" s="14">
        <f t="shared" si="13"/>
        <v>0.19</v>
      </c>
      <c r="E98" s="14" t="str">
        <f t="shared" si="14"/>
        <v>金币</v>
      </c>
      <c r="F98" s="14">
        <f t="shared" si="15"/>
        <v>3000</v>
      </c>
      <c r="G98" s="14" t="str">
        <f t="shared" si="16"/>
        <v>低级强化石</v>
      </c>
      <c r="H98" s="14">
        <f t="shared" si="17"/>
        <v>20</v>
      </c>
      <c r="I98" s="14"/>
      <c r="J98" s="14"/>
      <c r="Y98" s="13">
        <v>63</v>
      </c>
      <c r="Z98" s="13">
        <f t="shared" si="18"/>
        <v>1501005</v>
      </c>
      <c r="AA98" s="14" t="str">
        <f t="shared" si="19"/>
        <v>李轩辕</v>
      </c>
      <c r="AB98" s="13">
        <f t="shared" si="7"/>
        <v>3</v>
      </c>
      <c r="AC98" s="14">
        <f t="shared" si="20"/>
        <v>130300509</v>
      </c>
      <c r="AD98" s="14" t="str">
        <f t="shared" si="21"/>
        <v/>
      </c>
      <c r="AE98" s="14" t="str">
        <f t="shared" si="22"/>
        <v/>
      </c>
      <c r="AF98" s="13" t="s">
        <v>446</v>
      </c>
      <c r="AG98" s="13"/>
      <c r="AH98" s="13" t="s">
        <v>445</v>
      </c>
      <c r="AI98" s="14">
        <f t="shared" si="8"/>
        <v>30</v>
      </c>
      <c r="AJ98" s="14" t="str">
        <f t="shared" si="9"/>
        <v>李轩辕碎片</v>
      </c>
      <c r="AK98" s="13">
        <f t="shared" si="10"/>
        <v>5</v>
      </c>
    </row>
    <row r="99" spans="1:37" ht="16.5" x14ac:dyDescent="0.2">
      <c r="A99" s="13">
        <v>64</v>
      </c>
      <c r="B99" s="13">
        <f t="shared" si="11"/>
        <v>1501007</v>
      </c>
      <c r="C99" s="13">
        <f t="shared" si="12"/>
        <v>4</v>
      </c>
      <c r="D99" s="14">
        <f t="shared" si="13"/>
        <v>0.28000000000000003</v>
      </c>
      <c r="E99" s="14" t="str">
        <f t="shared" si="14"/>
        <v>金币</v>
      </c>
      <c r="F99" s="14">
        <f t="shared" si="15"/>
        <v>4000</v>
      </c>
      <c r="G99" s="14" t="str">
        <f t="shared" si="16"/>
        <v>低级强化石</v>
      </c>
      <c r="H99" s="14">
        <f t="shared" si="17"/>
        <v>20</v>
      </c>
      <c r="I99" s="14" t="str">
        <f t="shared" ref="I99:J105" si="29">INDEX(T$36:T$45,$C99)</f>
        <v>中级强化石</v>
      </c>
      <c r="J99" s="14">
        <f t="shared" si="29"/>
        <v>10</v>
      </c>
      <c r="Y99" s="13">
        <v>64</v>
      </c>
      <c r="Z99" s="13">
        <f t="shared" si="18"/>
        <v>1501005</v>
      </c>
      <c r="AA99" s="14" t="str">
        <f t="shared" si="19"/>
        <v>李轩辕</v>
      </c>
      <c r="AB99" s="13">
        <f t="shared" si="7"/>
        <v>4</v>
      </c>
      <c r="AC99" s="14" t="str">
        <f t="shared" si="20"/>
        <v/>
      </c>
      <c r="AD99" s="14" t="str">
        <f t="shared" si="21"/>
        <v>HPRate</v>
      </c>
      <c r="AE99" s="14">
        <f t="shared" si="22"/>
        <v>0.11</v>
      </c>
      <c r="AF99" s="13" t="s">
        <v>446</v>
      </c>
      <c r="AG99" s="13"/>
      <c r="AH99" s="13" t="s">
        <v>445</v>
      </c>
      <c r="AI99" s="14">
        <f t="shared" si="8"/>
        <v>50</v>
      </c>
      <c r="AJ99" s="14" t="str">
        <f t="shared" si="9"/>
        <v>李轩辕碎片</v>
      </c>
      <c r="AK99" s="13">
        <f t="shared" si="10"/>
        <v>5</v>
      </c>
    </row>
    <row r="100" spans="1:37" ht="16.5" x14ac:dyDescent="0.2">
      <c r="A100" s="13">
        <v>65</v>
      </c>
      <c r="B100" s="13">
        <f t="shared" si="11"/>
        <v>1501007</v>
      </c>
      <c r="C100" s="13">
        <f t="shared" si="12"/>
        <v>5</v>
      </c>
      <c r="D100" s="14">
        <f t="shared" si="13"/>
        <v>0.38</v>
      </c>
      <c r="E100" s="14" t="str">
        <f t="shared" si="14"/>
        <v>金币</v>
      </c>
      <c r="F100" s="14">
        <f t="shared" si="15"/>
        <v>5000</v>
      </c>
      <c r="G100" s="14" t="str">
        <f t="shared" si="16"/>
        <v>低级强化石</v>
      </c>
      <c r="H100" s="14">
        <f t="shared" si="17"/>
        <v>20</v>
      </c>
      <c r="I100" s="14" t="str">
        <f t="shared" si="29"/>
        <v>中级强化石</v>
      </c>
      <c r="J100" s="14">
        <f t="shared" si="29"/>
        <v>15</v>
      </c>
      <c r="Y100" s="13">
        <v>65</v>
      </c>
      <c r="Z100" s="13">
        <f t="shared" si="18"/>
        <v>1501005</v>
      </c>
      <c r="AA100" s="14" t="str">
        <f t="shared" si="19"/>
        <v>李轩辕</v>
      </c>
      <c r="AB100" s="13">
        <f t="shared" ref="AB100:AB163" si="30">MOD(Y100-1,15)+1</f>
        <v>5</v>
      </c>
      <c r="AC100" s="14" t="str">
        <f t="shared" si="20"/>
        <v/>
      </c>
      <c r="AD100" s="14" t="str">
        <f t="shared" si="21"/>
        <v>DefRate</v>
      </c>
      <c r="AE100" s="14">
        <f t="shared" si="22"/>
        <v>0.11</v>
      </c>
      <c r="AF100" s="13" t="s">
        <v>446</v>
      </c>
      <c r="AG100" s="13"/>
      <c r="AH100" s="13" t="s">
        <v>445</v>
      </c>
      <c r="AI100" s="14">
        <f t="shared" ref="AI100:AI163" si="31">INDEX($AN$9:$AN$23,AB100)</f>
        <v>100</v>
      </c>
      <c r="AJ100" s="14" t="str">
        <f t="shared" ref="AJ100:AJ163" si="32">IF(AB100&gt;2,AA100&amp;"碎片","")</f>
        <v>李轩辕碎片</v>
      </c>
      <c r="AK100" s="13">
        <f t="shared" ref="AK100:AK163" si="33">IF(AB100&gt;2,INDEX($AO$9:$AO$23,AB100),"")</f>
        <v>10</v>
      </c>
    </row>
    <row r="101" spans="1:37" ht="16.5" x14ac:dyDescent="0.2">
      <c r="A101" s="13">
        <v>66</v>
      </c>
      <c r="B101" s="13">
        <f t="shared" ref="B101:B164" si="34">INDEX($C$9:$C$29,INT((A101-1)/10)+1)</f>
        <v>1501007</v>
      </c>
      <c r="C101" s="13">
        <f t="shared" ref="C101:C164" si="35">MOD(A101-1,10)+1</f>
        <v>6</v>
      </c>
      <c r="D101" s="14">
        <f t="shared" ref="D101:D164" si="36">INDEX($O$36:$O$45,C101)</f>
        <v>0.47</v>
      </c>
      <c r="E101" s="14" t="str">
        <f t="shared" ref="E101:E164" si="37">INDEX(P$36:P$45,$C101)</f>
        <v>金币</v>
      </c>
      <c r="F101" s="14">
        <f t="shared" ref="F101:F164" si="38">INDEX(Q$36:Q$45,$C101)</f>
        <v>6000</v>
      </c>
      <c r="G101" s="14" t="str">
        <f t="shared" ref="G101:G164" si="39">INDEX(R$36:R$45,$C101)</f>
        <v>低级强化石</v>
      </c>
      <c r="H101" s="14">
        <f t="shared" ref="H101:H164" si="40">INDEX(S$36:S$45,$C101)</f>
        <v>20</v>
      </c>
      <c r="I101" s="14" t="str">
        <f t="shared" si="29"/>
        <v>中级强化石</v>
      </c>
      <c r="J101" s="14">
        <f t="shared" si="29"/>
        <v>20</v>
      </c>
      <c r="Y101" s="13">
        <v>66</v>
      </c>
      <c r="Z101" s="13">
        <f t="shared" ref="Z101:Z164" si="41">INDEX($C$9:$C$29,INT((Y101-1)/15)+1)</f>
        <v>1501005</v>
      </c>
      <c r="AA101" s="14" t="str">
        <f t="shared" ref="AA101:AA164" si="42">INDEX($B$9:$B$29,MATCH(Z101,$C$9:$C$29,0))</f>
        <v>李轩辕</v>
      </c>
      <c r="AB101" s="13">
        <f t="shared" si="30"/>
        <v>6</v>
      </c>
      <c r="AC101" s="14" t="str">
        <f t="shared" ref="AC101:AC164" si="43">IF(MOD(AB101,15)=3,INDEX($AD$9:$AD$29,MATCH(Z101,$C$9:$C$29,0)),"")</f>
        <v/>
      </c>
      <c r="AD101" s="14" t="str">
        <f t="shared" ref="AD101:AD164" si="44">IF(AC101="",INDEX($O$9:$AC$29,MATCH($Z101,$C$9:$C$29,0),AB101),"")</f>
        <v>HPRate</v>
      </c>
      <c r="AE101" s="14">
        <f t="shared" ref="AE101:AE164" si="45">IF(AC101="",ROUND(INDEX($AG$9:$AG$24,MATCH(AD101,$AF$9:$AF$24,0))*INDEX($O$7:$AC$7,AB101),2),"")</f>
        <v>0.11</v>
      </c>
      <c r="AF101" s="13" t="s">
        <v>446</v>
      </c>
      <c r="AG101" s="13"/>
      <c r="AH101" s="13" t="s">
        <v>445</v>
      </c>
      <c r="AI101" s="14">
        <f t="shared" si="31"/>
        <v>150</v>
      </c>
      <c r="AJ101" s="14" t="str">
        <f t="shared" si="32"/>
        <v>李轩辕碎片</v>
      </c>
      <c r="AK101" s="13">
        <f t="shared" si="33"/>
        <v>10</v>
      </c>
    </row>
    <row r="102" spans="1:37" ht="16.5" x14ac:dyDescent="0.2">
      <c r="A102" s="13">
        <v>67</v>
      </c>
      <c r="B102" s="13">
        <f t="shared" si="34"/>
        <v>1501007</v>
      </c>
      <c r="C102" s="13">
        <f t="shared" si="35"/>
        <v>7</v>
      </c>
      <c r="D102" s="14">
        <f t="shared" si="36"/>
        <v>0.59</v>
      </c>
      <c r="E102" s="14" t="str">
        <f t="shared" si="37"/>
        <v>金币</v>
      </c>
      <c r="F102" s="14">
        <f t="shared" si="38"/>
        <v>7000</v>
      </c>
      <c r="G102" s="14" t="str">
        <f t="shared" si="39"/>
        <v>中级强化石</v>
      </c>
      <c r="H102" s="14">
        <f t="shared" si="40"/>
        <v>20</v>
      </c>
      <c r="I102" s="14" t="str">
        <f t="shared" si="29"/>
        <v>高级强化石</v>
      </c>
      <c r="J102" s="14">
        <f t="shared" si="29"/>
        <v>10</v>
      </c>
      <c r="Y102" s="13">
        <v>67</v>
      </c>
      <c r="Z102" s="13">
        <f t="shared" si="41"/>
        <v>1501005</v>
      </c>
      <c r="AA102" s="14" t="str">
        <f t="shared" si="42"/>
        <v>李轩辕</v>
      </c>
      <c r="AB102" s="13">
        <f t="shared" si="30"/>
        <v>7</v>
      </c>
      <c r="AC102" s="14" t="str">
        <f t="shared" si="43"/>
        <v/>
      </c>
      <c r="AD102" s="14" t="str">
        <f t="shared" si="44"/>
        <v>DefRate</v>
      </c>
      <c r="AE102" s="14">
        <f t="shared" si="45"/>
        <v>0.11</v>
      </c>
      <c r="AF102" s="13" t="s">
        <v>446</v>
      </c>
      <c r="AG102" s="13"/>
      <c r="AH102" s="13" t="s">
        <v>445</v>
      </c>
      <c r="AI102" s="14">
        <f t="shared" si="31"/>
        <v>200</v>
      </c>
      <c r="AJ102" s="14" t="str">
        <f t="shared" si="32"/>
        <v>李轩辕碎片</v>
      </c>
      <c r="AK102" s="13">
        <f t="shared" si="33"/>
        <v>10</v>
      </c>
    </row>
    <row r="103" spans="1:37" ht="16.5" x14ac:dyDescent="0.2">
      <c r="A103" s="13">
        <v>68</v>
      </c>
      <c r="B103" s="13">
        <f t="shared" si="34"/>
        <v>1501007</v>
      </c>
      <c r="C103" s="13">
        <f t="shared" si="35"/>
        <v>8</v>
      </c>
      <c r="D103" s="14">
        <f t="shared" si="36"/>
        <v>0.72</v>
      </c>
      <c r="E103" s="14" t="str">
        <f t="shared" si="37"/>
        <v>金币</v>
      </c>
      <c r="F103" s="14">
        <f t="shared" si="38"/>
        <v>8000</v>
      </c>
      <c r="G103" s="14" t="str">
        <f t="shared" si="39"/>
        <v>中级强化石</v>
      </c>
      <c r="H103" s="14">
        <f t="shared" si="40"/>
        <v>20</v>
      </c>
      <c r="I103" s="14" t="str">
        <f t="shared" si="29"/>
        <v>高级强化石</v>
      </c>
      <c r="J103" s="14">
        <f t="shared" si="29"/>
        <v>15</v>
      </c>
      <c r="Y103" s="13">
        <v>68</v>
      </c>
      <c r="Z103" s="13">
        <f t="shared" si="41"/>
        <v>1501005</v>
      </c>
      <c r="AA103" s="14" t="str">
        <f t="shared" si="42"/>
        <v>李轩辕</v>
      </c>
      <c r="AB103" s="13">
        <f t="shared" si="30"/>
        <v>8</v>
      </c>
      <c r="AC103" s="14" t="str">
        <f t="shared" si="43"/>
        <v/>
      </c>
      <c r="AD103" s="14" t="str">
        <f t="shared" si="44"/>
        <v>AtkRate</v>
      </c>
      <c r="AE103" s="14">
        <f t="shared" si="45"/>
        <v>0.11</v>
      </c>
      <c r="AF103" s="13" t="s">
        <v>446</v>
      </c>
      <c r="AG103" s="13"/>
      <c r="AH103" s="13" t="s">
        <v>445</v>
      </c>
      <c r="AI103" s="14">
        <f t="shared" si="31"/>
        <v>250</v>
      </c>
      <c r="AJ103" s="14" t="str">
        <f t="shared" si="32"/>
        <v>李轩辕碎片</v>
      </c>
      <c r="AK103" s="13">
        <f t="shared" si="33"/>
        <v>20</v>
      </c>
    </row>
    <row r="104" spans="1:37" ht="16.5" x14ac:dyDescent="0.2">
      <c r="A104" s="13">
        <v>69</v>
      </c>
      <c r="B104" s="13">
        <f t="shared" si="34"/>
        <v>1501007</v>
      </c>
      <c r="C104" s="13">
        <f t="shared" si="35"/>
        <v>9</v>
      </c>
      <c r="D104" s="14">
        <f t="shared" si="36"/>
        <v>0.84</v>
      </c>
      <c r="E104" s="14" t="str">
        <f t="shared" si="37"/>
        <v>金币</v>
      </c>
      <c r="F104" s="14">
        <f t="shared" si="38"/>
        <v>9000</v>
      </c>
      <c r="G104" s="14" t="str">
        <f t="shared" si="39"/>
        <v>中级强化石</v>
      </c>
      <c r="H104" s="14">
        <f t="shared" si="40"/>
        <v>20</v>
      </c>
      <c r="I104" s="14" t="str">
        <f t="shared" si="29"/>
        <v>高级强化石</v>
      </c>
      <c r="J104" s="14">
        <f t="shared" si="29"/>
        <v>20</v>
      </c>
      <c r="Y104" s="13">
        <v>69</v>
      </c>
      <c r="Z104" s="13">
        <f t="shared" si="41"/>
        <v>1501005</v>
      </c>
      <c r="AA104" s="14" t="str">
        <f t="shared" si="42"/>
        <v>李轩辕</v>
      </c>
      <c r="AB104" s="13">
        <f t="shared" si="30"/>
        <v>9</v>
      </c>
      <c r="AC104" s="14" t="str">
        <f t="shared" si="43"/>
        <v/>
      </c>
      <c r="AD104" s="14" t="str">
        <f t="shared" si="44"/>
        <v>DefRate</v>
      </c>
      <c r="AE104" s="14">
        <f t="shared" si="45"/>
        <v>0.11</v>
      </c>
      <c r="AF104" s="13" t="s">
        <v>446</v>
      </c>
      <c r="AG104" s="13"/>
      <c r="AH104" s="13" t="s">
        <v>445</v>
      </c>
      <c r="AI104" s="14">
        <f t="shared" si="31"/>
        <v>300</v>
      </c>
      <c r="AJ104" s="14" t="str">
        <f t="shared" si="32"/>
        <v>李轩辕碎片</v>
      </c>
      <c r="AK104" s="13">
        <f t="shared" si="33"/>
        <v>20</v>
      </c>
    </row>
    <row r="105" spans="1:37" ht="16.5" x14ac:dyDescent="0.2">
      <c r="A105" s="13">
        <v>70</v>
      </c>
      <c r="B105" s="13">
        <f t="shared" si="34"/>
        <v>1501007</v>
      </c>
      <c r="C105" s="13">
        <f t="shared" si="35"/>
        <v>10</v>
      </c>
      <c r="D105" s="14">
        <f t="shared" si="36"/>
        <v>1</v>
      </c>
      <c r="E105" s="14" t="str">
        <f t="shared" si="37"/>
        <v>金币</v>
      </c>
      <c r="F105" s="14">
        <f t="shared" si="38"/>
        <v>10000</v>
      </c>
      <c r="G105" s="14" t="str">
        <f t="shared" si="39"/>
        <v>中级强化石</v>
      </c>
      <c r="H105" s="14">
        <f t="shared" si="40"/>
        <v>20</v>
      </c>
      <c r="I105" s="14" t="str">
        <f t="shared" si="29"/>
        <v>高级强化石</v>
      </c>
      <c r="J105" s="14">
        <f t="shared" si="29"/>
        <v>25</v>
      </c>
      <c r="Y105" s="13">
        <v>70</v>
      </c>
      <c r="Z105" s="13">
        <f t="shared" si="41"/>
        <v>1501005</v>
      </c>
      <c r="AA105" s="14" t="str">
        <f t="shared" si="42"/>
        <v>李轩辕</v>
      </c>
      <c r="AB105" s="13">
        <f t="shared" si="30"/>
        <v>10</v>
      </c>
      <c r="AC105" s="14" t="str">
        <f t="shared" si="43"/>
        <v/>
      </c>
      <c r="AD105" s="14" t="str">
        <f t="shared" si="44"/>
        <v>HPRate</v>
      </c>
      <c r="AE105" s="14">
        <f t="shared" si="45"/>
        <v>0.14000000000000001</v>
      </c>
      <c r="AF105" s="13" t="s">
        <v>446</v>
      </c>
      <c r="AG105" s="13"/>
      <c r="AH105" s="13" t="s">
        <v>445</v>
      </c>
      <c r="AI105" s="14">
        <f t="shared" si="31"/>
        <v>400</v>
      </c>
      <c r="AJ105" s="14" t="str">
        <f t="shared" si="32"/>
        <v>李轩辕碎片</v>
      </c>
      <c r="AK105" s="13">
        <f t="shared" si="33"/>
        <v>20</v>
      </c>
    </row>
    <row r="106" spans="1:37" ht="16.5" x14ac:dyDescent="0.2">
      <c r="A106" s="13">
        <v>71</v>
      </c>
      <c r="B106" s="13">
        <f t="shared" si="34"/>
        <v>1501008</v>
      </c>
      <c r="C106" s="13">
        <f t="shared" si="35"/>
        <v>1</v>
      </c>
      <c r="D106" s="14">
        <f t="shared" si="36"/>
        <v>0.06</v>
      </c>
      <c r="E106" s="14" t="str">
        <f t="shared" si="37"/>
        <v>金币</v>
      </c>
      <c r="F106" s="14">
        <f t="shared" si="38"/>
        <v>1000</v>
      </c>
      <c r="G106" s="14" t="str">
        <f t="shared" si="39"/>
        <v>低级强化石</v>
      </c>
      <c r="H106" s="14">
        <f t="shared" si="40"/>
        <v>10</v>
      </c>
      <c r="I106" s="14"/>
      <c r="J106" s="14"/>
      <c r="Y106" s="13">
        <v>71</v>
      </c>
      <c r="Z106" s="13">
        <f t="shared" si="41"/>
        <v>1501005</v>
      </c>
      <c r="AA106" s="14" t="str">
        <f t="shared" si="42"/>
        <v>李轩辕</v>
      </c>
      <c r="AB106" s="13">
        <f t="shared" si="30"/>
        <v>11</v>
      </c>
      <c r="AC106" s="14" t="str">
        <f t="shared" si="43"/>
        <v/>
      </c>
      <c r="AD106" s="14" t="str">
        <f t="shared" si="44"/>
        <v>DefRate</v>
      </c>
      <c r="AE106" s="14">
        <f t="shared" si="45"/>
        <v>0.14000000000000001</v>
      </c>
      <c r="AF106" s="13" t="s">
        <v>446</v>
      </c>
      <c r="AG106" s="13"/>
      <c r="AH106" s="13" t="s">
        <v>445</v>
      </c>
      <c r="AI106" s="14">
        <f t="shared" si="31"/>
        <v>500</v>
      </c>
      <c r="AJ106" s="14" t="str">
        <f t="shared" si="32"/>
        <v>李轩辕碎片</v>
      </c>
      <c r="AK106" s="13">
        <f t="shared" si="33"/>
        <v>30</v>
      </c>
    </row>
    <row r="107" spans="1:37" ht="16.5" x14ac:dyDescent="0.2">
      <c r="A107" s="13">
        <v>72</v>
      </c>
      <c r="B107" s="13">
        <f t="shared" si="34"/>
        <v>1501008</v>
      </c>
      <c r="C107" s="13">
        <f t="shared" si="35"/>
        <v>2</v>
      </c>
      <c r="D107" s="14">
        <f t="shared" si="36"/>
        <v>0.13</v>
      </c>
      <c r="E107" s="14" t="str">
        <f t="shared" si="37"/>
        <v>金币</v>
      </c>
      <c r="F107" s="14">
        <f t="shared" si="38"/>
        <v>2000</v>
      </c>
      <c r="G107" s="14" t="str">
        <f t="shared" si="39"/>
        <v>低级强化石</v>
      </c>
      <c r="H107" s="14">
        <f t="shared" si="40"/>
        <v>15</v>
      </c>
      <c r="I107" s="14"/>
      <c r="J107" s="14"/>
      <c r="Y107" s="13">
        <v>72</v>
      </c>
      <c r="Z107" s="13">
        <f t="shared" si="41"/>
        <v>1501005</v>
      </c>
      <c r="AA107" s="14" t="str">
        <f t="shared" si="42"/>
        <v>李轩辕</v>
      </c>
      <c r="AB107" s="13">
        <f t="shared" si="30"/>
        <v>12</v>
      </c>
      <c r="AC107" s="14" t="str">
        <f t="shared" si="43"/>
        <v/>
      </c>
      <c r="AD107" s="14" t="str">
        <f t="shared" si="44"/>
        <v>HPRate</v>
      </c>
      <c r="AE107" s="14">
        <f t="shared" si="45"/>
        <v>0.14000000000000001</v>
      </c>
      <c r="AF107" s="13" t="s">
        <v>446</v>
      </c>
      <c r="AG107" s="13"/>
      <c r="AH107" s="13" t="s">
        <v>445</v>
      </c>
      <c r="AI107" s="14">
        <f t="shared" si="31"/>
        <v>600</v>
      </c>
      <c r="AJ107" s="14" t="str">
        <f t="shared" si="32"/>
        <v>李轩辕碎片</v>
      </c>
      <c r="AK107" s="13">
        <f t="shared" si="33"/>
        <v>30</v>
      </c>
    </row>
    <row r="108" spans="1:37" ht="16.5" x14ac:dyDescent="0.2">
      <c r="A108" s="13">
        <v>73</v>
      </c>
      <c r="B108" s="13">
        <f t="shared" si="34"/>
        <v>1501008</v>
      </c>
      <c r="C108" s="13">
        <f t="shared" si="35"/>
        <v>3</v>
      </c>
      <c r="D108" s="14">
        <f t="shared" si="36"/>
        <v>0.19</v>
      </c>
      <c r="E108" s="14" t="str">
        <f t="shared" si="37"/>
        <v>金币</v>
      </c>
      <c r="F108" s="14">
        <f t="shared" si="38"/>
        <v>3000</v>
      </c>
      <c r="G108" s="14" t="str">
        <f t="shared" si="39"/>
        <v>低级强化石</v>
      </c>
      <c r="H108" s="14">
        <f t="shared" si="40"/>
        <v>20</v>
      </c>
      <c r="I108" s="14"/>
      <c r="J108" s="14"/>
      <c r="Y108" s="13">
        <v>73</v>
      </c>
      <c r="Z108" s="13">
        <f t="shared" si="41"/>
        <v>1501005</v>
      </c>
      <c r="AA108" s="14" t="str">
        <f t="shared" si="42"/>
        <v>李轩辕</v>
      </c>
      <c r="AB108" s="13">
        <f t="shared" si="30"/>
        <v>13</v>
      </c>
      <c r="AC108" s="14" t="str">
        <f t="shared" si="43"/>
        <v/>
      </c>
      <c r="AD108" s="14" t="str">
        <f t="shared" si="44"/>
        <v>DefRate</v>
      </c>
      <c r="AE108" s="14">
        <f t="shared" si="45"/>
        <v>0.14000000000000001</v>
      </c>
      <c r="AF108" s="13" t="s">
        <v>446</v>
      </c>
      <c r="AG108" s="13"/>
      <c r="AH108" s="13" t="s">
        <v>445</v>
      </c>
      <c r="AI108" s="14">
        <f t="shared" si="31"/>
        <v>700</v>
      </c>
      <c r="AJ108" s="14" t="str">
        <f t="shared" si="32"/>
        <v>李轩辕碎片</v>
      </c>
      <c r="AK108" s="13">
        <f t="shared" si="33"/>
        <v>30</v>
      </c>
    </row>
    <row r="109" spans="1:37" ht="16.5" x14ac:dyDescent="0.2">
      <c r="A109" s="13">
        <v>74</v>
      </c>
      <c r="B109" s="13">
        <f t="shared" si="34"/>
        <v>1501008</v>
      </c>
      <c r="C109" s="13">
        <f t="shared" si="35"/>
        <v>4</v>
      </c>
      <c r="D109" s="14">
        <f t="shared" si="36"/>
        <v>0.28000000000000003</v>
      </c>
      <c r="E109" s="14" t="str">
        <f t="shared" si="37"/>
        <v>金币</v>
      </c>
      <c r="F109" s="14">
        <f t="shared" si="38"/>
        <v>4000</v>
      </c>
      <c r="G109" s="14" t="str">
        <f t="shared" si="39"/>
        <v>低级强化石</v>
      </c>
      <c r="H109" s="14">
        <f t="shared" si="40"/>
        <v>20</v>
      </c>
      <c r="I109" s="14" t="str">
        <f t="shared" ref="I109:J115" si="46">INDEX(T$36:T$45,$C109)</f>
        <v>中级强化石</v>
      </c>
      <c r="J109" s="14">
        <f t="shared" si="46"/>
        <v>10</v>
      </c>
      <c r="Y109" s="13">
        <v>74</v>
      </c>
      <c r="Z109" s="13">
        <f t="shared" si="41"/>
        <v>1501005</v>
      </c>
      <c r="AA109" s="14" t="str">
        <f t="shared" si="42"/>
        <v>李轩辕</v>
      </c>
      <c r="AB109" s="13">
        <f t="shared" si="30"/>
        <v>14</v>
      </c>
      <c r="AC109" s="14" t="str">
        <f t="shared" si="43"/>
        <v/>
      </c>
      <c r="AD109" s="14" t="str">
        <f t="shared" si="44"/>
        <v>AtkRate</v>
      </c>
      <c r="AE109" s="14">
        <f t="shared" si="45"/>
        <v>0.14000000000000001</v>
      </c>
      <c r="AF109" s="13" t="s">
        <v>446</v>
      </c>
      <c r="AG109" s="13"/>
      <c r="AH109" s="13" t="s">
        <v>445</v>
      </c>
      <c r="AI109" s="14">
        <f t="shared" si="31"/>
        <v>800</v>
      </c>
      <c r="AJ109" s="14" t="str">
        <f t="shared" si="32"/>
        <v>李轩辕碎片</v>
      </c>
      <c r="AK109" s="13">
        <f t="shared" si="33"/>
        <v>50</v>
      </c>
    </row>
    <row r="110" spans="1:37" ht="16.5" x14ac:dyDescent="0.2">
      <c r="A110" s="13">
        <v>75</v>
      </c>
      <c r="B110" s="13">
        <f t="shared" si="34"/>
        <v>1501008</v>
      </c>
      <c r="C110" s="13">
        <f t="shared" si="35"/>
        <v>5</v>
      </c>
      <c r="D110" s="14">
        <f t="shared" si="36"/>
        <v>0.38</v>
      </c>
      <c r="E110" s="14" t="str">
        <f t="shared" si="37"/>
        <v>金币</v>
      </c>
      <c r="F110" s="14">
        <f t="shared" si="38"/>
        <v>5000</v>
      </c>
      <c r="G110" s="14" t="str">
        <f t="shared" si="39"/>
        <v>低级强化石</v>
      </c>
      <c r="H110" s="14">
        <f t="shared" si="40"/>
        <v>20</v>
      </c>
      <c r="I110" s="14" t="str">
        <f t="shared" si="46"/>
        <v>中级强化石</v>
      </c>
      <c r="J110" s="14">
        <f t="shared" si="46"/>
        <v>15</v>
      </c>
      <c r="Y110" s="13">
        <v>75</v>
      </c>
      <c r="Z110" s="13">
        <f t="shared" si="41"/>
        <v>1501005</v>
      </c>
      <c r="AA110" s="14" t="str">
        <f t="shared" si="42"/>
        <v>李轩辕</v>
      </c>
      <c r="AB110" s="13">
        <f t="shared" si="30"/>
        <v>15</v>
      </c>
      <c r="AC110" s="14" t="str">
        <f t="shared" si="43"/>
        <v/>
      </c>
      <c r="AD110" s="14" t="str">
        <f t="shared" si="44"/>
        <v>DefRate</v>
      </c>
      <c r="AE110" s="14">
        <f t="shared" si="45"/>
        <v>0.14000000000000001</v>
      </c>
      <c r="AF110" s="13" t="s">
        <v>446</v>
      </c>
      <c r="AG110" s="13"/>
      <c r="AH110" s="13" t="s">
        <v>445</v>
      </c>
      <c r="AI110" s="14">
        <f t="shared" si="31"/>
        <v>1000</v>
      </c>
      <c r="AJ110" s="14" t="str">
        <f t="shared" si="32"/>
        <v>李轩辕碎片</v>
      </c>
      <c r="AK110" s="13">
        <f t="shared" si="33"/>
        <v>60</v>
      </c>
    </row>
    <row r="111" spans="1:37" ht="16.5" x14ac:dyDescent="0.2">
      <c r="A111" s="13">
        <v>76</v>
      </c>
      <c r="B111" s="13">
        <f t="shared" si="34"/>
        <v>1501008</v>
      </c>
      <c r="C111" s="13">
        <f t="shared" si="35"/>
        <v>6</v>
      </c>
      <c r="D111" s="14">
        <f t="shared" si="36"/>
        <v>0.47</v>
      </c>
      <c r="E111" s="14" t="str">
        <f t="shared" si="37"/>
        <v>金币</v>
      </c>
      <c r="F111" s="14">
        <f t="shared" si="38"/>
        <v>6000</v>
      </c>
      <c r="G111" s="14" t="str">
        <f t="shared" si="39"/>
        <v>低级强化石</v>
      </c>
      <c r="H111" s="14">
        <f t="shared" si="40"/>
        <v>20</v>
      </c>
      <c r="I111" s="14" t="str">
        <f t="shared" si="46"/>
        <v>中级强化石</v>
      </c>
      <c r="J111" s="14">
        <f t="shared" si="46"/>
        <v>20</v>
      </c>
      <c r="Y111" s="13">
        <v>76</v>
      </c>
      <c r="Z111" s="13">
        <f t="shared" si="41"/>
        <v>1501006</v>
      </c>
      <c r="AA111" s="14" t="str">
        <f t="shared" si="42"/>
        <v>项羽</v>
      </c>
      <c r="AB111" s="13">
        <f t="shared" si="30"/>
        <v>1</v>
      </c>
      <c r="AC111" s="14" t="str">
        <f t="shared" si="43"/>
        <v/>
      </c>
      <c r="AD111" s="14" t="str">
        <f t="shared" si="44"/>
        <v>AtkExt</v>
      </c>
      <c r="AE111" s="14">
        <f t="shared" si="45"/>
        <v>250</v>
      </c>
      <c r="AF111" s="13" t="s">
        <v>446</v>
      </c>
      <c r="AG111" s="13"/>
      <c r="AH111" s="13" t="s">
        <v>445</v>
      </c>
      <c r="AI111" s="14">
        <f t="shared" si="31"/>
        <v>10</v>
      </c>
      <c r="AJ111" s="14" t="str">
        <f t="shared" si="32"/>
        <v/>
      </c>
      <c r="AK111" s="13" t="str">
        <f t="shared" si="33"/>
        <v/>
      </c>
    </row>
    <row r="112" spans="1:37" ht="16.5" x14ac:dyDescent="0.2">
      <c r="A112" s="13">
        <v>77</v>
      </c>
      <c r="B112" s="13">
        <f t="shared" si="34"/>
        <v>1501008</v>
      </c>
      <c r="C112" s="13">
        <f t="shared" si="35"/>
        <v>7</v>
      </c>
      <c r="D112" s="14">
        <f t="shared" si="36"/>
        <v>0.59</v>
      </c>
      <c r="E112" s="14" t="str">
        <f t="shared" si="37"/>
        <v>金币</v>
      </c>
      <c r="F112" s="14">
        <f t="shared" si="38"/>
        <v>7000</v>
      </c>
      <c r="G112" s="14" t="str">
        <f t="shared" si="39"/>
        <v>中级强化石</v>
      </c>
      <c r="H112" s="14">
        <f t="shared" si="40"/>
        <v>20</v>
      </c>
      <c r="I112" s="14" t="str">
        <f t="shared" si="46"/>
        <v>高级强化石</v>
      </c>
      <c r="J112" s="14">
        <f t="shared" si="46"/>
        <v>10</v>
      </c>
      <c r="Y112" s="13">
        <v>77</v>
      </c>
      <c r="Z112" s="13">
        <f t="shared" si="41"/>
        <v>1501006</v>
      </c>
      <c r="AA112" s="14" t="str">
        <f t="shared" si="42"/>
        <v>项羽</v>
      </c>
      <c r="AB112" s="13">
        <f t="shared" si="30"/>
        <v>2</v>
      </c>
      <c r="AC112" s="14" t="str">
        <f t="shared" si="43"/>
        <v/>
      </c>
      <c r="AD112" s="14" t="str">
        <f t="shared" si="44"/>
        <v>HPExt</v>
      </c>
      <c r="AE112" s="14">
        <f t="shared" si="45"/>
        <v>2250</v>
      </c>
      <c r="AF112" s="13" t="s">
        <v>446</v>
      </c>
      <c r="AG112" s="13"/>
      <c r="AH112" s="13" t="s">
        <v>445</v>
      </c>
      <c r="AI112" s="14">
        <f t="shared" si="31"/>
        <v>20</v>
      </c>
      <c r="AJ112" s="14" t="str">
        <f t="shared" si="32"/>
        <v/>
      </c>
      <c r="AK112" s="13" t="str">
        <f t="shared" si="33"/>
        <v/>
      </c>
    </row>
    <row r="113" spans="1:37" ht="16.5" x14ac:dyDescent="0.2">
      <c r="A113" s="13">
        <v>78</v>
      </c>
      <c r="B113" s="13">
        <f t="shared" si="34"/>
        <v>1501008</v>
      </c>
      <c r="C113" s="13">
        <f t="shared" si="35"/>
        <v>8</v>
      </c>
      <c r="D113" s="14">
        <f t="shared" si="36"/>
        <v>0.72</v>
      </c>
      <c r="E113" s="14" t="str">
        <f t="shared" si="37"/>
        <v>金币</v>
      </c>
      <c r="F113" s="14">
        <f t="shared" si="38"/>
        <v>8000</v>
      </c>
      <c r="G113" s="14" t="str">
        <f t="shared" si="39"/>
        <v>中级强化石</v>
      </c>
      <c r="H113" s="14">
        <f t="shared" si="40"/>
        <v>20</v>
      </c>
      <c r="I113" s="14" t="str">
        <f t="shared" si="46"/>
        <v>高级强化石</v>
      </c>
      <c r="J113" s="14">
        <f t="shared" si="46"/>
        <v>15</v>
      </c>
      <c r="Y113" s="13">
        <v>78</v>
      </c>
      <c r="Z113" s="13">
        <f t="shared" si="41"/>
        <v>1501006</v>
      </c>
      <c r="AA113" s="14" t="str">
        <f t="shared" si="42"/>
        <v>项羽</v>
      </c>
      <c r="AB113" s="13">
        <f t="shared" si="30"/>
        <v>3</v>
      </c>
      <c r="AC113" s="14">
        <f t="shared" si="43"/>
        <v>130300609</v>
      </c>
      <c r="AD113" s="14" t="str">
        <f t="shared" si="44"/>
        <v/>
      </c>
      <c r="AE113" s="14" t="str">
        <f t="shared" si="45"/>
        <v/>
      </c>
      <c r="AF113" s="13" t="s">
        <v>446</v>
      </c>
      <c r="AG113" s="13"/>
      <c r="AH113" s="13" t="s">
        <v>445</v>
      </c>
      <c r="AI113" s="14">
        <f t="shared" si="31"/>
        <v>30</v>
      </c>
      <c r="AJ113" s="14" t="str">
        <f t="shared" si="32"/>
        <v>项羽碎片</v>
      </c>
      <c r="AK113" s="13">
        <f t="shared" si="33"/>
        <v>5</v>
      </c>
    </row>
    <row r="114" spans="1:37" ht="16.5" x14ac:dyDescent="0.2">
      <c r="A114" s="13">
        <v>79</v>
      </c>
      <c r="B114" s="13">
        <f t="shared" si="34"/>
        <v>1501008</v>
      </c>
      <c r="C114" s="13">
        <f t="shared" si="35"/>
        <v>9</v>
      </c>
      <c r="D114" s="14">
        <f t="shared" si="36"/>
        <v>0.84</v>
      </c>
      <c r="E114" s="14" t="str">
        <f t="shared" si="37"/>
        <v>金币</v>
      </c>
      <c r="F114" s="14">
        <f t="shared" si="38"/>
        <v>9000</v>
      </c>
      <c r="G114" s="14" t="str">
        <f t="shared" si="39"/>
        <v>中级强化石</v>
      </c>
      <c r="H114" s="14">
        <f t="shared" si="40"/>
        <v>20</v>
      </c>
      <c r="I114" s="14" t="str">
        <f t="shared" si="46"/>
        <v>高级强化石</v>
      </c>
      <c r="J114" s="14">
        <f t="shared" si="46"/>
        <v>20</v>
      </c>
      <c r="Y114" s="13">
        <v>79</v>
      </c>
      <c r="Z114" s="13">
        <f t="shared" si="41"/>
        <v>1501006</v>
      </c>
      <c r="AA114" s="14" t="str">
        <f t="shared" si="42"/>
        <v>项羽</v>
      </c>
      <c r="AB114" s="13">
        <f t="shared" si="30"/>
        <v>4</v>
      </c>
      <c r="AC114" s="14" t="str">
        <f t="shared" si="43"/>
        <v/>
      </c>
      <c r="AD114" s="14" t="str">
        <f t="shared" si="44"/>
        <v>AtkRate</v>
      </c>
      <c r="AE114" s="14">
        <f t="shared" si="45"/>
        <v>0.11</v>
      </c>
      <c r="AF114" s="13" t="s">
        <v>446</v>
      </c>
      <c r="AG114" s="13"/>
      <c r="AH114" s="13" t="s">
        <v>445</v>
      </c>
      <c r="AI114" s="14">
        <f t="shared" si="31"/>
        <v>50</v>
      </c>
      <c r="AJ114" s="14" t="str">
        <f t="shared" si="32"/>
        <v>项羽碎片</v>
      </c>
      <c r="AK114" s="13">
        <f t="shared" si="33"/>
        <v>5</v>
      </c>
    </row>
    <row r="115" spans="1:37" ht="16.5" x14ac:dyDescent="0.2">
      <c r="A115" s="13">
        <v>80</v>
      </c>
      <c r="B115" s="13">
        <f t="shared" si="34"/>
        <v>1501008</v>
      </c>
      <c r="C115" s="13">
        <f t="shared" si="35"/>
        <v>10</v>
      </c>
      <c r="D115" s="14">
        <f t="shared" si="36"/>
        <v>1</v>
      </c>
      <c r="E115" s="14" t="str">
        <f t="shared" si="37"/>
        <v>金币</v>
      </c>
      <c r="F115" s="14">
        <f t="shared" si="38"/>
        <v>10000</v>
      </c>
      <c r="G115" s="14" t="str">
        <f t="shared" si="39"/>
        <v>中级强化石</v>
      </c>
      <c r="H115" s="14">
        <f t="shared" si="40"/>
        <v>20</v>
      </c>
      <c r="I115" s="14" t="str">
        <f t="shared" si="46"/>
        <v>高级强化石</v>
      </c>
      <c r="J115" s="14">
        <f t="shared" si="46"/>
        <v>25</v>
      </c>
      <c r="Y115" s="13">
        <v>80</v>
      </c>
      <c r="Z115" s="13">
        <f t="shared" si="41"/>
        <v>1501006</v>
      </c>
      <c r="AA115" s="14" t="str">
        <f t="shared" si="42"/>
        <v>项羽</v>
      </c>
      <c r="AB115" s="13">
        <f t="shared" si="30"/>
        <v>5</v>
      </c>
      <c r="AC115" s="14" t="str">
        <f t="shared" si="43"/>
        <v/>
      </c>
      <c r="AD115" s="14" t="str">
        <f t="shared" si="44"/>
        <v>Crit</v>
      </c>
      <c r="AE115" s="14">
        <f t="shared" si="45"/>
        <v>0.11</v>
      </c>
      <c r="AF115" s="13" t="s">
        <v>446</v>
      </c>
      <c r="AG115" s="13"/>
      <c r="AH115" s="13" t="s">
        <v>445</v>
      </c>
      <c r="AI115" s="14">
        <f t="shared" si="31"/>
        <v>100</v>
      </c>
      <c r="AJ115" s="14" t="str">
        <f t="shared" si="32"/>
        <v>项羽碎片</v>
      </c>
      <c r="AK115" s="13">
        <f t="shared" si="33"/>
        <v>10</v>
      </c>
    </row>
    <row r="116" spans="1:37" ht="16.5" x14ac:dyDescent="0.2">
      <c r="A116" s="13">
        <v>81</v>
      </c>
      <c r="B116" s="13">
        <f t="shared" si="34"/>
        <v>1501009</v>
      </c>
      <c r="C116" s="13">
        <f t="shared" si="35"/>
        <v>1</v>
      </c>
      <c r="D116" s="14">
        <f t="shared" si="36"/>
        <v>0.06</v>
      </c>
      <c r="E116" s="14" t="str">
        <f t="shared" si="37"/>
        <v>金币</v>
      </c>
      <c r="F116" s="14">
        <f t="shared" si="38"/>
        <v>1000</v>
      </c>
      <c r="G116" s="14" t="str">
        <f t="shared" si="39"/>
        <v>低级强化石</v>
      </c>
      <c r="H116" s="14">
        <f t="shared" si="40"/>
        <v>10</v>
      </c>
      <c r="I116" s="14"/>
      <c r="J116" s="14"/>
      <c r="Y116" s="13">
        <v>81</v>
      </c>
      <c r="Z116" s="13">
        <f t="shared" si="41"/>
        <v>1501006</v>
      </c>
      <c r="AA116" s="14" t="str">
        <f t="shared" si="42"/>
        <v>项羽</v>
      </c>
      <c r="AB116" s="13">
        <f t="shared" si="30"/>
        <v>6</v>
      </c>
      <c r="AC116" s="14" t="str">
        <f t="shared" si="43"/>
        <v/>
      </c>
      <c r="AD116" s="14" t="str">
        <f t="shared" si="44"/>
        <v>HPRate</v>
      </c>
      <c r="AE116" s="14">
        <f t="shared" si="45"/>
        <v>0.11</v>
      </c>
      <c r="AF116" s="13" t="s">
        <v>446</v>
      </c>
      <c r="AG116" s="13"/>
      <c r="AH116" s="13" t="s">
        <v>445</v>
      </c>
      <c r="AI116" s="14">
        <f t="shared" si="31"/>
        <v>150</v>
      </c>
      <c r="AJ116" s="14" t="str">
        <f t="shared" si="32"/>
        <v>项羽碎片</v>
      </c>
      <c r="AK116" s="13">
        <f t="shared" si="33"/>
        <v>10</v>
      </c>
    </row>
    <row r="117" spans="1:37" ht="16.5" x14ac:dyDescent="0.2">
      <c r="A117" s="13">
        <v>82</v>
      </c>
      <c r="B117" s="13">
        <f t="shared" si="34"/>
        <v>1501009</v>
      </c>
      <c r="C117" s="13">
        <f t="shared" si="35"/>
        <v>2</v>
      </c>
      <c r="D117" s="14">
        <f t="shared" si="36"/>
        <v>0.13</v>
      </c>
      <c r="E117" s="14" t="str">
        <f t="shared" si="37"/>
        <v>金币</v>
      </c>
      <c r="F117" s="14">
        <f t="shared" si="38"/>
        <v>2000</v>
      </c>
      <c r="G117" s="14" t="str">
        <f t="shared" si="39"/>
        <v>低级强化石</v>
      </c>
      <c r="H117" s="14">
        <f t="shared" si="40"/>
        <v>15</v>
      </c>
      <c r="I117" s="14"/>
      <c r="J117" s="14"/>
      <c r="Y117" s="13">
        <v>82</v>
      </c>
      <c r="Z117" s="13">
        <f t="shared" si="41"/>
        <v>1501006</v>
      </c>
      <c r="AA117" s="14" t="str">
        <f t="shared" si="42"/>
        <v>项羽</v>
      </c>
      <c r="AB117" s="13">
        <f t="shared" si="30"/>
        <v>7</v>
      </c>
      <c r="AC117" s="14" t="str">
        <f t="shared" si="43"/>
        <v/>
      </c>
      <c r="AD117" s="14" t="str">
        <f t="shared" si="44"/>
        <v>CritRate</v>
      </c>
      <c r="AE117" s="14">
        <f t="shared" si="45"/>
        <v>0.21</v>
      </c>
      <c r="AF117" s="13" t="s">
        <v>446</v>
      </c>
      <c r="AG117" s="13"/>
      <c r="AH117" s="13" t="s">
        <v>445</v>
      </c>
      <c r="AI117" s="14">
        <f t="shared" si="31"/>
        <v>200</v>
      </c>
      <c r="AJ117" s="14" t="str">
        <f t="shared" si="32"/>
        <v>项羽碎片</v>
      </c>
      <c r="AK117" s="13">
        <f t="shared" si="33"/>
        <v>10</v>
      </c>
    </row>
    <row r="118" spans="1:37" ht="16.5" x14ac:dyDescent="0.2">
      <c r="A118" s="13">
        <v>83</v>
      </c>
      <c r="B118" s="13">
        <f t="shared" si="34"/>
        <v>1501009</v>
      </c>
      <c r="C118" s="13">
        <f t="shared" si="35"/>
        <v>3</v>
      </c>
      <c r="D118" s="14">
        <f t="shared" si="36"/>
        <v>0.19</v>
      </c>
      <c r="E118" s="14" t="str">
        <f t="shared" si="37"/>
        <v>金币</v>
      </c>
      <c r="F118" s="14">
        <f t="shared" si="38"/>
        <v>3000</v>
      </c>
      <c r="G118" s="14" t="str">
        <f t="shared" si="39"/>
        <v>低级强化石</v>
      </c>
      <c r="H118" s="14">
        <f t="shared" si="40"/>
        <v>20</v>
      </c>
      <c r="I118" s="14"/>
      <c r="J118" s="14"/>
      <c r="Y118" s="13">
        <v>83</v>
      </c>
      <c r="Z118" s="13">
        <f t="shared" si="41"/>
        <v>1501006</v>
      </c>
      <c r="AA118" s="14" t="str">
        <f t="shared" si="42"/>
        <v>项羽</v>
      </c>
      <c r="AB118" s="13">
        <f t="shared" si="30"/>
        <v>8</v>
      </c>
      <c r="AC118" s="14" t="str">
        <f t="shared" si="43"/>
        <v/>
      </c>
      <c r="AD118" s="14" t="str">
        <f t="shared" si="44"/>
        <v>DefRate</v>
      </c>
      <c r="AE118" s="14">
        <f t="shared" si="45"/>
        <v>0.11</v>
      </c>
      <c r="AF118" s="13" t="s">
        <v>446</v>
      </c>
      <c r="AG118" s="13"/>
      <c r="AH118" s="13" t="s">
        <v>445</v>
      </c>
      <c r="AI118" s="14">
        <f t="shared" si="31"/>
        <v>250</v>
      </c>
      <c r="AJ118" s="14" t="str">
        <f t="shared" si="32"/>
        <v>项羽碎片</v>
      </c>
      <c r="AK118" s="13">
        <f t="shared" si="33"/>
        <v>20</v>
      </c>
    </row>
    <row r="119" spans="1:37" ht="16.5" x14ac:dyDescent="0.2">
      <c r="A119" s="13">
        <v>84</v>
      </c>
      <c r="B119" s="13">
        <f t="shared" si="34"/>
        <v>1501009</v>
      </c>
      <c r="C119" s="13">
        <f t="shared" si="35"/>
        <v>4</v>
      </c>
      <c r="D119" s="14">
        <f t="shared" si="36"/>
        <v>0.28000000000000003</v>
      </c>
      <c r="E119" s="14" t="str">
        <f t="shared" si="37"/>
        <v>金币</v>
      </c>
      <c r="F119" s="14">
        <f t="shared" si="38"/>
        <v>4000</v>
      </c>
      <c r="G119" s="14" t="str">
        <f t="shared" si="39"/>
        <v>低级强化石</v>
      </c>
      <c r="H119" s="14">
        <f t="shared" si="40"/>
        <v>20</v>
      </c>
      <c r="I119" s="14" t="str">
        <f t="shared" ref="I119:J125" si="47">INDEX(T$36:T$45,$C119)</f>
        <v>中级强化石</v>
      </c>
      <c r="J119" s="14">
        <f t="shared" si="47"/>
        <v>10</v>
      </c>
      <c r="Y119" s="13">
        <v>84</v>
      </c>
      <c r="Z119" s="13">
        <f t="shared" si="41"/>
        <v>1501006</v>
      </c>
      <c r="AA119" s="14" t="str">
        <f t="shared" si="42"/>
        <v>项羽</v>
      </c>
      <c r="AB119" s="13">
        <f t="shared" si="30"/>
        <v>9</v>
      </c>
      <c r="AC119" s="14" t="str">
        <f t="shared" si="43"/>
        <v/>
      </c>
      <c r="AD119" s="14" t="str">
        <f t="shared" si="44"/>
        <v>Crit</v>
      </c>
      <c r="AE119" s="14">
        <f t="shared" si="45"/>
        <v>0.11</v>
      </c>
      <c r="AF119" s="13" t="s">
        <v>446</v>
      </c>
      <c r="AG119" s="13"/>
      <c r="AH119" s="13" t="s">
        <v>445</v>
      </c>
      <c r="AI119" s="14">
        <f t="shared" si="31"/>
        <v>300</v>
      </c>
      <c r="AJ119" s="14" t="str">
        <f t="shared" si="32"/>
        <v>项羽碎片</v>
      </c>
      <c r="AK119" s="13">
        <f t="shared" si="33"/>
        <v>20</v>
      </c>
    </row>
    <row r="120" spans="1:37" ht="16.5" x14ac:dyDescent="0.2">
      <c r="A120" s="13">
        <v>85</v>
      </c>
      <c r="B120" s="13">
        <f t="shared" si="34"/>
        <v>1501009</v>
      </c>
      <c r="C120" s="13">
        <f t="shared" si="35"/>
        <v>5</v>
      </c>
      <c r="D120" s="14">
        <f t="shared" si="36"/>
        <v>0.38</v>
      </c>
      <c r="E120" s="14" t="str">
        <f t="shared" si="37"/>
        <v>金币</v>
      </c>
      <c r="F120" s="14">
        <f t="shared" si="38"/>
        <v>5000</v>
      </c>
      <c r="G120" s="14" t="str">
        <f t="shared" si="39"/>
        <v>低级强化石</v>
      </c>
      <c r="H120" s="14">
        <f t="shared" si="40"/>
        <v>20</v>
      </c>
      <c r="I120" s="14" t="str">
        <f t="shared" si="47"/>
        <v>中级强化石</v>
      </c>
      <c r="J120" s="14">
        <f t="shared" si="47"/>
        <v>15</v>
      </c>
      <c r="Y120" s="13">
        <v>85</v>
      </c>
      <c r="Z120" s="13">
        <f t="shared" si="41"/>
        <v>1501006</v>
      </c>
      <c r="AA120" s="14" t="str">
        <f t="shared" si="42"/>
        <v>项羽</v>
      </c>
      <c r="AB120" s="13">
        <f t="shared" si="30"/>
        <v>10</v>
      </c>
      <c r="AC120" s="14" t="str">
        <f t="shared" si="43"/>
        <v/>
      </c>
      <c r="AD120" s="14" t="str">
        <f t="shared" si="44"/>
        <v>AtkRate</v>
      </c>
      <c r="AE120" s="14">
        <f t="shared" si="45"/>
        <v>0.14000000000000001</v>
      </c>
      <c r="AF120" s="13" t="s">
        <v>446</v>
      </c>
      <c r="AG120" s="13"/>
      <c r="AH120" s="13" t="s">
        <v>445</v>
      </c>
      <c r="AI120" s="14">
        <f t="shared" si="31"/>
        <v>400</v>
      </c>
      <c r="AJ120" s="14" t="str">
        <f t="shared" si="32"/>
        <v>项羽碎片</v>
      </c>
      <c r="AK120" s="13">
        <f t="shared" si="33"/>
        <v>20</v>
      </c>
    </row>
    <row r="121" spans="1:37" ht="16.5" x14ac:dyDescent="0.2">
      <c r="A121" s="13">
        <v>86</v>
      </c>
      <c r="B121" s="13">
        <f t="shared" si="34"/>
        <v>1501009</v>
      </c>
      <c r="C121" s="13">
        <f t="shared" si="35"/>
        <v>6</v>
      </c>
      <c r="D121" s="14">
        <f t="shared" si="36"/>
        <v>0.47</v>
      </c>
      <c r="E121" s="14" t="str">
        <f t="shared" si="37"/>
        <v>金币</v>
      </c>
      <c r="F121" s="14">
        <f t="shared" si="38"/>
        <v>6000</v>
      </c>
      <c r="G121" s="14" t="str">
        <f t="shared" si="39"/>
        <v>低级强化石</v>
      </c>
      <c r="H121" s="14">
        <f t="shared" si="40"/>
        <v>20</v>
      </c>
      <c r="I121" s="14" t="str">
        <f t="shared" si="47"/>
        <v>中级强化石</v>
      </c>
      <c r="J121" s="14">
        <f t="shared" si="47"/>
        <v>20</v>
      </c>
      <c r="Y121" s="13">
        <v>86</v>
      </c>
      <c r="Z121" s="13">
        <f t="shared" si="41"/>
        <v>1501006</v>
      </c>
      <c r="AA121" s="14" t="str">
        <f t="shared" si="42"/>
        <v>项羽</v>
      </c>
      <c r="AB121" s="13">
        <f t="shared" si="30"/>
        <v>11</v>
      </c>
      <c r="AC121" s="14" t="str">
        <f t="shared" si="43"/>
        <v/>
      </c>
      <c r="AD121" s="14" t="str">
        <f t="shared" si="44"/>
        <v>Crit</v>
      </c>
      <c r="AE121" s="14">
        <f t="shared" si="45"/>
        <v>0.14000000000000001</v>
      </c>
      <c r="AF121" s="13" t="s">
        <v>446</v>
      </c>
      <c r="AG121" s="13"/>
      <c r="AH121" s="13" t="s">
        <v>445</v>
      </c>
      <c r="AI121" s="14">
        <f t="shared" si="31"/>
        <v>500</v>
      </c>
      <c r="AJ121" s="14" t="str">
        <f t="shared" si="32"/>
        <v>项羽碎片</v>
      </c>
      <c r="AK121" s="13">
        <f t="shared" si="33"/>
        <v>30</v>
      </c>
    </row>
    <row r="122" spans="1:37" ht="16.5" x14ac:dyDescent="0.2">
      <c r="A122" s="13">
        <v>87</v>
      </c>
      <c r="B122" s="13">
        <f t="shared" si="34"/>
        <v>1501009</v>
      </c>
      <c r="C122" s="13">
        <f t="shared" si="35"/>
        <v>7</v>
      </c>
      <c r="D122" s="14">
        <f t="shared" si="36"/>
        <v>0.59</v>
      </c>
      <c r="E122" s="14" t="str">
        <f t="shared" si="37"/>
        <v>金币</v>
      </c>
      <c r="F122" s="14">
        <f t="shared" si="38"/>
        <v>7000</v>
      </c>
      <c r="G122" s="14" t="str">
        <f t="shared" si="39"/>
        <v>中级强化石</v>
      </c>
      <c r="H122" s="14">
        <f t="shared" si="40"/>
        <v>20</v>
      </c>
      <c r="I122" s="14" t="str">
        <f t="shared" si="47"/>
        <v>高级强化石</v>
      </c>
      <c r="J122" s="14">
        <f t="shared" si="47"/>
        <v>10</v>
      </c>
      <c r="Y122" s="13">
        <v>87</v>
      </c>
      <c r="Z122" s="13">
        <f t="shared" si="41"/>
        <v>1501006</v>
      </c>
      <c r="AA122" s="14" t="str">
        <f t="shared" si="42"/>
        <v>项羽</v>
      </c>
      <c r="AB122" s="13">
        <f t="shared" si="30"/>
        <v>12</v>
      </c>
      <c r="AC122" s="14" t="str">
        <f t="shared" si="43"/>
        <v/>
      </c>
      <c r="AD122" s="14" t="str">
        <f t="shared" si="44"/>
        <v>HPRate</v>
      </c>
      <c r="AE122" s="14">
        <f t="shared" si="45"/>
        <v>0.14000000000000001</v>
      </c>
      <c r="AF122" s="13" t="s">
        <v>446</v>
      </c>
      <c r="AG122" s="13"/>
      <c r="AH122" s="13" t="s">
        <v>445</v>
      </c>
      <c r="AI122" s="14">
        <f t="shared" si="31"/>
        <v>600</v>
      </c>
      <c r="AJ122" s="14" t="str">
        <f t="shared" si="32"/>
        <v>项羽碎片</v>
      </c>
      <c r="AK122" s="13">
        <f t="shared" si="33"/>
        <v>30</v>
      </c>
    </row>
    <row r="123" spans="1:37" ht="16.5" x14ac:dyDescent="0.2">
      <c r="A123" s="13">
        <v>88</v>
      </c>
      <c r="B123" s="13">
        <f t="shared" si="34"/>
        <v>1501009</v>
      </c>
      <c r="C123" s="13">
        <f t="shared" si="35"/>
        <v>8</v>
      </c>
      <c r="D123" s="14">
        <f t="shared" si="36"/>
        <v>0.72</v>
      </c>
      <c r="E123" s="14" t="str">
        <f t="shared" si="37"/>
        <v>金币</v>
      </c>
      <c r="F123" s="14">
        <f t="shared" si="38"/>
        <v>8000</v>
      </c>
      <c r="G123" s="14" t="str">
        <f t="shared" si="39"/>
        <v>中级强化石</v>
      </c>
      <c r="H123" s="14">
        <f t="shared" si="40"/>
        <v>20</v>
      </c>
      <c r="I123" s="14" t="str">
        <f t="shared" si="47"/>
        <v>高级强化石</v>
      </c>
      <c r="J123" s="14">
        <f t="shared" si="47"/>
        <v>15</v>
      </c>
      <c r="Y123" s="13">
        <v>88</v>
      </c>
      <c r="Z123" s="13">
        <f t="shared" si="41"/>
        <v>1501006</v>
      </c>
      <c r="AA123" s="14" t="str">
        <f t="shared" si="42"/>
        <v>项羽</v>
      </c>
      <c r="AB123" s="13">
        <f t="shared" si="30"/>
        <v>13</v>
      </c>
      <c r="AC123" s="14" t="str">
        <f t="shared" si="43"/>
        <v/>
      </c>
      <c r="AD123" s="14" t="str">
        <f t="shared" si="44"/>
        <v>CritRate</v>
      </c>
      <c r="AE123" s="14">
        <f t="shared" si="45"/>
        <v>0.28999999999999998</v>
      </c>
      <c r="AF123" s="13" t="s">
        <v>446</v>
      </c>
      <c r="AG123" s="13"/>
      <c r="AH123" s="13" t="s">
        <v>445</v>
      </c>
      <c r="AI123" s="14">
        <f t="shared" si="31"/>
        <v>700</v>
      </c>
      <c r="AJ123" s="14" t="str">
        <f t="shared" si="32"/>
        <v>项羽碎片</v>
      </c>
      <c r="AK123" s="13">
        <f t="shared" si="33"/>
        <v>30</v>
      </c>
    </row>
    <row r="124" spans="1:37" ht="16.5" x14ac:dyDescent="0.2">
      <c r="A124" s="13">
        <v>89</v>
      </c>
      <c r="B124" s="13">
        <f t="shared" si="34"/>
        <v>1501009</v>
      </c>
      <c r="C124" s="13">
        <f t="shared" si="35"/>
        <v>9</v>
      </c>
      <c r="D124" s="14">
        <f t="shared" si="36"/>
        <v>0.84</v>
      </c>
      <c r="E124" s="14" t="str">
        <f t="shared" si="37"/>
        <v>金币</v>
      </c>
      <c r="F124" s="14">
        <f t="shared" si="38"/>
        <v>9000</v>
      </c>
      <c r="G124" s="14" t="str">
        <f t="shared" si="39"/>
        <v>中级强化石</v>
      </c>
      <c r="H124" s="14">
        <f t="shared" si="40"/>
        <v>20</v>
      </c>
      <c r="I124" s="14" t="str">
        <f t="shared" si="47"/>
        <v>高级强化石</v>
      </c>
      <c r="J124" s="14">
        <f t="shared" si="47"/>
        <v>20</v>
      </c>
      <c r="Y124" s="13">
        <v>89</v>
      </c>
      <c r="Z124" s="13">
        <f t="shared" si="41"/>
        <v>1501006</v>
      </c>
      <c r="AA124" s="14" t="str">
        <f t="shared" si="42"/>
        <v>项羽</v>
      </c>
      <c r="AB124" s="13">
        <f t="shared" si="30"/>
        <v>14</v>
      </c>
      <c r="AC124" s="14" t="str">
        <f t="shared" si="43"/>
        <v/>
      </c>
      <c r="AD124" s="14" t="str">
        <f t="shared" si="44"/>
        <v>DefRate</v>
      </c>
      <c r="AE124" s="14">
        <f t="shared" si="45"/>
        <v>0.14000000000000001</v>
      </c>
      <c r="AF124" s="13" t="s">
        <v>446</v>
      </c>
      <c r="AG124" s="13"/>
      <c r="AH124" s="13" t="s">
        <v>445</v>
      </c>
      <c r="AI124" s="14">
        <f t="shared" si="31"/>
        <v>800</v>
      </c>
      <c r="AJ124" s="14" t="str">
        <f t="shared" si="32"/>
        <v>项羽碎片</v>
      </c>
      <c r="AK124" s="13">
        <f t="shared" si="33"/>
        <v>50</v>
      </c>
    </row>
    <row r="125" spans="1:37" ht="16.5" x14ac:dyDescent="0.2">
      <c r="A125" s="13">
        <v>90</v>
      </c>
      <c r="B125" s="13">
        <f t="shared" si="34"/>
        <v>1501009</v>
      </c>
      <c r="C125" s="13">
        <f t="shared" si="35"/>
        <v>10</v>
      </c>
      <c r="D125" s="14">
        <f t="shared" si="36"/>
        <v>1</v>
      </c>
      <c r="E125" s="14" t="str">
        <f t="shared" si="37"/>
        <v>金币</v>
      </c>
      <c r="F125" s="14">
        <f t="shared" si="38"/>
        <v>10000</v>
      </c>
      <c r="G125" s="14" t="str">
        <f t="shared" si="39"/>
        <v>中级强化石</v>
      </c>
      <c r="H125" s="14">
        <f t="shared" si="40"/>
        <v>20</v>
      </c>
      <c r="I125" s="14" t="str">
        <f t="shared" si="47"/>
        <v>高级强化石</v>
      </c>
      <c r="J125" s="14">
        <f t="shared" si="47"/>
        <v>25</v>
      </c>
      <c r="Y125" s="13">
        <v>90</v>
      </c>
      <c r="Z125" s="13">
        <f t="shared" si="41"/>
        <v>1501006</v>
      </c>
      <c r="AA125" s="14" t="str">
        <f t="shared" si="42"/>
        <v>项羽</v>
      </c>
      <c r="AB125" s="13">
        <f t="shared" si="30"/>
        <v>15</v>
      </c>
      <c r="AC125" s="14" t="str">
        <f t="shared" si="43"/>
        <v/>
      </c>
      <c r="AD125" s="14" t="str">
        <f t="shared" si="44"/>
        <v>Crit</v>
      </c>
      <c r="AE125" s="14">
        <f t="shared" si="45"/>
        <v>0.14000000000000001</v>
      </c>
      <c r="AF125" s="13" t="s">
        <v>446</v>
      </c>
      <c r="AG125" s="13"/>
      <c r="AH125" s="13" t="s">
        <v>445</v>
      </c>
      <c r="AI125" s="14">
        <f t="shared" si="31"/>
        <v>1000</v>
      </c>
      <c r="AJ125" s="14" t="str">
        <f t="shared" si="32"/>
        <v>项羽碎片</v>
      </c>
      <c r="AK125" s="13">
        <f t="shared" si="33"/>
        <v>60</v>
      </c>
    </row>
    <row r="126" spans="1:37" ht="16.5" x14ac:dyDescent="0.2">
      <c r="A126" s="13">
        <v>91</v>
      </c>
      <c r="B126" s="13">
        <f t="shared" si="34"/>
        <v>1501010</v>
      </c>
      <c r="C126" s="13">
        <f t="shared" si="35"/>
        <v>1</v>
      </c>
      <c r="D126" s="14">
        <f t="shared" si="36"/>
        <v>0.06</v>
      </c>
      <c r="E126" s="14" t="str">
        <f t="shared" si="37"/>
        <v>金币</v>
      </c>
      <c r="F126" s="14">
        <f t="shared" si="38"/>
        <v>1000</v>
      </c>
      <c r="G126" s="14" t="str">
        <f t="shared" si="39"/>
        <v>低级强化石</v>
      </c>
      <c r="H126" s="14">
        <f t="shared" si="40"/>
        <v>10</v>
      </c>
      <c r="I126" s="14"/>
      <c r="J126" s="14"/>
      <c r="Y126" s="13">
        <v>91</v>
      </c>
      <c r="Z126" s="13">
        <f t="shared" si="41"/>
        <v>1501007</v>
      </c>
      <c r="AA126" s="14" t="str">
        <f t="shared" si="42"/>
        <v>天使缇娜</v>
      </c>
      <c r="AB126" s="13">
        <f t="shared" si="30"/>
        <v>1</v>
      </c>
      <c r="AC126" s="14" t="str">
        <f t="shared" si="43"/>
        <v/>
      </c>
      <c r="AD126" s="14" t="str">
        <f t="shared" si="44"/>
        <v>AtkExt</v>
      </c>
      <c r="AE126" s="14">
        <f t="shared" si="45"/>
        <v>250</v>
      </c>
      <c r="AF126" s="13" t="s">
        <v>446</v>
      </c>
      <c r="AG126" s="13"/>
      <c r="AH126" s="13" t="s">
        <v>445</v>
      </c>
      <c r="AI126" s="14">
        <f t="shared" si="31"/>
        <v>10</v>
      </c>
      <c r="AJ126" s="14" t="str">
        <f t="shared" si="32"/>
        <v/>
      </c>
      <c r="AK126" s="13" t="str">
        <f t="shared" si="33"/>
        <v/>
      </c>
    </row>
    <row r="127" spans="1:37" ht="16.5" x14ac:dyDescent="0.2">
      <c r="A127" s="13">
        <v>92</v>
      </c>
      <c r="B127" s="13">
        <f t="shared" si="34"/>
        <v>1501010</v>
      </c>
      <c r="C127" s="13">
        <f t="shared" si="35"/>
        <v>2</v>
      </c>
      <c r="D127" s="14">
        <f t="shared" si="36"/>
        <v>0.13</v>
      </c>
      <c r="E127" s="14" t="str">
        <f t="shared" si="37"/>
        <v>金币</v>
      </c>
      <c r="F127" s="14">
        <f t="shared" si="38"/>
        <v>2000</v>
      </c>
      <c r="G127" s="14" t="str">
        <f t="shared" si="39"/>
        <v>低级强化石</v>
      </c>
      <c r="H127" s="14">
        <f t="shared" si="40"/>
        <v>15</v>
      </c>
      <c r="I127" s="14"/>
      <c r="J127" s="14"/>
      <c r="Y127" s="13">
        <v>92</v>
      </c>
      <c r="Z127" s="13">
        <f t="shared" si="41"/>
        <v>1501007</v>
      </c>
      <c r="AA127" s="14" t="str">
        <f t="shared" si="42"/>
        <v>天使缇娜</v>
      </c>
      <c r="AB127" s="13">
        <f t="shared" si="30"/>
        <v>2</v>
      </c>
      <c r="AC127" s="14" t="str">
        <f t="shared" si="43"/>
        <v/>
      </c>
      <c r="AD127" s="14" t="str">
        <f t="shared" si="44"/>
        <v>HPExt</v>
      </c>
      <c r="AE127" s="14">
        <f t="shared" si="45"/>
        <v>2250</v>
      </c>
      <c r="AF127" s="13" t="s">
        <v>446</v>
      </c>
      <c r="AG127" s="13"/>
      <c r="AH127" s="13" t="s">
        <v>445</v>
      </c>
      <c r="AI127" s="14">
        <f t="shared" si="31"/>
        <v>20</v>
      </c>
      <c r="AJ127" s="14" t="str">
        <f t="shared" si="32"/>
        <v/>
      </c>
      <c r="AK127" s="13" t="str">
        <f t="shared" si="33"/>
        <v/>
      </c>
    </row>
    <row r="128" spans="1:37" ht="16.5" x14ac:dyDescent="0.2">
      <c r="A128" s="13">
        <v>93</v>
      </c>
      <c r="B128" s="13">
        <f t="shared" si="34"/>
        <v>1501010</v>
      </c>
      <c r="C128" s="13">
        <f t="shared" si="35"/>
        <v>3</v>
      </c>
      <c r="D128" s="14">
        <f t="shared" si="36"/>
        <v>0.19</v>
      </c>
      <c r="E128" s="14" t="str">
        <f t="shared" si="37"/>
        <v>金币</v>
      </c>
      <c r="F128" s="14">
        <f t="shared" si="38"/>
        <v>3000</v>
      </c>
      <c r="G128" s="14" t="str">
        <f t="shared" si="39"/>
        <v>低级强化石</v>
      </c>
      <c r="H128" s="14">
        <f t="shared" si="40"/>
        <v>20</v>
      </c>
      <c r="I128" s="14"/>
      <c r="J128" s="14"/>
      <c r="Y128" s="13">
        <v>93</v>
      </c>
      <c r="Z128" s="13">
        <f t="shared" si="41"/>
        <v>1501007</v>
      </c>
      <c r="AA128" s="14" t="str">
        <f t="shared" si="42"/>
        <v>天使缇娜</v>
      </c>
      <c r="AB128" s="13">
        <f t="shared" si="30"/>
        <v>3</v>
      </c>
      <c r="AC128" s="14">
        <f t="shared" si="43"/>
        <v>130300709</v>
      </c>
      <c r="AD128" s="14" t="str">
        <f t="shared" si="44"/>
        <v/>
      </c>
      <c r="AE128" s="14" t="str">
        <f t="shared" si="45"/>
        <v/>
      </c>
      <c r="AF128" s="13" t="s">
        <v>446</v>
      </c>
      <c r="AG128" s="13"/>
      <c r="AH128" s="13" t="s">
        <v>445</v>
      </c>
      <c r="AI128" s="14">
        <f t="shared" si="31"/>
        <v>30</v>
      </c>
      <c r="AJ128" s="14" t="str">
        <f t="shared" si="32"/>
        <v>天使缇娜碎片</v>
      </c>
      <c r="AK128" s="13">
        <f t="shared" si="33"/>
        <v>5</v>
      </c>
    </row>
    <row r="129" spans="1:37" ht="16.5" x14ac:dyDescent="0.2">
      <c r="A129" s="13">
        <v>94</v>
      </c>
      <c r="B129" s="13">
        <f t="shared" si="34"/>
        <v>1501010</v>
      </c>
      <c r="C129" s="13">
        <f t="shared" si="35"/>
        <v>4</v>
      </c>
      <c r="D129" s="14">
        <f t="shared" si="36"/>
        <v>0.28000000000000003</v>
      </c>
      <c r="E129" s="14" t="str">
        <f t="shared" si="37"/>
        <v>金币</v>
      </c>
      <c r="F129" s="14">
        <f t="shared" si="38"/>
        <v>4000</v>
      </c>
      <c r="G129" s="14" t="str">
        <f t="shared" si="39"/>
        <v>低级强化石</v>
      </c>
      <c r="H129" s="14">
        <f t="shared" si="40"/>
        <v>20</v>
      </c>
      <c r="I129" s="14" t="str">
        <f t="shared" ref="I129:J135" si="48">INDEX(T$36:T$45,$C129)</f>
        <v>中级强化石</v>
      </c>
      <c r="J129" s="14">
        <f t="shared" si="48"/>
        <v>10</v>
      </c>
      <c r="Y129" s="13">
        <v>94</v>
      </c>
      <c r="Z129" s="13">
        <f t="shared" si="41"/>
        <v>1501007</v>
      </c>
      <c r="AA129" s="14" t="str">
        <f t="shared" si="42"/>
        <v>天使缇娜</v>
      </c>
      <c r="AB129" s="13">
        <f t="shared" si="30"/>
        <v>4</v>
      </c>
      <c r="AC129" s="14" t="str">
        <f t="shared" si="43"/>
        <v/>
      </c>
      <c r="AD129" s="14" t="str">
        <f t="shared" si="44"/>
        <v>AtkRate</v>
      </c>
      <c r="AE129" s="14">
        <f t="shared" si="45"/>
        <v>0.11</v>
      </c>
      <c r="AF129" s="13" t="s">
        <v>446</v>
      </c>
      <c r="AG129" s="13"/>
      <c r="AH129" s="13" t="s">
        <v>445</v>
      </c>
      <c r="AI129" s="14">
        <f t="shared" si="31"/>
        <v>50</v>
      </c>
      <c r="AJ129" s="14" t="str">
        <f t="shared" si="32"/>
        <v>天使缇娜碎片</v>
      </c>
      <c r="AK129" s="13">
        <f t="shared" si="33"/>
        <v>5</v>
      </c>
    </row>
    <row r="130" spans="1:37" ht="16.5" x14ac:dyDescent="0.2">
      <c r="A130" s="13">
        <v>95</v>
      </c>
      <c r="B130" s="13">
        <f t="shared" si="34"/>
        <v>1501010</v>
      </c>
      <c r="C130" s="13">
        <f t="shared" si="35"/>
        <v>5</v>
      </c>
      <c r="D130" s="14">
        <f t="shared" si="36"/>
        <v>0.38</v>
      </c>
      <c r="E130" s="14" t="str">
        <f t="shared" si="37"/>
        <v>金币</v>
      </c>
      <c r="F130" s="14">
        <f t="shared" si="38"/>
        <v>5000</v>
      </c>
      <c r="G130" s="14" t="str">
        <f t="shared" si="39"/>
        <v>低级强化石</v>
      </c>
      <c r="H130" s="14">
        <f t="shared" si="40"/>
        <v>20</v>
      </c>
      <c r="I130" s="14" t="str">
        <f t="shared" si="48"/>
        <v>中级强化石</v>
      </c>
      <c r="J130" s="14">
        <f t="shared" si="48"/>
        <v>15</v>
      </c>
      <c r="Y130" s="13">
        <v>95</v>
      </c>
      <c r="Z130" s="13">
        <f t="shared" si="41"/>
        <v>1501007</v>
      </c>
      <c r="AA130" s="14" t="str">
        <f t="shared" si="42"/>
        <v>天使缇娜</v>
      </c>
      <c r="AB130" s="13">
        <f t="shared" si="30"/>
        <v>5</v>
      </c>
      <c r="AC130" s="14" t="str">
        <f t="shared" si="43"/>
        <v/>
      </c>
      <c r="AD130" s="14" t="str">
        <f t="shared" si="44"/>
        <v>EffectHit</v>
      </c>
      <c r="AE130" s="14">
        <f t="shared" si="45"/>
        <v>0.15</v>
      </c>
      <c r="AF130" s="13" t="s">
        <v>446</v>
      </c>
      <c r="AG130" s="13"/>
      <c r="AH130" s="13" t="s">
        <v>445</v>
      </c>
      <c r="AI130" s="14">
        <f t="shared" si="31"/>
        <v>100</v>
      </c>
      <c r="AJ130" s="14" t="str">
        <f t="shared" si="32"/>
        <v>天使缇娜碎片</v>
      </c>
      <c r="AK130" s="13">
        <f t="shared" si="33"/>
        <v>10</v>
      </c>
    </row>
    <row r="131" spans="1:37" ht="16.5" x14ac:dyDescent="0.2">
      <c r="A131" s="13">
        <v>96</v>
      </c>
      <c r="B131" s="13">
        <f t="shared" si="34"/>
        <v>1501010</v>
      </c>
      <c r="C131" s="13">
        <f t="shared" si="35"/>
        <v>6</v>
      </c>
      <c r="D131" s="14">
        <f t="shared" si="36"/>
        <v>0.47</v>
      </c>
      <c r="E131" s="14" t="str">
        <f t="shared" si="37"/>
        <v>金币</v>
      </c>
      <c r="F131" s="14">
        <f t="shared" si="38"/>
        <v>6000</v>
      </c>
      <c r="G131" s="14" t="str">
        <f t="shared" si="39"/>
        <v>低级强化石</v>
      </c>
      <c r="H131" s="14">
        <f t="shared" si="40"/>
        <v>20</v>
      </c>
      <c r="I131" s="14" t="str">
        <f t="shared" si="48"/>
        <v>中级强化石</v>
      </c>
      <c r="J131" s="14">
        <f t="shared" si="48"/>
        <v>20</v>
      </c>
      <c r="Y131" s="13">
        <v>96</v>
      </c>
      <c r="Z131" s="13">
        <f t="shared" si="41"/>
        <v>1501007</v>
      </c>
      <c r="AA131" s="14" t="str">
        <f t="shared" si="42"/>
        <v>天使缇娜</v>
      </c>
      <c r="AB131" s="13">
        <f t="shared" si="30"/>
        <v>6</v>
      </c>
      <c r="AC131" s="14" t="str">
        <f t="shared" si="43"/>
        <v/>
      </c>
      <c r="AD131" s="14" t="str">
        <f t="shared" si="44"/>
        <v>HPRate</v>
      </c>
      <c r="AE131" s="14">
        <f t="shared" si="45"/>
        <v>0.11</v>
      </c>
      <c r="AF131" s="13" t="s">
        <v>446</v>
      </c>
      <c r="AG131" s="13"/>
      <c r="AH131" s="13" t="s">
        <v>445</v>
      </c>
      <c r="AI131" s="14">
        <f t="shared" si="31"/>
        <v>150</v>
      </c>
      <c r="AJ131" s="14" t="str">
        <f t="shared" si="32"/>
        <v>天使缇娜碎片</v>
      </c>
      <c r="AK131" s="13">
        <f t="shared" si="33"/>
        <v>10</v>
      </c>
    </row>
    <row r="132" spans="1:37" ht="16.5" x14ac:dyDescent="0.2">
      <c r="A132" s="13">
        <v>97</v>
      </c>
      <c r="B132" s="13">
        <f t="shared" si="34"/>
        <v>1501010</v>
      </c>
      <c r="C132" s="13">
        <f t="shared" si="35"/>
        <v>7</v>
      </c>
      <c r="D132" s="14">
        <f t="shared" si="36"/>
        <v>0.59</v>
      </c>
      <c r="E132" s="14" t="str">
        <f t="shared" si="37"/>
        <v>金币</v>
      </c>
      <c r="F132" s="14">
        <f t="shared" si="38"/>
        <v>7000</v>
      </c>
      <c r="G132" s="14" t="str">
        <f t="shared" si="39"/>
        <v>中级强化石</v>
      </c>
      <c r="H132" s="14">
        <f t="shared" si="40"/>
        <v>20</v>
      </c>
      <c r="I132" s="14" t="str">
        <f t="shared" si="48"/>
        <v>高级强化石</v>
      </c>
      <c r="J132" s="14">
        <f t="shared" si="48"/>
        <v>10</v>
      </c>
      <c r="Y132" s="13">
        <v>97</v>
      </c>
      <c r="Z132" s="13">
        <f t="shared" si="41"/>
        <v>1501007</v>
      </c>
      <c r="AA132" s="14" t="str">
        <f t="shared" si="42"/>
        <v>天使缇娜</v>
      </c>
      <c r="AB132" s="13">
        <f t="shared" si="30"/>
        <v>7</v>
      </c>
      <c r="AC132" s="14" t="str">
        <f t="shared" si="43"/>
        <v/>
      </c>
      <c r="AD132" s="14" t="str">
        <f t="shared" si="44"/>
        <v>AtkRate</v>
      </c>
      <c r="AE132" s="14">
        <f t="shared" si="45"/>
        <v>0.11</v>
      </c>
      <c r="AF132" s="13" t="s">
        <v>446</v>
      </c>
      <c r="AG132" s="13"/>
      <c r="AH132" s="13" t="s">
        <v>445</v>
      </c>
      <c r="AI132" s="14">
        <f t="shared" si="31"/>
        <v>200</v>
      </c>
      <c r="AJ132" s="14" t="str">
        <f t="shared" si="32"/>
        <v>天使缇娜碎片</v>
      </c>
      <c r="AK132" s="13">
        <f t="shared" si="33"/>
        <v>10</v>
      </c>
    </row>
    <row r="133" spans="1:37" ht="16.5" x14ac:dyDescent="0.2">
      <c r="A133" s="13">
        <v>98</v>
      </c>
      <c r="B133" s="13">
        <f t="shared" si="34"/>
        <v>1501010</v>
      </c>
      <c r="C133" s="13">
        <f t="shared" si="35"/>
        <v>8</v>
      </c>
      <c r="D133" s="14">
        <f t="shared" si="36"/>
        <v>0.72</v>
      </c>
      <c r="E133" s="14" t="str">
        <f t="shared" si="37"/>
        <v>金币</v>
      </c>
      <c r="F133" s="14">
        <f t="shared" si="38"/>
        <v>8000</v>
      </c>
      <c r="G133" s="14" t="str">
        <f t="shared" si="39"/>
        <v>中级强化石</v>
      </c>
      <c r="H133" s="14">
        <f t="shared" si="40"/>
        <v>20</v>
      </c>
      <c r="I133" s="14" t="str">
        <f t="shared" si="48"/>
        <v>高级强化石</v>
      </c>
      <c r="J133" s="14">
        <f t="shared" si="48"/>
        <v>15</v>
      </c>
      <c r="Y133" s="13">
        <v>98</v>
      </c>
      <c r="Z133" s="13">
        <f t="shared" si="41"/>
        <v>1501007</v>
      </c>
      <c r="AA133" s="14" t="str">
        <f t="shared" si="42"/>
        <v>天使缇娜</v>
      </c>
      <c r="AB133" s="13">
        <f t="shared" si="30"/>
        <v>8</v>
      </c>
      <c r="AC133" s="14" t="str">
        <f t="shared" si="43"/>
        <v/>
      </c>
      <c r="AD133" s="14" t="str">
        <f t="shared" si="44"/>
        <v>EffectHit</v>
      </c>
      <c r="AE133" s="14">
        <f t="shared" si="45"/>
        <v>0.15</v>
      </c>
      <c r="AF133" s="13" t="s">
        <v>446</v>
      </c>
      <c r="AG133" s="13"/>
      <c r="AH133" s="13" t="s">
        <v>445</v>
      </c>
      <c r="AI133" s="14">
        <f t="shared" si="31"/>
        <v>250</v>
      </c>
      <c r="AJ133" s="14" t="str">
        <f t="shared" si="32"/>
        <v>天使缇娜碎片</v>
      </c>
      <c r="AK133" s="13">
        <f t="shared" si="33"/>
        <v>20</v>
      </c>
    </row>
    <row r="134" spans="1:37" ht="16.5" x14ac:dyDescent="0.2">
      <c r="A134" s="13">
        <v>99</v>
      </c>
      <c r="B134" s="13">
        <f t="shared" si="34"/>
        <v>1501010</v>
      </c>
      <c r="C134" s="13">
        <f t="shared" si="35"/>
        <v>9</v>
      </c>
      <c r="D134" s="14">
        <f t="shared" si="36"/>
        <v>0.84</v>
      </c>
      <c r="E134" s="14" t="str">
        <f t="shared" si="37"/>
        <v>金币</v>
      </c>
      <c r="F134" s="14">
        <f t="shared" si="38"/>
        <v>9000</v>
      </c>
      <c r="G134" s="14" t="str">
        <f t="shared" si="39"/>
        <v>中级强化石</v>
      </c>
      <c r="H134" s="14">
        <f t="shared" si="40"/>
        <v>20</v>
      </c>
      <c r="I134" s="14" t="str">
        <f t="shared" si="48"/>
        <v>高级强化石</v>
      </c>
      <c r="J134" s="14">
        <f t="shared" si="48"/>
        <v>20</v>
      </c>
      <c r="Y134" s="13">
        <v>99</v>
      </c>
      <c r="Z134" s="13">
        <f t="shared" si="41"/>
        <v>1501007</v>
      </c>
      <c r="AA134" s="14" t="str">
        <f t="shared" si="42"/>
        <v>天使缇娜</v>
      </c>
      <c r="AB134" s="13">
        <f t="shared" si="30"/>
        <v>9</v>
      </c>
      <c r="AC134" s="14" t="str">
        <f t="shared" si="43"/>
        <v/>
      </c>
      <c r="AD134" s="14" t="str">
        <f t="shared" si="44"/>
        <v>DefRate</v>
      </c>
      <c r="AE134" s="14">
        <f t="shared" si="45"/>
        <v>0.11</v>
      </c>
      <c r="AF134" s="13" t="s">
        <v>446</v>
      </c>
      <c r="AG134" s="13"/>
      <c r="AH134" s="13" t="s">
        <v>445</v>
      </c>
      <c r="AI134" s="14">
        <f t="shared" si="31"/>
        <v>300</v>
      </c>
      <c r="AJ134" s="14" t="str">
        <f t="shared" si="32"/>
        <v>天使缇娜碎片</v>
      </c>
      <c r="AK134" s="13">
        <f t="shared" si="33"/>
        <v>20</v>
      </c>
    </row>
    <row r="135" spans="1:37" ht="16.5" x14ac:dyDescent="0.2">
      <c r="A135" s="13">
        <v>100</v>
      </c>
      <c r="B135" s="13">
        <f t="shared" si="34"/>
        <v>1501010</v>
      </c>
      <c r="C135" s="13">
        <f t="shared" si="35"/>
        <v>10</v>
      </c>
      <c r="D135" s="14">
        <f t="shared" si="36"/>
        <v>1</v>
      </c>
      <c r="E135" s="14" t="str">
        <f t="shared" si="37"/>
        <v>金币</v>
      </c>
      <c r="F135" s="14">
        <f t="shared" si="38"/>
        <v>10000</v>
      </c>
      <c r="G135" s="14" t="str">
        <f t="shared" si="39"/>
        <v>中级强化石</v>
      </c>
      <c r="H135" s="14">
        <f t="shared" si="40"/>
        <v>20</v>
      </c>
      <c r="I135" s="14" t="str">
        <f t="shared" si="48"/>
        <v>高级强化石</v>
      </c>
      <c r="J135" s="14">
        <f t="shared" si="48"/>
        <v>25</v>
      </c>
      <c r="Y135" s="13">
        <v>100</v>
      </c>
      <c r="Z135" s="13">
        <f t="shared" si="41"/>
        <v>1501007</v>
      </c>
      <c r="AA135" s="14" t="str">
        <f t="shared" si="42"/>
        <v>天使缇娜</v>
      </c>
      <c r="AB135" s="13">
        <f t="shared" si="30"/>
        <v>10</v>
      </c>
      <c r="AC135" s="14" t="str">
        <f t="shared" si="43"/>
        <v/>
      </c>
      <c r="AD135" s="14" t="str">
        <f t="shared" si="44"/>
        <v>AtkRate</v>
      </c>
      <c r="AE135" s="14">
        <f t="shared" si="45"/>
        <v>0.14000000000000001</v>
      </c>
      <c r="AF135" s="13" t="s">
        <v>446</v>
      </c>
      <c r="AG135" s="13"/>
      <c r="AH135" s="13" t="s">
        <v>445</v>
      </c>
      <c r="AI135" s="14">
        <f t="shared" si="31"/>
        <v>400</v>
      </c>
      <c r="AJ135" s="14" t="str">
        <f t="shared" si="32"/>
        <v>天使缇娜碎片</v>
      </c>
      <c r="AK135" s="13">
        <f t="shared" si="33"/>
        <v>20</v>
      </c>
    </row>
    <row r="136" spans="1:37" ht="16.5" x14ac:dyDescent="0.2">
      <c r="A136" s="13">
        <v>101</v>
      </c>
      <c r="B136" s="13">
        <f t="shared" si="34"/>
        <v>1501011</v>
      </c>
      <c r="C136" s="13">
        <f t="shared" si="35"/>
        <v>1</v>
      </c>
      <c r="D136" s="14">
        <f t="shared" si="36"/>
        <v>0.06</v>
      </c>
      <c r="E136" s="14" t="str">
        <f t="shared" si="37"/>
        <v>金币</v>
      </c>
      <c r="F136" s="14">
        <f t="shared" si="38"/>
        <v>1000</v>
      </c>
      <c r="G136" s="14" t="str">
        <f t="shared" si="39"/>
        <v>低级强化石</v>
      </c>
      <c r="H136" s="14">
        <f t="shared" si="40"/>
        <v>10</v>
      </c>
      <c r="I136" s="14"/>
      <c r="J136" s="14"/>
      <c r="Y136" s="13">
        <v>101</v>
      </c>
      <c r="Z136" s="13">
        <f t="shared" si="41"/>
        <v>1501007</v>
      </c>
      <c r="AA136" s="14" t="str">
        <f t="shared" si="42"/>
        <v>天使缇娜</v>
      </c>
      <c r="AB136" s="13">
        <f t="shared" si="30"/>
        <v>11</v>
      </c>
      <c r="AC136" s="14" t="str">
        <f t="shared" si="43"/>
        <v/>
      </c>
      <c r="AD136" s="14" t="str">
        <f t="shared" si="44"/>
        <v>EffectHit</v>
      </c>
      <c r="AE136" s="14">
        <f t="shared" si="45"/>
        <v>0.2</v>
      </c>
      <c r="AF136" s="13" t="s">
        <v>446</v>
      </c>
      <c r="AG136" s="13"/>
      <c r="AH136" s="13" t="s">
        <v>445</v>
      </c>
      <c r="AI136" s="14">
        <f t="shared" si="31"/>
        <v>500</v>
      </c>
      <c r="AJ136" s="14" t="str">
        <f t="shared" si="32"/>
        <v>天使缇娜碎片</v>
      </c>
      <c r="AK136" s="13">
        <f t="shared" si="33"/>
        <v>30</v>
      </c>
    </row>
    <row r="137" spans="1:37" ht="16.5" x14ac:dyDescent="0.2">
      <c r="A137" s="13">
        <v>102</v>
      </c>
      <c r="B137" s="13">
        <f t="shared" si="34"/>
        <v>1501011</v>
      </c>
      <c r="C137" s="13">
        <f t="shared" si="35"/>
        <v>2</v>
      </c>
      <c r="D137" s="14">
        <f t="shared" si="36"/>
        <v>0.13</v>
      </c>
      <c r="E137" s="14" t="str">
        <f t="shared" si="37"/>
        <v>金币</v>
      </c>
      <c r="F137" s="14">
        <f t="shared" si="38"/>
        <v>2000</v>
      </c>
      <c r="G137" s="14" t="str">
        <f t="shared" si="39"/>
        <v>低级强化石</v>
      </c>
      <c r="H137" s="14">
        <f t="shared" si="40"/>
        <v>15</v>
      </c>
      <c r="I137" s="14"/>
      <c r="J137" s="14"/>
      <c r="Y137" s="13">
        <v>102</v>
      </c>
      <c r="Z137" s="13">
        <f t="shared" si="41"/>
        <v>1501007</v>
      </c>
      <c r="AA137" s="14" t="str">
        <f t="shared" si="42"/>
        <v>天使缇娜</v>
      </c>
      <c r="AB137" s="13">
        <f t="shared" si="30"/>
        <v>12</v>
      </c>
      <c r="AC137" s="14" t="str">
        <f t="shared" si="43"/>
        <v/>
      </c>
      <c r="AD137" s="14" t="str">
        <f t="shared" si="44"/>
        <v>HPRate</v>
      </c>
      <c r="AE137" s="14">
        <f t="shared" si="45"/>
        <v>0.14000000000000001</v>
      </c>
      <c r="AF137" s="13" t="s">
        <v>446</v>
      </c>
      <c r="AG137" s="13"/>
      <c r="AH137" s="13" t="s">
        <v>445</v>
      </c>
      <c r="AI137" s="14">
        <f t="shared" si="31"/>
        <v>600</v>
      </c>
      <c r="AJ137" s="14" t="str">
        <f t="shared" si="32"/>
        <v>天使缇娜碎片</v>
      </c>
      <c r="AK137" s="13">
        <f t="shared" si="33"/>
        <v>30</v>
      </c>
    </row>
    <row r="138" spans="1:37" ht="16.5" x14ac:dyDescent="0.2">
      <c r="A138" s="13">
        <v>103</v>
      </c>
      <c r="B138" s="13">
        <f t="shared" si="34"/>
        <v>1501011</v>
      </c>
      <c r="C138" s="13">
        <f t="shared" si="35"/>
        <v>3</v>
      </c>
      <c r="D138" s="14">
        <f t="shared" si="36"/>
        <v>0.19</v>
      </c>
      <c r="E138" s="14" t="str">
        <f t="shared" si="37"/>
        <v>金币</v>
      </c>
      <c r="F138" s="14">
        <f t="shared" si="38"/>
        <v>3000</v>
      </c>
      <c r="G138" s="14" t="str">
        <f t="shared" si="39"/>
        <v>低级强化石</v>
      </c>
      <c r="H138" s="14">
        <f t="shared" si="40"/>
        <v>20</v>
      </c>
      <c r="I138" s="14"/>
      <c r="J138" s="14"/>
      <c r="Y138" s="13">
        <v>103</v>
      </c>
      <c r="Z138" s="13">
        <f t="shared" si="41"/>
        <v>1501007</v>
      </c>
      <c r="AA138" s="14" t="str">
        <f t="shared" si="42"/>
        <v>天使缇娜</v>
      </c>
      <c r="AB138" s="13">
        <f t="shared" si="30"/>
        <v>13</v>
      </c>
      <c r="AC138" s="14" t="str">
        <f t="shared" si="43"/>
        <v/>
      </c>
      <c r="AD138" s="14" t="str">
        <f t="shared" si="44"/>
        <v>AtkRate</v>
      </c>
      <c r="AE138" s="14">
        <f t="shared" si="45"/>
        <v>0.14000000000000001</v>
      </c>
      <c r="AF138" s="13" t="s">
        <v>446</v>
      </c>
      <c r="AG138" s="13"/>
      <c r="AH138" s="13" t="s">
        <v>445</v>
      </c>
      <c r="AI138" s="14">
        <f t="shared" si="31"/>
        <v>700</v>
      </c>
      <c r="AJ138" s="14" t="str">
        <f t="shared" si="32"/>
        <v>天使缇娜碎片</v>
      </c>
      <c r="AK138" s="13">
        <f t="shared" si="33"/>
        <v>30</v>
      </c>
    </row>
    <row r="139" spans="1:37" ht="16.5" x14ac:dyDescent="0.2">
      <c r="A139" s="13">
        <v>104</v>
      </c>
      <c r="B139" s="13">
        <f t="shared" si="34"/>
        <v>1501011</v>
      </c>
      <c r="C139" s="13">
        <f t="shared" si="35"/>
        <v>4</v>
      </c>
      <c r="D139" s="14">
        <f t="shared" si="36"/>
        <v>0.28000000000000003</v>
      </c>
      <c r="E139" s="14" t="str">
        <f t="shared" si="37"/>
        <v>金币</v>
      </c>
      <c r="F139" s="14">
        <f t="shared" si="38"/>
        <v>4000</v>
      </c>
      <c r="G139" s="14" t="str">
        <f t="shared" si="39"/>
        <v>低级强化石</v>
      </c>
      <c r="H139" s="14">
        <f t="shared" si="40"/>
        <v>20</v>
      </c>
      <c r="I139" s="14" t="str">
        <f t="shared" ref="I139:J145" si="49">INDEX(T$36:T$45,$C139)</f>
        <v>中级强化石</v>
      </c>
      <c r="J139" s="14">
        <f t="shared" si="49"/>
        <v>10</v>
      </c>
      <c r="Y139" s="13">
        <v>104</v>
      </c>
      <c r="Z139" s="13">
        <f t="shared" si="41"/>
        <v>1501007</v>
      </c>
      <c r="AA139" s="14" t="str">
        <f t="shared" si="42"/>
        <v>天使缇娜</v>
      </c>
      <c r="AB139" s="13">
        <f t="shared" si="30"/>
        <v>14</v>
      </c>
      <c r="AC139" s="14" t="str">
        <f t="shared" si="43"/>
        <v/>
      </c>
      <c r="AD139" s="14" t="str">
        <f t="shared" si="44"/>
        <v>EffectHit</v>
      </c>
      <c r="AE139" s="14">
        <f t="shared" si="45"/>
        <v>0.2</v>
      </c>
      <c r="AF139" s="13" t="s">
        <v>446</v>
      </c>
      <c r="AG139" s="13"/>
      <c r="AH139" s="13" t="s">
        <v>445</v>
      </c>
      <c r="AI139" s="14">
        <f t="shared" si="31"/>
        <v>800</v>
      </c>
      <c r="AJ139" s="14" t="str">
        <f t="shared" si="32"/>
        <v>天使缇娜碎片</v>
      </c>
      <c r="AK139" s="13">
        <f t="shared" si="33"/>
        <v>50</v>
      </c>
    </row>
    <row r="140" spans="1:37" ht="16.5" x14ac:dyDescent="0.2">
      <c r="A140" s="13">
        <v>105</v>
      </c>
      <c r="B140" s="13">
        <f t="shared" si="34"/>
        <v>1501011</v>
      </c>
      <c r="C140" s="13">
        <f t="shared" si="35"/>
        <v>5</v>
      </c>
      <c r="D140" s="14">
        <f t="shared" si="36"/>
        <v>0.38</v>
      </c>
      <c r="E140" s="14" t="str">
        <f t="shared" si="37"/>
        <v>金币</v>
      </c>
      <c r="F140" s="14">
        <f t="shared" si="38"/>
        <v>5000</v>
      </c>
      <c r="G140" s="14" t="str">
        <f t="shared" si="39"/>
        <v>低级强化石</v>
      </c>
      <c r="H140" s="14">
        <f t="shared" si="40"/>
        <v>20</v>
      </c>
      <c r="I140" s="14" t="str">
        <f t="shared" si="49"/>
        <v>中级强化石</v>
      </c>
      <c r="J140" s="14">
        <f t="shared" si="49"/>
        <v>15</v>
      </c>
      <c r="Y140" s="13">
        <v>105</v>
      </c>
      <c r="Z140" s="13">
        <f t="shared" si="41"/>
        <v>1501007</v>
      </c>
      <c r="AA140" s="14" t="str">
        <f t="shared" si="42"/>
        <v>天使缇娜</v>
      </c>
      <c r="AB140" s="13">
        <f t="shared" si="30"/>
        <v>15</v>
      </c>
      <c r="AC140" s="14" t="str">
        <f t="shared" si="43"/>
        <v/>
      </c>
      <c r="AD140" s="14" t="str">
        <f t="shared" si="44"/>
        <v>DefRate</v>
      </c>
      <c r="AE140" s="14">
        <f t="shared" si="45"/>
        <v>0.14000000000000001</v>
      </c>
      <c r="AF140" s="13" t="s">
        <v>446</v>
      </c>
      <c r="AG140" s="13"/>
      <c r="AH140" s="13" t="s">
        <v>445</v>
      </c>
      <c r="AI140" s="14">
        <f t="shared" si="31"/>
        <v>1000</v>
      </c>
      <c r="AJ140" s="14" t="str">
        <f t="shared" si="32"/>
        <v>天使缇娜碎片</v>
      </c>
      <c r="AK140" s="13">
        <f t="shared" si="33"/>
        <v>60</v>
      </c>
    </row>
    <row r="141" spans="1:37" ht="16.5" x14ac:dyDescent="0.2">
      <c r="A141" s="13">
        <v>106</v>
      </c>
      <c r="B141" s="13">
        <f t="shared" si="34"/>
        <v>1501011</v>
      </c>
      <c r="C141" s="13">
        <f t="shared" si="35"/>
        <v>6</v>
      </c>
      <c r="D141" s="14">
        <f t="shared" si="36"/>
        <v>0.47</v>
      </c>
      <c r="E141" s="14" t="str">
        <f t="shared" si="37"/>
        <v>金币</v>
      </c>
      <c r="F141" s="14">
        <f t="shared" si="38"/>
        <v>6000</v>
      </c>
      <c r="G141" s="14" t="str">
        <f t="shared" si="39"/>
        <v>低级强化石</v>
      </c>
      <c r="H141" s="14">
        <f t="shared" si="40"/>
        <v>20</v>
      </c>
      <c r="I141" s="14" t="str">
        <f t="shared" si="49"/>
        <v>中级强化石</v>
      </c>
      <c r="J141" s="14">
        <f t="shared" si="49"/>
        <v>20</v>
      </c>
      <c r="Y141" s="13">
        <v>106</v>
      </c>
      <c r="Z141" s="13">
        <f t="shared" si="41"/>
        <v>1501008</v>
      </c>
      <c r="AA141" s="14" t="str">
        <f t="shared" si="42"/>
        <v>夏侯渊</v>
      </c>
      <c r="AB141" s="13">
        <f t="shared" si="30"/>
        <v>1</v>
      </c>
      <c r="AC141" s="14" t="str">
        <f t="shared" si="43"/>
        <v/>
      </c>
      <c r="AD141" s="14" t="str">
        <f t="shared" si="44"/>
        <v>AtkExt</v>
      </c>
      <c r="AE141" s="14">
        <f t="shared" si="45"/>
        <v>250</v>
      </c>
      <c r="AF141" s="13" t="s">
        <v>446</v>
      </c>
      <c r="AG141" s="13"/>
      <c r="AH141" s="13" t="s">
        <v>445</v>
      </c>
      <c r="AI141" s="14">
        <f t="shared" si="31"/>
        <v>10</v>
      </c>
      <c r="AJ141" s="14" t="str">
        <f t="shared" si="32"/>
        <v/>
      </c>
      <c r="AK141" s="13" t="str">
        <f t="shared" si="33"/>
        <v/>
      </c>
    </row>
    <row r="142" spans="1:37" ht="16.5" x14ac:dyDescent="0.2">
      <c r="A142" s="13">
        <v>107</v>
      </c>
      <c r="B142" s="13">
        <f t="shared" si="34"/>
        <v>1501011</v>
      </c>
      <c r="C142" s="13">
        <f t="shared" si="35"/>
        <v>7</v>
      </c>
      <c r="D142" s="14">
        <f t="shared" si="36"/>
        <v>0.59</v>
      </c>
      <c r="E142" s="14" t="str">
        <f t="shared" si="37"/>
        <v>金币</v>
      </c>
      <c r="F142" s="14">
        <f t="shared" si="38"/>
        <v>7000</v>
      </c>
      <c r="G142" s="14" t="str">
        <f t="shared" si="39"/>
        <v>中级强化石</v>
      </c>
      <c r="H142" s="14">
        <f t="shared" si="40"/>
        <v>20</v>
      </c>
      <c r="I142" s="14" t="str">
        <f t="shared" si="49"/>
        <v>高级强化石</v>
      </c>
      <c r="J142" s="14">
        <f t="shared" si="49"/>
        <v>10</v>
      </c>
      <c r="Y142" s="13">
        <v>107</v>
      </c>
      <c r="Z142" s="13">
        <f t="shared" si="41"/>
        <v>1501008</v>
      </c>
      <c r="AA142" s="14" t="str">
        <f t="shared" si="42"/>
        <v>夏侯渊</v>
      </c>
      <c r="AB142" s="13">
        <f t="shared" si="30"/>
        <v>2</v>
      </c>
      <c r="AC142" s="14" t="str">
        <f t="shared" si="43"/>
        <v/>
      </c>
      <c r="AD142" s="14" t="str">
        <f t="shared" si="44"/>
        <v>HPExt</v>
      </c>
      <c r="AE142" s="14">
        <f t="shared" si="45"/>
        <v>2250</v>
      </c>
      <c r="AF142" s="13" t="s">
        <v>446</v>
      </c>
      <c r="AG142" s="13"/>
      <c r="AH142" s="13" t="s">
        <v>445</v>
      </c>
      <c r="AI142" s="14">
        <f t="shared" si="31"/>
        <v>20</v>
      </c>
      <c r="AJ142" s="14" t="str">
        <f t="shared" si="32"/>
        <v/>
      </c>
      <c r="AK142" s="13" t="str">
        <f t="shared" si="33"/>
        <v/>
      </c>
    </row>
    <row r="143" spans="1:37" ht="16.5" x14ac:dyDescent="0.2">
      <c r="A143" s="13">
        <v>108</v>
      </c>
      <c r="B143" s="13">
        <f t="shared" si="34"/>
        <v>1501011</v>
      </c>
      <c r="C143" s="13">
        <f t="shared" si="35"/>
        <v>8</v>
      </c>
      <c r="D143" s="14">
        <f t="shared" si="36"/>
        <v>0.72</v>
      </c>
      <c r="E143" s="14" t="str">
        <f t="shared" si="37"/>
        <v>金币</v>
      </c>
      <c r="F143" s="14">
        <f t="shared" si="38"/>
        <v>8000</v>
      </c>
      <c r="G143" s="14" t="str">
        <f t="shared" si="39"/>
        <v>中级强化石</v>
      </c>
      <c r="H143" s="14">
        <f t="shared" si="40"/>
        <v>20</v>
      </c>
      <c r="I143" s="14" t="str">
        <f t="shared" si="49"/>
        <v>高级强化石</v>
      </c>
      <c r="J143" s="14">
        <f t="shared" si="49"/>
        <v>15</v>
      </c>
      <c r="Y143" s="13">
        <v>108</v>
      </c>
      <c r="Z143" s="13">
        <f t="shared" si="41"/>
        <v>1501008</v>
      </c>
      <c r="AA143" s="14" t="str">
        <f t="shared" si="42"/>
        <v>夏侯渊</v>
      </c>
      <c r="AB143" s="13">
        <f t="shared" si="30"/>
        <v>3</v>
      </c>
      <c r="AC143" s="14">
        <f t="shared" si="43"/>
        <v>130300809</v>
      </c>
      <c r="AD143" s="14" t="str">
        <f t="shared" si="44"/>
        <v/>
      </c>
      <c r="AE143" s="14" t="str">
        <f t="shared" si="45"/>
        <v/>
      </c>
      <c r="AF143" s="13" t="s">
        <v>446</v>
      </c>
      <c r="AG143" s="13"/>
      <c r="AH143" s="13" t="s">
        <v>445</v>
      </c>
      <c r="AI143" s="14">
        <f t="shared" si="31"/>
        <v>30</v>
      </c>
      <c r="AJ143" s="14" t="str">
        <f t="shared" si="32"/>
        <v>夏侯渊碎片</v>
      </c>
      <c r="AK143" s="13">
        <f t="shared" si="33"/>
        <v>5</v>
      </c>
    </row>
    <row r="144" spans="1:37" ht="16.5" x14ac:dyDescent="0.2">
      <c r="A144" s="13">
        <v>109</v>
      </c>
      <c r="B144" s="13">
        <f t="shared" si="34"/>
        <v>1501011</v>
      </c>
      <c r="C144" s="13">
        <f t="shared" si="35"/>
        <v>9</v>
      </c>
      <c r="D144" s="14">
        <f t="shared" si="36"/>
        <v>0.84</v>
      </c>
      <c r="E144" s="14" t="str">
        <f t="shared" si="37"/>
        <v>金币</v>
      </c>
      <c r="F144" s="14">
        <f t="shared" si="38"/>
        <v>9000</v>
      </c>
      <c r="G144" s="14" t="str">
        <f t="shared" si="39"/>
        <v>中级强化石</v>
      </c>
      <c r="H144" s="14">
        <f t="shared" si="40"/>
        <v>20</v>
      </c>
      <c r="I144" s="14" t="str">
        <f t="shared" si="49"/>
        <v>高级强化石</v>
      </c>
      <c r="J144" s="14">
        <f t="shared" si="49"/>
        <v>20</v>
      </c>
      <c r="Y144" s="13">
        <v>109</v>
      </c>
      <c r="Z144" s="13">
        <f t="shared" si="41"/>
        <v>1501008</v>
      </c>
      <c r="AA144" s="14" t="str">
        <f t="shared" si="42"/>
        <v>夏侯渊</v>
      </c>
      <c r="AB144" s="13">
        <f t="shared" si="30"/>
        <v>4</v>
      </c>
      <c r="AC144" s="14" t="str">
        <f t="shared" si="43"/>
        <v/>
      </c>
      <c r="AD144" s="14" t="str">
        <f t="shared" si="44"/>
        <v>AtkRate</v>
      </c>
      <c r="AE144" s="14">
        <f t="shared" si="45"/>
        <v>0.11</v>
      </c>
      <c r="AF144" s="13" t="s">
        <v>446</v>
      </c>
      <c r="AG144" s="13"/>
      <c r="AH144" s="13" t="s">
        <v>445</v>
      </c>
      <c r="AI144" s="14">
        <f t="shared" si="31"/>
        <v>50</v>
      </c>
      <c r="AJ144" s="14" t="str">
        <f t="shared" si="32"/>
        <v>夏侯渊碎片</v>
      </c>
      <c r="AK144" s="13">
        <f t="shared" si="33"/>
        <v>5</v>
      </c>
    </row>
    <row r="145" spans="1:37" ht="16.5" x14ac:dyDescent="0.2">
      <c r="A145" s="13">
        <v>110</v>
      </c>
      <c r="B145" s="13">
        <f t="shared" si="34"/>
        <v>1501011</v>
      </c>
      <c r="C145" s="13">
        <f t="shared" si="35"/>
        <v>10</v>
      </c>
      <c r="D145" s="14">
        <f t="shared" si="36"/>
        <v>1</v>
      </c>
      <c r="E145" s="14" t="str">
        <f t="shared" si="37"/>
        <v>金币</v>
      </c>
      <c r="F145" s="14">
        <f t="shared" si="38"/>
        <v>10000</v>
      </c>
      <c r="G145" s="14" t="str">
        <f t="shared" si="39"/>
        <v>中级强化石</v>
      </c>
      <c r="H145" s="14">
        <f t="shared" si="40"/>
        <v>20</v>
      </c>
      <c r="I145" s="14" t="str">
        <f t="shared" si="49"/>
        <v>高级强化石</v>
      </c>
      <c r="J145" s="14">
        <f t="shared" si="49"/>
        <v>25</v>
      </c>
      <c r="Y145" s="13">
        <v>110</v>
      </c>
      <c r="Z145" s="13">
        <f t="shared" si="41"/>
        <v>1501008</v>
      </c>
      <c r="AA145" s="14" t="str">
        <f t="shared" si="42"/>
        <v>夏侯渊</v>
      </c>
      <c r="AB145" s="13">
        <f t="shared" si="30"/>
        <v>5</v>
      </c>
      <c r="AC145" s="14" t="str">
        <f t="shared" si="43"/>
        <v/>
      </c>
      <c r="AD145" s="14" t="str">
        <f t="shared" si="44"/>
        <v>EffectHit</v>
      </c>
      <c r="AE145" s="14">
        <f t="shared" si="45"/>
        <v>0.15</v>
      </c>
      <c r="AF145" s="13" t="s">
        <v>446</v>
      </c>
      <c r="AG145" s="13"/>
      <c r="AH145" s="13" t="s">
        <v>445</v>
      </c>
      <c r="AI145" s="14">
        <f t="shared" si="31"/>
        <v>100</v>
      </c>
      <c r="AJ145" s="14" t="str">
        <f t="shared" si="32"/>
        <v>夏侯渊碎片</v>
      </c>
      <c r="AK145" s="13">
        <f t="shared" si="33"/>
        <v>10</v>
      </c>
    </row>
    <row r="146" spans="1:37" ht="16.5" x14ac:dyDescent="0.2">
      <c r="A146" s="13">
        <v>111</v>
      </c>
      <c r="B146" s="13">
        <f t="shared" si="34"/>
        <v>1501012</v>
      </c>
      <c r="C146" s="13">
        <f t="shared" si="35"/>
        <v>1</v>
      </c>
      <c r="D146" s="14">
        <f t="shared" si="36"/>
        <v>0.06</v>
      </c>
      <c r="E146" s="14" t="str">
        <f t="shared" si="37"/>
        <v>金币</v>
      </c>
      <c r="F146" s="14">
        <f t="shared" si="38"/>
        <v>1000</v>
      </c>
      <c r="G146" s="14" t="str">
        <f t="shared" si="39"/>
        <v>低级强化石</v>
      </c>
      <c r="H146" s="14">
        <f t="shared" si="40"/>
        <v>10</v>
      </c>
      <c r="I146" s="14"/>
      <c r="J146" s="14"/>
      <c r="Y146" s="13">
        <v>111</v>
      </c>
      <c r="Z146" s="13">
        <f t="shared" si="41"/>
        <v>1501008</v>
      </c>
      <c r="AA146" s="14" t="str">
        <f t="shared" si="42"/>
        <v>夏侯渊</v>
      </c>
      <c r="AB146" s="13">
        <f t="shared" si="30"/>
        <v>6</v>
      </c>
      <c r="AC146" s="14" t="str">
        <f t="shared" si="43"/>
        <v/>
      </c>
      <c r="AD146" s="14" t="str">
        <f t="shared" si="44"/>
        <v>HPRate</v>
      </c>
      <c r="AE146" s="14">
        <f t="shared" si="45"/>
        <v>0.11</v>
      </c>
      <c r="AF146" s="13" t="s">
        <v>446</v>
      </c>
      <c r="AG146" s="13"/>
      <c r="AH146" s="13" t="s">
        <v>445</v>
      </c>
      <c r="AI146" s="14">
        <f t="shared" si="31"/>
        <v>150</v>
      </c>
      <c r="AJ146" s="14" t="str">
        <f t="shared" si="32"/>
        <v>夏侯渊碎片</v>
      </c>
      <c r="AK146" s="13">
        <f t="shared" si="33"/>
        <v>10</v>
      </c>
    </row>
    <row r="147" spans="1:37" ht="16.5" x14ac:dyDescent="0.2">
      <c r="A147" s="13">
        <v>112</v>
      </c>
      <c r="B147" s="13">
        <f t="shared" si="34"/>
        <v>1501012</v>
      </c>
      <c r="C147" s="13">
        <f t="shared" si="35"/>
        <v>2</v>
      </c>
      <c r="D147" s="14">
        <f t="shared" si="36"/>
        <v>0.13</v>
      </c>
      <c r="E147" s="14" t="str">
        <f t="shared" si="37"/>
        <v>金币</v>
      </c>
      <c r="F147" s="14">
        <f t="shared" si="38"/>
        <v>2000</v>
      </c>
      <c r="G147" s="14" t="str">
        <f t="shared" si="39"/>
        <v>低级强化石</v>
      </c>
      <c r="H147" s="14">
        <f t="shared" si="40"/>
        <v>15</v>
      </c>
      <c r="I147" s="14"/>
      <c r="J147" s="14"/>
      <c r="Y147" s="13">
        <v>112</v>
      </c>
      <c r="Z147" s="13">
        <f t="shared" si="41"/>
        <v>1501008</v>
      </c>
      <c r="AA147" s="14" t="str">
        <f t="shared" si="42"/>
        <v>夏侯渊</v>
      </c>
      <c r="AB147" s="13">
        <f t="shared" si="30"/>
        <v>7</v>
      </c>
      <c r="AC147" s="14" t="str">
        <f t="shared" si="43"/>
        <v/>
      </c>
      <c r="AD147" s="14" t="str">
        <f t="shared" si="44"/>
        <v>AtkRate</v>
      </c>
      <c r="AE147" s="14">
        <f t="shared" si="45"/>
        <v>0.11</v>
      </c>
      <c r="AF147" s="13" t="s">
        <v>446</v>
      </c>
      <c r="AG147" s="13"/>
      <c r="AH147" s="13" t="s">
        <v>445</v>
      </c>
      <c r="AI147" s="14">
        <f t="shared" si="31"/>
        <v>200</v>
      </c>
      <c r="AJ147" s="14" t="str">
        <f t="shared" si="32"/>
        <v>夏侯渊碎片</v>
      </c>
      <c r="AK147" s="13">
        <f t="shared" si="33"/>
        <v>10</v>
      </c>
    </row>
    <row r="148" spans="1:37" ht="16.5" x14ac:dyDescent="0.2">
      <c r="A148" s="13">
        <v>113</v>
      </c>
      <c r="B148" s="13">
        <f t="shared" si="34"/>
        <v>1501012</v>
      </c>
      <c r="C148" s="13">
        <f t="shared" si="35"/>
        <v>3</v>
      </c>
      <c r="D148" s="14">
        <f t="shared" si="36"/>
        <v>0.19</v>
      </c>
      <c r="E148" s="14" t="str">
        <f t="shared" si="37"/>
        <v>金币</v>
      </c>
      <c r="F148" s="14">
        <f t="shared" si="38"/>
        <v>3000</v>
      </c>
      <c r="G148" s="14" t="str">
        <f t="shared" si="39"/>
        <v>低级强化石</v>
      </c>
      <c r="H148" s="14">
        <f t="shared" si="40"/>
        <v>20</v>
      </c>
      <c r="I148" s="14"/>
      <c r="J148" s="14"/>
      <c r="Y148" s="13">
        <v>113</v>
      </c>
      <c r="Z148" s="13">
        <f t="shared" si="41"/>
        <v>1501008</v>
      </c>
      <c r="AA148" s="14" t="str">
        <f t="shared" si="42"/>
        <v>夏侯渊</v>
      </c>
      <c r="AB148" s="13">
        <f t="shared" si="30"/>
        <v>8</v>
      </c>
      <c r="AC148" s="14" t="str">
        <f t="shared" si="43"/>
        <v/>
      </c>
      <c r="AD148" s="14" t="str">
        <f t="shared" si="44"/>
        <v>EffectHit</v>
      </c>
      <c r="AE148" s="14">
        <f t="shared" si="45"/>
        <v>0.15</v>
      </c>
      <c r="AF148" s="13" t="s">
        <v>446</v>
      </c>
      <c r="AG148" s="13"/>
      <c r="AH148" s="13" t="s">
        <v>445</v>
      </c>
      <c r="AI148" s="14">
        <f t="shared" si="31"/>
        <v>250</v>
      </c>
      <c r="AJ148" s="14" t="str">
        <f t="shared" si="32"/>
        <v>夏侯渊碎片</v>
      </c>
      <c r="AK148" s="13">
        <f t="shared" si="33"/>
        <v>20</v>
      </c>
    </row>
    <row r="149" spans="1:37" ht="16.5" x14ac:dyDescent="0.2">
      <c r="A149" s="13">
        <v>114</v>
      </c>
      <c r="B149" s="13">
        <f t="shared" si="34"/>
        <v>1501012</v>
      </c>
      <c r="C149" s="13">
        <f t="shared" si="35"/>
        <v>4</v>
      </c>
      <c r="D149" s="14">
        <f t="shared" si="36"/>
        <v>0.28000000000000003</v>
      </c>
      <c r="E149" s="14" t="str">
        <f t="shared" si="37"/>
        <v>金币</v>
      </c>
      <c r="F149" s="14">
        <f t="shared" si="38"/>
        <v>4000</v>
      </c>
      <c r="G149" s="14" t="str">
        <f t="shared" si="39"/>
        <v>低级强化石</v>
      </c>
      <c r="H149" s="14">
        <f t="shared" si="40"/>
        <v>20</v>
      </c>
      <c r="I149" s="14" t="str">
        <f t="shared" ref="I149:J155" si="50">INDEX(T$36:T$45,$C149)</f>
        <v>中级强化石</v>
      </c>
      <c r="J149" s="14">
        <f t="shared" si="50"/>
        <v>10</v>
      </c>
      <c r="Y149" s="13">
        <v>114</v>
      </c>
      <c r="Z149" s="13">
        <f t="shared" si="41"/>
        <v>1501008</v>
      </c>
      <c r="AA149" s="14" t="str">
        <f t="shared" si="42"/>
        <v>夏侯渊</v>
      </c>
      <c r="AB149" s="13">
        <f t="shared" si="30"/>
        <v>9</v>
      </c>
      <c r="AC149" s="14" t="str">
        <f t="shared" si="43"/>
        <v/>
      </c>
      <c r="AD149" s="14" t="str">
        <f t="shared" si="44"/>
        <v>DefIgnor</v>
      </c>
      <c r="AE149" s="14">
        <f t="shared" si="45"/>
        <v>0.11</v>
      </c>
      <c r="AF149" s="13" t="s">
        <v>446</v>
      </c>
      <c r="AG149" s="13"/>
      <c r="AH149" s="13" t="s">
        <v>445</v>
      </c>
      <c r="AI149" s="14">
        <f t="shared" si="31"/>
        <v>300</v>
      </c>
      <c r="AJ149" s="14" t="str">
        <f t="shared" si="32"/>
        <v>夏侯渊碎片</v>
      </c>
      <c r="AK149" s="13">
        <f t="shared" si="33"/>
        <v>20</v>
      </c>
    </row>
    <row r="150" spans="1:37" ht="16.5" x14ac:dyDescent="0.2">
      <c r="A150" s="13">
        <v>115</v>
      </c>
      <c r="B150" s="13">
        <f t="shared" si="34"/>
        <v>1501012</v>
      </c>
      <c r="C150" s="13">
        <f t="shared" si="35"/>
        <v>5</v>
      </c>
      <c r="D150" s="14">
        <f t="shared" si="36"/>
        <v>0.38</v>
      </c>
      <c r="E150" s="14" t="str">
        <f t="shared" si="37"/>
        <v>金币</v>
      </c>
      <c r="F150" s="14">
        <f t="shared" si="38"/>
        <v>5000</v>
      </c>
      <c r="G150" s="14" t="str">
        <f t="shared" si="39"/>
        <v>低级强化石</v>
      </c>
      <c r="H150" s="14">
        <f t="shared" si="40"/>
        <v>20</v>
      </c>
      <c r="I150" s="14" t="str">
        <f t="shared" si="50"/>
        <v>中级强化石</v>
      </c>
      <c r="J150" s="14">
        <f t="shared" si="50"/>
        <v>15</v>
      </c>
      <c r="Y150" s="13">
        <v>115</v>
      </c>
      <c r="Z150" s="13">
        <f t="shared" si="41"/>
        <v>1501008</v>
      </c>
      <c r="AA150" s="14" t="str">
        <f t="shared" si="42"/>
        <v>夏侯渊</v>
      </c>
      <c r="AB150" s="13">
        <f t="shared" si="30"/>
        <v>10</v>
      </c>
      <c r="AC150" s="14" t="str">
        <f t="shared" si="43"/>
        <v/>
      </c>
      <c r="AD150" s="14" t="str">
        <f t="shared" si="44"/>
        <v>AtkRate</v>
      </c>
      <c r="AE150" s="14">
        <f t="shared" si="45"/>
        <v>0.14000000000000001</v>
      </c>
      <c r="AF150" s="13" t="s">
        <v>446</v>
      </c>
      <c r="AG150" s="13"/>
      <c r="AH150" s="13" t="s">
        <v>445</v>
      </c>
      <c r="AI150" s="14">
        <f t="shared" si="31"/>
        <v>400</v>
      </c>
      <c r="AJ150" s="14" t="str">
        <f t="shared" si="32"/>
        <v>夏侯渊碎片</v>
      </c>
      <c r="AK150" s="13">
        <f t="shared" si="33"/>
        <v>20</v>
      </c>
    </row>
    <row r="151" spans="1:37" ht="16.5" x14ac:dyDescent="0.2">
      <c r="A151" s="13">
        <v>116</v>
      </c>
      <c r="B151" s="13">
        <f t="shared" si="34"/>
        <v>1501012</v>
      </c>
      <c r="C151" s="13">
        <f t="shared" si="35"/>
        <v>6</v>
      </c>
      <c r="D151" s="14">
        <f t="shared" si="36"/>
        <v>0.47</v>
      </c>
      <c r="E151" s="14" t="str">
        <f t="shared" si="37"/>
        <v>金币</v>
      </c>
      <c r="F151" s="14">
        <f t="shared" si="38"/>
        <v>6000</v>
      </c>
      <c r="G151" s="14" t="str">
        <f t="shared" si="39"/>
        <v>低级强化石</v>
      </c>
      <c r="H151" s="14">
        <f t="shared" si="40"/>
        <v>20</v>
      </c>
      <c r="I151" s="14" t="str">
        <f t="shared" si="50"/>
        <v>中级强化石</v>
      </c>
      <c r="J151" s="14">
        <f t="shared" si="50"/>
        <v>20</v>
      </c>
      <c r="Y151" s="13">
        <v>116</v>
      </c>
      <c r="Z151" s="13">
        <f t="shared" si="41"/>
        <v>1501008</v>
      </c>
      <c r="AA151" s="14" t="str">
        <f t="shared" si="42"/>
        <v>夏侯渊</v>
      </c>
      <c r="AB151" s="13">
        <f t="shared" si="30"/>
        <v>11</v>
      </c>
      <c r="AC151" s="14" t="str">
        <f t="shared" si="43"/>
        <v/>
      </c>
      <c r="AD151" s="14" t="str">
        <f t="shared" si="44"/>
        <v>EffectHit</v>
      </c>
      <c r="AE151" s="14">
        <f t="shared" si="45"/>
        <v>0.2</v>
      </c>
      <c r="AF151" s="13" t="s">
        <v>446</v>
      </c>
      <c r="AG151" s="13"/>
      <c r="AH151" s="13" t="s">
        <v>445</v>
      </c>
      <c r="AI151" s="14">
        <f t="shared" si="31"/>
        <v>500</v>
      </c>
      <c r="AJ151" s="14" t="str">
        <f t="shared" si="32"/>
        <v>夏侯渊碎片</v>
      </c>
      <c r="AK151" s="13">
        <f t="shared" si="33"/>
        <v>30</v>
      </c>
    </row>
    <row r="152" spans="1:37" ht="16.5" x14ac:dyDescent="0.2">
      <c r="A152" s="13">
        <v>117</v>
      </c>
      <c r="B152" s="13">
        <f t="shared" si="34"/>
        <v>1501012</v>
      </c>
      <c r="C152" s="13">
        <f t="shared" si="35"/>
        <v>7</v>
      </c>
      <c r="D152" s="14">
        <f t="shared" si="36"/>
        <v>0.59</v>
      </c>
      <c r="E152" s="14" t="str">
        <f t="shared" si="37"/>
        <v>金币</v>
      </c>
      <c r="F152" s="14">
        <f t="shared" si="38"/>
        <v>7000</v>
      </c>
      <c r="G152" s="14" t="str">
        <f t="shared" si="39"/>
        <v>中级强化石</v>
      </c>
      <c r="H152" s="14">
        <f t="shared" si="40"/>
        <v>20</v>
      </c>
      <c r="I152" s="14" t="str">
        <f t="shared" si="50"/>
        <v>高级强化石</v>
      </c>
      <c r="J152" s="14">
        <f t="shared" si="50"/>
        <v>10</v>
      </c>
      <c r="Y152" s="13">
        <v>117</v>
      </c>
      <c r="Z152" s="13">
        <f t="shared" si="41"/>
        <v>1501008</v>
      </c>
      <c r="AA152" s="14" t="str">
        <f t="shared" si="42"/>
        <v>夏侯渊</v>
      </c>
      <c r="AB152" s="13">
        <f t="shared" si="30"/>
        <v>12</v>
      </c>
      <c r="AC152" s="14" t="str">
        <f t="shared" si="43"/>
        <v/>
      </c>
      <c r="AD152" s="14" t="str">
        <f t="shared" si="44"/>
        <v>HPRate</v>
      </c>
      <c r="AE152" s="14">
        <f t="shared" si="45"/>
        <v>0.14000000000000001</v>
      </c>
      <c r="AF152" s="13" t="s">
        <v>446</v>
      </c>
      <c r="AG152" s="13"/>
      <c r="AH152" s="13" t="s">
        <v>445</v>
      </c>
      <c r="AI152" s="14">
        <f t="shared" si="31"/>
        <v>600</v>
      </c>
      <c r="AJ152" s="14" t="str">
        <f t="shared" si="32"/>
        <v>夏侯渊碎片</v>
      </c>
      <c r="AK152" s="13">
        <f t="shared" si="33"/>
        <v>30</v>
      </c>
    </row>
    <row r="153" spans="1:37" ht="16.5" x14ac:dyDescent="0.2">
      <c r="A153" s="13">
        <v>118</v>
      </c>
      <c r="B153" s="13">
        <f t="shared" si="34"/>
        <v>1501012</v>
      </c>
      <c r="C153" s="13">
        <f t="shared" si="35"/>
        <v>8</v>
      </c>
      <c r="D153" s="14">
        <f t="shared" si="36"/>
        <v>0.72</v>
      </c>
      <c r="E153" s="14" t="str">
        <f t="shared" si="37"/>
        <v>金币</v>
      </c>
      <c r="F153" s="14">
        <f t="shared" si="38"/>
        <v>8000</v>
      </c>
      <c r="G153" s="14" t="str">
        <f t="shared" si="39"/>
        <v>中级强化石</v>
      </c>
      <c r="H153" s="14">
        <f t="shared" si="40"/>
        <v>20</v>
      </c>
      <c r="I153" s="14" t="str">
        <f t="shared" si="50"/>
        <v>高级强化石</v>
      </c>
      <c r="J153" s="14">
        <f t="shared" si="50"/>
        <v>15</v>
      </c>
      <c r="Y153" s="13">
        <v>118</v>
      </c>
      <c r="Z153" s="13">
        <f t="shared" si="41"/>
        <v>1501008</v>
      </c>
      <c r="AA153" s="14" t="str">
        <f t="shared" si="42"/>
        <v>夏侯渊</v>
      </c>
      <c r="AB153" s="13">
        <f t="shared" si="30"/>
        <v>13</v>
      </c>
      <c r="AC153" s="14" t="str">
        <f t="shared" si="43"/>
        <v/>
      </c>
      <c r="AD153" s="14" t="str">
        <f t="shared" si="44"/>
        <v>AtkRate</v>
      </c>
      <c r="AE153" s="14">
        <f t="shared" si="45"/>
        <v>0.14000000000000001</v>
      </c>
      <c r="AF153" s="13" t="s">
        <v>446</v>
      </c>
      <c r="AG153" s="13"/>
      <c r="AH153" s="13" t="s">
        <v>445</v>
      </c>
      <c r="AI153" s="14">
        <f t="shared" si="31"/>
        <v>700</v>
      </c>
      <c r="AJ153" s="14" t="str">
        <f t="shared" si="32"/>
        <v>夏侯渊碎片</v>
      </c>
      <c r="AK153" s="13">
        <f t="shared" si="33"/>
        <v>30</v>
      </c>
    </row>
    <row r="154" spans="1:37" ht="16.5" x14ac:dyDescent="0.2">
      <c r="A154" s="13">
        <v>119</v>
      </c>
      <c r="B154" s="13">
        <f t="shared" si="34"/>
        <v>1501012</v>
      </c>
      <c r="C154" s="13">
        <f t="shared" si="35"/>
        <v>9</v>
      </c>
      <c r="D154" s="14">
        <f t="shared" si="36"/>
        <v>0.84</v>
      </c>
      <c r="E154" s="14" t="str">
        <f t="shared" si="37"/>
        <v>金币</v>
      </c>
      <c r="F154" s="14">
        <f t="shared" si="38"/>
        <v>9000</v>
      </c>
      <c r="G154" s="14" t="str">
        <f t="shared" si="39"/>
        <v>中级强化石</v>
      </c>
      <c r="H154" s="14">
        <f t="shared" si="40"/>
        <v>20</v>
      </c>
      <c r="I154" s="14" t="str">
        <f t="shared" si="50"/>
        <v>高级强化石</v>
      </c>
      <c r="J154" s="14">
        <f t="shared" si="50"/>
        <v>20</v>
      </c>
      <c r="Y154" s="13">
        <v>119</v>
      </c>
      <c r="Z154" s="13">
        <f t="shared" si="41"/>
        <v>1501008</v>
      </c>
      <c r="AA154" s="14" t="str">
        <f t="shared" si="42"/>
        <v>夏侯渊</v>
      </c>
      <c r="AB154" s="13">
        <f t="shared" si="30"/>
        <v>14</v>
      </c>
      <c r="AC154" s="14" t="str">
        <f t="shared" si="43"/>
        <v/>
      </c>
      <c r="AD154" s="14" t="str">
        <f t="shared" si="44"/>
        <v>EffectHit</v>
      </c>
      <c r="AE154" s="14">
        <f t="shared" si="45"/>
        <v>0.2</v>
      </c>
      <c r="AF154" s="13" t="s">
        <v>446</v>
      </c>
      <c r="AG154" s="13"/>
      <c r="AH154" s="13" t="s">
        <v>445</v>
      </c>
      <c r="AI154" s="14">
        <f t="shared" si="31"/>
        <v>800</v>
      </c>
      <c r="AJ154" s="14" t="str">
        <f t="shared" si="32"/>
        <v>夏侯渊碎片</v>
      </c>
      <c r="AK154" s="13">
        <f t="shared" si="33"/>
        <v>50</v>
      </c>
    </row>
    <row r="155" spans="1:37" ht="16.5" x14ac:dyDescent="0.2">
      <c r="A155" s="13">
        <v>120</v>
      </c>
      <c r="B155" s="13">
        <f t="shared" si="34"/>
        <v>1501012</v>
      </c>
      <c r="C155" s="13">
        <f t="shared" si="35"/>
        <v>10</v>
      </c>
      <c r="D155" s="14">
        <f t="shared" si="36"/>
        <v>1</v>
      </c>
      <c r="E155" s="14" t="str">
        <f t="shared" si="37"/>
        <v>金币</v>
      </c>
      <c r="F155" s="14">
        <f t="shared" si="38"/>
        <v>10000</v>
      </c>
      <c r="G155" s="14" t="str">
        <f t="shared" si="39"/>
        <v>中级强化石</v>
      </c>
      <c r="H155" s="14">
        <f t="shared" si="40"/>
        <v>20</v>
      </c>
      <c r="I155" s="14" t="str">
        <f t="shared" si="50"/>
        <v>高级强化石</v>
      </c>
      <c r="J155" s="14">
        <f t="shared" si="50"/>
        <v>25</v>
      </c>
      <c r="Y155" s="13">
        <v>120</v>
      </c>
      <c r="Z155" s="13">
        <f t="shared" si="41"/>
        <v>1501008</v>
      </c>
      <c r="AA155" s="14" t="str">
        <f t="shared" si="42"/>
        <v>夏侯渊</v>
      </c>
      <c r="AB155" s="13">
        <f t="shared" si="30"/>
        <v>15</v>
      </c>
      <c r="AC155" s="14" t="str">
        <f t="shared" si="43"/>
        <v/>
      </c>
      <c r="AD155" s="14" t="str">
        <f t="shared" si="44"/>
        <v>DefIgnor</v>
      </c>
      <c r="AE155" s="14">
        <f t="shared" si="45"/>
        <v>0.14000000000000001</v>
      </c>
      <c r="AF155" s="13" t="s">
        <v>446</v>
      </c>
      <c r="AG155" s="13"/>
      <c r="AH155" s="13" t="s">
        <v>445</v>
      </c>
      <c r="AI155" s="14">
        <f t="shared" si="31"/>
        <v>1000</v>
      </c>
      <c r="AJ155" s="14" t="str">
        <f t="shared" si="32"/>
        <v>夏侯渊碎片</v>
      </c>
      <c r="AK155" s="13">
        <f t="shared" si="33"/>
        <v>60</v>
      </c>
    </row>
    <row r="156" spans="1:37" ht="16.5" x14ac:dyDescent="0.2">
      <c r="A156" s="13">
        <v>121</v>
      </c>
      <c r="B156" s="13">
        <f t="shared" si="34"/>
        <v>1501013</v>
      </c>
      <c r="C156" s="13">
        <f t="shared" si="35"/>
        <v>1</v>
      </c>
      <c r="D156" s="14">
        <f t="shared" si="36"/>
        <v>0.06</v>
      </c>
      <c r="E156" s="14" t="str">
        <f t="shared" si="37"/>
        <v>金币</v>
      </c>
      <c r="F156" s="14">
        <f t="shared" si="38"/>
        <v>1000</v>
      </c>
      <c r="G156" s="14" t="str">
        <f t="shared" si="39"/>
        <v>低级强化石</v>
      </c>
      <c r="H156" s="14">
        <f t="shared" si="40"/>
        <v>10</v>
      </c>
      <c r="I156" s="14"/>
      <c r="J156" s="14"/>
      <c r="Y156" s="13">
        <v>121</v>
      </c>
      <c r="Z156" s="13">
        <f t="shared" si="41"/>
        <v>1501009</v>
      </c>
      <c r="AA156" s="14" t="str">
        <f t="shared" si="42"/>
        <v>徐晃</v>
      </c>
      <c r="AB156" s="13">
        <f t="shared" si="30"/>
        <v>1</v>
      </c>
      <c r="AC156" s="14" t="str">
        <f t="shared" si="43"/>
        <v/>
      </c>
      <c r="AD156" s="14" t="str">
        <f t="shared" si="44"/>
        <v>AtkExt</v>
      </c>
      <c r="AE156" s="14">
        <f t="shared" si="45"/>
        <v>250</v>
      </c>
      <c r="AF156" s="13" t="s">
        <v>446</v>
      </c>
      <c r="AG156" s="13"/>
      <c r="AH156" s="13" t="s">
        <v>445</v>
      </c>
      <c r="AI156" s="14">
        <f t="shared" si="31"/>
        <v>10</v>
      </c>
      <c r="AJ156" s="14" t="str">
        <f t="shared" si="32"/>
        <v/>
      </c>
      <c r="AK156" s="13" t="str">
        <f t="shared" si="33"/>
        <v/>
      </c>
    </row>
    <row r="157" spans="1:37" ht="16.5" x14ac:dyDescent="0.2">
      <c r="A157" s="13">
        <v>122</v>
      </c>
      <c r="B157" s="13">
        <f t="shared" si="34"/>
        <v>1501013</v>
      </c>
      <c r="C157" s="13">
        <f t="shared" si="35"/>
        <v>2</v>
      </c>
      <c r="D157" s="14">
        <f t="shared" si="36"/>
        <v>0.13</v>
      </c>
      <c r="E157" s="14" t="str">
        <f t="shared" si="37"/>
        <v>金币</v>
      </c>
      <c r="F157" s="14">
        <f t="shared" si="38"/>
        <v>2000</v>
      </c>
      <c r="G157" s="14" t="str">
        <f t="shared" si="39"/>
        <v>低级强化石</v>
      </c>
      <c r="H157" s="14">
        <f t="shared" si="40"/>
        <v>15</v>
      </c>
      <c r="I157" s="14"/>
      <c r="J157" s="14"/>
      <c r="Y157" s="13">
        <v>122</v>
      </c>
      <c r="Z157" s="13">
        <f t="shared" si="41"/>
        <v>1501009</v>
      </c>
      <c r="AA157" s="14" t="str">
        <f t="shared" si="42"/>
        <v>徐晃</v>
      </c>
      <c r="AB157" s="13">
        <f t="shared" si="30"/>
        <v>2</v>
      </c>
      <c r="AC157" s="14" t="str">
        <f t="shared" si="43"/>
        <v/>
      </c>
      <c r="AD157" s="14" t="str">
        <f t="shared" si="44"/>
        <v>HPExt</v>
      </c>
      <c r="AE157" s="14">
        <f t="shared" si="45"/>
        <v>2250</v>
      </c>
      <c r="AF157" s="13" t="s">
        <v>446</v>
      </c>
      <c r="AG157" s="13"/>
      <c r="AH157" s="13" t="s">
        <v>445</v>
      </c>
      <c r="AI157" s="14">
        <f t="shared" si="31"/>
        <v>20</v>
      </c>
      <c r="AJ157" s="14" t="str">
        <f t="shared" si="32"/>
        <v/>
      </c>
      <c r="AK157" s="13" t="str">
        <f t="shared" si="33"/>
        <v/>
      </c>
    </row>
    <row r="158" spans="1:37" ht="16.5" x14ac:dyDescent="0.2">
      <c r="A158" s="13">
        <v>123</v>
      </c>
      <c r="B158" s="13">
        <f t="shared" si="34"/>
        <v>1501013</v>
      </c>
      <c r="C158" s="13">
        <f t="shared" si="35"/>
        <v>3</v>
      </c>
      <c r="D158" s="14">
        <f t="shared" si="36"/>
        <v>0.19</v>
      </c>
      <c r="E158" s="14" t="str">
        <f t="shared" si="37"/>
        <v>金币</v>
      </c>
      <c r="F158" s="14">
        <f t="shared" si="38"/>
        <v>3000</v>
      </c>
      <c r="G158" s="14" t="str">
        <f t="shared" si="39"/>
        <v>低级强化石</v>
      </c>
      <c r="H158" s="14">
        <f t="shared" si="40"/>
        <v>20</v>
      </c>
      <c r="I158" s="14"/>
      <c r="J158" s="14"/>
      <c r="Y158" s="13">
        <v>123</v>
      </c>
      <c r="Z158" s="13">
        <f t="shared" si="41"/>
        <v>1501009</v>
      </c>
      <c r="AA158" s="14" t="str">
        <f t="shared" si="42"/>
        <v>徐晃</v>
      </c>
      <c r="AB158" s="13">
        <f t="shared" si="30"/>
        <v>3</v>
      </c>
      <c r="AC158" s="14">
        <f t="shared" si="43"/>
        <v>130300909</v>
      </c>
      <c r="AD158" s="14" t="str">
        <f t="shared" si="44"/>
        <v/>
      </c>
      <c r="AE158" s="14" t="str">
        <f t="shared" si="45"/>
        <v/>
      </c>
      <c r="AF158" s="13" t="s">
        <v>446</v>
      </c>
      <c r="AG158" s="13"/>
      <c r="AH158" s="13" t="s">
        <v>445</v>
      </c>
      <c r="AI158" s="14">
        <f t="shared" si="31"/>
        <v>30</v>
      </c>
      <c r="AJ158" s="14" t="str">
        <f t="shared" si="32"/>
        <v>徐晃碎片</v>
      </c>
      <c r="AK158" s="13">
        <f t="shared" si="33"/>
        <v>5</v>
      </c>
    </row>
    <row r="159" spans="1:37" ht="16.5" x14ac:dyDescent="0.2">
      <c r="A159" s="13">
        <v>124</v>
      </c>
      <c r="B159" s="13">
        <f t="shared" si="34"/>
        <v>1501013</v>
      </c>
      <c r="C159" s="13">
        <f t="shared" si="35"/>
        <v>4</v>
      </c>
      <c r="D159" s="14">
        <f t="shared" si="36"/>
        <v>0.28000000000000003</v>
      </c>
      <c r="E159" s="14" t="str">
        <f t="shared" si="37"/>
        <v>金币</v>
      </c>
      <c r="F159" s="14">
        <f t="shared" si="38"/>
        <v>4000</v>
      </c>
      <c r="G159" s="14" t="str">
        <f t="shared" si="39"/>
        <v>低级强化石</v>
      </c>
      <c r="H159" s="14">
        <f t="shared" si="40"/>
        <v>20</v>
      </c>
      <c r="I159" s="14" t="str">
        <f t="shared" ref="I159:J165" si="51">INDEX(T$36:T$45,$C159)</f>
        <v>中级强化石</v>
      </c>
      <c r="J159" s="14">
        <f t="shared" si="51"/>
        <v>10</v>
      </c>
      <c r="Y159" s="13">
        <v>124</v>
      </c>
      <c r="Z159" s="13">
        <f t="shared" si="41"/>
        <v>1501009</v>
      </c>
      <c r="AA159" s="14" t="str">
        <f t="shared" si="42"/>
        <v>徐晃</v>
      </c>
      <c r="AB159" s="13">
        <f t="shared" si="30"/>
        <v>4</v>
      </c>
      <c r="AC159" s="14" t="str">
        <f t="shared" si="43"/>
        <v/>
      </c>
      <c r="AD159" s="14" t="str">
        <f t="shared" si="44"/>
        <v>Block</v>
      </c>
      <c r="AE159" s="14">
        <f t="shared" si="45"/>
        <v>0.11</v>
      </c>
      <c r="AF159" s="13" t="s">
        <v>446</v>
      </c>
      <c r="AG159" s="13"/>
      <c r="AH159" s="13" t="s">
        <v>445</v>
      </c>
      <c r="AI159" s="14">
        <f t="shared" si="31"/>
        <v>50</v>
      </c>
      <c r="AJ159" s="14" t="str">
        <f t="shared" si="32"/>
        <v>徐晃碎片</v>
      </c>
      <c r="AK159" s="13">
        <f t="shared" si="33"/>
        <v>5</v>
      </c>
    </row>
    <row r="160" spans="1:37" ht="16.5" x14ac:dyDescent="0.2">
      <c r="A160" s="13">
        <v>125</v>
      </c>
      <c r="B160" s="13">
        <f t="shared" si="34"/>
        <v>1501013</v>
      </c>
      <c r="C160" s="13">
        <f t="shared" si="35"/>
        <v>5</v>
      </c>
      <c r="D160" s="14">
        <f t="shared" si="36"/>
        <v>0.38</v>
      </c>
      <c r="E160" s="14" t="str">
        <f t="shared" si="37"/>
        <v>金币</v>
      </c>
      <c r="F160" s="14">
        <f t="shared" si="38"/>
        <v>5000</v>
      </c>
      <c r="G160" s="14" t="str">
        <f t="shared" si="39"/>
        <v>低级强化石</v>
      </c>
      <c r="H160" s="14">
        <f t="shared" si="40"/>
        <v>20</v>
      </c>
      <c r="I160" s="14" t="str">
        <f t="shared" si="51"/>
        <v>中级强化石</v>
      </c>
      <c r="J160" s="14">
        <f t="shared" si="51"/>
        <v>15</v>
      </c>
      <c r="Y160" s="13">
        <v>125</v>
      </c>
      <c r="Z160" s="13">
        <f t="shared" si="41"/>
        <v>1501009</v>
      </c>
      <c r="AA160" s="14" t="str">
        <f t="shared" si="42"/>
        <v>徐晃</v>
      </c>
      <c r="AB160" s="13">
        <f t="shared" si="30"/>
        <v>5</v>
      </c>
      <c r="AC160" s="14" t="str">
        <f t="shared" si="43"/>
        <v/>
      </c>
      <c r="AD160" s="14" t="str">
        <f t="shared" si="44"/>
        <v>HPRate</v>
      </c>
      <c r="AE160" s="14">
        <f t="shared" si="45"/>
        <v>0.11</v>
      </c>
      <c r="AF160" s="13" t="s">
        <v>446</v>
      </c>
      <c r="AG160" s="13"/>
      <c r="AH160" s="13" t="s">
        <v>445</v>
      </c>
      <c r="AI160" s="14">
        <f t="shared" si="31"/>
        <v>100</v>
      </c>
      <c r="AJ160" s="14" t="str">
        <f t="shared" si="32"/>
        <v>徐晃碎片</v>
      </c>
      <c r="AK160" s="13">
        <f t="shared" si="33"/>
        <v>10</v>
      </c>
    </row>
    <row r="161" spans="1:37" ht="16.5" x14ac:dyDescent="0.2">
      <c r="A161" s="13">
        <v>126</v>
      </c>
      <c r="B161" s="13">
        <f t="shared" si="34"/>
        <v>1501013</v>
      </c>
      <c r="C161" s="13">
        <f t="shared" si="35"/>
        <v>6</v>
      </c>
      <c r="D161" s="14">
        <f t="shared" si="36"/>
        <v>0.47</v>
      </c>
      <c r="E161" s="14" t="str">
        <f t="shared" si="37"/>
        <v>金币</v>
      </c>
      <c r="F161" s="14">
        <f t="shared" si="38"/>
        <v>6000</v>
      </c>
      <c r="G161" s="14" t="str">
        <f t="shared" si="39"/>
        <v>低级强化石</v>
      </c>
      <c r="H161" s="14">
        <f t="shared" si="40"/>
        <v>20</v>
      </c>
      <c r="I161" s="14" t="str">
        <f t="shared" si="51"/>
        <v>中级强化石</v>
      </c>
      <c r="J161" s="14">
        <f t="shared" si="51"/>
        <v>20</v>
      </c>
      <c r="Y161" s="13">
        <v>126</v>
      </c>
      <c r="Z161" s="13">
        <f t="shared" si="41"/>
        <v>1501009</v>
      </c>
      <c r="AA161" s="14" t="str">
        <f t="shared" si="42"/>
        <v>徐晃</v>
      </c>
      <c r="AB161" s="13">
        <f t="shared" si="30"/>
        <v>6</v>
      </c>
      <c r="AC161" s="14" t="str">
        <f t="shared" si="43"/>
        <v/>
      </c>
      <c r="AD161" s="14" t="str">
        <f t="shared" si="44"/>
        <v>AtkRate</v>
      </c>
      <c r="AE161" s="14">
        <f t="shared" si="45"/>
        <v>0.11</v>
      </c>
      <c r="AF161" s="13" t="s">
        <v>446</v>
      </c>
      <c r="AG161" s="13"/>
      <c r="AH161" s="13" t="s">
        <v>445</v>
      </c>
      <c r="AI161" s="14">
        <f t="shared" si="31"/>
        <v>150</v>
      </c>
      <c r="AJ161" s="14" t="str">
        <f t="shared" si="32"/>
        <v>徐晃碎片</v>
      </c>
      <c r="AK161" s="13">
        <f t="shared" si="33"/>
        <v>10</v>
      </c>
    </row>
    <row r="162" spans="1:37" ht="16.5" x14ac:dyDescent="0.2">
      <c r="A162" s="13">
        <v>127</v>
      </c>
      <c r="B162" s="13">
        <f t="shared" si="34"/>
        <v>1501013</v>
      </c>
      <c r="C162" s="13">
        <f t="shared" si="35"/>
        <v>7</v>
      </c>
      <c r="D162" s="14">
        <f t="shared" si="36"/>
        <v>0.59</v>
      </c>
      <c r="E162" s="14" t="str">
        <f t="shared" si="37"/>
        <v>金币</v>
      </c>
      <c r="F162" s="14">
        <f t="shared" si="38"/>
        <v>7000</v>
      </c>
      <c r="G162" s="14" t="str">
        <f t="shared" si="39"/>
        <v>中级强化石</v>
      </c>
      <c r="H162" s="14">
        <f t="shared" si="40"/>
        <v>20</v>
      </c>
      <c r="I162" s="14" t="str">
        <f t="shared" si="51"/>
        <v>高级强化石</v>
      </c>
      <c r="J162" s="14">
        <f t="shared" si="51"/>
        <v>10</v>
      </c>
      <c r="Y162" s="13">
        <v>127</v>
      </c>
      <c r="Z162" s="13">
        <f t="shared" si="41"/>
        <v>1501009</v>
      </c>
      <c r="AA162" s="14" t="str">
        <f t="shared" si="42"/>
        <v>徐晃</v>
      </c>
      <c r="AB162" s="13">
        <f t="shared" si="30"/>
        <v>7</v>
      </c>
      <c r="AC162" s="14" t="str">
        <f t="shared" si="43"/>
        <v/>
      </c>
      <c r="AD162" s="14" t="str">
        <f t="shared" si="44"/>
        <v>DefRate</v>
      </c>
      <c r="AE162" s="14">
        <f t="shared" si="45"/>
        <v>0.11</v>
      </c>
      <c r="AF162" s="13" t="s">
        <v>446</v>
      </c>
      <c r="AG162" s="13"/>
      <c r="AH162" s="13" t="s">
        <v>445</v>
      </c>
      <c r="AI162" s="14">
        <f t="shared" si="31"/>
        <v>200</v>
      </c>
      <c r="AJ162" s="14" t="str">
        <f t="shared" si="32"/>
        <v>徐晃碎片</v>
      </c>
      <c r="AK162" s="13">
        <f t="shared" si="33"/>
        <v>10</v>
      </c>
    </row>
    <row r="163" spans="1:37" ht="16.5" x14ac:dyDescent="0.2">
      <c r="A163" s="13">
        <v>128</v>
      </c>
      <c r="B163" s="13">
        <f t="shared" si="34"/>
        <v>1501013</v>
      </c>
      <c r="C163" s="13">
        <f t="shared" si="35"/>
        <v>8</v>
      </c>
      <c r="D163" s="14">
        <f t="shared" si="36"/>
        <v>0.72</v>
      </c>
      <c r="E163" s="14" t="str">
        <f t="shared" si="37"/>
        <v>金币</v>
      </c>
      <c r="F163" s="14">
        <f t="shared" si="38"/>
        <v>8000</v>
      </c>
      <c r="G163" s="14" t="str">
        <f t="shared" si="39"/>
        <v>中级强化石</v>
      </c>
      <c r="H163" s="14">
        <f t="shared" si="40"/>
        <v>20</v>
      </c>
      <c r="I163" s="14" t="str">
        <f t="shared" si="51"/>
        <v>高级强化石</v>
      </c>
      <c r="J163" s="14">
        <f t="shared" si="51"/>
        <v>15</v>
      </c>
      <c r="Y163" s="13">
        <v>128</v>
      </c>
      <c r="Z163" s="13">
        <f t="shared" si="41"/>
        <v>1501009</v>
      </c>
      <c r="AA163" s="14" t="str">
        <f t="shared" si="42"/>
        <v>徐晃</v>
      </c>
      <c r="AB163" s="13">
        <f t="shared" si="30"/>
        <v>8</v>
      </c>
      <c r="AC163" s="14" t="str">
        <f t="shared" si="43"/>
        <v/>
      </c>
      <c r="AD163" s="14" t="str">
        <f t="shared" si="44"/>
        <v>Block</v>
      </c>
      <c r="AE163" s="14">
        <f t="shared" si="45"/>
        <v>0.11</v>
      </c>
      <c r="AF163" s="13" t="s">
        <v>446</v>
      </c>
      <c r="AG163" s="13"/>
      <c r="AH163" s="13" t="s">
        <v>445</v>
      </c>
      <c r="AI163" s="14">
        <f t="shared" si="31"/>
        <v>250</v>
      </c>
      <c r="AJ163" s="14" t="str">
        <f t="shared" si="32"/>
        <v>徐晃碎片</v>
      </c>
      <c r="AK163" s="13">
        <f t="shared" si="33"/>
        <v>20</v>
      </c>
    </row>
    <row r="164" spans="1:37" ht="16.5" x14ac:dyDescent="0.2">
      <c r="A164" s="13">
        <v>129</v>
      </c>
      <c r="B164" s="13">
        <f t="shared" si="34"/>
        <v>1501013</v>
      </c>
      <c r="C164" s="13">
        <f t="shared" si="35"/>
        <v>9</v>
      </c>
      <c r="D164" s="14">
        <f t="shared" si="36"/>
        <v>0.84</v>
      </c>
      <c r="E164" s="14" t="str">
        <f t="shared" si="37"/>
        <v>金币</v>
      </c>
      <c r="F164" s="14">
        <f t="shared" si="38"/>
        <v>9000</v>
      </c>
      <c r="G164" s="14" t="str">
        <f t="shared" si="39"/>
        <v>中级强化石</v>
      </c>
      <c r="H164" s="14">
        <f t="shared" si="40"/>
        <v>20</v>
      </c>
      <c r="I164" s="14" t="str">
        <f t="shared" si="51"/>
        <v>高级强化石</v>
      </c>
      <c r="J164" s="14">
        <f t="shared" si="51"/>
        <v>20</v>
      </c>
      <c r="Y164" s="13">
        <v>129</v>
      </c>
      <c r="Z164" s="13">
        <f t="shared" si="41"/>
        <v>1501009</v>
      </c>
      <c r="AA164" s="14" t="str">
        <f t="shared" si="42"/>
        <v>徐晃</v>
      </c>
      <c r="AB164" s="13">
        <f t="shared" ref="AB164:AB227" si="52">MOD(Y164-1,15)+1</f>
        <v>9</v>
      </c>
      <c r="AC164" s="14" t="str">
        <f t="shared" si="43"/>
        <v/>
      </c>
      <c r="AD164" s="14" t="str">
        <f t="shared" si="44"/>
        <v>DefRate</v>
      </c>
      <c r="AE164" s="14">
        <f t="shared" si="45"/>
        <v>0.11</v>
      </c>
      <c r="AF164" s="13" t="s">
        <v>446</v>
      </c>
      <c r="AG164" s="13"/>
      <c r="AH164" s="13" t="s">
        <v>445</v>
      </c>
      <c r="AI164" s="14">
        <f t="shared" ref="AI164:AI227" si="53">INDEX($AN$9:$AN$23,AB164)</f>
        <v>300</v>
      </c>
      <c r="AJ164" s="14" t="str">
        <f t="shared" ref="AJ164:AJ227" si="54">IF(AB164&gt;2,AA164&amp;"碎片","")</f>
        <v>徐晃碎片</v>
      </c>
      <c r="AK164" s="13">
        <f t="shared" ref="AK164:AK227" si="55">IF(AB164&gt;2,INDEX($AO$9:$AO$23,AB164),"")</f>
        <v>20</v>
      </c>
    </row>
    <row r="165" spans="1:37" ht="16.5" x14ac:dyDescent="0.2">
      <c r="A165" s="13">
        <v>130</v>
      </c>
      <c r="B165" s="13">
        <f t="shared" ref="B165:B228" si="56">INDEX($C$9:$C$29,INT((A165-1)/10)+1)</f>
        <v>1501013</v>
      </c>
      <c r="C165" s="13">
        <f t="shared" ref="C165:C228" si="57">MOD(A165-1,10)+1</f>
        <v>10</v>
      </c>
      <c r="D165" s="14">
        <f t="shared" ref="D165:D228" si="58">INDEX($O$36:$O$45,C165)</f>
        <v>1</v>
      </c>
      <c r="E165" s="14" t="str">
        <f t="shared" ref="E165:E228" si="59">INDEX(P$36:P$45,$C165)</f>
        <v>金币</v>
      </c>
      <c r="F165" s="14">
        <f t="shared" ref="F165:F228" si="60">INDEX(Q$36:Q$45,$C165)</f>
        <v>10000</v>
      </c>
      <c r="G165" s="14" t="str">
        <f t="shared" ref="G165:G228" si="61">INDEX(R$36:R$45,$C165)</f>
        <v>中级强化石</v>
      </c>
      <c r="H165" s="14">
        <f t="shared" ref="H165:H228" si="62">INDEX(S$36:S$45,$C165)</f>
        <v>20</v>
      </c>
      <c r="I165" s="14" t="str">
        <f t="shared" si="51"/>
        <v>高级强化石</v>
      </c>
      <c r="J165" s="14">
        <f t="shared" si="51"/>
        <v>25</v>
      </c>
      <c r="Y165" s="13">
        <v>130</v>
      </c>
      <c r="Z165" s="13">
        <f t="shared" ref="Z165:Z228" si="63">INDEX($C$9:$C$29,INT((Y165-1)/15)+1)</f>
        <v>1501009</v>
      </c>
      <c r="AA165" s="14" t="str">
        <f t="shared" ref="AA165:AA228" si="64">INDEX($B$9:$B$29,MATCH(Z165,$C$9:$C$29,0))</f>
        <v>徐晃</v>
      </c>
      <c r="AB165" s="13">
        <f t="shared" si="52"/>
        <v>10</v>
      </c>
      <c r="AC165" s="14" t="str">
        <f t="shared" ref="AC165:AC228" si="65">IF(MOD(AB165,15)=3,INDEX($AD$9:$AD$29,MATCH(Z165,$C$9:$C$29,0)),"")</f>
        <v/>
      </c>
      <c r="AD165" s="14" t="str">
        <f t="shared" ref="AD165:AD228" si="66">IF(AC165="",INDEX($O$9:$AC$29,MATCH($Z165,$C$9:$C$29,0),AB165),"")</f>
        <v>Block</v>
      </c>
      <c r="AE165" s="14">
        <f t="shared" ref="AE165:AE228" si="67">IF(AC165="",ROUND(INDEX($AG$9:$AG$24,MATCH(AD165,$AF$9:$AF$24,0))*INDEX($O$7:$AC$7,AB165),2),"")</f>
        <v>0.14000000000000001</v>
      </c>
      <c r="AF165" s="13" t="s">
        <v>446</v>
      </c>
      <c r="AG165" s="13"/>
      <c r="AH165" s="13" t="s">
        <v>445</v>
      </c>
      <c r="AI165" s="14">
        <f t="shared" si="53"/>
        <v>400</v>
      </c>
      <c r="AJ165" s="14" t="str">
        <f t="shared" si="54"/>
        <v>徐晃碎片</v>
      </c>
      <c r="AK165" s="13">
        <f t="shared" si="55"/>
        <v>20</v>
      </c>
    </row>
    <row r="166" spans="1:37" ht="16.5" x14ac:dyDescent="0.2">
      <c r="A166" s="13">
        <v>131</v>
      </c>
      <c r="B166" s="13">
        <f t="shared" si="56"/>
        <v>1501014</v>
      </c>
      <c r="C166" s="13">
        <f t="shared" si="57"/>
        <v>1</v>
      </c>
      <c r="D166" s="14">
        <f t="shared" si="58"/>
        <v>0.06</v>
      </c>
      <c r="E166" s="14" t="str">
        <f t="shared" si="59"/>
        <v>金币</v>
      </c>
      <c r="F166" s="14">
        <f t="shared" si="60"/>
        <v>1000</v>
      </c>
      <c r="G166" s="14" t="str">
        <f t="shared" si="61"/>
        <v>低级强化石</v>
      </c>
      <c r="H166" s="14">
        <f t="shared" si="62"/>
        <v>10</v>
      </c>
      <c r="I166" s="14"/>
      <c r="J166" s="14"/>
      <c r="Y166" s="13">
        <v>131</v>
      </c>
      <c r="Z166" s="13">
        <f t="shared" si="63"/>
        <v>1501009</v>
      </c>
      <c r="AA166" s="14" t="str">
        <f t="shared" si="64"/>
        <v>徐晃</v>
      </c>
      <c r="AB166" s="13">
        <f t="shared" si="52"/>
        <v>11</v>
      </c>
      <c r="AC166" s="14" t="str">
        <f t="shared" si="65"/>
        <v/>
      </c>
      <c r="AD166" s="14" t="str">
        <f t="shared" si="66"/>
        <v>HPRate</v>
      </c>
      <c r="AE166" s="14">
        <f t="shared" si="67"/>
        <v>0.14000000000000001</v>
      </c>
      <c r="AF166" s="13" t="s">
        <v>446</v>
      </c>
      <c r="AG166" s="13"/>
      <c r="AH166" s="13" t="s">
        <v>445</v>
      </c>
      <c r="AI166" s="14">
        <f t="shared" si="53"/>
        <v>500</v>
      </c>
      <c r="AJ166" s="14" t="str">
        <f t="shared" si="54"/>
        <v>徐晃碎片</v>
      </c>
      <c r="AK166" s="13">
        <f t="shared" si="55"/>
        <v>30</v>
      </c>
    </row>
    <row r="167" spans="1:37" ht="16.5" x14ac:dyDescent="0.2">
      <c r="A167" s="13">
        <v>132</v>
      </c>
      <c r="B167" s="13">
        <f t="shared" si="56"/>
        <v>1501014</v>
      </c>
      <c r="C167" s="13">
        <f t="shared" si="57"/>
        <v>2</v>
      </c>
      <c r="D167" s="14">
        <f t="shared" si="58"/>
        <v>0.13</v>
      </c>
      <c r="E167" s="14" t="str">
        <f t="shared" si="59"/>
        <v>金币</v>
      </c>
      <c r="F167" s="14">
        <f t="shared" si="60"/>
        <v>2000</v>
      </c>
      <c r="G167" s="14" t="str">
        <f t="shared" si="61"/>
        <v>低级强化石</v>
      </c>
      <c r="H167" s="14">
        <f t="shared" si="62"/>
        <v>15</v>
      </c>
      <c r="I167" s="14"/>
      <c r="J167" s="14"/>
      <c r="Y167" s="13">
        <v>132</v>
      </c>
      <c r="Z167" s="13">
        <f t="shared" si="63"/>
        <v>1501009</v>
      </c>
      <c r="AA167" s="14" t="str">
        <f t="shared" si="64"/>
        <v>徐晃</v>
      </c>
      <c r="AB167" s="13">
        <f t="shared" si="52"/>
        <v>12</v>
      </c>
      <c r="AC167" s="14" t="str">
        <f t="shared" si="65"/>
        <v/>
      </c>
      <c r="AD167" s="14" t="str">
        <f t="shared" si="66"/>
        <v>AtkRate</v>
      </c>
      <c r="AE167" s="14">
        <f t="shared" si="67"/>
        <v>0.14000000000000001</v>
      </c>
      <c r="AF167" s="13" t="s">
        <v>446</v>
      </c>
      <c r="AG167" s="13"/>
      <c r="AH167" s="13" t="s">
        <v>445</v>
      </c>
      <c r="AI167" s="14">
        <f t="shared" si="53"/>
        <v>600</v>
      </c>
      <c r="AJ167" s="14" t="str">
        <f t="shared" si="54"/>
        <v>徐晃碎片</v>
      </c>
      <c r="AK167" s="13">
        <f t="shared" si="55"/>
        <v>30</v>
      </c>
    </row>
    <row r="168" spans="1:37" ht="16.5" x14ac:dyDescent="0.2">
      <c r="A168" s="13">
        <v>133</v>
      </c>
      <c r="B168" s="13">
        <f t="shared" si="56"/>
        <v>1501014</v>
      </c>
      <c r="C168" s="13">
        <f t="shared" si="57"/>
        <v>3</v>
      </c>
      <c r="D168" s="14">
        <f t="shared" si="58"/>
        <v>0.19</v>
      </c>
      <c r="E168" s="14" t="str">
        <f t="shared" si="59"/>
        <v>金币</v>
      </c>
      <c r="F168" s="14">
        <f t="shared" si="60"/>
        <v>3000</v>
      </c>
      <c r="G168" s="14" t="str">
        <f t="shared" si="61"/>
        <v>低级强化石</v>
      </c>
      <c r="H168" s="14">
        <f t="shared" si="62"/>
        <v>20</v>
      </c>
      <c r="I168" s="14"/>
      <c r="J168" s="14"/>
      <c r="Y168" s="13">
        <v>133</v>
      </c>
      <c r="Z168" s="13">
        <f t="shared" si="63"/>
        <v>1501009</v>
      </c>
      <c r="AA168" s="14" t="str">
        <f t="shared" si="64"/>
        <v>徐晃</v>
      </c>
      <c r="AB168" s="13">
        <f t="shared" si="52"/>
        <v>13</v>
      </c>
      <c r="AC168" s="14" t="str">
        <f t="shared" si="65"/>
        <v/>
      </c>
      <c r="AD168" s="14" t="str">
        <f t="shared" si="66"/>
        <v>DefRate</v>
      </c>
      <c r="AE168" s="14">
        <f t="shared" si="67"/>
        <v>0.14000000000000001</v>
      </c>
      <c r="AF168" s="13" t="s">
        <v>446</v>
      </c>
      <c r="AG168" s="13"/>
      <c r="AH168" s="13" t="s">
        <v>445</v>
      </c>
      <c r="AI168" s="14">
        <f t="shared" si="53"/>
        <v>700</v>
      </c>
      <c r="AJ168" s="14" t="str">
        <f t="shared" si="54"/>
        <v>徐晃碎片</v>
      </c>
      <c r="AK168" s="13">
        <f t="shared" si="55"/>
        <v>30</v>
      </c>
    </row>
    <row r="169" spans="1:37" ht="16.5" x14ac:dyDescent="0.2">
      <c r="A169" s="13">
        <v>134</v>
      </c>
      <c r="B169" s="13">
        <f t="shared" si="56"/>
        <v>1501014</v>
      </c>
      <c r="C169" s="13">
        <f t="shared" si="57"/>
        <v>4</v>
      </c>
      <c r="D169" s="14">
        <f t="shared" si="58"/>
        <v>0.28000000000000003</v>
      </c>
      <c r="E169" s="14" t="str">
        <f t="shared" si="59"/>
        <v>金币</v>
      </c>
      <c r="F169" s="14">
        <f t="shared" si="60"/>
        <v>4000</v>
      </c>
      <c r="G169" s="14" t="str">
        <f t="shared" si="61"/>
        <v>低级强化石</v>
      </c>
      <c r="H169" s="14">
        <f t="shared" si="62"/>
        <v>20</v>
      </c>
      <c r="I169" s="14" t="str">
        <f t="shared" ref="I169:J175" si="68">INDEX(T$36:T$45,$C169)</f>
        <v>中级强化石</v>
      </c>
      <c r="J169" s="14">
        <f t="shared" si="68"/>
        <v>10</v>
      </c>
      <c r="Y169" s="13">
        <v>134</v>
      </c>
      <c r="Z169" s="13">
        <f t="shared" si="63"/>
        <v>1501009</v>
      </c>
      <c r="AA169" s="14" t="str">
        <f t="shared" si="64"/>
        <v>徐晃</v>
      </c>
      <c r="AB169" s="13">
        <f t="shared" si="52"/>
        <v>14</v>
      </c>
      <c r="AC169" s="14" t="str">
        <f t="shared" si="65"/>
        <v/>
      </c>
      <c r="AD169" s="14" t="str">
        <f t="shared" si="66"/>
        <v>Block</v>
      </c>
      <c r="AE169" s="14">
        <f t="shared" si="67"/>
        <v>0.14000000000000001</v>
      </c>
      <c r="AF169" s="13" t="s">
        <v>446</v>
      </c>
      <c r="AG169" s="13"/>
      <c r="AH169" s="13" t="s">
        <v>445</v>
      </c>
      <c r="AI169" s="14">
        <f t="shared" si="53"/>
        <v>800</v>
      </c>
      <c r="AJ169" s="14" t="str">
        <f t="shared" si="54"/>
        <v>徐晃碎片</v>
      </c>
      <c r="AK169" s="13">
        <f t="shared" si="55"/>
        <v>50</v>
      </c>
    </row>
    <row r="170" spans="1:37" ht="16.5" x14ac:dyDescent="0.2">
      <c r="A170" s="13">
        <v>135</v>
      </c>
      <c r="B170" s="13">
        <f t="shared" si="56"/>
        <v>1501014</v>
      </c>
      <c r="C170" s="13">
        <f t="shared" si="57"/>
        <v>5</v>
      </c>
      <c r="D170" s="14">
        <f t="shared" si="58"/>
        <v>0.38</v>
      </c>
      <c r="E170" s="14" t="str">
        <f t="shared" si="59"/>
        <v>金币</v>
      </c>
      <c r="F170" s="14">
        <f t="shared" si="60"/>
        <v>5000</v>
      </c>
      <c r="G170" s="14" t="str">
        <f t="shared" si="61"/>
        <v>低级强化石</v>
      </c>
      <c r="H170" s="14">
        <f t="shared" si="62"/>
        <v>20</v>
      </c>
      <c r="I170" s="14" t="str">
        <f t="shared" si="68"/>
        <v>中级强化石</v>
      </c>
      <c r="J170" s="14">
        <f t="shared" si="68"/>
        <v>15</v>
      </c>
      <c r="Y170" s="13">
        <v>135</v>
      </c>
      <c r="Z170" s="13">
        <f t="shared" si="63"/>
        <v>1501009</v>
      </c>
      <c r="AA170" s="14" t="str">
        <f t="shared" si="64"/>
        <v>徐晃</v>
      </c>
      <c r="AB170" s="13">
        <f t="shared" si="52"/>
        <v>15</v>
      </c>
      <c r="AC170" s="14" t="str">
        <f t="shared" si="65"/>
        <v/>
      </c>
      <c r="AD170" s="14" t="str">
        <f t="shared" si="66"/>
        <v>DefRate</v>
      </c>
      <c r="AE170" s="14">
        <f t="shared" si="67"/>
        <v>0.14000000000000001</v>
      </c>
      <c r="AF170" s="13" t="s">
        <v>446</v>
      </c>
      <c r="AG170" s="13"/>
      <c r="AH170" s="13" t="s">
        <v>445</v>
      </c>
      <c r="AI170" s="14">
        <f t="shared" si="53"/>
        <v>1000</v>
      </c>
      <c r="AJ170" s="14" t="str">
        <f t="shared" si="54"/>
        <v>徐晃碎片</v>
      </c>
      <c r="AK170" s="13">
        <f t="shared" si="55"/>
        <v>60</v>
      </c>
    </row>
    <row r="171" spans="1:37" ht="16.5" x14ac:dyDescent="0.2">
      <c r="A171" s="13">
        <v>136</v>
      </c>
      <c r="B171" s="13">
        <f t="shared" si="56"/>
        <v>1501014</v>
      </c>
      <c r="C171" s="13">
        <f t="shared" si="57"/>
        <v>6</v>
      </c>
      <c r="D171" s="14">
        <f t="shared" si="58"/>
        <v>0.47</v>
      </c>
      <c r="E171" s="14" t="str">
        <f t="shared" si="59"/>
        <v>金币</v>
      </c>
      <c r="F171" s="14">
        <f t="shared" si="60"/>
        <v>6000</v>
      </c>
      <c r="G171" s="14" t="str">
        <f t="shared" si="61"/>
        <v>低级强化石</v>
      </c>
      <c r="H171" s="14">
        <f t="shared" si="62"/>
        <v>20</v>
      </c>
      <c r="I171" s="14" t="str">
        <f t="shared" si="68"/>
        <v>中级强化石</v>
      </c>
      <c r="J171" s="14">
        <f t="shared" si="68"/>
        <v>20</v>
      </c>
      <c r="Y171" s="13">
        <v>136</v>
      </c>
      <c r="Z171" s="13">
        <f t="shared" si="63"/>
        <v>1501010</v>
      </c>
      <c r="AA171" s="14" t="str">
        <f t="shared" si="64"/>
        <v>张郃</v>
      </c>
      <c r="AB171" s="13">
        <f t="shared" si="52"/>
        <v>1</v>
      </c>
      <c r="AC171" s="14" t="str">
        <f t="shared" si="65"/>
        <v/>
      </c>
      <c r="AD171" s="14" t="str">
        <f t="shared" si="66"/>
        <v>AtkExt</v>
      </c>
      <c r="AE171" s="14">
        <f t="shared" si="67"/>
        <v>250</v>
      </c>
      <c r="AF171" s="13" t="s">
        <v>446</v>
      </c>
      <c r="AG171" s="13"/>
      <c r="AH171" s="13" t="s">
        <v>445</v>
      </c>
      <c r="AI171" s="14">
        <f t="shared" si="53"/>
        <v>10</v>
      </c>
      <c r="AJ171" s="14" t="str">
        <f t="shared" si="54"/>
        <v/>
      </c>
      <c r="AK171" s="13" t="str">
        <f t="shared" si="55"/>
        <v/>
      </c>
    </row>
    <row r="172" spans="1:37" ht="16.5" x14ac:dyDescent="0.2">
      <c r="A172" s="13">
        <v>137</v>
      </c>
      <c r="B172" s="13">
        <f t="shared" si="56"/>
        <v>1501014</v>
      </c>
      <c r="C172" s="13">
        <f t="shared" si="57"/>
        <v>7</v>
      </c>
      <c r="D172" s="14">
        <f t="shared" si="58"/>
        <v>0.59</v>
      </c>
      <c r="E172" s="14" t="str">
        <f t="shared" si="59"/>
        <v>金币</v>
      </c>
      <c r="F172" s="14">
        <f t="shared" si="60"/>
        <v>7000</v>
      </c>
      <c r="G172" s="14" t="str">
        <f t="shared" si="61"/>
        <v>中级强化石</v>
      </c>
      <c r="H172" s="14">
        <f t="shared" si="62"/>
        <v>20</v>
      </c>
      <c r="I172" s="14" t="str">
        <f t="shared" si="68"/>
        <v>高级强化石</v>
      </c>
      <c r="J172" s="14">
        <f t="shared" si="68"/>
        <v>10</v>
      </c>
      <c r="Y172" s="13">
        <v>137</v>
      </c>
      <c r="Z172" s="13">
        <f t="shared" si="63"/>
        <v>1501010</v>
      </c>
      <c r="AA172" s="14" t="str">
        <f t="shared" si="64"/>
        <v>张郃</v>
      </c>
      <c r="AB172" s="13">
        <f t="shared" si="52"/>
        <v>2</v>
      </c>
      <c r="AC172" s="14" t="str">
        <f t="shared" si="65"/>
        <v/>
      </c>
      <c r="AD172" s="14" t="str">
        <f t="shared" si="66"/>
        <v>HPExt</v>
      </c>
      <c r="AE172" s="14">
        <f t="shared" si="67"/>
        <v>2250</v>
      </c>
      <c r="AF172" s="13" t="s">
        <v>446</v>
      </c>
      <c r="AG172" s="13"/>
      <c r="AH172" s="13" t="s">
        <v>445</v>
      </c>
      <c r="AI172" s="14">
        <f t="shared" si="53"/>
        <v>20</v>
      </c>
      <c r="AJ172" s="14" t="str">
        <f t="shared" si="54"/>
        <v/>
      </c>
      <c r="AK172" s="13" t="str">
        <f t="shared" si="55"/>
        <v/>
      </c>
    </row>
    <row r="173" spans="1:37" ht="16.5" x14ac:dyDescent="0.2">
      <c r="A173" s="13">
        <v>138</v>
      </c>
      <c r="B173" s="13">
        <f t="shared" si="56"/>
        <v>1501014</v>
      </c>
      <c r="C173" s="13">
        <f t="shared" si="57"/>
        <v>8</v>
      </c>
      <c r="D173" s="14">
        <f t="shared" si="58"/>
        <v>0.72</v>
      </c>
      <c r="E173" s="14" t="str">
        <f t="shared" si="59"/>
        <v>金币</v>
      </c>
      <c r="F173" s="14">
        <f t="shared" si="60"/>
        <v>8000</v>
      </c>
      <c r="G173" s="14" t="str">
        <f t="shared" si="61"/>
        <v>中级强化石</v>
      </c>
      <c r="H173" s="14">
        <f t="shared" si="62"/>
        <v>20</v>
      </c>
      <c r="I173" s="14" t="str">
        <f t="shared" si="68"/>
        <v>高级强化石</v>
      </c>
      <c r="J173" s="14">
        <f t="shared" si="68"/>
        <v>15</v>
      </c>
      <c r="Y173" s="13">
        <v>138</v>
      </c>
      <c r="Z173" s="13">
        <f t="shared" si="63"/>
        <v>1501010</v>
      </c>
      <c r="AA173" s="14" t="str">
        <f t="shared" si="64"/>
        <v>张郃</v>
      </c>
      <c r="AB173" s="13">
        <f t="shared" si="52"/>
        <v>3</v>
      </c>
      <c r="AC173" s="14">
        <f t="shared" si="65"/>
        <v>130301009</v>
      </c>
      <c r="AD173" s="14" t="str">
        <f t="shared" si="66"/>
        <v/>
      </c>
      <c r="AE173" s="14" t="str">
        <f t="shared" si="67"/>
        <v/>
      </c>
      <c r="AF173" s="13" t="s">
        <v>446</v>
      </c>
      <c r="AG173" s="13"/>
      <c r="AH173" s="13" t="s">
        <v>445</v>
      </c>
      <c r="AI173" s="14">
        <f t="shared" si="53"/>
        <v>30</v>
      </c>
      <c r="AJ173" s="14" t="str">
        <f t="shared" si="54"/>
        <v>张郃碎片</v>
      </c>
      <c r="AK173" s="13">
        <f t="shared" si="55"/>
        <v>5</v>
      </c>
    </row>
    <row r="174" spans="1:37" ht="16.5" x14ac:dyDescent="0.2">
      <c r="A174" s="13">
        <v>139</v>
      </c>
      <c r="B174" s="13">
        <f t="shared" si="56"/>
        <v>1501014</v>
      </c>
      <c r="C174" s="13">
        <f t="shared" si="57"/>
        <v>9</v>
      </c>
      <c r="D174" s="14">
        <f t="shared" si="58"/>
        <v>0.84</v>
      </c>
      <c r="E174" s="14" t="str">
        <f t="shared" si="59"/>
        <v>金币</v>
      </c>
      <c r="F174" s="14">
        <f t="shared" si="60"/>
        <v>9000</v>
      </c>
      <c r="G174" s="14" t="str">
        <f t="shared" si="61"/>
        <v>中级强化石</v>
      </c>
      <c r="H174" s="14">
        <f t="shared" si="62"/>
        <v>20</v>
      </c>
      <c r="I174" s="14" t="str">
        <f t="shared" si="68"/>
        <v>高级强化石</v>
      </c>
      <c r="J174" s="14">
        <f t="shared" si="68"/>
        <v>20</v>
      </c>
      <c r="Y174" s="13">
        <v>139</v>
      </c>
      <c r="Z174" s="13">
        <f t="shared" si="63"/>
        <v>1501010</v>
      </c>
      <c r="AA174" s="14" t="str">
        <f t="shared" si="64"/>
        <v>张郃</v>
      </c>
      <c r="AB174" s="13">
        <f t="shared" si="52"/>
        <v>4</v>
      </c>
      <c r="AC174" s="14" t="str">
        <f t="shared" si="65"/>
        <v/>
      </c>
      <c r="AD174" s="14" t="str">
        <f t="shared" si="66"/>
        <v>AtkRate</v>
      </c>
      <c r="AE174" s="14">
        <f t="shared" si="67"/>
        <v>0.11</v>
      </c>
      <c r="AF174" s="13" t="s">
        <v>446</v>
      </c>
      <c r="AG174" s="13"/>
      <c r="AH174" s="13" t="s">
        <v>445</v>
      </c>
      <c r="AI174" s="14">
        <f t="shared" si="53"/>
        <v>50</v>
      </c>
      <c r="AJ174" s="14" t="str">
        <f t="shared" si="54"/>
        <v>张郃碎片</v>
      </c>
      <c r="AK174" s="13">
        <f t="shared" si="55"/>
        <v>5</v>
      </c>
    </row>
    <row r="175" spans="1:37" ht="16.5" x14ac:dyDescent="0.2">
      <c r="A175" s="13">
        <v>140</v>
      </c>
      <c r="B175" s="13">
        <f t="shared" si="56"/>
        <v>1501014</v>
      </c>
      <c r="C175" s="13">
        <f t="shared" si="57"/>
        <v>10</v>
      </c>
      <c r="D175" s="14">
        <f t="shared" si="58"/>
        <v>1</v>
      </c>
      <c r="E175" s="14" t="str">
        <f t="shared" si="59"/>
        <v>金币</v>
      </c>
      <c r="F175" s="14">
        <f t="shared" si="60"/>
        <v>10000</v>
      </c>
      <c r="G175" s="14" t="str">
        <f t="shared" si="61"/>
        <v>中级强化石</v>
      </c>
      <c r="H175" s="14">
        <f t="shared" si="62"/>
        <v>20</v>
      </c>
      <c r="I175" s="14" t="str">
        <f t="shared" si="68"/>
        <v>高级强化石</v>
      </c>
      <c r="J175" s="14">
        <f t="shared" si="68"/>
        <v>25</v>
      </c>
      <c r="Y175" s="13">
        <v>140</v>
      </c>
      <c r="Z175" s="13">
        <f t="shared" si="63"/>
        <v>1501010</v>
      </c>
      <c r="AA175" s="14" t="str">
        <f t="shared" si="64"/>
        <v>张郃</v>
      </c>
      <c r="AB175" s="13">
        <f t="shared" si="52"/>
        <v>5</v>
      </c>
      <c r="AC175" s="14" t="str">
        <f t="shared" si="65"/>
        <v/>
      </c>
      <c r="AD175" s="14" t="str">
        <f t="shared" si="66"/>
        <v>DefRate</v>
      </c>
      <c r="AE175" s="14">
        <f t="shared" si="67"/>
        <v>0.11</v>
      </c>
      <c r="AF175" s="13" t="s">
        <v>446</v>
      </c>
      <c r="AG175" s="13"/>
      <c r="AH175" s="13" t="s">
        <v>445</v>
      </c>
      <c r="AI175" s="14">
        <f t="shared" si="53"/>
        <v>100</v>
      </c>
      <c r="AJ175" s="14" t="str">
        <f t="shared" si="54"/>
        <v>张郃碎片</v>
      </c>
      <c r="AK175" s="13">
        <f t="shared" si="55"/>
        <v>10</v>
      </c>
    </row>
    <row r="176" spans="1:37" ht="16.5" x14ac:dyDescent="0.2">
      <c r="A176" s="13">
        <v>141</v>
      </c>
      <c r="B176" s="13">
        <f t="shared" si="56"/>
        <v>1501015</v>
      </c>
      <c r="C176" s="13">
        <f t="shared" si="57"/>
        <v>1</v>
      </c>
      <c r="D176" s="14">
        <f t="shared" si="58"/>
        <v>0.06</v>
      </c>
      <c r="E176" s="14" t="str">
        <f t="shared" si="59"/>
        <v>金币</v>
      </c>
      <c r="F176" s="14">
        <f t="shared" si="60"/>
        <v>1000</v>
      </c>
      <c r="G176" s="14" t="str">
        <f t="shared" si="61"/>
        <v>低级强化石</v>
      </c>
      <c r="H176" s="14">
        <f t="shared" si="62"/>
        <v>10</v>
      </c>
      <c r="I176" s="14"/>
      <c r="J176" s="14"/>
      <c r="Y176" s="13">
        <v>141</v>
      </c>
      <c r="Z176" s="13">
        <f t="shared" si="63"/>
        <v>1501010</v>
      </c>
      <c r="AA176" s="14" t="str">
        <f t="shared" si="64"/>
        <v>张郃</v>
      </c>
      <c r="AB176" s="13">
        <f t="shared" si="52"/>
        <v>6</v>
      </c>
      <c r="AC176" s="14" t="str">
        <f t="shared" si="65"/>
        <v/>
      </c>
      <c r="AD176" s="14" t="str">
        <f t="shared" si="66"/>
        <v>AtkRate</v>
      </c>
      <c r="AE176" s="14">
        <f t="shared" si="67"/>
        <v>0.11</v>
      </c>
      <c r="AF176" s="13" t="s">
        <v>446</v>
      </c>
      <c r="AG176" s="13"/>
      <c r="AH176" s="13" t="s">
        <v>445</v>
      </c>
      <c r="AI176" s="14">
        <f t="shared" si="53"/>
        <v>150</v>
      </c>
      <c r="AJ176" s="14" t="str">
        <f t="shared" si="54"/>
        <v>张郃碎片</v>
      </c>
      <c r="AK176" s="13">
        <f t="shared" si="55"/>
        <v>10</v>
      </c>
    </row>
    <row r="177" spans="1:37" ht="16.5" x14ac:dyDescent="0.2">
      <c r="A177" s="13">
        <v>142</v>
      </c>
      <c r="B177" s="13">
        <f t="shared" si="56"/>
        <v>1501015</v>
      </c>
      <c r="C177" s="13">
        <f t="shared" si="57"/>
        <v>2</v>
      </c>
      <c r="D177" s="14">
        <f t="shared" si="58"/>
        <v>0.13</v>
      </c>
      <c r="E177" s="14" t="str">
        <f t="shared" si="59"/>
        <v>金币</v>
      </c>
      <c r="F177" s="14">
        <f t="shared" si="60"/>
        <v>2000</v>
      </c>
      <c r="G177" s="14" t="str">
        <f t="shared" si="61"/>
        <v>低级强化石</v>
      </c>
      <c r="H177" s="14">
        <f t="shared" si="62"/>
        <v>15</v>
      </c>
      <c r="I177" s="14"/>
      <c r="J177" s="14"/>
      <c r="Y177" s="13">
        <v>142</v>
      </c>
      <c r="Z177" s="13">
        <f t="shared" si="63"/>
        <v>1501010</v>
      </c>
      <c r="AA177" s="14" t="str">
        <f t="shared" si="64"/>
        <v>张郃</v>
      </c>
      <c r="AB177" s="13">
        <f t="shared" si="52"/>
        <v>7</v>
      </c>
      <c r="AC177" s="14" t="str">
        <f t="shared" si="65"/>
        <v/>
      </c>
      <c r="AD177" s="14" t="str">
        <f t="shared" si="66"/>
        <v>EffectHit</v>
      </c>
      <c r="AE177" s="14">
        <f t="shared" si="67"/>
        <v>0.15</v>
      </c>
      <c r="AF177" s="13" t="s">
        <v>446</v>
      </c>
      <c r="AG177" s="13"/>
      <c r="AH177" s="13" t="s">
        <v>445</v>
      </c>
      <c r="AI177" s="14">
        <f t="shared" si="53"/>
        <v>200</v>
      </c>
      <c r="AJ177" s="14" t="str">
        <f t="shared" si="54"/>
        <v>张郃碎片</v>
      </c>
      <c r="AK177" s="13">
        <f t="shared" si="55"/>
        <v>10</v>
      </c>
    </row>
    <row r="178" spans="1:37" ht="16.5" x14ac:dyDescent="0.2">
      <c r="A178" s="13">
        <v>143</v>
      </c>
      <c r="B178" s="13">
        <f t="shared" si="56"/>
        <v>1501015</v>
      </c>
      <c r="C178" s="13">
        <f t="shared" si="57"/>
        <v>3</v>
      </c>
      <c r="D178" s="14">
        <f t="shared" si="58"/>
        <v>0.19</v>
      </c>
      <c r="E178" s="14" t="str">
        <f t="shared" si="59"/>
        <v>金币</v>
      </c>
      <c r="F178" s="14">
        <f t="shared" si="60"/>
        <v>3000</v>
      </c>
      <c r="G178" s="14" t="str">
        <f t="shared" si="61"/>
        <v>低级强化石</v>
      </c>
      <c r="H178" s="14">
        <f t="shared" si="62"/>
        <v>20</v>
      </c>
      <c r="I178" s="14"/>
      <c r="J178" s="14"/>
      <c r="Y178" s="13">
        <v>143</v>
      </c>
      <c r="Z178" s="13">
        <f t="shared" si="63"/>
        <v>1501010</v>
      </c>
      <c r="AA178" s="14" t="str">
        <f t="shared" si="64"/>
        <v>张郃</v>
      </c>
      <c r="AB178" s="13">
        <f t="shared" si="52"/>
        <v>8</v>
      </c>
      <c r="AC178" s="14" t="str">
        <f t="shared" si="65"/>
        <v/>
      </c>
      <c r="AD178" s="14" t="str">
        <f t="shared" si="66"/>
        <v>HPRate</v>
      </c>
      <c r="AE178" s="14">
        <f t="shared" si="67"/>
        <v>0.11</v>
      </c>
      <c r="AF178" s="13" t="s">
        <v>446</v>
      </c>
      <c r="AG178" s="13"/>
      <c r="AH178" s="13" t="s">
        <v>445</v>
      </c>
      <c r="AI178" s="14">
        <f t="shared" si="53"/>
        <v>250</v>
      </c>
      <c r="AJ178" s="14" t="str">
        <f t="shared" si="54"/>
        <v>张郃碎片</v>
      </c>
      <c r="AK178" s="13">
        <f t="shared" si="55"/>
        <v>20</v>
      </c>
    </row>
    <row r="179" spans="1:37" ht="16.5" x14ac:dyDescent="0.2">
      <c r="A179" s="13">
        <v>144</v>
      </c>
      <c r="B179" s="13">
        <f t="shared" si="56"/>
        <v>1501015</v>
      </c>
      <c r="C179" s="13">
        <f t="shared" si="57"/>
        <v>4</v>
      </c>
      <c r="D179" s="14">
        <f t="shared" si="58"/>
        <v>0.28000000000000003</v>
      </c>
      <c r="E179" s="14" t="str">
        <f t="shared" si="59"/>
        <v>金币</v>
      </c>
      <c r="F179" s="14">
        <f t="shared" si="60"/>
        <v>4000</v>
      </c>
      <c r="G179" s="14" t="str">
        <f t="shared" si="61"/>
        <v>低级强化石</v>
      </c>
      <c r="H179" s="14">
        <f t="shared" si="62"/>
        <v>20</v>
      </c>
      <c r="I179" s="14" t="str">
        <f t="shared" ref="I179:J185" si="69">INDEX(T$36:T$45,$C179)</f>
        <v>中级强化石</v>
      </c>
      <c r="J179" s="14">
        <f t="shared" si="69"/>
        <v>10</v>
      </c>
      <c r="Y179" s="13">
        <v>144</v>
      </c>
      <c r="Z179" s="13">
        <f t="shared" si="63"/>
        <v>1501010</v>
      </c>
      <c r="AA179" s="14" t="str">
        <f t="shared" si="64"/>
        <v>张郃</v>
      </c>
      <c r="AB179" s="13">
        <f t="shared" si="52"/>
        <v>9</v>
      </c>
      <c r="AC179" s="14" t="str">
        <f t="shared" si="65"/>
        <v/>
      </c>
      <c r="AD179" s="14" t="str">
        <f t="shared" si="66"/>
        <v>Crit</v>
      </c>
      <c r="AE179" s="14">
        <f t="shared" si="67"/>
        <v>0.11</v>
      </c>
      <c r="AF179" s="13" t="s">
        <v>446</v>
      </c>
      <c r="AG179" s="13"/>
      <c r="AH179" s="13" t="s">
        <v>445</v>
      </c>
      <c r="AI179" s="14">
        <f t="shared" si="53"/>
        <v>300</v>
      </c>
      <c r="AJ179" s="14" t="str">
        <f t="shared" si="54"/>
        <v>张郃碎片</v>
      </c>
      <c r="AK179" s="13">
        <f t="shared" si="55"/>
        <v>20</v>
      </c>
    </row>
    <row r="180" spans="1:37" ht="16.5" x14ac:dyDescent="0.2">
      <c r="A180" s="13">
        <v>145</v>
      </c>
      <c r="B180" s="13">
        <f t="shared" si="56"/>
        <v>1501015</v>
      </c>
      <c r="C180" s="13">
        <f t="shared" si="57"/>
        <v>5</v>
      </c>
      <c r="D180" s="14">
        <f t="shared" si="58"/>
        <v>0.38</v>
      </c>
      <c r="E180" s="14" t="str">
        <f t="shared" si="59"/>
        <v>金币</v>
      </c>
      <c r="F180" s="14">
        <f t="shared" si="60"/>
        <v>5000</v>
      </c>
      <c r="G180" s="14" t="str">
        <f t="shared" si="61"/>
        <v>低级强化石</v>
      </c>
      <c r="H180" s="14">
        <f t="shared" si="62"/>
        <v>20</v>
      </c>
      <c r="I180" s="14" t="str">
        <f t="shared" si="69"/>
        <v>中级强化石</v>
      </c>
      <c r="J180" s="14">
        <f t="shared" si="69"/>
        <v>15</v>
      </c>
      <c r="Y180" s="13">
        <v>145</v>
      </c>
      <c r="Z180" s="13">
        <f t="shared" si="63"/>
        <v>1501010</v>
      </c>
      <c r="AA180" s="14" t="str">
        <f t="shared" si="64"/>
        <v>张郃</v>
      </c>
      <c r="AB180" s="13">
        <f t="shared" si="52"/>
        <v>10</v>
      </c>
      <c r="AC180" s="14" t="str">
        <f t="shared" si="65"/>
        <v/>
      </c>
      <c r="AD180" s="14" t="str">
        <f t="shared" si="66"/>
        <v>AtkRate</v>
      </c>
      <c r="AE180" s="14">
        <f t="shared" si="67"/>
        <v>0.14000000000000001</v>
      </c>
      <c r="AF180" s="13" t="s">
        <v>446</v>
      </c>
      <c r="AG180" s="13"/>
      <c r="AH180" s="13" t="s">
        <v>445</v>
      </c>
      <c r="AI180" s="14">
        <f t="shared" si="53"/>
        <v>400</v>
      </c>
      <c r="AJ180" s="14" t="str">
        <f t="shared" si="54"/>
        <v>张郃碎片</v>
      </c>
      <c r="AK180" s="13">
        <f t="shared" si="55"/>
        <v>20</v>
      </c>
    </row>
    <row r="181" spans="1:37" ht="16.5" x14ac:dyDescent="0.2">
      <c r="A181" s="13">
        <v>146</v>
      </c>
      <c r="B181" s="13">
        <f t="shared" si="56"/>
        <v>1501015</v>
      </c>
      <c r="C181" s="13">
        <f t="shared" si="57"/>
        <v>6</v>
      </c>
      <c r="D181" s="14">
        <f t="shared" si="58"/>
        <v>0.47</v>
      </c>
      <c r="E181" s="14" t="str">
        <f t="shared" si="59"/>
        <v>金币</v>
      </c>
      <c r="F181" s="14">
        <f t="shared" si="60"/>
        <v>6000</v>
      </c>
      <c r="G181" s="14" t="str">
        <f t="shared" si="61"/>
        <v>低级强化石</v>
      </c>
      <c r="H181" s="14">
        <f t="shared" si="62"/>
        <v>20</v>
      </c>
      <c r="I181" s="14" t="str">
        <f t="shared" si="69"/>
        <v>中级强化石</v>
      </c>
      <c r="J181" s="14">
        <f t="shared" si="69"/>
        <v>20</v>
      </c>
      <c r="Y181" s="13">
        <v>146</v>
      </c>
      <c r="Z181" s="13">
        <f t="shared" si="63"/>
        <v>1501010</v>
      </c>
      <c r="AA181" s="14" t="str">
        <f t="shared" si="64"/>
        <v>张郃</v>
      </c>
      <c r="AB181" s="13">
        <f t="shared" si="52"/>
        <v>11</v>
      </c>
      <c r="AC181" s="14" t="str">
        <f t="shared" si="65"/>
        <v/>
      </c>
      <c r="AD181" s="14" t="str">
        <f t="shared" si="66"/>
        <v>DefRate</v>
      </c>
      <c r="AE181" s="14">
        <f t="shared" si="67"/>
        <v>0.14000000000000001</v>
      </c>
      <c r="AF181" s="13" t="s">
        <v>446</v>
      </c>
      <c r="AG181" s="13"/>
      <c r="AH181" s="13" t="s">
        <v>445</v>
      </c>
      <c r="AI181" s="14">
        <f t="shared" si="53"/>
        <v>500</v>
      </c>
      <c r="AJ181" s="14" t="str">
        <f t="shared" si="54"/>
        <v>张郃碎片</v>
      </c>
      <c r="AK181" s="13">
        <f t="shared" si="55"/>
        <v>30</v>
      </c>
    </row>
    <row r="182" spans="1:37" ht="16.5" x14ac:dyDescent="0.2">
      <c r="A182" s="13">
        <v>147</v>
      </c>
      <c r="B182" s="13">
        <f t="shared" si="56"/>
        <v>1501015</v>
      </c>
      <c r="C182" s="13">
        <f t="shared" si="57"/>
        <v>7</v>
      </c>
      <c r="D182" s="14">
        <f t="shared" si="58"/>
        <v>0.59</v>
      </c>
      <c r="E182" s="14" t="str">
        <f t="shared" si="59"/>
        <v>金币</v>
      </c>
      <c r="F182" s="14">
        <f t="shared" si="60"/>
        <v>7000</v>
      </c>
      <c r="G182" s="14" t="str">
        <f t="shared" si="61"/>
        <v>中级强化石</v>
      </c>
      <c r="H182" s="14">
        <f t="shared" si="62"/>
        <v>20</v>
      </c>
      <c r="I182" s="14" t="str">
        <f t="shared" si="69"/>
        <v>高级强化石</v>
      </c>
      <c r="J182" s="14">
        <f t="shared" si="69"/>
        <v>10</v>
      </c>
      <c r="Y182" s="13">
        <v>147</v>
      </c>
      <c r="Z182" s="13">
        <f t="shared" si="63"/>
        <v>1501010</v>
      </c>
      <c r="AA182" s="14" t="str">
        <f t="shared" si="64"/>
        <v>张郃</v>
      </c>
      <c r="AB182" s="13">
        <f t="shared" si="52"/>
        <v>12</v>
      </c>
      <c r="AC182" s="14" t="str">
        <f t="shared" si="65"/>
        <v/>
      </c>
      <c r="AD182" s="14" t="str">
        <f t="shared" si="66"/>
        <v>AtkRate</v>
      </c>
      <c r="AE182" s="14">
        <f t="shared" si="67"/>
        <v>0.14000000000000001</v>
      </c>
      <c r="AF182" s="13" t="s">
        <v>446</v>
      </c>
      <c r="AG182" s="13"/>
      <c r="AH182" s="13" t="s">
        <v>445</v>
      </c>
      <c r="AI182" s="14">
        <f t="shared" si="53"/>
        <v>600</v>
      </c>
      <c r="AJ182" s="14" t="str">
        <f t="shared" si="54"/>
        <v>张郃碎片</v>
      </c>
      <c r="AK182" s="13">
        <f t="shared" si="55"/>
        <v>30</v>
      </c>
    </row>
    <row r="183" spans="1:37" ht="16.5" x14ac:dyDescent="0.2">
      <c r="A183" s="13">
        <v>148</v>
      </c>
      <c r="B183" s="13">
        <f t="shared" si="56"/>
        <v>1501015</v>
      </c>
      <c r="C183" s="13">
        <f t="shared" si="57"/>
        <v>8</v>
      </c>
      <c r="D183" s="14">
        <f t="shared" si="58"/>
        <v>0.72</v>
      </c>
      <c r="E183" s="14" t="str">
        <f t="shared" si="59"/>
        <v>金币</v>
      </c>
      <c r="F183" s="14">
        <f t="shared" si="60"/>
        <v>8000</v>
      </c>
      <c r="G183" s="14" t="str">
        <f t="shared" si="61"/>
        <v>中级强化石</v>
      </c>
      <c r="H183" s="14">
        <f t="shared" si="62"/>
        <v>20</v>
      </c>
      <c r="I183" s="14" t="str">
        <f t="shared" si="69"/>
        <v>高级强化石</v>
      </c>
      <c r="J183" s="14">
        <f t="shared" si="69"/>
        <v>15</v>
      </c>
      <c r="Y183" s="13">
        <v>148</v>
      </c>
      <c r="Z183" s="13">
        <f t="shared" si="63"/>
        <v>1501010</v>
      </c>
      <c r="AA183" s="14" t="str">
        <f t="shared" si="64"/>
        <v>张郃</v>
      </c>
      <c r="AB183" s="13">
        <f t="shared" si="52"/>
        <v>13</v>
      </c>
      <c r="AC183" s="14" t="str">
        <f t="shared" si="65"/>
        <v/>
      </c>
      <c r="AD183" s="14" t="str">
        <f t="shared" si="66"/>
        <v>EffectHit</v>
      </c>
      <c r="AE183" s="14">
        <f t="shared" si="67"/>
        <v>0.2</v>
      </c>
      <c r="AF183" s="13" t="s">
        <v>446</v>
      </c>
      <c r="AG183" s="13"/>
      <c r="AH183" s="13" t="s">
        <v>445</v>
      </c>
      <c r="AI183" s="14">
        <f t="shared" si="53"/>
        <v>700</v>
      </c>
      <c r="AJ183" s="14" t="str">
        <f t="shared" si="54"/>
        <v>张郃碎片</v>
      </c>
      <c r="AK183" s="13">
        <f t="shared" si="55"/>
        <v>30</v>
      </c>
    </row>
    <row r="184" spans="1:37" ht="16.5" x14ac:dyDescent="0.2">
      <c r="A184" s="13">
        <v>149</v>
      </c>
      <c r="B184" s="13">
        <f t="shared" si="56"/>
        <v>1501015</v>
      </c>
      <c r="C184" s="13">
        <f t="shared" si="57"/>
        <v>9</v>
      </c>
      <c r="D184" s="14">
        <f t="shared" si="58"/>
        <v>0.84</v>
      </c>
      <c r="E184" s="14" t="str">
        <f t="shared" si="59"/>
        <v>金币</v>
      </c>
      <c r="F184" s="14">
        <f t="shared" si="60"/>
        <v>9000</v>
      </c>
      <c r="G184" s="14" t="str">
        <f t="shared" si="61"/>
        <v>中级强化石</v>
      </c>
      <c r="H184" s="14">
        <f t="shared" si="62"/>
        <v>20</v>
      </c>
      <c r="I184" s="14" t="str">
        <f t="shared" si="69"/>
        <v>高级强化石</v>
      </c>
      <c r="J184" s="14">
        <f t="shared" si="69"/>
        <v>20</v>
      </c>
      <c r="Y184" s="13">
        <v>149</v>
      </c>
      <c r="Z184" s="13">
        <f t="shared" si="63"/>
        <v>1501010</v>
      </c>
      <c r="AA184" s="14" t="str">
        <f t="shared" si="64"/>
        <v>张郃</v>
      </c>
      <c r="AB184" s="13">
        <f t="shared" si="52"/>
        <v>14</v>
      </c>
      <c r="AC184" s="14" t="str">
        <f t="shared" si="65"/>
        <v/>
      </c>
      <c r="AD184" s="14" t="str">
        <f t="shared" si="66"/>
        <v>HPRate</v>
      </c>
      <c r="AE184" s="14">
        <f t="shared" si="67"/>
        <v>0.14000000000000001</v>
      </c>
      <c r="AF184" s="13" t="s">
        <v>446</v>
      </c>
      <c r="AG184" s="13"/>
      <c r="AH184" s="13" t="s">
        <v>445</v>
      </c>
      <c r="AI184" s="14">
        <f t="shared" si="53"/>
        <v>800</v>
      </c>
      <c r="AJ184" s="14" t="str">
        <f t="shared" si="54"/>
        <v>张郃碎片</v>
      </c>
      <c r="AK184" s="13">
        <f t="shared" si="55"/>
        <v>50</v>
      </c>
    </row>
    <row r="185" spans="1:37" ht="16.5" x14ac:dyDescent="0.2">
      <c r="A185" s="13">
        <v>150</v>
      </c>
      <c r="B185" s="13">
        <f t="shared" si="56"/>
        <v>1501015</v>
      </c>
      <c r="C185" s="13">
        <f t="shared" si="57"/>
        <v>10</v>
      </c>
      <c r="D185" s="14">
        <f t="shared" si="58"/>
        <v>1</v>
      </c>
      <c r="E185" s="14" t="str">
        <f t="shared" si="59"/>
        <v>金币</v>
      </c>
      <c r="F185" s="14">
        <f t="shared" si="60"/>
        <v>10000</v>
      </c>
      <c r="G185" s="14" t="str">
        <f t="shared" si="61"/>
        <v>中级强化石</v>
      </c>
      <c r="H185" s="14">
        <f t="shared" si="62"/>
        <v>20</v>
      </c>
      <c r="I185" s="14" t="str">
        <f t="shared" si="69"/>
        <v>高级强化石</v>
      </c>
      <c r="J185" s="14">
        <f t="shared" si="69"/>
        <v>25</v>
      </c>
      <c r="Y185" s="13">
        <v>150</v>
      </c>
      <c r="Z185" s="13">
        <f t="shared" si="63"/>
        <v>1501010</v>
      </c>
      <c r="AA185" s="14" t="str">
        <f t="shared" si="64"/>
        <v>张郃</v>
      </c>
      <c r="AB185" s="13">
        <f t="shared" si="52"/>
        <v>15</v>
      </c>
      <c r="AC185" s="14" t="str">
        <f t="shared" si="65"/>
        <v/>
      </c>
      <c r="AD185" s="14" t="str">
        <f t="shared" si="66"/>
        <v>Crit</v>
      </c>
      <c r="AE185" s="14">
        <f t="shared" si="67"/>
        <v>0.14000000000000001</v>
      </c>
      <c r="AF185" s="13" t="s">
        <v>446</v>
      </c>
      <c r="AG185" s="13"/>
      <c r="AH185" s="13" t="s">
        <v>445</v>
      </c>
      <c r="AI185" s="14">
        <f t="shared" si="53"/>
        <v>1000</v>
      </c>
      <c r="AJ185" s="14" t="str">
        <f t="shared" si="54"/>
        <v>张郃碎片</v>
      </c>
      <c r="AK185" s="13">
        <f t="shared" si="55"/>
        <v>60</v>
      </c>
    </row>
    <row r="186" spans="1:37" ht="16.5" x14ac:dyDescent="0.2">
      <c r="A186" s="13">
        <v>151</v>
      </c>
      <c r="B186" s="13">
        <f t="shared" si="56"/>
        <v>1501016</v>
      </c>
      <c r="C186" s="13">
        <f t="shared" si="57"/>
        <v>1</v>
      </c>
      <c r="D186" s="14">
        <f t="shared" si="58"/>
        <v>0.06</v>
      </c>
      <c r="E186" s="14" t="str">
        <f t="shared" si="59"/>
        <v>金币</v>
      </c>
      <c r="F186" s="14">
        <f t="shared" si="60"/>
        <v>1000</v>
      </c>
      <c r="G186" s="14" t="str">
        <f t="shared" si="61"/>
        <v>低级强化石</v>
      </c>
      <c r="H186" s="14">
        <f t="shared" si="62"/>
        <v>10</v>
      </c>
      <c r="I186" s="14"/>
      <c r="J186" s="14"/>
      <c r="Y186" s="13">
        <v>151</v>
      </c>
      <c r="Z186" s="13">
        <f t="shared" si="63"/>
        <v>1501011</v>
      </c>
      <c r="AA186" s="14" t="str">
        <f t="shared" si="64"/>
        <v>张飞</v>
      </c>
      <c r="AB186" s="13">
        <f t="shared" si="52"/>
        <v>1</v>
      </c>
      <c r="AC186" s="14" t="str">
        <f t="shared" si="65"/>
        <v/>
      </c>
      <c r="AD186" s="14" t="str">
        <f t="shared" si="66"/>
        <v>AtkExt</v>
      </c>
      <c r="AE186" s="14">
        <f t="shared" si="67"/>
        <v>250</v>
      </c>
      <c r="AF186" s="13" t="s">
        <v>446</v>
      </c>
      <c r="AG186" s="13"/>
      <c r="AH186" s="13" t="s">
        <v>445</v>
      </c>
      <c r="AI186" s="14">
        <f t="shared" si="53"/>
        <v>10</v>
      </c>
      <c r="AJ186" s="14" t="str">
        <f t="shared" si="54"/>
        <v/>
      </c>
      <c r="AK186" s="13" t="str">
        <f t="shared" si="55"/>
        <v/>
      </c>
    </row>
    <row r="187" spans="1:37" ht="16.5" x14ac:dyDescent="0.2">
      <c r="A187" s="13">
        <v>152</v>
      </c>
      <c r="B187" s="13">
        <f t="shared" si="56"/>
        <v>1501016</v>
      </c>
      <c r="C187" s="13">
        <f t="shared" si="57"/>
        <v>2</v>
      </c>
      <c r="D187" s="14">
        <f t="shared" si="58"/>
        <v>0.13</v>
      </c>
      <c r="E187" s="14" t="str">
        <f t="shared" si="59"/>
        <v>金币</v>
      </c>
      <c r="F187" s="14">
        <f t="shared" si="60"/>
        <v>2000</v>
      </c>
      <c r="G187" s="14" t="str">
        <f t="shared" si="61"/>
        <v>低级强化石</v>
      </c>
      <c r="H187" s="14">
        <f t="shared" si="62"/>
        <v>15</v>
      </c>
      <c r="I187" s="14"/>
      <c r="J187" s="14"/>
      <c r="Y187" s="13">
        <v>152</v>
      </c>
      <c r="Z187" s="13">
        <f t="shared" si="63"/>
        <v>1501011</v>
      </c>
      <c r="AA187" s="14" t="str">
        <f t="shared" si="64"/>
        <v>张飞</v>
      </c>
      <c r="AB187" s="13">
        <f t="shared" si="52"/>
        <v>2</v>
      </c>
      <c r="AC187" s="14" t="str">
        <f t="shared" si="65"/>
        <v/>
      </c>
      <c r="AD187" s="14" t="str">
        <f t="shared" si="66"/>
        <v>HPExt</v>
      </c>
      <c r="AE187" s="14">
        <f t="shared" si="67"/>
        <v>2250</v>
      </c>
      <c r="AF187" s="13" t="s">
        <v>446</v>
      </c>
      <c r="AG187" s="13"/>
      <c r="AH187" s="13" t="s">
        <v>445</v>
      </c>
      <c r="AI187" s="14">
        <f t="shared" si="53"/>
        <v>20</v>
      </c>
      <c r="AJ187" s="14" t="str">
        <f t="shared" si="54"/>
        <v/>
      </c>
      <c r="AK187" s="13" t="str">
        <f t="shared" si="55"/>
        <v/>
      </c>
    </row>
    <row r="188" spans="1:37" ht="16.5" x14ac:dyDescent="0.2">
      <c r="A188" s="13">
        <v>153</v>
      </c>
      <c r="B188" s="13">
        <f t="shared" si="56"/>
        <v>1501016</v>
      </c>
      <c r="C188" s="13">
        <f t="shared" si="57"/>
        <v>3</v>
      </c>
      <c r="D188" s="14">
        <f t="shared" si="58"/>
        <v>0.19</v>
      </c>
      <c r="E188" s="14" t="str">
        <f t="shared" si="59"/>
        <v>金币</v>
      </c>
      <c r="F188" s="14">
        <f t="shared" si="60"/>
        <v>3000</v>
      </c>
      <c r="G188" s="14" t="str">
        <f t="shared" si="61"/>
        <v>低级强化石</v>
      </c>
      <c r="H188" s="14">
        <f t="shared" si="62"/>
        <v>20</v>
      </c>
      <c r="I188" s="14"/>
      <c r="J188" s="14"/>
      <c r="Y188" s="13">
        <v>153</v>
      </c>
      <c r="Z188" s="13">
        <f t="shared" si="63"/>
        <v>1501011</v>
      </c>
      <c r="AA188" s="14" t="str">
        <f t="shared" si="64"/>
        <v>张飞</v>
      </c>
      <c r="AB188" s="13">
        <f t="shared" si="52"/>
        <v>3</v>
      </c>
      <c r="AC188" s="14">
        <f t="shared" si="65"/>
        <v>130301109</v>
      </c>
      <c r="AD188" s="14" t="str">
        <f t="shared" si="66"/>
        <v/>
      </c>
      <c r="AE188" s="14" t="str">
        <f t="shared" si="67"/>
        <v/>
      </c>
      <c r="AF188" s="13" t="s">
        <v>446</v>
      </c>
      <c r="AG188" s="13"/>
      <c r="AH188" s="13" t="s">
        <v>445</v>
      </c>
      <c r="AI188" s="14">
        <f t="shared" si="53"/>
        <v>30</v>
      </c>
      <c r="AJ188" s="14" t="str">
        <f t="shared" si="54"/>
        <v>张飞碎片</v>
      </c>
      <c r="AK188" s="13">
        <f t="shared" si="55"/>
        <v>5</v>
      </c>
    </row>
    <row r="189" spans="1:37" ht="16.5" x14ac:dyDescent="0.2">
      <c r="A189" s="13">
        <v>154</v>
      </c>
      <c r="B189" s="13">
        <f t="shared" si="56"/>
        <v>1501016</v>
      </c>
      <c r="C189" s="13">
        <f t="shared" si="57"/>
        <v>4</v>
      </c>
      <c r="D189" s="14">
        <f t="shared" si="58"/>
        <v>0.28000000000000003</v>
      </c>
      <c r="E189" s="14" t="str">
        <f t="shared" si="59"/>
        <v>金币</v>
      </c>
      <c r="F189" s="14">
        <f t="shared" si="60"/>
        <v>4000</v>
      </c>
      <c r="G189" s="14" t="str">
        <f t="shared" si="61"/>
        <v>低级强化石</v>
      </c>
      <c r="H189" s="14">
        <f t="shared" si="62"/>
        <v>20</v>
      </c>
      <c r="I189" s="14" t="str">
        <f t="shared" ref="I189:J195" si="70">INDEX(T$36:T$45,$C189)</f>
        <v>中级强化石</v>
      </c>
      <c r="J189" s="14">
        <f t="shared" si="70"/>
        <v>10</v>
      </c>
      <c r="Y189" s="13">
        <v>154</v>
      </c>
      <c r="Z189" s="13">
        <f t="shared" si="63"/>
        <v>1501011</v>
      </c>
      <c r="AA189" s="14" t="str">
        <f t="shared" si="64"/>
        <v>张飞</v>
      </c>
      <c r="AB189" s="13">
        <f t="shared" si="52"/>
        <v>4</v>
      </c>
      <c r="AC189" s="14" t="str">
        <f t="shared" si="65"/>
        <v/>
      </c>
      <c r="AD189" s="14" t="str">
        <f t="shared" si="66"/>
        <v>HPRate</v>
      </c>
      <c r="AE189" s="14">
        <f t="shared" si="67"/>
        <v>0.11</v>
      </c>
      <c r="AF189" s="13" t="s">
        <v>446</v>
      </c>
      <c r="AG189" s="13"/>
      <c r="AH189" s="13" t="s">
        <v>445</v>
      </c>
      <c r="AI189" s="14">
        <f t="shared" si="53"/>
        <v>50</v>
      </c>
      <c r="AJ189" s="14" t="str">
        <f t="shared" si="54"/>
        <v>张飞碎片</v>
      </c>
      <c r="AK189" s="13">
        <f t="shared" si="55"/>
        <v>5</v>
      </c>
    </row>
    <row r="190" spans="1:37" ht="16.5" x14ac:dyDescent="0.2">
      <c r="A190" s="13">
        <v>155</v>
      </c>
      <c r="B190" s="13">
        <f t="shared" si="56"/>
        <v>1501016</v>
      </c>
      <c r="C190" s="13">
        <f t="shared" si="57"/>
        <v>5</v>
      </c>
      <c r="D190" s="14">
        <f t="shared" si="58"/>
        <v>0.38</v>
      </c>
      <c r="E190" s="14" t="str">
        <f t="shared" si="59"/>
        <v>金币</v>
      </c>
      <c r="F190" s="14">
        <f t="shared" si="60"/>
        <v>5000</v>
      </c>
      <c r="G190" s="14" t="str">
        <f t="shared" si="61"/>
        <v>低级强化石</v>
      </c>
      <c r="H190" s="14">
        <f t="shared" si="62"/>
        <v>20</v>
      </c>
      <c r="I190" s="14" t="str">
        <f t="shared" si="70"/>
        <v>中级强化石</v>
      </c>
      <c r="J190" s="14">
        <f t="shared" si="70"/>
        <v>15</v>
      </c>
      <c r="Y190" s="13">
        <v>155</v>
      </c>
      <c r="Z190" s="13">
        <f t="shared" si="63"/>
        <v>1501011</v>
      </c>
      <c r="AA190" s="14" t="str">
        <f t="shared" si="64"/>
        <v>张飞</v>
      </c>
      <c r="AB190" s="13">
        <f t="shared" si="52"/>
        <v>5</v>
      </c>
      <c r="AC190" s="14" t="str">
        <f t="shared" si="65"/>
        <v/>
      </c>
      <c r="AD190" s="14" t="str">
        <f t="shared" si="66"/>
        <v>AtkRate</v>
      </c>
      <c r="AE190" s="14">
        <f t="shared" si="67"/>
        <v>0.11</v>
      </c>
      <c r="AF190" s="13" t="s">
        <v>446</v>
      </c>
      <c r="AG190" s="13"/>
      <c r="AH190" s="13" t="s">
        <v>445</v>
      </c>
      <c r="AI190" s="14">
        <f t="shared" si="53"/>
        <v>100</v>
      </c>
      <c r="AJ190" s="14" t="str">
        <f t="shared" si="54"/>
        <v>张飞碎片</v>
      </c>
      <c r="AK190" s="13">
        <f t="shared" si="55"/>
        <v>10</v>
      </c>
    </row>
    <row r="191" spans="1:37" ht="16.5" x14ac:dyDescent="0.2">
      <c r="A191" s="13">
        <v>156</v>
      </c>
      <c r="B191" s="13">
        <f t="shared" si="56"/>
        <v>1501016</v>
      </c>
      <c r="C191" s="13">
        <f t="shared" si="57"/>
        <v>6</v>
      </c>
      <c r="D191" s="14">
        <f t="shared" si="58"/>
        <v>0.47</v>
      </c>
      <c r="E191" s="14" t="str">
        <f t="shared" si="59"/>
        <v>金币</v>
      </c>
      <c r="F191" s="14">
        <f t="shared" si="60"/>
        <v>6000</v>
      </c>
      <c r="G191" s="14" t="str">
        <f t="shared" si="61"/>
        <v>低级强化石</v>
      </c>
      <c r="H191" s="14">
        <f t="shared" si="62"/>
        <v>20</v>
      </c>
      <c r="I191" s="14" t="str">
        <f t="shared" si="70"/>
        <v>中级强化石</v>
      </c>
      <c r="J191" s="14">
        <f t="shared" si="70"/>
        <v>20</v>
      </c>
      <c r="Y191" s="13">
        <v>156</v>
      </c>
      <c r="Z191" s="13">
        <f t="shared" si="63"/>
        <v>1501011</v>
      </c>
      <c r="AA191" s="14" t="str">
        <f t="shared" si="64"/>
        <v>张飞</v>
      </c>
      <c r="AB191" s="13">
        <f t="shared" si="52"/>
        <v>6</v>
      </c>
      <c r="AC191" s="14" t="str">
        <f t="shared" si="65"/>
        <v/>
      </c>
      <c r="AD191" s="14" t="str">
        <f t="shared" si="66"/>
        <v>HPRate</v>
      </c>
      <c r="AE191" s="14">
        <f t="shared" si="67"/>
        <v>0.11</v>
      </c>
      <c r="AF191" s="13" t="s">
        <v>446</v>
      </c>
      <c r="AG191" s="13"/>
      <c r="AH191" s="13" t="s">
        <v>445</v>
      </c>
      <c r="AI191" s="14">
        <f t="shared" si="53"/>
        <v>150</v>
      </c>
      <c r="AJ191" s="14" t="str">
        <f t="shared" si="54"/>
        <v>张飞碎片</v>
      </c>
      <c r="AK191" s="13">
        <f t="shared" si="55"/>
        <v>10</v>
      </c>
    </row>
    <row r="192" spans="1:37" ht="16.5" x14ac:dyDescent="0.2">
      <c r="A192" s="13">
        <v>157</v>
      </c>
      <c r="B192" s="13">
        <f t="shared" si="56"/>
        <v>1501016</v>
      </c>
      <c r="C192" s="13">
        <f t="shared" si="57"/>
        <v>7</v>
      </c>
      <c r="D192" s="14">
        <f t="shared" si="58"/>
        <v>0.59</v>
      </c>
      <c r="E192" s="14" t="str">
        <f t="shared" si="59"/>
        <v>金币</v>
      </c>
      <c r="F192" s="14">
        <f t="shared" si="60"/>
        <v>7000</v>
      </c>
      <c r="G192" s="14" t="str">
        <f t="shared" si="61"/>
        <v>中级强化石</v>
      </c>
      <c r="H192" s="14">
        <f t="shared" si="62"/>
        <v>20</v>
      </c>
      <c r="I192" s="14" t="str">
        <f t="shared" si="70"/>
        <v>高级强化石</v>
      </c>
      <c r="J192" s="14">
        <f t="shared" si="70"/>
        <v>10</v>
      </c>
      <c r="Y192" s="13">
        <v>157</v>
      </c>
      <c r="Z192" s="13">
        <f t="shared" si="63"/>
        <v>1501011</v>
      </c>
      <c r="AA192" s="14" t="str">
        <f t="shared" si="64"/>
        <v>张飞</v>
      </c>
      <c r="AB192" s="13">
        <f t="shared" si="52"/>
        <v>7</v>
      </c>
      <c r="AC192" s="14" t="str">
        <f t="shared" si="65"/>
        <v/>
      </c>
      <c r="AD192" s="14" t="str">
        <f t="shared" si="66"/>
        <v>HPRate</v>
      </c>
      <c r="AE192" s="14">
        <f t="shared" si="67"/>
        <v>0.11</v>
      </c>
      <c r="AF192" s="13" t="s">
        <v>446</v>
      </c>
      <c r="AG192" s="13"/>
      <c r="AH192" s="13" t="s">
        <v>445</v>
      </c>
      <c r="AI192" s="14">
        <f t="shared" si="53"/>
        <v>200</v>
      </c>
      <c r="AJ192" s="14" t="str">
        <f t="shared" si="54"/>
        <v>张飞碎片</v>
      </c>
      <c r="AK192" s="13">
        <f t="shared" si="55"/>
        <v>10</v>
      </c>
    </row>
    <row r="193" spans="1:37" ht="16.5" x14ac:dyDescent="0.2">
      <c r="A193" s="13">
        <v>158</v>
      </c>
      <c r="B193" s="13">
        <f t="shared" si="56"/>
        <v>1501016</v>
      </c>
      <c r="C193" s="13">
        <f t="shared" si="57"/>
        <v>8</v>
      </c>
      <c r="D193" s="14">
        <f t="shared" si="58"/>
        <v>0.72</v>
      </c>
      <c r="E193" s="14" t="str">
        <f t="shared" si="59"/>
        <v>金币</v>
      </c>
      <c r="F193" s="14">
        <f t="shared" si="60"/>
        <v>8000</v>
      </c>
      <c r="G193" s="14" t="str">
        <f t="shared" si="61"/>
        <v>中级强化石</v>
      </c>
      <c r="H193" s="14">
        <f t="shared" si="62"/>
        <v>20</v>
      </c>
      <c r="I193" s="14" t="str">
        <f t="shared" si="70"/>
        <v>高级强化石</v>
      </c>
      <c r="J193" s="14">
        <f t="shared" si="70"/>
        <v>15</v>
      </c>
      <c r="Y193" s="13">
        <v>158</v>
      </c>
      <c r="Z193" s="13">
        <f t="shared" si="63"/>
        <v>1501011</v>
      </c>
      <c r="AA193" s="14" t="str">
        <f t="shared" si="64"/>
        <v>张飞</v>
      </c>
      <c r="AB193" s="13">
        <f t="shared" si="52"/>
        <v>8</v>
      </c>
      <c r="AC193" s="14" t="str">
        <f t="shared" si="65"/>
        <v/>
      </c>
      <c r="AD193" s="14" t="str">
        <f t="shared" si="66"/>
        <v>DefRate</v>
      </c>
      <c r="AE193" s="14">
        <f t="shared" si="67"/>
        <v>0.11</v>
      </c>
      <c r="AF193" s="13" t="s">
        <v>446</v>
      </c>
      <c r="AG193" s="13"/>
      <c r="AH193" s="13" t="s">
        <v>445</v>
      </c>
      <c r="AI193" s="14">
        <f t="shared" si="53"/>
        <v>250</v>
      </c>
      <c r="AJ193" s="14" t="str">
        <f t="shared" si="54"/>
        <v>张飞碎片</v>
      </c>
      <c r="AK193" s="13">
        <f t="shared" si="55"/>
        <v>20</v>
      </c>
    </row>
    <row r="194" spans="1:37" ht="16.5" x14ac:dyDescent="0.2">
      <c r="A194" s="13">
        <v>159</v>
      </c>
      <c r="B194" s="13">
        <f t="shared" si="56"/>
        <v>1501016</v>
      </c>
      <c r="C194" s="13">
        <f t="shared" si="57"/>
        <v>9</v>
      </c>
      <c r="D194" s="14">
        <f t="shared" si="58"/>
        <v>0.84</v>
      </c>
      <c r="E194" s="14" t="str">
        <f t="shared" si="59"/>
        <v>金币</v>
      </c>
      <c r="F194" s="14">
        <f t="shared" si="60"/>
        <v>9000</v>
      </c>
      <c r="G194" s="14" t="str">
        <f t="shared" si="61"/>
        <v>中级强化石</v>
      </c>
      <c r="H194" s="14">
        <f t="shared" si="62"/>
        <v>20</v>
      </c>
      <c r="I194" s="14" t="str">
        <f t="shared" si="70"/>
        <v>高级强化石</v>
      </c>
      <c r="J194" s="14">
        <f t="shared" si="70"/>
        <v>20</v>
      </c>
      <c r="Y194" s="13">
        <v>159</v>
      </c>
      <c r="Z194" s="13">
        <f t="shared" si="63"/>
        <v>1501011</v>
      </c>
      <c r="AA194" s="14" t="str">
        <f t="shared" si="64"/>
        <v>张飞</v>
      </c>
      <c r="AB194" s="13">
        <f t="shared" si="52"/>
        <v>9</v>
      </c>
      <c r="AC194" s="14" t="str">
        <f t="shared" si="65"/>
        <v/>
      </c>
      <c r="AD194" s="14" t="str">
        <f t="shared" si="66"/>
        <v>HPRate</v>
      </c>
      <c r="AE194" s="14">
        <f t="shared" si="67"/>
        <v>0.11</v>
      </c>
      <c r="AF194" s="13" t="s">
        <v>446</v>
      </c>
      <c r="AG194" s="13"/>
      <c r="AH194" s="13" t="s">
        <v>445</v>
      </c>
      <c r="AI194" s="14">
        <f t="shared" si="53"/>
        <v>300</v>
      </c>
      <c r="AJ194" s="14" t="str">
        <f t="shared" si="54"/>
        <v>张飞碎片</v>
      </c>
      <c r="AK194" s="13">
        <f t="shared" si="55"/>
        <v>20</v>
      </c>
    </row>
    <row r="195" spans="1:37" ht="16.5" x14ac:dyDescent="0.2">
      <c r="A195" s="13">
        <v>160</v>
      </c>
      <c r="B195" s="13">
        <f t="shared" si="56"/>
        <v>1501016</v>
      </c>
      <c r="C195" s="13">
        <f t="shared" si="57"/>
        <v>10</v>
      </c>
      <c r="D195" s="14">
        <f t="shared" si="58"/>
        <v>1</v>
      </c>
      <c r="E195" s="14" t="str">
        <f t="shared" si="59"/>
        <v>金币</v>
      </c>
      <c r="F195" s="14">
        <f t="shared" si="60"/>
        <v>10000</v>
      </c>
      <c r="G195" s="14" t="str">
        <f t="shared" si="61"/>
        <v>中级强化石</v>
      </c>
      <c r="H195" s="14">
        <f t="shared" si="62"/>
        <v>20</v>
      </c>
      <c r="I195" s="14" t="str">
        <f t="shared" si="70"/>
        <v>高级强化石</v>
      </c>
      <c r="J195" s="14">
        <f t="shared" si="70"/>
        <v>25</v>
      </c>
      <c r="Y195" s="13">
        <v>160</v>
      </c>
      <c r="Z195" s="13">
        <f t="shared" si="63"/>
        <v>1501011</v>
      </c>
      <c r="AA195" s="14" t="str">
        <f t="shared" si="64"/>
        <v>张飞</v>
      </c>
      <c r="AB195" s="13">
        <f t="shared" si="52"/>
        <v>10</v>
      </c>
      <c r="AC195" s="14" t="str">
        <f t="shared" si="65"/>
        <v/>
      </c>
      <c r="AD195" s="14" t="str">
        <f t="shared" si="66"/>
        <v>HPRate</v>
      </c>
      <c r="AE195" s="14">
        <f t="shared" si="67"/>
        <v>0.14000000000000001</v>
      </c>
      <c r="AF195" s="13" t="s">
        <v>446</v>
      </c>
      <c r="AG195" s="13"/>
      <c r="AH195" s="13" t="s">
        <v>445</v>
      </c>
      <c r="AI195" s="14">
        <f t="shared" si="53"/>
        <v>400</v>
      </c>
      <c r="AJ195" s="14" t="str">
        <f t="shared" si="54"/>
        <v>张飞碎片</v>
      </c>
      <c r="AK195" s="13">
        <f t="shared" si="55"/>
        <v>20</v>
      </c>
    </row>
    <row r="196" spans="1:37" ht="16.5" x14ac:dyDescent="0.2">
      <c r="A196" s="13">
        <v>161</v>
      </c>
      <c r="B196" s="13">
        <f t="shared" si="56"/>
        <v>1501017</v>
      </c>
      <c r="C196" s="13">
        <f t="shared" si="57"/>
        <v>1</v>
      </c>
      <c r="D196" s="14">
        <f t="shared" si="58"/>
        <v>0.06</v>
      </c>
      <c r="E196" s="14" t="str">
        <f t="shared" si="59"/>
        <v>金币</v>
      </c>
      <c r="F196" s="14">
        <f t="shared" si="60"/>
        <v>1000</v>
      </c>
      <c r="G196" s="14" t="str">
        <f t="shared" si="61"/>
        <v>低级强化石</v>
      </c>
      <c r="H196" s="14">
        <f t="shared" si="62"/>
        <v>10</v>
      </c>
      <c r="I196" s="14"/>
      <c r="J196" s="14"/>
      <c r="Y196" s="13">
        <v>161</v>
      </c>
      <c r="Z196" s="13">
        <f t="shared" si="63"/>
        <v>1501011</v>
      </c>
      <c r="AA196" s="14" t="str">
        <f t="shared" si="64"/>
        <v>张飞</v>
      </c>
      <c r="AB196" s="13">
        <f t="shared" si="52"/>
        <v>11</v>
      </c>
      <c r="AC196" s="14" t="str">
        <f t="shared" si="65"/>
        <v/>
      </c>
      <c r="AD196" s="14" t="str">
        <f t="shared" si="66"/>
        <v>AtkRate</v>
      </c>
      <c r="AE196" s="14">
        <f t="shared" si="67"/>
        <v>0.14000000000000001</v>
      </c>
      <c r="AF196" s="13" t="s">
        <v>446</v>
      </c>
      <c r="AG196" s="13"/>
      <c r="AH196" s="13" t="s">
        <v>445</v>
      </c>
      <c r="AI196" s="14">
        <f t="shared" si="53"/>
        <v>500</v>
      </c>
      <c r="AJ196" s="14" t="str">
        <f t="shared" si="54"/>
        <v>张飞碎片</v>
      </c>
      <c r="AK196" s="13">
        <f t="shared" si="55"/>
        <v>30</v>
      </c>
    </row>
    <row r="197" spans="1:37" ht="16.5" x14ac:dyDescent="0.2">
      <c r="A197" s="13">
        <v>162</v>
      </c>
      <c r="B197" s="13">
        <f t="shared" si="56"/>
        <v>1501017</v>
      </c>
      <c r="C197" s="13">
        <f t="shared" si="57"/>
        <v>2</v>
      </c>
      <c r="D197" s="14">
        <f t="shared" si="58"/>
        <v>0.13</v>
      </c>
      <c r="E197" s="14" t="str">
        <f t="shared" si="59"/>
        <v>金币</v>
      </c>
      <c r="F197" s="14">
        <f t="shared" si="60"/>
        <v>2000</v>
      </c>
      <c r="G197" s="14" t="str">
        <f t="shared" si="61"/>
        <v>低级强化石</v>
      </c>
      <c r="H197" s="14">
        <f t="shared" si="62"/>
        <v>15</v>
      </c>
      <c r="I197" s="14"/>
      <c r="J197" s="14"/>
      <c r="Y197" s="13">
        <v>162</v>
      </c>
      <c r="Z197" s="13">
        <f t="shared" si="63"/>
        <v>1501011</v>
      </c>
      <c r="AA197" s="14" t="str">
        <f t="shared" si="64"/>
        <v>张飞</v>
      </c>
      <c r="AB197" s="13">
        <f t="shared" si="52"/>
        <v>12</v>
      </c>
      <c r="AC197" s="14" t="str">
        <f t="shared" si="65"/>
        <v/>
      </c>
      <c r="AD197" s="14" t="str">
        <f t="shared" si="66"/>
        <v>HPRate</v>
      </c>
      <c r="AE197" s="14">
        <f t="shared" si="67"/>
        <v>0.14000000000000001</v>
      </c>
      <c r="AF197" s="13" t="s">
        <v>446</v>
      </c>
      <c r="AG197" s="13"/>
      <c r="AH197" s="13" t="s">
        <v>445</v>
      </c>
      <c r="AI197" s="14">
        <f t="shared" si="53"/>
        <v>600</v>
      </c>
      <c r="AJ197" s="14" t="str">
        <f t="shared" si="54"/>
        <v>张飞碎片</v>
      </c>
      <c r="AK197" s="13">
        <f t="shared" si="55"/>
        <v>30</v>
      </c>
    </row>
    <row r="198" spans="1:37" ht="16.5" x14ac:dyDescent="0.2">
      <c r="A198" s="13">
        <v>163</v>
      </c>
      <c r="B198" s="13">
        <f t="shared" si="56"/>
        <v>1501017</v>
      </c>
      <c r="C198" s="13">
        <f t="shared" si="57"/>
        <v>3</v>
      </c>
      <c r="D198" s="14">
        <f t="shared" si="58"/>
        <v>0.19</v>
      </c>
      <c r="E198" s="14" t="str">
        <f t="shared" si="59"/>
        <v>金币</v>
      </c>
      <c r="F198" s="14">
        <f t="shared" si="60"/>
        <v>3000</v>
      </c>
      <c r="G198" s="14" t="str">
        <f t="shared" si="61"/>
        <v>低级强化石</v>
      </c>
      <c r="H198" s="14">
        <f t="shared" si="62"/>
        <v>20</v>
      </c>
      <c r="I198" s="14"/>
      <c r="J198" s="14"/>
      <c r="Y198" s="13">
        <v>163</v>
      </c>
      <c r="Z198" s="13">
        <f t="shared" si="63"/>
        <v>1501011</v>
      </c>
      <c r="AA198" s="14" t="str">
        <f t="shared" si="64"/>
        <v>张飞</v>
      </c>
      <c r="AB198" s="13">
        <f t="shared" si="52"/>
        <v>13</v>
      </c>
      <c r="AC198" s="14" t="str">
        <f t="shared" si="65"/>
        <v/>
      </c>
      <c r="AD198" s="14" t="str">
        <f t="shared" si="66"/>
        <v>HPRate</v>
      </c>
      <c r="AE198" s="14">
        <f t="shared" si="67"/>
        <v>0.14000000000000001</v>
      </c>
      <c r="AF198" s="13" t="s">
        <v>446</v>
      </c>
      <c r="AG198" s="13"/>
      <c r="AH198" s="13" t="s">
        <v>445</v>
      </c>
      <c r="AI198" s="14">
        <f t="shared" si="53"/>
        <v>700</v>
      </c>
      <c r="AJ198" s="14" t="str">
        <f t="shared" si="54"/>
        <v>张飞碎片</v>
      </c>
      <c r="AK198" s="13">
        <f t="shared" si="55"/>
        <v>30</v>
      </c>
    </row>
    <row r="199" spans="1:37" ht="16.5" x14ac:dyDescent="0.2">
      <c r="A199" s="13">
        <v>164</v>
      </c>
      <c r="B199" s="13">
        <f t="shared" si="56"/>
        <v>1501017</v>
      </c>
      <c r="C199" s="13">
        <f t="shared" si="57"/>
        <v>4</v>
      </c>
      <c r="D199" s="14">
        <f t="shared" si="58"/>
        <v>0.28000000000000003</v>
      </c>
      <c r="E199" s="14" t="str">
        <f t="shared" si="59"/>
        <v>金币</v>
      </c>
      <c r="F199" s="14">
        <f t="shared" si="60"/>
        <v>4000</v>
      </c>
      <c r="G199" s="14" t="str">
        <f t="shared" si="61"/>
        <v>低级强化石</v>
      </c>
      <c r="H199" s="14">
        <f t="shared" si="62"/>
        <v>20</v>
      </c>
      <c r="I199" s="14" t="str">
        <f t="shared" ref="I199:J205" si="71">INDEX(T$36:T$45,$C199)</f>
        <v>中级强化石</v>
      </c>
      <c r="J199" s="14">
        <f t="shared" si="71"/>
        <v>10</v>
      </c>
      <c r="Y199" s="13">
        <v>164</v>
      </c>
      <c r="Z199" s="13">
        <f t="shared" si="63"/>
        <v>1501011</v>
      </c>
      <c r="AA199" s="14" t="str">
        <f t="shared" si="64"/>
        <v>张飞</v>
      </c>
      <c r="AB199" s="13">
        <f t="shared" si="52"/>
        <v>14</v>
      </c>
      <c r="AC199" s="14" t="str">
        <f t="shared" si="65"/>
        <v/>
      </c>
      <c r="AD199" s="14" t="str">
        <f t="shared" si="66"/>
        <v>DefRate</v>
      </c>
      <c r="AE199" s="14">
        <f t="shared" si="67"/>
        <v>0.14000000000000001</v>
      </c>
      <c r="AF199" s="13" t="s">
        <v>446</v>
      </c>
      <c r="AG199" s="13"/>
      <c r="AH199" s="13" t="s">
        <v>445</v>
      </c>
      <c r="AI199" s="14">
        <f t="shared" si="53"/>
        <v>800</v>
      </c>
      <c r="AJ199" s="14" t="str">
        <f t="shared" si="54"/>
        <v>张飞碎片</v>
      </c>
      <c r="AK199" s="13">
        <f t="shared" si="55"/>
        <v>50</v>
      </c>
    </row>
    <row r="200" spans="1:37" ht="16.5" x14ac:dyDescent="0.2">
      <c r="A200" s="13">
        <v>165</v>
      </c>
      <c r="B200" s="13">
        <f t="shared" si="56"/>
        <v>1501017</v>
      </c>
      <c r="C200" s="13">
        <f t="shared" si="57"/>
        <v>5</v>
      </c>
      <c r="D200" s="14">
        <f t="shared" si="58"/>
        <v>0.38</v>
      </c>
      <c r="E200" s="14" t="str">
        <f t="shared" si="59"/>
        <v>金币</v>
      </c>
      <c r="F200" s="14">
        <f t="shared" si="60"/>
        <v>5000</v>
      </c>
      <c r="G200" s="14" t="str">
        <f t="shared" si="61"/>
        <v>低级强化石</v>
      </c>
      <c r="H200" s="14">
        <f t="shared" si="62"/>
        <v>20</v>
      </c>
      <c r="I200" s="14" t="str">
        <f t="shared" si="71"/>
        <v>中级强化石</v>
      </c>
      <c r="J200" s="14">
        <f t="shared" si="71"/>
        <v>15</v>
      </c>
      <c r="Y200" s="13">
        <v>165</v>
      </c>
      <c r="Z200" s="13">
        <f t="shared" si="63"/>
        <v>1501011</v>
      </c>
      <c r="AA200" s="14" t="str">
        <f t="shared" si="64"/>
        <v>张飞</v>
      </c>
      <c r="AB200" s="13">
        <f t="shared" si="52"/>
        <v>15</v>
      </c>
      <c r="AC200" s="14" t="str">
        <f t="shared" si="65"/>
        <v/>
      </c>
      <c r="AD200" s="14" t="str">
        <f t="shared" si="66"/>
        <v>HPRate</v>
      </c>
      <c r="AE200" s="14">
        <f t="shared" si="67"/>
        <v>0.14000000000000001</v>
      </c>
      <c r="AF200" s="13" t="s">
        <v>446</v>
      </c>
      <c r="AG200" s="13"/>
      <c r="AH200" s="13" t="s">
        <v>445</v>
      </c>
      <c r="AI200" s="14">
        <f t="shared" si="53"/>
        <v>1000</v>
      </c>
      <c r="AJ200" s="14" t="str">
        <f t="shared" si="54"/>
        <v>张飞碎片</v>
      </c>
      <c r="AK200" s="13">
        <f t="shared" si="55"/>
        <v>60</v>
      </c>
    </row>
    <row r="201" spans="1:37" ht="16.5" x14ac:dyDescent="0.2">
      <c r="A201" s="13">
        <v>166</v>
      </c>
      <c r="B201" s="13">
        <f t="shared" si="56"/>
        <v>1501017</v>
      </c>
      <c r="C201" s="13">
        <f t="shared" si="57"/>
        <v>6</v>
      </c>
      <c r="D201" s="14">
        <f t="shared" si="58"/>
        <v>0.47</v>
      </c>
      <c r="E201" s="14" t="str">
        <f t="shared" si="59"/>
        <v>金币</v>
      </c>
      <c r="F201" s="14">
        <f t="shared" si="60"/>
        <v>6000</v>
      </c>
      <c r="G201" s="14" t="str">
        <f t="shared" si="61"/>
        <v>低级强化石</v>
      </c>
      <c r="H201" s="14">
        <f t="shared" si="62"/>
        <v>20</v>
      </c>
      <c r="I201" s="14" t="str">
        <f t="shared" si="71"/>
        <v>中级强化石</v>
      </c>
      <c r="J201" s="14">
        <f t="shared" si="71"/>
        <v>20</v>
      </c>
      <c r="Y201" s="13">
        <v>166</v>
      </c>
      <c r="Z201" s="13">
        <f t="shared" si="63"/>
        <v>1501012</v>
      </c>
      <c r="AA201" s="14" t="str">
        <f t="shared" si="64"/>
        <v>夏侯惇</v>
      </c>
      <c r="AB201" s="13">
        <f t="shared" si="52"/>
        <v>1</v>
      </c>
      <c r="AC201" s="14" t="str">
        <f t="shared" si="65"/>
        <v/>
      </c>
      <c r="AD201" s="14" t="str">
        <f t="shared" si="66"/>
        <v>AtkExt</v>
      </c>
      <c r="AE201" s="14">
        <f t="shared" si="67"/>
        <v>250</v>
      </c>
      <c r="AF201" s="13" t="s">
        <v>446</v>
      </c>
      <c r="AG201" s="13"/>
      <c r="AH201" s="13" t="s">
        <v>445</v>
      </c>
      <c r="AI201" s="14">
        <f t="shared" si="53"/>
        <v>10</v>
      </c>
      <c r="AJ201" s="14" t="str">
        <f t="shared" si="54"/>
        <v/>
      </c>
      <c r="AK201" s="13" t="str">
        <f t="shared" si="55"/>
        <v/>
      </c>
    </row>
    <row r="202" spans="1:37" ht="16.5" x14ac:dyDescent="0.2">
      <c r="A202" s="13">
        <v>167</v>
      </c>
      <c r="B202" s="13">
        <f t="shared" si="56"/>
        <v>1501017</v>
      </c>
      <c r="C202" s="13">
        <f t="shared" si="57"/>
        <v>7</v>
      </c>
      <c r="D202" s="14">
        <f t="shared" si="58"/>
        <v>0.59</v>
      </c>
      <c r="E202" s="14" t="str">
        <f t="shared" si="59"/>
        <v>金币</v>
      </c>
      <c r="F202" s="14">
        <f t="shared" si="60"/>
        <v>7000</v>
      </c>
      <c r="G202" s="14" t="str">
        <f t="shared" si="61"/>
        <v>中级强化石</v>
      </c>
      <c r="H202" s="14">
        <f t="shared" si="62"/>
        <v>20</v>
      </c>
      <c r="I202" s="14" t="str">
        <f t="shared" si="71"/>
        <v>高级强化石</v>
      </c>
      <c r="J202" s="14">
        <f t="shared" si="71"/>
        <v>10</v>
      </c>
      <c r="Y202" s="13">
        <v>167</v>
      </c>
      <c r="Z202" s="13">
        <f t="shared" si="63"/>
        <v>1501012</v>
      </c>
      <c r="AA202" s="14" t="str">
        <f t="shared" si="64"/>
        <v>夏侯惇</v>
      </c>
      <c r="AB202" s="13">
        <f t="shared" si="52"/>
        <v>2</v>
      </c>
      <c r="AC202" s="14" t="str">
        <f t="shared" si="65"/>
        <v/>
      </c>
      <c r="AD202" s="14" t="str">
        <f t="shared" si="66"/>
        <v>HPExt</v>
      </c>
      <c r="AE202" s="14">
        <f t="shared" si="67"/>
        <v>2250</v>
      </c>
      <c r="AF202" s="13" t="s">
        <v>446</v>
      </c>
      <c r="AG202" s="13"/>
      <c r="AH202" s="13" t="s">
        <v>445</v>
      </c>
      <c r="AI202" s="14">
        <f t="shared" si="53"/>
        <v>20</v>
      </c>
      <c r="AJ202" s="14" t="str">
        <f t="shared" si="54"/>
        <v/>
      </c>
      <c r="AK202" s="13" t="str">
        <f t="shared" si="55"/>
        <v/>
      </c>
    </row>
    <row r="203" spans="1:37" ht="16.5" x14ac:dyDescent="0.2">
      <c r="A203" s="13">
        <v>168</v>
      </c>
      <c r="B203" s="13">
        <f t="shared" si="56"/>
        <v>1501017</v>
      </c>
      <c r="C203" s="13">
        <f t="shared" si="57"/>
        <v>8</v>
      </c>
      <c r="D203" s="14">
        <f t="shared" si="58"/>
        <v>0.72</v>
      </c>
      <c r="E203" s="14" t="str">
        <f t="shared" si="59"/>
        <v>金币</v>
      </c>
      <c r="F203" s="14">
        <f t="shared" si="60"/>
        <v>8000</v>
      </c>
      <c r="G203" s="14" t="str">
        <f t="shared" si="61"/>
        <v>中级强化石</v>
      </c>
      <c r="H203" s="14">
        <f t="shared" si="62"/>
        <v>20</v>
      </c>
      <c r="I203" s="14" t="str">
        <f t="shared" si="71"/>
        <v>高级强化石</v>
      </c>
      <c r="J203" s="14">
        <f t="shared" si="71"/>
        <v>15</v>
      </c>
      <c r="Y203" s="13">
        <v>168</v>
      </c>
      <c r="Z203" s="13">
        <f t="shared" si="63"/>
        <v>1501012</v>
      </c>
      <c r="AA203" s="14" t="str">
        <f t="shared" si="64"/>
        <v>夏侯惇</v>
      </c>
      <c r="AB203" s="13">
        <f t="shared" si="52"/>
        <v>3</v>
      </c>
      <c r="AC203" s="14">
        <f t="shared" si="65"/>
        <v>130301209</v>
      </c>
      <c r="AD203" s="14" t="str">
        <f t="shared" si="66"/>
        <v/>
      </c>
      <c r="AE203" s="14" t="str">
        <f t="shared" si="67"/>
        <v/>
      </c>
      <c r="AF203" s="13" t="s">
        <v>446</v>
      </c>
      <c r="AG203" s="13"/>
      <c r="AH203" s="13" t="s">
        <v>445</v>
      </c>
      <c r="AI203" s="14">
        <f t="shared" si="53"/>
        <v>30</v>
      </c>
      <c r="AJ203" s="14" t="str">
        <f t="shared" si="54"/>
        <v>夏侯惇碎片</v>
      </c>
      <c r="AK203" s="13">
        <f t="shared" si="55"/>
        <v>5</v>
      </c>
    </row>
    <row r="204" spans="1:37" ht="16.5" x14ac:dyDescent="0.2">
      <c r="A204" s="13">
        <v>169</v>
      </c>
      <c r="B204" s="13">
        <f t="shared" si="56"/>
        <v>1501017</v>
      </c>
      <c r="C204" s="13">
        <f t="shared" si="57"/>
        <v>9</v>
      </c>
      <c r="D204" s="14">
        <f t="shared" si="58"/>
        <v>0.84</v>
      </c>
      <c r="E204" s="14" t="str">
        <f t="shared" si="59"/>
        <v>金币</v>
      </c>
      <c r="F204" s="14">
        <f t="shared" si="60"/>
        <v>9000</v>
      </c>
      <c r="G204" s="14" t="str">
        <f t="shared" si="61"/>
        <v>中级强化石</v>
      </c>
      <c r="H204" s="14">
        <f t="shared" si="62"/>
        <v>20</v>
      </c>
      <c r="I204" s="14" t="str">
        <f t="shared" si="71"/>
        <v>高级强化石</v>
      </c>
      <c r="J204" s="14">
        <f t="shared" si="71"/>
        <v>20</v>
      </c>
      <c r="Y204" s="13">
        <v>169</v>
      </c>
      <c r="Z204" s="13">
        <f t="shared" si="63"/>
        <v>1501012</v>
      </c>
      <c r="AA204" s="14" t="str">
        <f t="shared" si="64"/>
        <v>夏侯惇</v>
      </c>
      <c r="AB204" s="13">
        <f t="shared" si="52"/>
        <v>4</v>
      </c>
      <c r="AC204" s="14" t="str">
        <f t="shared" si="65"/>
        <v/>
      </c>
      <c r="AD204" s="14" t="str">
        <f t="shared" si="66"/>
        <v>AtkRate</v>
      </c>
      <c r="AE204" s="14">
        <f t="shared" si="67"/>
        <v>0.11</v>
      </c>
      <c r="AF204" s="13" t="s">
        <v>446</v>
      </c>
      <c r="AG204" s="13"/>
      <c r="AH204" s="13" t="s">
        <v>445</v>
      </c>
      <c r="AI204" s="14">
        <f t="shared" si="53"/>
        <v>50</v>
      </c>
      <c r="AJ204" s="14" t="str">
        <f t="shared" si="54"/>
        <v>夏侯惇碎片</v>
      </c>
      <c r="AK204" s="13">
        <f t="shared" si="55"/>
        <v>5</v>
      </c>
    </row>
    <row r="205" spans="1:37" ht="16.5" x14ac:dyDescent="0.2">
      <c r="A205" s="13">
        <v>170</v>
      </c>
      <c r="B205" s="13">
        <f t="shared" si="56"/>
        <v>1501017</v>
      </c>
      <c r="C205" s="13">
        <f t="shared" si="57"/>
        <v>10</v>
      </c>
      <c r="D205" s="14">
        <f t="shared" si="58"/>
        <v>1</v>
      </c>
      <c r="E205" s="14" t="str">
        <f t="shared" si="59"/>
        <v>金币</v>
      </c>
      <c r="F205" s="14">
        <f t="shared" si="60"/>
        <v>10000</v>
      </c>
      <c r="G205" s="14" t="str">
        <f t="shared" si="61"/>
        <v>中级强化石</v>
      </c>
      <c r="H205" s="14">
        <f t="shared" si="62"/>
        <v>20</v>
      </c>
      <c r="I205" s="14" t="str">
        <f t="shared" si="71"/>
        <v>高级强化石</v>
      </c>
      <c r="J205" s="14">
        <f t="shared" si="71"/>
        <v>25</v>
      </c>
      <c r="Y205" s="13">
        <v>170</v>
      </c>
      <c r="Z205" s="13">
        <f t="shared" si="63"/>
        <v>1501012</v>
      </c>
      <c r="AA205" s="14" t="str">
        <f t="shared" si="64"/>
        <v>夏侯惇</v>
      </c>
      <c r="AB205" s="13">
        <f t="shared" si="52"/>
        <v>5</v>
      </c>
      <c r="AC205" s="14" t="str">
        <f t="shared" si="65"/>
        <v/>
      </c>
      <c r="AD205" s="14" t="str">
        <f t="shared" si="66"/>
        <v>DefIgnor</v>
      </c>
      <c r="AE205" s="14">
        <f t="shared" si="67"/>
        <v>0.11</v>
      </c>
      <c r="AF205" s="13" t="s">
        <v>446</v>
      </c>
      <c r="AG205" s="13"/>
      <c r="AH205" s="13" t="s">
        <v>445</v>
      </c>
      <c r="AI205" s="14">
        <f t="shared" si="53"/>
        <v>100</v>
      </c>
      <c r="AJ205" s="14" t="str">
        <f t="shared" si="54"/>
        <v>夏侯惇碎片</v>
      </c>
      <c r="AK205" s="13">
        <f t="shared" si="55"/>
        <v>10</v>
      </c>
    </row>
    <row r="206" spans="1:37" ht="16.5" x14ac:dyDescent="0.2">
      <c r="A206" s="13">
        <v>171</v>
      </c>
      <c r="B206" s="13">
        <f t="shared" si="56"/>
        <v>1501018</v>
      </c>
      <c r="C206" s="13">
        <f t="shared" si="57"/>
        <v>1</v>
      </c>
      <c r="D206" s="14">
        <f t="shared" si="58"/>
        <v>0.06</v>
      </c>
      <c r="E206" s="14" t="str">
        <f t="shared" si="59"/>
        <v>金币</v>
      </c>
      <c r="F206" s="14">
        <f t="shared" si="60"/>
        <v>1000</v>
      </c>
      <c r="G206" s="14" t="str">
        <f t="shared" si="61"/>
        <v>低级强化石</v>
      </c>
      <c r="H206" s="14">
        <f t="shared" si="62"/>
        <v>10</v>
      </c>
      <c r="I206" s="14"/>
      <c r="J206" s="14"/>
      <c r="Y206" s="13">
        <v>171</v>
      </c>
      <c r="Z206" s="13">
        <f t="shared" si="63"/>
        <v>1501012</v>
      </c>
      <c r="AA206" s="14" t="str">
        <f t="shared" si="64"/>
        <v>夏侯惇</v>
      </c>
      <c r="AB206" s="13">
        <f t="shared" si="52"/>
        <v>6</v>
      </c>
      <c r="AC206" s="14" t="str">
        <f t="shared" si="65"/>
        <v/>
      </c>
      <c r="AD206" s="14" t="str">
        <f t="shared" si="66"/>
        <v>DefRate</v>
      </c>
      <c r="AE206" s="14">
        <f t="shared" si="67"/>
        <v>0.11</v>
      </c>
      <c r="AF206" s="13" t="s">
        <v>446</v>
      </c>
      <c r="AG206" s="13"/>
      <c r="AH206" s="13" t="s">
        <v>445</v>
      </c>
      <c r="AI206" s="14">
        <f t="shared" si="53"/>
        <v>150</v>
      </c>
      <c r="AJ206" s="14" t="str">
        <f t="shared" si="54"/>
        <v>夏侯惇碎片</v>
      </c>
      <c r="AK206" s="13">
        <f t="shared" si="55"/>
        <v>10</v>
      </c>
    </row>
    <row r="207" spans="1:37" ht="16.5" x14ac:dyDescent="0.2">
      <c r="A207" s="13">
        <v>172</v>
      </c>
      <c r="B207" s="13">
        <f t="shared" si="56"/>
        <v>1501018</v>
      </c>
      <c r="C207" s="13">
        <f t="shared" si="57"/>
        <v>2</v>
      </c>
      <c r="D207" s="14">
        <f t="shared" si="58"/>
        <v>0.13</v>
      </c>
      <c r="E207" s="14" t="str">
        <f t="shared" si="59"/>
        <v>金币</v>
      </c>
      <c r="F207" s="14">
        <f t="shared" si="60"/>
        <v>2000</v>
      </c>
      <c r="G207" s="14" t="str">
        <f t="shared" si="61"/>
        <v>低级强化石</v>
      </c>
      <c r="H207" s="14">
        <f t="shared" si="62"/>
        <v>15</v>
      </c>
      <c r="I207" s="14"/>
      <c r="J207" s="14"/>
      <c r="Y207" s="13">
        <v>172</v>
      </c>
      <c r="Z207" s="13">
        <f t="shared" si="63"/>
        <v>1501012</v>
      </c>
      <c r="AA207" s="14" t="str">
        <f t="shared" si="64"/>
        <v>夏侯惇</v>
      </c>
      <c r="AB207" s="13">
        <f t="shared" si="52"/>
        <v>7</v>
      </c>
      <c r="AC207" s="14" t="str">
        <f t="shared" si="65"/>
        <v/>
      </c>
      <c r="AD207" s="14" t="str">
        <f t="shared" si="66"/>
        <v>AtkRate</v>
      </c>
      <c r="AE207" s="14">
        <f t="shared" si="67"/>
        <v>0.11</v>
      </c>
      <c r="AF207" s="13" t="s">
        <v>446</v>
      </c>
      <c r="AG207" s="13"/>
      <c r="AH207" s="13" t="s">
        <v>445</v>
      </c>
      <c r="AI207" s="14">
        <f t="shared" si="53"/>
        <v>200</v>
      </c>
      <c r="AJ207" s="14" t="str">
        <f t="shared" si="54"/>
        <v>夏侯惇碎片</v>
      </c>
      <c r="AK207" s="13">
        <f t="shared" si="55"/>
        <v>10</v>
      </c>
    </row>
    <row r="208" spans="1:37" ht="16.5" x14ac:dyDescent="0.2">
      <c r="A208" s="13">
        <v>173</v>
      </c>
      <c r="B208" s="13">
        <f t="shared" si="56"/>
        <v>1501018</v>
      </c>
      <c r="C208" s="13">
        <f t="shared" si="57"/>
        <v>3</v>
      </c>
      <c r="D208" s="14">
        <f t="shared" si="58"/>
        <v>0.19</v>
      </c>
      <c r="E208" s="14" t="str">
        <f t="shared" si="59"/>
        <v>金币</v>
      </c>
      <c r="F208" s="14">
        <f t="shared" si="60"/>
        <v>3000</v>
      </c>
      <c r="G208" s="14" t="str">
        <f t="shared" si="61"/>
        <v>低级强化石</v>
      </c>
      <c r="H208" s="14">
        <f t="shared" si="62"/>
        <v>20</v>
      </c>
      <c r="I208" s="14"/>
      <c r="J208" s="14"/>
      <c r="Y208" s="13">
        <v>173</v>
      </c>
      <c r="Z208" s="13">
        <f t="shared" si="63"/>
        <v>1501012</v>
      </c>
      <c r="AA208" s="14" t="str">
        <f t="shared" si="64"/>
        <v>夏侯惇</v>
      </c>
      <c r="AB208" s="13">
        <f t="shared" si="52"/>
        <v>8</v>
      </c>
      <c r="AC208" s="14" t="str">
        <f t="shared" si="65"/>
        <v/>
      </c>
      <c r="AD208" s="14" t="str">
        <f t="shared" si="66"/>
        <v>Crit</v>
      </c>
      <c r="AE208" s="14">
        <f t="shared" si="67"/>
        <v>0.11</v>
      </c>
      <c r="AF208" s="13" t="s">
        <v>446</v>
      </c>
      <c r="AG208" s="13"/>
      <c r="AH208" s="13" t="s">
        <v>445</v>
      </c>
      <c r="AI208" s="14">
        <f t="shared" si="53"/>
        <v>250</v>
      </c>
      <c r="AJ208" s="14" t="str">
        <f t="shared" si="54"/>
        <v>夏侯惇碎片</v>
      </c>
      <c r="AK208" s="13">
        <f t="shared" si="55"/>
        <v>20</v>
      </c>
    </row>
    <row r="209" spans="1:37" ht="16.5" x14ac:dyDescent="0.2">
      <c r="A209" s="13">
        <v>174</v>
      </c>
      <c r="B209" s="13">
        <f t="shared" si="56"/>
        <v>1501018</v>
      </c>
      <c r="C209" s="13">
        <f t="shared" si="57"/>
        <v>4</v>
      </c>
      <c r="D209" s="14">
        <f t="shared" si="58"/>
        <v>0.28000000000000003</v>
      </c>
      <c r="E209" s="14" t="str">
        <f t="shared" si="59"/>
        <v>金币</v>
      </c>
      <c r="F209" s="14">
        <f t="shared" si="60"/>
        <v>4000</v>
      </c>
      <c r="G209" s="14" t="str">
        <f t="shared" si="61"/>
        <v>低级强化石</v>
      </c>
      <c r="H209" s="14">
        <f t="shared" si="62"/>
        <v>20</v>
      </c>
      <c r="I209" s="14" t="str">
        <f t="shared" ref="I209:J215" si="72">INDEX(T$36:T$45,$C209)</f>
        <v>中级强化石</v>
      </c>
      <c r="J209" s="14">
        <f t="shared" si="72"/>
        <v>10</v>
      </c>
      <c r="Y209" s="13">
        <v>174</v>
      </c>
      <c r="Z209" s="13">
        <f t="shared" si="63"/>
        <v>1501012</v>
      </c>
      <c r="AA209" s="14" t="str">
        <f t="shared" si="64"/>
        <v>夏侯惇</v>
      </c>
      <c r="AB209" s="13">
        <f t="shared" si="52"/>
        <v>9</v>
      </c>
      <c r="AC209" s="14" t="str">
        <f t="shared" si="65"/>
        <v/>
      </c>
      <c r="AD209" s="14" t="str">
        <f t="shared" si="66"/>
        <v>DefIgnor</v>
      </c>
      <c r="AE209" s="14">
        <f t="shared" si="67"/>
        <v>0.11</v>
      </c>
      <c r="AF209" s="13" t="s">
        <v>446</v>
      </c>
      <c r="AG209" s="13"/>
      <c r="AH209" s="13" t="s">
        <v>445</v>
      </c>
      <c r="AI209" s="14">
        <f t="shared" si="53"/>
        <v>300</v>
      </c>
      <c r="AJ209" s="14" t="str">
        <f t="shared" si="54"/>
        <v>夏侯惇碎片</v>
      </c>
      <c r="AK209" s="13">
        <f t="shared" si="55"/>
        <v>20</v>
      </c>
    </row>
    <row r="210" spans="1:37" ht="16.5" x14ac:dyDescent="0.2">
      <c r="A210" s="13">
        <v>175</v>
      </c>
      <c r="B210" s="13">
        <f t="shared" si="56"/>
        <v>1501018</v>
      </c>
      <c r="C210" s="13">
        <f t="shared" si="57"/>
        <v>5</v>
      </c>
      <c r="D210" s="14">
        <f t="shared" si="58"/>
        <v>0.38</v>
      </c>
      <c r="E210" s="14" t="str">
        <f t="shared" si="59"/>
        <v>金币</v>
      </c>
      <c r="F210" s="14">
        <f t="shared" si="60"/>
        <v>5000</v>
      </c>
      <c r="G210" s="14" t="str">
        <f t="shared" si="61"/>
        <v>低级强化石</v>
      </c>
      <c r="H210" s="14">
        <f t="shared" si="62"/>
        <v>20</v>
      </c>
      <c r="I210" s="14" t="str">
        <f t="shared" si="72"/>
        <v>中级强化石</v>
      </c>
      <c r="J210" s="14">
        <f t="shared" si="72"/>
        <v>15</v>
      </c>
      <c r="Y210" s="13">
        <v>175</v>
      </c>
      <c r="Z210" s="13">
        <f t="shared" si="63"/>
        <v>1501012</v>
      </c>
      <c r="AA210" s="14" t="str">
        <f t="shared" si="64"/>
        <v>夏侯惇</v>
      </c>
      <c r="AB210" s="13">
        <f t="shared" si="52"/>
        <v>10</v>
      </c>
      <c r="AC210" s="14" t="str">
        <f t="shared" si="65"/>
        <v/>
      </c>
      <c r="AD210" s="14" t="str">
        <f t="shared" si="66"/>
        <v>AtkRate</v>
      </c>
      <c r="AE210" s="14">
        <f t="shared" si="67"/>
        <v>0.14000000000000001</v>
      </c>
      <c r="AF210" s="13" t="s">
        <v>446</v>
      </c>
      <c r="AG210" s="13"/>
      <c r="AH210" s="13" t="s">
        <v>445</v>
      </c>
      <c r="AI210" s="14">
        <f t="shared" si="53"/>
        <v>400</v>
      </c>
      <c r="AJ210" s="14" t="str">
        <f t="shared" si="54"/>
        <v>夏侯惇碎片</v>
      </c>
      <c r="AK210" s="13">
        <f t="shared" si="55"/>
        <v>20</v>
      </c>
    </row>
    <row r="211" spans="1:37" ht="16.5" x14ac:dyDescent="0.2">
      <c r="A211" s="13">
        <v>176</v>
      </c>
      <c r="B211" s="13">
        <f t="shared" si="56"/>
        <v>1501018</v>
      </c>
      <c r="C211" s="13">
        <f t="shared" si="57"/>
        <v>6</v>
      </c>
      <c r="D211" s="14">
        <f t="shared" si="58"/>
        <v>0.47</v>
      </c>
      <c r="E211" s="14" t="str">
        <f t="shared" si="59"/>
        <v>金币</v>
      </c>
      <c r="F211" s="14">
        <f t="shared" si="60"/>
        <v>6000</v>
      </c>
      <c r="G211" s="14" t="str">
        <f t="shared" si="61"/>
        <v>低级强化石</v>
      </c>
      <c r="H211" s="14">
        <f t="shared" si="62"/>
        <v>20</v>
      </c>
      <c r="I211" s="14" t="str">
        <f t="shared" si="72"/>
        <v>中级强化石</v>
      </c>
      <c r="J211" s="14">
        <f t="shared" si="72"/>
        <v>20</v>
      </c>
      <c r="Y211" s="13">
        <v>176</v>
      </c>
      <c r="Z211" s="13">
        <f t="shared" si="63"/>
        <v>1501012</v>
      </c>
      <c r="AA211" s="14" t="str">
        <f t="shared" si="64"/>
        <v>夏侯惇</v>
      </c>
      <c r="AB211" s="13">
        <f t="shared" si="52"/>
        <v>11</v>
      </c>
      <c r="AC211" s="14" t="str">
        <f t="shared" si="65"/>
        <v/>
      </c>
      <c r="AD211" s="14" t="str">
        <f t="shared" si="66"/>
        <v>DefIgnor</v>
      </c>
      <c r="AE211" s="14">
        <f t="shared" si="67"/>
        <v>0.14000000000000001</v>
      </c>
      <c r="AF211" s="13" t="s">
        <v>446</v>
      </c>
      <c r="AG211" s="13"/>
      <c r="AH211" s="13" t="s">
        <v>445</v>
      </c>
      <c r="AI211" s="14">
        <f t="shared" si="53"/>
        <v>500</v>
      </c>
      <c r="AJ211" s="14" t="str">
        <f t="shared" si="54"/>
        <v>夏侯惇碎片</v>
      </c>
      <c r="AK211" s="13">
        <f t="shared" si="55"/>
        <v>30</v>
      </c>
    </row>
    <row r="212" spans="1:37" ht="16.5" x14ac:dyDescent="0.2">
      <c r="A212" s="13">
        <v>177</v>
      </c>
      <c r="B212" s="13">
        <f t="shared" si="56"/>
        <v>1501018</v>
      </c>
      <c r="C212" s="13">
        <f t="shared" si="57"/>
        <v>7</v>
      </c>
      <c r="D212" s="14">
        <f t="shared" si="58"/>
        <v>0.59</v>
      </c>
      <c r="E212" s="14" t="str">
        <f t="shared" si="59"/>
        <v>金币</v>
      </c>
      <c r="F212" s="14">
        <f t="shared" si="60"/>
        <v>7000</v>
      </c>
      <c r="G212" s="14" t="str">
        <f t="shared" si="61"/>
        <v>中级强化石</v>
      </c>
      <c r="H212" s="14">
        <f t="shared" si="62"/>
        <v>20</v>
      </c>
      <c r="I212" s="14" t="str">
        <f t="shared" si="72"/>
        <v>高级强化石</v>
      </c>
      <c r="J212" s="14">
        <f t="shared" si="72"/>
        <v>10</v>
      </c>
      <c r="Y212" s="13">
        <v>177</v>
      </c>
      <c r="Z212" s="13">
        <f t="shared" si="63"/>
        <v>1501012</v>
      </c>
      <c r="AA212" s="14" t="str">
        <f t="shared" si="64"/>
        <v>夏侯惇</v>
      </c>
      <c r="AB212" s="13">
        <f t="shared" si="52"/>
        <v>12</v>
      </c>
      <c r="AC212" s="14" t="str">
        <f t="shared" si="65"/>
        <v/>
      </c>
      <c r="AD212" s="14" t="str">
        <f t="shared" si="66"/>
        <v>DefRate</v>
      </c>
      <c r="AE212" s="14">
        <f t="shared" si="67"/>
        <v>0.14000000000000001</v>
      </c>
      <c r="AF212" s="13" t="s">
        <v>446</v>
      </c>
      <c r="AG212" s="13"/>
      <c r="AH212" s="13" t="s">
        <v>445</v>
      </c>
      <c r="AI212" s="14">
        <f t="shared" si="53"/>
        <v>600</v>
      </c>
      <c r="AJ212" s="14" t="str">
        <f t="shared" si="54"/>
        <v>夏侯惇碎片</v>
      </c>
      <c r="AK212" s="13">
        <f t="shared" si="55"/>
        <v>30</v>
      </c>
    </row>
    <row r="213" spans="1:37" ht="16.5" x14ac:dyDescent="0.2">
      <c r="A213" s="13">
        <v>178</v>
      </c>
      <c r="B213" s="13">
        <f t="shared" si="56"/>
        <v>1501018</v>
      </c>
      <c r="C213" s="13">
        <f t="shared" si="57"/>
        <v>8</v>
      </c>
      <c r="D213" s="14">
        <f t="shared" si="58"/>
        <v>0.72</v>
      </c>
      <c r="E213" s="14" t="str">
        <f t="shared" si="59"/>
        <v>金币</v>
      </c>
      <c r="F213" s="14">
        <f t="shared" si="60"/>
        <v>8000</v>
      </c>
      <c r="G213" s="14" t="str">
        <f t="shared" si="61"/>
        <v>中级强化石</v>
      </c>
      <c r="H213" s="14">
        <f t="shared" si="62"/>
        <v>20</v>
      </c>
      <c r="I213" s="14" t="str">
        <f t="shared" si="72"/>
        <v>高级强化石</v>
      </c>
      <c r="J213" s="14">
        <f t="shared" si="72"/>
        <v>15</v>
      </c>
      <c r="Y213" s="13">
        <v>178</v>
      </c>
      <c r="Z213" s="13">
        <f t="shared" si="63"/>
        <v>1501012</v>
      </c>
      <c r="AA213" s="14" t="str">
        <f t="shared" si="64"/>
        <v>夏侯惇</v>
      </c>
      <c r="AB213" s="13">
        <f t="shared" si="52"/>
        <v>13</v>
      </c>
      <c r="AC213" s="14" t="str">
        <f t="shared" si="65"/>
        <v/>
      </c>
      <c r="AD213" s="14" t="str">
        <f t="shared" si="66"/>
        <v>AtkRate</v>
      </c>
      <c r="AE213" s="14">
        <f t="shared" si="67"/>
        <v>0.14000000000000001</v>
      </c>
      <c r="AF213" s="13" t="s">
        <v>446</v>
      </c>
      <c r="AG213" s="13"/>
      <c r="AH213" s="13" t="s">
        <v>445</v>
      </c>
      <c r="AI213" s="14">
        <f t="shared" si="53"/>
        <v>700</v>
      </c>
      <c r="AJ213" s="14" t="str">
        <f t="shared" si="54"/>
        <v>夏侯惇碎片</v>
      </c>
      <c r="AK213" s="13">
        <f t="shared" si="55"/>
        <v>30</v>
      </c>
    </row>
    <row r="214" spans="1:37" ht="16.5" x14ac:dyDescent="0.2">
      <c r="A214" s="13">
        <v>179</v>
      </c>
      <c r="B214" s="13">
        <f t="shared" si="56"/>
        <v>1501018</v>
      </c>
      <c r="C214" s="13">
        <f t="shared" si="57"/>
        <v>9</v>
      </c>
      <c r="D214" s="14">
        <f t="shared" si="58"/>
        <v>0.84</v>
      </c>
      <c r="E214" s="14" t="str">
        <f t="shared" si="59"/>
        <v>金币</v>
      </c>
      <c r="F214" s="14">
        <f t="shared" si="60"/>
        <v>9000</v>
      </c>
      <c r="G214" s="14" t="str">
        <f t="shared" si="61"/>
        <v>中级强化石</v>
      </c>
      <c r="H214" s="14">
        <f t="shared" si="62"/>
        <v>20</v>
      </c>
      <c r="I214" s="14" t="str">
        <f t="shared" si="72"/>
        <v>高级强化石</v>
      </c>
      <c r="J214" s="14">
        <f t="shared" si="72"/>
        <v>20</v>
      </c>
      <c r="Y214" s="13">
        <v>179</v>
      </c>
      <c r="Z214" s="13">
        <f t="shared" si="63"/>
        <v>1501012</v>
      </c>
      <c r="AA214" s="14" t="str">
        <f t="shared" si="64"/>
        <v>夏侯惇</v>
      </c>
      <c r="AB214" s="13">
        <f t="shared" si="52"/>
        <v>14</v>
      </c>
      <c r="AC214" s="14" t="str">
        <f t="shared" si="65"/>
        <v/>
      </c>
      <c r="AD214" s="14" t="str">
        <f t="shared" si="66"/>
        <v>Crit</v>
      </c>
      <c r="AE214" s="14">
        <f t="shared" si="67"/>
        <v>0.14000000000000001</v>
      </c>
      <c r="AF214" s="13" t="s">
        <v>446</v>
      </c>
      <c r="AG214" s="13"/>
      <c r="AH214" s="13" t="s">
        <v>445</v>
      </c>
      <c r="AI214" s="14">
        <f t="shared" si="53"/>
        <v>800</v>
      </c>
      <c r="AJ214" s="14" t="str">
        <f t="shared" si="54"/>
        <v>夏侯惇碎片</v>
      </c>
      <c r="AK214" s="13">
        <f t="shared" si="55"/>
        <v>50</v>
      </c>
    </row>
    <row r="215" spans="1:37" ht="16.5" x14ac:dyDescent="0.2">
      <c r="A215" s="13">
        <v>180</v>
      </c>
      <c r="B215" s="13">
        <f t="shared" si="56"/>
        <v>1501018</v>
      </c>
      <c r="C215" s="13">
        <f t="shared" si="57"/>
        <v>10</v>
      </c>
      <c r="D215" s="14">
        <f t="shared" si="58"/>
        <v>1</v>
      </c>
      <c r="E215" s="14" t="str">
        <f t="shared" si="59"/>
        <v>金币</v>
      </c>
      <c r="F215" s="14">
        <f t="shared" si="60"/>
        <v>10000</v>
      </c>
      <c r="G215" s="14" t="str">
        <f t="shared" si="61"/>
        <v>中级强化石</v>
      </c>
      <c r="H215" s="14">
        <f t="shared" si="62"/>
        <v>20</v>
      </c>
      <c r="I215" s="14" t="str">
        <f t="shared" si="72"/>
        <v>高级强化石</v>
      </c>
      <c r="J215" s="14">
        <f t="shared" si="72"/>
        <v>25</v>
      </c>
      <c r="Y215" s="13">
        <v>180</v>
      </c>
      <c r="Z215" s="13">
        <f t="shared" si="63"/>
        <v>1501012</v>
      </c>
      <c r="AA215" s="14" t="str">
        <f t="shared" si="64"/>
        <v>夏侯惇</v>
      </c>
      <c r="AB215" s="13">
        <f t="shared" si="52"/>
        <v>15</v>
      </c>
      <c r="AC215" s="14" t="str">
        <f t="shared" si="65"/>
        <v/>
      </c>
      <c r="AD215" s="14" t="str">
        <f t="shared" si="66"/>
        <v>DefIgnor</v>
      </c>
      <c r="AE215" s="14">
        <f t="shared" si="67"/>
        <v>0.14000000000000001</v>
      </c>
      <c r="AF215" s="13" t="s">
        <v>446</v>
      </c>
      <c r="AG215" s="13"/>
      <c r="AH215" s="13" t="s">
        <v>445</v>
      </c>
      <c r="AI215" s="14">
        <f t="shared" si="53"/>
        <v>1000</v>
      </c>
      <c r="AJ215" s="14" t="str">
        <f t="shared" si="54"/>
        <v>夏侯惇碎片</v>
      </c>
      <c r="AK215" s="13">
        <f t="shared" si="55"/>
        <v>60</v>
      </c>
    </row>
    <row r="216" spans="1:37" ht="16.5" x14ac:dyDescent="0.2">
      <c r="A216" s="13">
        <v>181</v>
      </c>
      <c r="B216" s="13">
        <f t="shared" si="56"/>
        <v>1501019</v>
      </c>
      <c r="C216" s="13">
        <f t="shared" si="57"/>
        <v>1</v>
      </c>
      <c r="D216" s="14">
        <f t="shared" si="58"/>
        <v>0.06</v>
      </c>
      <c r="E216" s="14" t="str">
        <f t="shared" si="59"/>
        <v>金币</v>
      </c>
      <c r="F216" s="14">
        <f t="shared" si="60"/>
        <v>1000</v>
      </c>
      <c r="G216" s="14" t="str">
        <f t="shared" si="61"/>
        <v>低级强化石</v>
      </c>
      <c r="H216" s="14">
        <f t="shared" si="62"/>
        <v>10</v>
      </c>
      <c r="I216" s="14"/>
      <c r="J216" s="14"/>
      <c r="Y216" s="13">
        <v>181</v>
      </c>
      <c r="Z216" s="13">
        <f t="shared" si="63"/>
        <v>1501013</v>
      </c>
      <c r="AA216" s="14" t="str">
        <f t="shared" si="64"/>
        <v>塞伯罗斯</v>
      </c>
      <c r="AB216" s="13">
        <f t="shared" si="52"/>
        <v>1</v>
      </c>
      <c r="AC216" s="14" t="str">
        <f t="shared" si="65"/>
        <v/>
      </c>
      <c r="AD216" s="14" t="str">
        <f t="shared" si="66"/>
        <v>AtkExt</v>
      </c>
      <c r="AE216" s="14">
        <f t="shared" si="67"/>
        <v>250</v>
      </c>
      <c r="AF216" s="13" t="s">
        <v>446</v>
      </c>
      <c r="AG216" s="13"/>
      <c r="AH216" s="13" t="s">
        <v>445</v>
      </c>
      <c r="AI216" s="14">
        <f t="shared" si="53"/>
        <v>10</v>
      </c>
      <c r="AJ216" s="14" t="str">
        <f t="shared" si="54"/>
        <v/>
      </c>
      <c r="AK216" s="13" t="str">
        <f t="shared" si="55"/>
        <v/>
      </c>
    </row>
    <row r="217" spans="1:37" ht="16.5" x14ac:dyDescent="0.2">
      <c r="A217" s="13">
        <v>182</v>
      </c>
      <c r="B217" s="13">
        <f t="shared" si="56"/>
        <v>1501019</v>
      </c>
      <c r="C217" s="13">
        <f t="shared" si="57"/>
        <v>2</v>
      </c>
      <c r="D217" s="14">
        <f t="shared" si="58"/>
        <v>0.13</v>
      </c>
      <c r="E217" s="14" t="str">
        <f t="shared" si="59"/>
        <v>金币</v>
      </c>
      <c r="F217" s="14">
        <f t="shared" si="60"/>
        <v>2000</v>
      </c>
      <c r="G217" s="14" t="str">
        <f t="shared" si="61"/>
        <v>低级强化石</v>
      </c>
      <c r="H217" s="14">
        <f t="shared" si="62"/>
        <v>15</v>
      </c>
      <c r="I217" s="14"/>
      <c r="J217" s="14"/>
      <c r="Y217" s="13">
        <v>182</v>
      </c>
      <c r="Z217" s="13">
        <f t="shared" si="63"/>
        <v>1501013</v>
      </c>
      <c r="AA217" s="14" t="str">
        <f t="shared" si="64"/>
        <v>塞伯罗斯</v>
      </c>
      <c r="AB217" s="13">
        <f t="shared" si="52"/>
        <v>2</v>
      </c>
      <c r="AC217" s="14" t="str">
        <f t="shared" si="65"/>
        <v/>
      </c>
      <c r="AD217" s="14" t="str">
        <f t="shared" si="66"/>
        <v>HPExt</v>
      </c>
      <c r="AE217" s="14">
        <f t="shared" si="67"/>
        <v>2250</v>
      </c>
      <c r="AF217" s="13" t="s">
        <v>446</v>
      </c>
      <c r="AG217" s="13"/>
      <c r="AH217" s="13" t="s">
        <v>445</v>
      </c>
      <c r="AI217" s="14">
        <f t="shared" si="53"/>
        <v>20</v>
      </c>
      <c r="AJ217" s="14" t="str">
        <f t="shared" si="54"/>
        <v/>
      </c>
      <c r="AK217" s="13" t="str">
        <f t="shared" si="55"/>
        <v/>
      </c>
    </row>
    <row r="218" spans="1:37" ht="16.5" x14ac:dyDescent="0.2">
      <c r="A218" s="13">
        <v>183</v>
      </c>
      <c r="B218" s="13">
        <f t="shared" si="56"/>
        <v>1501019</v>
      </c>
      <c r="C218" s="13">
        <f t="shared" si="57"/>
        <v>3</v>
      </c>
      <c r="D218" s="14">
        <f t="shared" si="58"/>
        <v>0.19</v>
      </c>
      <c r="E218" s="14" t="str">
        <f t="shared" si="59"/>
        <v>金币</v>
      </c>
      <c r="F218" s="14">
        <f t="shared" si="60"/>
        <v>3000</v>
      </c>
      <c r="G218" s="14" t="str">
        <f t="shared" si="61"/>
        <v>低级强化石</v>
      </c>
      <c r="H218" s="14">
        <f t="shared" si="62"/>
        <v>20</v>
      </c>
      <c r="I218" s="14"/>
      <c r="J218" s="14"/>
      <c r="Y218" s="13">
        <v>183</v>
      </c>
      <c r="Z218" s="13">
        <f t="shared" si="63"/>
        <v>1501013</v>
      </c>
      <c r="AA218" s="14" t="str">
        <f t="shared" si="64"/>
        <v>塞伯罗斯</v>
      </c>
      <c r="AB218" s="13">
        <f t="shared" si="52"/>
        <v>3</v>
      </c>
      <c r="AC218" s="14">
        <f t="shared" si="65"/>
        <v>130301309</v>
      </c>
      <c r="AD218" s="14" t="str">
        <f t="shared" si="66"/>
        <v/>
      </c>
      <c r="AE218" s="14" t="str">
        <f t="shared" si="67"/>
        <v/>
      </c>
      <c r="AF218" s="13" t="s">
        <v>446</v>
      </c>
      <c r="AG218" s="13"/>
      <c r="AH218" s="13" t="s">
        <v>445</v>
      </c>
      <c r="AI218" s="14">
        <f t="shared" si="53"/>
        <v>30</v>
      </c>
      <c r="AJ218" s="14" t="str">
        <f t="shared" si="54"/>
        <v>塞伯罗斯碎片</v>
      </c>
      <c r="AK218" s="13">
        <f t="shared" si="55"/>
        <v>5</v>
      </c>
    </row>
    <row r="219" spans="1:37" ht="16.5" x14ac:dyDescent="0.2">
      <c r="A219" s="13">
        <v>184</v>
      </c>
      <c r="B219" s="13">
        <f t="shared" si="56"/>
        <v>1501019</v>
      </c>
      <c r="C219" s="13">
        <f t="shared" si="57"/>
        <v>4</v>
      </c>
      <c r="D219" s="14">
        <f t="shared" si="58"/>
        <v>0.28000000000000003</v>
      </c>
      <c r="E219" s="14" t="str">
        <f t="shared" si="59"/>
        <v>金币</v>
      </c>
      <c r="F219" s="14">
        <f t="shared" si="60"/>
        <v>4000</v>
      </c>
      <c r="G219" s="14" t="str">
        <f t="shared" si="61"/>
        <v>低级强化石</v>
      </c>
      <c r="H219" s="14">
        <f t="shared" si="62"/>
        <v>20</v>
      </c>
      <c r="I219" s="14" t="str">
        <f t="shared" ref="I219:J225" si="73">INDEX(T$36:T$45,$C219)</f>
        <v>中级强化石</v>
      </c>
      <c r="J219" s="14">
        <f t="shared" si="73"/>
        <v>10</v>
      </c>
      <c r="Y219" s="13">
        <v>184</v>
      </c>
      <c r="Z219" s="13">
        <f t="shared" si="63"/>
        <v>1501013</v>
      </c>
      <c r="AA219" s="14" t="str">
        <f t="shared" si="64"/>
        <v>塞伯罗斯</v>
      </c>
      <c r="AB219" s="13">
        <f t="shared" si="52"/>
        <v>4</v>
      </c>
      <c r="AC219" s="14" t="str">
        <f t="shared" si="65"/>
        <v/>
      </c>
      <c r="AD219" s="14" t="str">
        <f t="shared" si="66"/>
        <v>AtkRate</v>
      </c>
      <c r="AE219" s="14">
        <f t="shared" si="67"/>
        <v>0.11</v>
      </c>
      <c r="AF219" s="13" t="s">
        <v>446</v>
      </c>
      <c r="AG219" s="13"/>
      <c r="AH219" s="13" t="s">
        <v>445</v>
      </c>
      <c r="AI219" s="14">
        <f t="shared" si="53"/>
        <v>50</v>
      </c>
      <c r="AJ219" s="14" t="str">
        <f t="shared" si="54"/>
        <v>塞伯罗斯碎片</v>
      </c>
      <c r="AK219" s="13">
        <f t="shared" si="55"/>
        <v>5</v>
      </c>
    </row>
    <row r="220" spans="1:37" ht="16.5" x14ac:dyDescent="0.2">
      <c r="A220" s="13">
        <v>185</v>
      </c>
      <c r="B220" s="13">
        <f t="shared" si="56"/>
        <v>1501019</v>
      </c>
      <c r="C220" s="13">
        <f t="shared" si="57"/>
        <v>5</v>
      </c>
      <c r="D220" s="14">
        <f t="shared" si="58"/>
        <v>0.38</v>
      </c>
      <c r="E220" s="14" t="str">
        <f t="shared" si="59"/>
        <v>金币</v>
      </c>
      <c r="F220" s="14">
        <f t="shared" si="60"/>
        <v>5000</v>
      </c>
      <c r="G220" s="14" t="str">
        <f t="shared" si="61"/>
        <v>低级强化石</v>
      </c>
      <c r="H220" s="14">
        <f t="shared" si="62"/>
        <v>20</v>
      </c>
      <c r="I220" s="14" t="str">
        <f t="shared" si="73"/>
        <v>中级强化石</v>
      </c>
      <c r="J220" s="14">
        <f t="shared" si="73"/>
        <v>15</v>
      </c>
      <c r="Y220" s="13">
        <v>185</v>
      </c>
      <c r="Z220" s="13">
        <f t="shared" si="63"/>
        <v>1501013</v>
      </c>
      <c r="AA220" s="14" t="str">
        <f t="shared" si="64"/>
        <v>塞伯罗斯</v>
      </c>
      <c r="AB220" s="13">
        <f t="shared" si="52"/>
        <v>5</v>
      </c>
      <c r="AC220" s="14" t="str">
        <f t="shared" si="65"/>
        <v/>
      </c>
      <c r="AD220" s="14" t="str">
        <f t="shared" si="66"/>
        <v>Crit</v>
      </c>
      <c r="AE220" s="14">
        <f t="shared" si="67"/>
        <v>0.11</v>
      </c>
      <c r="AF220" s="13" t="s">
        <v>446</v>
      </c>
      <c r="AG220" s="13"/>
      <c r="AH220" s="13" t="s">
        <v>445</v>
      </c>
      <c r="AI220" s="14">
        <f t="shared" si="53"/>
        <v>100</v>
      </c>
      <c r="AJ220" s="14" t="str">
        <f t="shared" si="54"/>
        <v>塞伯罗斯碎片</v>
      </c>
      <c r="AK220" s="13">
        <f t="shared" si="55"/>
        <v>10</v>
      </c>
    </row>
    <row r="221" spans="1:37" ht="16.5" x14ac:dyDescent="0.2">
      <c r="A221" s="13">
        <v>186</v>
      </c>
      <c r="B221" s="13">
        <f t="shared" si="56"/>
        <v>1501019</v>
      </c>
      <c r="C221" s="13">
        <f t="shared" si="57"/>
        <v>6</v>
      </c>
      <c r="D221" s="14">
        <f t="shared" si="58"/>
        <v>0.47</v>
      </c>
      <c r="E221" s="14" t="str">
        <f t="shared" si="59"/>
        <v>金币</v>
      </c>
      <c r="F221" s="14">
        <f t="shared" si="60"/>
        <v>6000</v>
      </c>
      <c r="G221" s="14" t="str">
        <f t="shared" si="61"/>
        <v>低级强化石</v>
      </c>
      <c r="H221" s="14">
        <f t="shared" si="62"/>
        <v>20</v>
      </c>
      <c r="I221" s="14" t="str">
        <f t="shared" si="73"/>
        <v>中级强化石</v>
      </c>
      <c r="J221" s="14">
        <f t="shared" si="73"/>
        <v>20</v>
      </c>
      <c r="Y221" s="13">
        <v>186</v>
      </c>
      <c r="Z221" s="13">
        <f t="shared" si="63"/>
        <v>1501013</v>
      </c>
      <c r="AA221" s="14" t="str">
        <f t="shared" si="64"/>
        <v>塞伯罗斯</v>
      </c>
      <c r="AB221" s="13">
        <f t="shared" si="52"/>
        <v>6</v>
      </c>
      <c r="AC221" s="14" t="str">
        <f t="shared" si="65"/>
        <v/>
      </c>
      <c r="AD221" s="14" t="str">
        <f t="shared" si="66"/>
        <v>HPRate</v>
      </c>
      <c r="AE221" s="14">
        <f t="shared" si="67"/>
        <v>0.11</v>
      </c>
      <c r="AF221" s="13" t="s">
        <v>446</v>
      </c>
      <c r="AG221" s="13"/>
      <c r="AH221" s="13" t="s">
        <v>445</v>
      </c>
      <c r="AI221" s="14">
        <f t="shared" si="53"/>
        <v>150</v>
      </c>
      <c r="AJ221" s="14" t="str">
        <f t="shared" si="54"/>
        <v>塞伯罗斯碎片</v>
      </c>
      <c r="AK221" s="13">
        <f t="shared" si="55"/>
        <v>10</v>
      </c>
    </row>
    <row r="222" spans="1:37" ht="16.5" x14ac:dyDescent="0.2">
      <c r="A222" s="13">
        <v>187</v>
      </c>
      <c r="B222" s="13">
        <f t="shared" si="56"/>
        <v>1501019</v>
      </c>
      <c r="C222" s="13">
        <f t="shared" si="57"/>
        <v>7</v>
      </c>
      <c r="D222" s="14">
        <f t="shared" si="58"/>
        <v>0.59</v>
      </c>
      <c r="E222" s="14" t="str">
        <f t="shared" si="59"/>
        <v>金币</v>
      </c>
      <c r="F222" s="14">
        <f t="shared" si="60"/>
        <v>7000</v>
      </c>
      <c r="G222" s="14" t="str">
        <f t="shared" si="61"/>
        <v>中级强化石</v>
      </c>
      <c r="H222" s="14">
        <f t="shared" si="62"/>
        <v>20</v>
      </c>
      <c r="I222" s="14" t="str">
        <f t="shared" si="73"/>
        <v>高级强化石</v>
      </c>
      <c r="J222" s="14">
        <f t="shared" si="73"/>
        <v>10</v>
      </c>
      <c r="Y222" s="13">
        <v>187</v>
      </c>
      <c r="Z222" s="13">
        <f t="shared" si="63"/>
        <v>1501013</v>
      </c>
      <c r="AA222" s="14" t="str">
        <f t="shared" si="64"/>
        <v>塞伯罗斯</v>
      </c>
      <c r="AB222" s="13">
        <f t="shared" si="52"/>
        <v>7</v>
      </c>
      <c r="AC222" s="14" t="str">
        <f t="shared" si="65"/>
        <v/>
      </c>
      <c r="AD222" s="14" t="str">
        <f t="shared" si="66"/>
        <v>CritRate</v>
      </c>
      <c r="AE222" s="14">
        <f t="shared" si="67"/>
        <v>0.21</v>
      </c>
      <c r="AF222" s="13" t="s">
        <v>446</v>
      </c>
      <c r="AG222" s="13"/>
      <c r="AH222" s="13" t="s">
        <v>445</v>
      </c>
      <c r="AI222" s="14">
        <f t="shared" si="53"/>
        <v>200</v>
      </c>
      <c r="AJ222" s="14" t="str">
        <f t="shared" si="54"/>
        <v>塞伯罗斯碎片</v>
      </c>
      <c r="AK222" s="13">
        <f t="shared" si="55"/>
        <v>10</v>
      </c>
    </row>
    <row r="223" spans="1:37" ht="16.5" x14ac:dyDescent="0.2">
      <c r="A223" s="13">
        <v>188</v>
      </c>
      <c r="B223" s="13">
        <f t="shared" si="56"/>
        <v>1501019</v>
      </c>
      <c r="C223" s="13">
        <f t="shared" si="57"/>
        <v>8</v>
      </c>
      <c r="D223" s="14">
        <f t="shared" si="58"/>
        <v>0.72</v>
      </c>
      <c r="E223" s="14" t="str">
        <f t="shared" si="59"/>
        <v>金币</v>
      </c>
      <c r="F223" s="14">
        <f t="shared" si="60"/>
        <v>8000</v>
      </c>
      <c r="G223" s="14" t="str">
        <f t="shared" si="61"/>
        <v>中级强化石</v>
      </c>
      <c r="H223" s="14">
        <f t="shared" si="62"/>
        <v>20</v>
      </c>
      <c r="I223" s="14" t="str">
        <f t="shared" si="73"/>
        <v>高级强化石</v>
      </c>
      <c r="J223" s="14">
        <f t="shared" si="73"/>
        <v>15</v>
      </c>
      <c r="Y223" s="13">
        <v>188</v>
      </c>
      <c r="Z223" s="13">
        <f t="shared" si="63"/>
        <v>1501013</v>
      </c>
      <c r="AA223" s="14" t="str">
        <f t="shared" si="64"/>
        <v>塞伯罗斯</v>
      </c>
      <c r="AB223" s="13">
        <f t="shared" si="52"/>
        <v>8</v>
      </c>
      <c r="AC223" s="14" t="str">
        <f t="shared" si="65"/>
        <v/>
      </c>
      <c r="AD223" s="14" t="str">
        <f t="shared" si="66"/>
        <v>DefRate</v>
      </c>
      <c r="AE223" s="14">
        <f t="shared" si="67"/>
        <v>0.11</v>
      </c>
      <c r="AF223" s="13" t="s">
        <v>446</v>
      </c>
      <c r="AG223" s="13"/>
      <c r="AH223" s="13" t="s">
        <v>445</v>
      </c>
      <c r="AI223" s="14">
        <f t="shared" si="53"/>
        <v>250</v>
      </c>
      <c r="AJ223" s="14" t="str">
        <f t="shared" si="54"/>
        <v>塞伯罗斯碎片</v>
      </c>
      <c r="AK223" s="13">
        <f t="shared" si="55"/>
        <v>20</v>
      </c>
    </row>
    <row r="224" spans="1:37" ht="16.5" x14ac:dyDescent="0.2">
      <c r="A224" s="13">
        <v>189</v>
      </c>
      <c r="B224" s="13">
        <f t="shared" si="56"/>
        <v>1501019</v>
      </c>
      <c r="C224" s="13">
        <f t="shared" si="57"/>
        <v>9</v>
      </c>
      <c r="D224" s="14">
        <f t="shared" si="58"/>
        <v>0.84</v>
      </c>
      <c r="E224" s="14" t="str">
        <f t="shared" si="59"/>
        <v>金币</v>
      </c>
      <c r="F224" s="14">
        <f t="shared" si="60"/>
        <v>9000</v>
      </c>
      <c r="G224" s="14" t="str">
        <f t="shared" si="61"/>
        <v>中级强化石</v>
      </c>
      <c r="H224" s="14">
        <f t="shared" si="62"/>
        <v>20</v>
      </c>
      <c r="I224" s="14" t="str">
        <f t="shared" si="73"/>
        <v>高级强化石</v>
      </c>
      <c r="J224" s="14">
        <f t="shared" si="73"/>
        <v>20</v>
      </c>
      <c r="Y224" s="13">
        <v>189</v>
      </c>
      <c r="Z224" s="13">
        <f t="shared" si="63"/>
        <v>1501013</v>
      </c>
      <c r="AA224" s="14" t="str">
        <f t="shared" si="64"/>
        <v>塞伯罗斯</v>
      </c>
      <c r="AB224" s="13">
        <f t="shared" si="52"/>
        <v>9</v>
      </c>
      <c r="AC224" s="14" t="str">
        <f t="shared" si="65"/>
        <v/>
      </c>
      <c r="AD224" s="14" t="str">
        <f t="shared" si="66"/>
        <v>AtkRate</v>
      </c>
      <c r="AE224" s="14">
        <f t="shared" si="67"/>
        <v>0.11</v>
      </c>
      <c r="AF224" s="13" t="s">
        <v>446</v>
      </c>
      <c r="AG224" s="13"/>
      <c r="AH224" s="13" t="s">
        <v>445</v>
      </c>
      <c r="AI224" s="14">
        <f t="shared" si="53"/>
        <v>300</v>
      </c>
      <c r="AJ224" s="14" t="str">
        <f t="shared" si="54"/>
        <v>塞伯罗斯碎片</v>
      </c>
      <c r="AK224" s="13">
        <f t="shared" si="55"/>
        <v>20</v>
      </c>
    </row>
    <row r="225" spans="1:37" ht="16.5" x14ac:dyDescent="0.2">
      <c r="A225" s="13">
        <v>190</v>
      </c>
      <c r="B225" s="13">
        <f t="shared" si="56"/>
        <v>1501019</v>
      </c>
      <c r="C225" s="13">
        <f t="shared" si="57"/>
        <v>10</v>
      </c>
      <c r="D225" s="14">
        <f t="shared" si="58"/>
        <v>1</v>
      </c>
      <c r="E225" s="14" t="str">
        <f t="shared" si="59"/>
        <v>金币</v>
      </c>
      <c r="F225" s="14">
        <f t="shared" si="60"/>
        <v>10000</v>
      </c>
      <c r="G225" s="14" t="str">
        <f t="shared" si="61"/>
        <v>中级强化石</v>
      </c>
      <c r="H225" s="14">
        <f t="shared" si="62"/>
        <v>20</v>
      </c>
      <c r="I225" s="14" t="str">
        <f t="shared" si="73"/>
        <v>高级强化石</v>
      </c>
      <c r="J225" s="14">
        <f t="shared" si="73"/>
        <v>25</v>
      </c>
      <c r="Y225" s="13">
        <v>190</v>
      </c>
      <c r="Z225" s="13">
        <f t="shared" si="63"/>
        <v>1501013</v>
      </c>
      <c r="AA225" s="14" t="str">
        <f t="shared" si="64"/>
        <v>塞伯罗斯</v>
      </c>
      <c r="AB225" s="13">
        <f t="shared" si="52"/>
        <v>10</v>
      </c>
      <c r="AC225" s="14" t="str">
        <f t="shared" si="65"/>
        <v/>
      </c>
      <c r="AD225" s="14" t="str">
        <f t="shared" si="66"/>
        <v>AtkRate</v>
      </c>
      <c r="AE225" s="14">
        <f t="shared" si="67"/>
        <v>0.14000000000000001</v>
      </c>
      <c r="AF225" s="13" t="s">
        <v>446</v>
      </c>
      <c r="AG225" s="13"/>
      <c r="AH225" s="13" t="s">
        <v>445</v>
      </c>
      <c r="AI225" s="14">
        <f t="shared" si="53"/>
        <v>400</v>
      </c>
      <c r="AJ225" s="14" t="str">
        <f t="shared" si="54"/>
        <v>塞伯罗斯碎片</v>
      </c>
      <c r="AK225" s="13">
        <f t="shared" si="55"/>
        <v>20</v>
      </c>
    </row>
    <row r="226" spans="1:37" ht="16.5" x14ac:dyDescent="0.2">
      <c r="A226" s="13">
        <v>191</v>
      </c>
      <c r="B226" s="13">
        <f t="shared" si="56"/>
        <v>1501020</v>
      </c>
      <c r="C226" s="13">
        <f t="shared" si="57"/>
        <v>1</v>
      </c>
      <c r="D226" s="14">
        <f t="shared" si="58"/>
        <v>0.06</v>
      </c>
      <c r="E226" s="14" t="str">
        <f t="shared" si="59"/>
        <v>金币</v>
      </c>
      <c r="F226" s="14">
        <f t="shared" si="60"/>
        <v>1000</v>
      </c>
      <c r="G226" s="14" t="str">
        <f t="shared" si="61"/>
        <v>低级强化石</v>
      </c>
      <c r="H226" s="14">
        <f t="shared" si="62"/>
        <v>10</v>
      </c>
      <c r="I226" s="14"/>
      <c r="J226" s="14"/>
      <c r="Y226" s="13">
        <v>191</v>
      </c>
      <c r="Z226" s="13">
        <f t="shared" si="63"/>
        <v>1501013</v>
      </c>
      <c r="AA226" s="14" t="str">
        <f t="shared" si="64"/>
        <v>塞伯罗斯</v>
      </c>
      <c r="AB226" s="13">
        <f t="shared" si="52"/>
        <v>11</v>
      </c>
      <c r="AC226" s="14" t="str">
        <f t="shared" si="65"/>
        <v/>
      </c>
      <c r="AD226" s="14" t="str">
        <f t="shared" si="66"/>
        <v>Crit</v>
      </c>
      <c r="AE226" s="14">
        <f t="shared" si="67"/>
        <v>0.14000000000000001</v>
      </c>
      <c r="AF226" s="13" t="s">
        <v>446</v>
      </c>
      <c r="AG226" s="13"/>
      <c r="AH226" s="13" t="s">
        <v>445</v>
      </c>
      <c r="AI226" s="14">
        <f t="shared" si="53"/>
        <v>500</v>
      </c>
      <c r="AJ226" s="14" t="str">
        <f t="shared" si="54"/>
        <v>塞伯罗斯碎片</v>
      </c>
      <c r="AK226" s="13">
        <f t="shared" si="55"/>
        <v>30</v>
      </c>
    </row>
    <row r="227" spans="1:37" ht="16.5" x14ac:dyDescent="0.2">
      <c r="A227" s="13">
        <v>192</v>
      </c>
      <c r="B227" s="13">
        <f t="shared" si="56"/>
        <v>1501020</v>
      </c>
      <c r="C227" s="13">
        <f t="shared" si="57"/>
        <v>2</v>
      </c>
      <c r="D227" s="14">
        <f t="shared" si="58"/>
        <v>0.13</v>
      </c>
      <c r="E227" s="14" t="str">
        <f t="shared" si="59"/>
        <v>金币</v>
      </c>
      <c r="F227" s="14">
        <f t="shared" si="60"/>
        <v>2000</v>
      </c>
      <c r="G227" s="14" t="str">
        <f t="shared" si="61"/>
        <v>低级强化石</v>
      </c>
      <c r="H227" s="14">
        <f t="shared" si="62"/>
        <v>15</v>
      </c>
      <c r="I227" s="14"/>
      <c r="J227" s="14"/>
      <c r="Y227" s="13">
        <v>192</v>
      </c>
      <c r="Z227" s="13">
        <f t="shared" si="63"/>
        <v>1501013</v>
      </c>
      <c r="AA227" s="14" t="str">
        <f t="shared" si="64"/>
        <v>塞伯罗斯</v>
      </c>
      <c r="AB227" s="13">
        <f t="shared" si="52"/>
        <v>12</v>
      </c>
      <c r="AC227" s="14" t="str">
        <f t="shared" si="65"/>
        <v/>
      </c>
      <c r="AD227" s="14" t="str">
        <f t="shared" si="66"/>
        <v>HPRate</v>
      </c>
      <c r="AE227" s="14">
        <f t="shared" si="67"/>
        <v>0.14000000000000001</v>
      </c>
      <c r="AF227" s="13" t="s">
        <v>446</v>
      </c>
      <c r="AG227" s="13"/>
      <c r="AH227" s="13" t="s">
        <v>445</v>
      </c>
      <c r="AI227" s="14">
        <f t="shared" si="53"/>
        <v>600</v>
      </c>
      <c r="AJ227" s="14" t="str">
        <f t="shared" si="54"/>
        <v>塞伯罗斯碎片</v>
      </c>
      <c r="AK227" s="13">
        <f t="shared" si="55"/>
        <v>30</v>
      </c>
    </row>
    <row r="228" spans="1:37" ht="16.5" x14ac:dyDescent="0.2">
      <c r="A228" s="13">
        <v>193</v>
      </c>
      <c r="B228" s="13">
        <f t="shared" si="56"/>
        <v>1501020</v>
      </c>
      <c r="C228" s="13">
        <f t="shared" si="57"/>
        <v>3</v>
      </c>
      <c r="D228" s="14">
        <f t="shared" si="58"/>
        <v>0.19</v>
      </c>
      <c r="E228" s="14" t="str">
        <f t="shared" si="59"/>
        <v>金币</v>
      </c>
      <c r="F228" s="14">
        <f t="shared" si="60"/>
        <v>3000</v>
      </c>
      <c r="G228" s="14" t="str">
        <f t="shared" si="61"/>
        <v>低级强化石</v>
      </c>
      <c r="H228" s="14">
        <f t="shared" si="62"/>
        <v>20</v>
      </c>
      <c r="I228" s="14"/>
      <c r="J228" s="14"/>
      <c r="Y228" s="13">
        <v>193</v>
      </c>
      <c r="Z228" s="13">
        <f t="shared" si="63"/>
        <v>1501013</v>
      </c>
      <c r="AA228" s="14" t="str">
        <f t="shared" si="64"/>
        <v>塞伯罗斯</v>
      </c>
      <c r="AB228" s="13">
        <f t="shared" ref="AB228:AB291" si="74">MOD(Y228-1,15)+1</f>
        <v>13</v>
      </c>
      <c r="AC228" s="14" t="str">
        <f t="shared" si="65"/>
        <v/>
      </c>
      <c r="AD228" s="14" t="str">
        <f t="shared" si="66"/>
        <v>CritRate</v>
      </c>
      <c r="AE228" s="14">
        <f t="shared" si="67"/>
        <v>0.28999999999999998</v>
      </c>
      <c r="AF228" s="13" t="s">
        <v>446</v>
      </c>
      <c r="AG228" s="13"/>
      <c r="AH228" s="13" t="s">
        <v>445</v>
      </c>
      <c r="AI228" s="14">
        <f t="shared" ref="AI228:AI291" si="75">INDEX($AN$9:$AN$23,AB228)</f>
        <v>700</v>
      </c>
      <c r="AJ228" s="14" t="str">
        <f t="shared" ref="AJ228:AJ291" si="76">IF(AB228&gt;2,AA228&amp;"碎片","")</f>
        <v>塞伯罗斯碎片</v>
      </c>
      <c r="AK228" s="13">
        <f t="shared" ref="AK228:AK291" si="77">IF(AB228&gt;2,INDEX($AO$9:$AO$23,AB228),"")</f>
        <v>30</v>
      </c>
    </row>
    <row r="229" spans="1:37" ht="16.5" x14ac:dyDescent="0.2">
      <c r="A229" s="13">
        <v>194</v>
      </c>
      <c r="B229" s="13">
        <f t="shared" ref="B229:B245" si="78">INDEX($C$9:$C$29,INT((A229-1)/10)+1)</f>
        <v>1501020</v>
      </c>
      <c r="C229" s="13">
        <f t="shared" ref="C229:C245" si="79">MOD(A229-1,10)+1</f>
        <v>4</v>
      </c>
      <c r="D229" s="14">
        <f t="shared" ref="D229:D245" si="80">INDEX($O$36:$O$45,C229)</f>
        <v>0.28000000000000003</v>
      </c>
      <c r="E229" s="14" t="str">
        <f t="shared" ref="E229:E245" si="81">INDEX(P$36:P$45,$C229)</f>
        <v>金币</v>
      </c>
      <c r="F229" s="14">
        <f t="shared" ref="F229:F245" si="82">INDEX(Q$36:Q$45,$C229)</f>
        <v>4000</v>
      </c>
      <c r="G229" s="14" t="str">
        <f t="shared" ref="G229:G245" si="83">INDEX(R$36:R$45,$C229)</f>
        <v>低级强化石</v>
      </c>
      <c r="H229" s="14">
        <f t="shared" ref="H229:H245" si="84">INDEX(S$36:S$45,$C229)</f>
        <v>20</v>
      </c>
      <c r="I229" s="14" t="str">
        <f t="shared" ref="I229:J235" si="85">INDEX(T$36:T$45,$C229)</f>
        <v>中级强化石</v>
      </c>
      <c r="J229" s="14">
        <f t="shared" si="85"/>
        <v>10</v>
      </c>
      <c r="Y229" s="13">
        <v>194</v>
      </c>
      <c r="Z229" s="13">
        <f t="shared" ref="Z229:Z292" si="86">INDEX($C$9:$C$29,INT((Y229-1)/15)+1)</f>
        <v>1501013</v>
      </c>
      <c r="AA229" s="14" t="str">
        <f t="shared" ref="AA229:AA292" si="87">INDEX($B$9:$B$29,MATCH(Z229,$C$9:$C$29,0))</f>
        <v>塞伯罗斯</v>
      </c>
      <c r="AB229" s="13">
        <f t="shared" si="74"/>
        <v>14</v>
      </c>
      <c r="AC229" s="14" t="str">
        <f t="shared" ref="AC229:AC292" si="88">IF(MOD(AB229,15)=3,INDEX($AD$9:$AD$29,MATCH(Z229,$C$9:$C$29,0)),"")</f>
        <v/>
      </c>
      <c r="AD229" s="14" t="str">
        <f t="shared" ref="AD229:AD292" si="89">IF(AC229="",INDEX($O$9:$AC$29,MATCH($Z229,$C$9:$C$29,0),AB229),"")</f>
        <v>DefRate</v>
      </c>
      <c r="AE229" s="14">
        <f t="shared" ref="AE229:AE292" si="90">IF(AC229="",ROUND(INDEX($AG$9:$AG$24,MATCH(AD229,$AF$9:$AF$24,0))*INDEX($O$7:$AC$7,AB229),2),"")</f>
        <v>0.14000000000000001</v>
      </c>
      <c r="AF229" s="13" t="s">
        <v>446</v>
      </c>
      <c r="AG229" s="13"/>
      <c r="AH229" s="13" t="s">
        <v>445</v>
      </c>
      <c r="AI229" s="14">
        <f t="shared" si="75"/>
        <v>800</v>
      </c>
      <c r="AJ229" s="14" t="str">
        <f t="shared" si="76"/>
        <v>塞伯罗斯碎片</v>
      </c>
      <c r="AK229" s="13">
        <f t="shared" si="77"/>
        <v>50</v>
      </c>
    </row>
    <row r="230" spans="1:37" ht="16.5" x14ac:dyDescent="0.2">
      <c r="A230" s="13">
        <v>195</v>
      </c>
      <c r="B230" s="13">
        <f t="shared" si="78"/>
        <v>1501020</v>
      </c>
      <c r="C230" s="13">
        <f t="shared" si="79"/>
        <v>5</v>
      </c>
      <c r="D230" s="14">
        <f t="shared" si="80"/>
        <v>0.38</v>
      </c>
      <c r="E230" s="14" t="str">
        <f t="shared" si="81"/>
        <v>金币</v>
      </c>
      <c r="F230" s="14">
        <f t="shared" si="82"/>
        <v>5000</v>
      </c>
      <c r="G230" s="14" t="str">
        <f t="shared" si="83"/>
        <v>低级强化石</v>
      </c>
      <c r="H230" s="14">
        <f t="shared" si="84"/>
        <v>20</v>
      </c>
      <c r="I230" s="14" t="str">
        <f t="shared" si="85"/>
        <v>中级强化石</v>
      </c>
      <c r="J230" s="14">
        <f t="shared" si="85"/>
        <v>15</v>
      </c>
      <c r="Y230" s="13">
        <v>195</v>
      </c>
      <c r="Z230" s="13">
        <f t="shared" si="86"/>
        <v>1501013</v>
      </c>
      <c r="AA230" s="14" t="str">
        <f t="shared" si="87"/>
        <v>塞伯罗斯</v>
      </c>
      <c r="AB230" s="13">
        <f t="shared" si="74"/>
        <v>15</v>
      </c>
      <c r="AC230" s="14" t="str">
        <f t="shared" si="88"/>
        <v/>
      </c>
      <c r="AD230" s="14" t="str">
        <f t="shared" si="89"/>
        <v>AtkRate</v>
      </c>
      <c r="AE230" s="14">
        <f t="shared" si="90"/>
        <v>0.14000000000000001</v>
      </c>
      <c r="AF230" s="13" t="s">
        <v>446</v>
      </c>
      <c r="AG230" s="13"/>
      <c r="AH230" s="13" t="s">
        <v>445</v>
      </c>
      <c r="AI230" s="14">
        <f t="shared" si="75"/>
        <v>1000</v>
      </c>
      <c r="AJ230" s="14" t="str">
        <f t="shared" si="76"/>
        <v>塞伯罗斯碎片</v>
      </c>
      <c r="AK230" s="13">
        <f t="shared" si="77"/>
        <v>60</v>
      </c>
    </row>
    <row r="231" spans="1:37" ht="16.5" x14ac:dyDescent="0.2">
      <c r="A231" s="13">
        <v>196</v>
      </c>
      <c r="B231" s="13">
        <f t="shared" si="78"/>
        <v>1501020</v>
      </c>
      <c r="C231" s="13">
        <f t="shared" si="79"/>
        <v>6</v>
      </c>
      <c r="D231" s="14">
        <f t="shared" si="80"/>
        <v>0.47</v>
      </c>
      <c r="E231" s="14" t="str">
        <f t="shared" si="81"/>
        <v>金币</v>
      </c>
      <c r="F231" s="14">
        <f t="shared" si="82"/>
        <v>6000</v>
      </c>
      <c r="G231" s="14" t="str">
        <f t="shared" si="83"/>
        <v>低级强化石</v>
      </c>
      <c r="H231" s="14">
        <f t="shared" si="84"/>
        <v>20</v>
      </c>
      <c r="I231" s="14" t="str">
        <f t="shared" si="85"/>
        <v>中级强化石</v>
      </c>
      <c r="J231" s="14">
        <f t="shared" si="85"/>
        <v>20</v>
      </c>
      <c r="Y231" s="13">
        <v>196</v>
      </c>
      <c r="Z231" s="13">
        <f t="shared" si="86"/>
        <v>1501014</v>
      </c>
      <c r="AA231" s="14" t="str">
        <f t="shared" si="87"/>
        <v>石灵明</v>
      </c>
      <c r="AB231" s="13">
        <f t="shared" si="74"/>
        <v>1</v>
      </c>
      <c r="AC231" s="14" t="str">
        <f t="shared" si="88"/>
        <v/>
      </c>
      <c r="AD231" s="14" t="str">
        <f t="shared" si="89"/>
        <v>AtkExt</v>
      </c>
      <c r="AE231" s="14">
        <f t="shared" si="90"/>
        <v>250</v>
      </c>
      <c r="AF231" s="13" t="s">
        <v>446</v>
      </c>
      <c r="AG231" s="13"/>
      <c r="AH231" s="13" t="s">
        <v>445</v>
      </c>
      <c r="AI231" s="14">
        <f t="shared" si="75"/>
        <v>10</v>
      </c>
      <c r="AJ231" s="14" t="str">
        <f t="shared" si="76"/>
        <v/>
      </c>
      <c r="AK231" s="13" t="str">
        <f t="shared" si="77"/>
        <v/>
      </c>
    </row>
    <row r="232" spans="1:37" ht="16.5" x14ac:dyDescent="0.2">
      <c r="A232" s="13">
        <v>197</v>
      </c>
      <c r="B232" s="13">
        <f t="shared" si="78"/>
        <v>1501020</v>
      </c>
      <c r="C232" s="13">
        <f t="shared" si="79"/>
        <v>7</v>
      </c>
      <c r="D232" s="14">
        <f t="shared" si="80"/>
        <v>0.59</v>
      </c>
      <c r="E232" s="14" t="str">
        <f t="shared" si="81"/>
        <v>金币</v>
      </c>
      <c r="F232" s="14">
        <f t="shared" si="82"/>
        <v>7000</v>
      </c>
      <c r="G232" s="14" t="str">
        <f t="shared" si="83"/>
        <v>中级强化石</v>
      </c>
      <c r="H232" s="14">
        <f t="shared" si="84"/>
        <v>20</v>
      </c>
      <c r="I232" s="14" t="str">
        <f t="shared" si="85"/>
        <v>高级强化石</v>
      </c>
      <c r="J232" s="14">
        <f t="shared" si="85"/>
        <v>10</v>
      </c>
      <c r="Y232" s="13">
        <v>197</v>
      </c>
      <c r="Z232" s="13">
        <f t="shared" si="86"/>
        <v>1501014</v>
      </c>
      <c r="AA232" s="14" t="str">
        <f t="shared" si="87"/>
        <v>石灵明</v>
      </c>
      <c r="AB232" s="13">
        <f t="shared" si="74"/>
        <v>2</v>
      </c>
      <c r="AC232" s="14" t="str">
        <f t="shared" si="88"/>
        <v/>
      </c>
      <c r="AD232" s="14" t="str">
        <f t="shared" si="89"/>
        <v>HPExt</v>
      </c>
      <c r="AE232" s="14">
        <f t="shared" si="90"/>
        <v>2250</v>
      </c>
      <c r="AF232" s="13" t="s">
        <v>446</v>
      </c>
      <c r="AG232" s="13"/>
      <c r="AH232" s="13" t="s">
        <v>445</v>
      </c>
      <c r="AI232" s="14">
        <f t="shared" si="75"/>
        <v>20</v>
      </c>
      <c r="AJ232" s="14" t="str">
        <f t="shared" si="76"/>
        <v/>
      </c>
      <c r="AK232" s="13" t="str">
        <f t="shared" si="77"/>
        <v/>
      </c>
    </row>
    <row r="233" spans="1:37" ht="16.5" x14ac:dyDescent="0.2">
      <c r="A233" s="13">
        <v>198</v>
      </c>
      <c r="B233" s="13">
        <f t="shared" si="78"/>
        <v>1501020</v>
      </c>
      <c r="C233" s="13">
        <f t="shared" si="79"/>
        <v>8</v>
      </c>
      <c r="D233" s="14">
        <f t="shared" si="80"/>
        <v>0.72</v>
      </c>
      <c r="E233" s="14" t="str">
        <f t="shared" si="81"/>
        <v>金币</v>
      </c>
      <c r="F233" s="14">
        <f t="shared" si="82"/>
        <v>8000</v>
      </c>
      <c r="G233" s="14" t="str">
        <f t="shared" si="83"/>
        <v>中级强化石</v>
      </c>
      <c r="H233" s="14">
        <f t="shared" si="84"/>
        <v>20</v>
      </c>
      <c r="I233" s="14" t="str">
        <f t="shared" si="85"/>
        <v>高级强化石</v>
      </c>
      <c r="J233" s="14">
        <f t="shared" si="85"/>
        <v>15</v>
      </c>
      <c r="Y233" s="13">
        <v>198</v>
      </c>
      <c r="Z233" s="13">
        <f t="shared" si="86"/>
        <v>1501014</v>
      </c>
      <c r="AA233" s="14" t="str">
        <f t="shared" si="87"/>
        <v>石灵明</v>
      </c>
      <c r="AB233" s="13">
        <f t="shared" si="74"/>
        <v>3</v>
      </c>
      <c r="AC233" s="14">
        <f t="shared" si="88"/>
        <v>130301409</v>
      </c>
      <c r="AD233" s="14" t="str">
        <f t="shared" si="89"/>
        <v/>
      </c>
      <c r="AE233" s="14" t="str">
        <f t="shared" si="90"/>
        <v/>
      </c>
      <c r="AF233" s="13" t="s">
        <v>446</v>
      </c>
      <c r="AG233" s="13"/>
      <c r="AH233" s="13" t="s">
        <v>445</v>
      </c>
      <c r="AI233" s="14">
        <f t="shared" si="75"/>
        <v>30</v>
      </c>
      <c r="AJ233" s="14" t="str">
        <f t="shared" si="76"/>
        <v>石灵明碎片</v>
      </c>
      <c r="AK233" s="13">
        <f t="shared" si="77"/>
        <v>5</v>
      </c>
    </row>
    <row r="234" spans="1:37" ht="16.5" x14ac:dyDescent="0.2">
      <c r="A234" s="13">
        <v>199</v>
      </c>
      <c r="B234" s="13">
        <f t="shared" si="78"/>
        <v>1501020</v>
      </c>
      <c r="C234" s="13">
        <f t="shared" si="79"/>
        <v>9</v>
      </c>
      <c r="D234" s="14">
        <f t="shared" si="80"/>
        <v>0.84</v>
      </c>
      <c r="E234" s="14" t="str">
        <f t="shared" si="81"/>
        <v>金币</v>
      </c>
      <c r="F234" s="14">
        <f t="shared" si="82"/>
        <v>9000</v>
      </c>
      <c r="G234" s="14" t="str">
        <f t="shared" si="83"/>
        <v>中级强化石</v>
      </c>
      <c r="H234" s="14">
        <f t="shared" si="84"/>
        <v>20</v>
      </c>
      <c r="I234" s="14" t="str">
        <f t="shared" si="85"/>
        <v>高级强化石</v>
      </c>
      <c r="J234" s="14">
        <f t="shared" si="85"/>
        <v>20</v>
      </c>
      <c r="Y234" s="13">
        <v>199</v>
      </c>
      <c r="Z234" s="13">
        <f t="shared" si="86"/>
        <v>1501014</v>
      </c>
      <c r="AA234" s="14" t="str">
        <f t="shared" si="87"/>
        <v>石灵明</v>
      </c>
      <c r="AB234" s="13">
        <f t="shared" si="74"/>
        <v>4</v>
      </c>
      <c r="AC234" s="14" t="str">
        <f t="shared" si="88"/>
        <v/>
      </c>
      <c r="AD234" s="14" t="str">
        <f t="shared" si="89"/>
        <v>AtkRate</v>
      </c>
      <c r="AE234" s="14">
        <f t="shared" si="90"/>
        <v>0.11</v>
      </c>
      <c r="AF234" s="13" t="s">
        <v>446</v>
      </c>
      <c r="AG234" s="13"/>
      <c r="AH234" s="13" t="s">
        <v>445</v>
      </c>
      <c r="AI234" s="14">
        <f t="shared" si="75"/>
        <v>50</v>
      </c>
      <c r="AJ234" s="14" t="str">
        <f t="shared" si="76"/>
        <v>石灵明碎片</v>
      </c>
      <c r="AK234" s="13">
        <f t="shared" si="77"/>
        <v>5</v>
      </c>
    </row>
    <row r="235" spans="1:37" ht="16.5" x14ac:dyDescent="0.2">
      <c r="A235" s="13">
        <v>200</v>
      </c>
      <c r="B235" s="13">
        <f t="shared" si="78"/>
        <v>1501020</v>
      </c>
      <c r="C235" s="13">
        <f t="shared" si="79"/>
        <v>10</v>
      </c>
      <c r="D235" s="14">
        <f t="shared" si="80"/>
        <v>1</v>
      </c>
      <c r="E235" s="14" t="str">
        <f t="shared" si="81"/>
        <v>金币</v>
      </c>
      <c r="F235" s="14">
        <f t="shared" si="82"/>
        <v>10000</v>
      </c>
      <c r="G235" s="14" t="str">
        <f t="shared" si="83"/>
        <v>中级强化石</v>
      </c>
      <c r="H235" s="14">
        <f t="shared" si="84"/>
        <v>20</v>
      </c>
      <c r="I235" s="14" t="str">
        <f t="shared" si="85"/>
        <v>高级强化石</v>
      </c>
      <c r="J235" s="14">
        <f t="shared" si="85"/>
        <v>25</v>
      </c>
      <c r="Y235" s="13">
        <v>200</v>
      </c>
      <c r="Z235" s="13">
        <f t="shared" si="86"/>
        <v>1501014</v>
      </c>
      <c r="AA235" s="14" t="str">
        <f t="shared" si="87"/>
        <v>石灵明</v>
      </c>
      <c r="AB235" s="13">
        <f t="shared" si="74"/>
        <v>5</v>
      </c>
      <c r="AC235" s="14" t="str">
        <f t="shared" si="88"/>
        <v/>
      </c>
      <c r="AD235" s="14" t="str">
        <f t="shared" si="89"/>
        <v>HPRate</v>
      </c>
      <c r="AE235" s="14">
        <f t="shared" si="90"/>
        <v>0.11</v>
      </c>
      <c r="AF235" s="13" t="s">
        <v>446</v>
      </c>
      <c r="AG235" s="13"/>
      <c r="AH235" s="13" t="s">
        <v>445</v>
      </c>
      <c r="AI235" s="14">
        <f t="shared" si="75"/>
        <v>100</v>
      </c>
      <c r="AJ235" s="14" t="str">
        <f t="shared" si="76"/>
        <v>石灵明碎片</v>
      </c>
      <c r="AK235" s="13">
        <f t="shared" si="77"/>
        <v>10</v>
      </c>
    </row>
    <row r="236" spans="1:37" ht="16.5" x14ac:dyDescent="0.2">
      <c r="A236" s="13">
        <v>201</v>
      </c>
      <c r="B236" s="13">
        <f t="shared" si="78"/>
        <v>1501021</v>
      </c>
      <c r="C236" s="13">
        <f t="shared" si="79"/>
        <v>1</v>
      </c>
      <c r="D236" s="14">
        <f t="shared" si="80"/>
        <v>0.06</v>
      </c>
      <c r="E236" s="14" t="str">
        <f t="shared" si="81"/>
        <v>金币</v>
      </c>
      <c r="F236" s="14">
        <f t="shared" si="82"/>
        <v>1000</v>
      </c>
      <c r="G236" s="14" t="str">
        <f t="shared" si="83"/>
        <v>低级强化石</v>
      </c>
      <c r="H236" s="14">
        <f t="shared" si="84"/>
        <v>10</v>
      </c>
      <c r="I236" s="14"/>
      <c r="J236" s="14"/>
      <c r="Y236" s="13">
        <v>201</v>
      </c>
      <c r="Z236" s="13">
        <f t="shared" si="86"/>
        <v>1501014</v>
      </c>
      <c r="AA236" s="14" t="str">
        <f t="shared" si="87"/>
        <v>石灵明</v>
      </c>
      <c r="AB236" s="13">
        <f t="shared" si="74"/>
        <v>6</v>
      </c>
      <c r="AC236" s="14" t="str">
        <f t="shared" si="88"/>
        <v/>
      </c>
      <c r="AD236" s="14" t="str">
        <f t="shared" si="89"/>
        <v>AtkRate</v>
      </c>
      <c r="AE236" s="14">
        <f t="shared" si="90"/>
        <v>0.11</v>
      </c>
      <c r="AF236" s="13" t="s">
        <v>446</v>
      </c>
      <c r="AG236" s="13"/>
      <c r="AH236" s="13" t="s">
        <v>445</v>
      </c>
      <c r="AI236" s="14">
        <f t="shared" si="75"/>
        <v>150</v>
      </c>
      <c r="AJ236" s="14" t="str">
        <f t="shared" si="76"/>
        <v>石灵明碎片</v>
      </c>
      <c r="AK236" s="13">
        <f t="shared" si="77"/>
        <v>10</v>
      </c>
    </row>
    <row r="237" spans="1:37" ht="16.5" x14ac:dyDescent="0.2">
      <c r="A237" s="13">
        <v>202</v>
      </c>
      <c r="B237" s="13">
        <f t="shared" si="78"/>
        <v>1501021</v>
      </c>
      <c r="C237" s="13">
        <f t="shared" si="79"/>
        <v>2</v>
      </c>
      <c r="D237" s="14">
        <f t="shared" si="80"/>
        <v>0.13</v>
      </c>
      <c r="E237" s="14" t="str">
        <f t="shared" si="81"/>
        <v>金币</v>
      </c>
      <c r="F237" s="14">
        <f t="shared" si="82"/>
        <v>2000</v>
      </c>
      <c r="G237" s="14" t="str">
        <f t="shared" si="83"/>
        <v>低级强化石</v>
      </c>
      <c r="H237" s="14">
        <f t="shared" si="84"/>
        <v>15</v>
      </c>
      <c r="I237" s="14"/>
      <c r="J237" s="14"/>
      <c r="Y237" s="13">
        <v>202</v>
      </c>
      <c r="Z237" s="13">
        <f t="shared" si="86"/>
        <v>1501014</v>
      </c>
      <c r="AA237" s="14" t="str">
        <f t="shared" si="87"/>
        <v>石灵明</v>
      </c>
      <c r="AB237" s="13">
        <f t="shared" si="74"/>
        <v>7</v>
      </c>
      <c r="AC237" s="14" t="str">
        <f t="shared" si="88"/>
        <v/>
      </c>
      <c r="AD237" s="14" t="str">
        <f t="shared" si="89"/>
        <v>CritRate</v>
      </c>
      <c r="AE237" s="14">
        <f t="shared" si="90"/>
        <v>0.21</v>
      </c>
      <c r="AF237" s="13" t="s">
        <v>446</v>
      </c>
      <c r="AG237" s="13"/>
      <c r="AH237" s="13" t="s">
        <v>445</v>
      </c>
      <c r="AI237" s="14">
        <f t="shared" si="75"/>
        <v>200</v>
      </c>
      <c r="AJ237" s="14" t="str">
        <f t="shared" si="76"/>
        <v>石灵明碎片</v>
      </c>
      <c r="AK237" s="13">
        <f t="shared" si="77"/>
        <v>10</v>
      </c>
    </row>
    <row r="238" spans="1:37" ht="16.5" x14ac:dyDescent="0.2">
      <c r="A238" s="13">
        <v>203</v>
      </c>
      <c r="B238" s="13">
        <f t="shared" si="78"/>
        <v>1501021</v>
      </c>
      <c r="C238" s="13">
        <f t="shared" si="79"/>
        <v>3</v>
      </c>
      <c r="D238" s="14">
        <f t="shared" si="80"/>
        <v>0.19</v>
      </c>
      <c r="E238" s="14" t="str">
        <f t="shared" si="81"/>
        <v>金币</v>
      </c>
      <c r="F238" s="14">
        <f t="shared" si="82"/>
        <v>3000</v>
      </c>
      <c r="G238" s="14" t="str">
        <f t="shared" si="83"/>
        <v>低级强化石</v>
      </c>
      <c r="H238" s="14">
        <f t="shared" si="84"/>
        <v>20</v>
      </c>
      <c r="I238" s="14"/>
      <c r="J238" s="14"/>
      <c r="Y238" s="13">
        <v>203</v>
      </c>
      <c r="Z238" s="13">
        <f t="shared" si="86"/>
        <v>1501014</v>
      </c>
      <c r="AA238" s="14" t="str">
        <f t="shared" si="87"/>
        <v>石灵明</v>
      </c>
      <c r="AB238" s="13">
        <f t="shared" si="74"/>
        <v>8</v>
      </c>
      <c r="AC238" s="14" t="str">
        <f t="shared" si="88"/>
        <v/>
      </c>
      <c r="AD238" s="14" t="str">
        <f t="shared" si="89"/>
        <v>AtkRate</v>
      </c>
      <c r="AE238" s="14">
        <f t="shared" si="90"/>
        <v>0.11</v>
      </c>
      <c r="AF238" s="13" t="s">
        <v>446</v>
      </c>
      <c r="AG238" s="13"/>
      <c r="AH238" s="13" t="s">
        <v>445</v>
      </c>
      <c r="AI238" s="14">
        <f t="shared" si="75"/>
        <v>250</v>
      </c>
      <c r="AJ238" s="14" t="str">
        <f t="shared" si="76"/>
        <v>石灵明碎片</v>
      </c>
      <c r="AK238" s="13">
        <f t="shared" si="77"/>
        <v>20</v>
      </c>
    </row>
    <row r="239" spans="1:37" ht="16.5" x14ac:dyDescent="0.2">
      <c r="A239" s="13">
        <v>204</v>
      </c>
      <c r="B239" s="13">
        <f t="shared" si="78"/>
        <v>1501021</v>
      </c>
      <c r="C239" s="13">
        <f t="shared" si="79"/>
        <v>4</v>
      </c>
      <c r="D239" s="14">
        <f t="shared" si="80"/>
        <v>0.28000000000000003</v>
      </c>
      <c r="E239" s="14" t="str">
        <f t="shared" si="81"/>
        <v>金币</v>
      </c>
      <c r="F239" s="14">
        <f t="shared" si="82"/>
        <v>4000</v>
      </c>
      <c r="G239" s="14" t="str">
        <f t="shared" si="83"/>
        <v>低级强化石</v>
      </c>
      <c r="H239" s="14">
        <f t="shared" si="84"/>
        <v>20</v>
      </c>
      <c r="I239" s="14" t="str">
        <f t="shared" ref="I239:J245" si="91">INDEX(T$36:T$45,$C239)</f>
        <v>中级强化石</v>
      </c>
      <c r="J239" s="14">
        <f t="shared" si="91"/>
        <v>10</v>
      </c>
      <c r="Y239" s="13">
        <v>204</v>
      </c>
      <c r="Z239" s="13">
        <f t="shared" si="86"/>
        <v>1501014</v>
      </c>
      <c r="AA239" s="14" t="str">
        <f t="shared" si="87"/>
        <v>石灵明</v>
      </c>
      <c r="AB239" s="13">
        <f t="shared" si="74"/>
        <v>9</v>
      </c>
      <c r="AC239" s="14" t="str">
        <f t="shared" si="88"/>
        <v/>
      </c>
      <c r="AD239" s="14" t="str">
        <f t="shared" si="89"/>
        <v>Crit</v>
      </c>
      <c r="AE239" s="14">
        <f t="shared" si="90"/>
        <v>0.11</v>
      </c>
      <c r="AF239" s="13" t="s">
        <v>446</v>
      </c>
      <c r="AG239" s="13"/>
      <c r="AH239" s="13" t="s">
        <v>445</v>
      </c>
      <c r="AI239" s="14">
        <f t="shared" si="75"/>
        <v>300</v>
      </c>
      <c r="AJ239" s="14" t="str">
        <f t="shared" si="76"/>
        <v>石灵明碎片</v>
      </c>
      <c r="AK239" s="13">
        <f t="shared" si="77"/>
        <v>20</v>
      </c>
    </row>
    <row r="240" spans="1:37" ht="16.5" x14ac:dyDescent="0.2">
      <c r="A240" s="13">
        <v>205</v>
      </c>
      <c r="B240" s="13">
        <f t="shared" si="78"/>
        <v>1501021</v>
      </c>
      <c r="C240" s="13">
        <f t="shared" si="79"/>
        <v>5</v>
      </c>
      <c r="D240" s="14">
        <f t="shared" si="80"/>
        <v>0.38</v>
      </c>
      <c r="E240" s="14" t="str">
        <f t="shared" si="81"/>
        <v>金币</v>
      </c>
      <c r="F240" s="14">
        <f t="shared" si="82"/>
        <v>5000</v>
      </c>
      <c r="G240" s="14" t="str">
        <f t="shared" si="83"/>
        <v>低级强化石</v>
      </c>
      <c r="H240" s="14">
        <f t="shared" si="84"/>
        <v>20</v>
      </c>
      <c r="I240" s="14" t="str">
        <f t="shared" si="91"/>
        <v>中级强化石</v>
      </c>
      <c r="J240" s="14">
        <f t="shared" si="91"/>
        <v>15</v>
      </c>
      <c r="Y240" s="13">
        <v>205</v>
      </c>
      <c r="Z240" s="13">
        <f t="shared" si="86"/>
        <v>1501014</v>
      </c>
      <c r="AA240" s="14" t="str">
        <f t="shared" si="87"/>
        <v>石灵明</v>
      </c>
      <c r="AB240" s="13">
        <f t="shared" si="74"/>
        <v>10</v>
      </c>
      <c r="AC240" s="14" t="str">
        <f t="shared" si="88"/>
        <v/>
      </c>
      <c r="AD240" s="14" t="str">
        <f t="shared" si="89"/>
        <v>AtkRate</v>
      </c>
      <c r="AE240" s="14">
        <f t="shared" si="90"/>
        <v>0.14000000000000001</v>
      </c>
      <c r="AF240" s="13" t="s">
        <v>446</v>
      </c>
      <c r="AG240" s="13"/>
      <c r="AH240" s="13" t="s">
        <v>445</v>
      </c>
      <c r="AI240" s="14">
        <f t="shared" si="75"/>
        <v>400</v>
      </c>
      <c r="AJ240" s="14" t="str">
        <f t="shared" si="76"/>
        <v>石灵明碎片</v>
      </c>
      <c r="AK240" s="13">
        <f t="shared" si="77"/>
        <v>20</v>
      </c>
    </row>
    <row r="241" spans="1:37" ht="16.5" x14ac:dyDescent="0.2">
      <c r="A241" s="13">
        <v>206</v>
      </c>
      <c r="B241" s="13">
        <f t="shared" si="78"/>
        <v>1501021</v>
      </c>
      <c r="C241" s="13">
        <f t="shared" si="79"/>
        <v>6</v>
      </c>
      <c r="D241" s="14">
        <f t="shared" si="80"/>
        <v>0.47</v>
      </c>
      <c r="E241" s="14" t="str">
        <f t="shared" si="81"/>
        <v>金币</v>
      </c>
      <c r="F241" s="14">
        <f t="shared" si="82"/>
        <v>6000</v>
      </c>
      <c r="G241" s="14" t="str">
        <f t="shared" si="83"/>
        <v>低级强化石</v>
      </c>
      <c r="H241" s="14">
        <f t="shared" si="84"/>
        <v>20</v>
      </c>
      <c r="I241" s="14" t="str">
        <f t="shared" si="91"/>
        <v>中级强化石</v>
      </c>
      <c r="J241" s="14">
        <f t="shared" si="91"/>
        <v>20</v>
      </c>
      <c r="Y241" s="13">
        <v>206</v>
      </c>
      <c r="Z241" s="13">
        <f t="shared" si="86"/>
        <v>1501014</v>
      </c>
      <c r="AA241" s="14" t="str">
        <f t="shared" si="87"/>
        <v>石灵明</v>
      </c>
      <c r="AB241" s="13">
        <f t="shared" si="74"/>
        <v>11</v>
      </c>
      <c r="AC241" s="14" t="str">
        <f t="shared" si="88"/>
        <v/>
      </c>
      <c r="AD241" s="14" t="str">
        <f t="shared" si="89"/>
        <v>HPRate</v>
      </c>
      <c r="AE241" s="14">
        <f t="shared" si="90"/>
        <v>0.14000000000000001</v>
      </c>
      <c r="AF241" s="13" t="s">
        <v>446</v>
      </c>
      <c r="AG241" s="13"/>
      <c r="AH241" s="13" t="s">
        <v>445</v>
      </c>
      <c r="AI241" s="14">
        <f t="shared" si="75"/>
        <v>500</v>
      </c>
      <c r="AJ241" s="14" t="str">
        <f t="shared" si="76"/>
        <v>石灵明碎片</v>
      </c>
      <c r="AK241" s="13">
        <f t="shared" si="77"/>
        <v>30</v>
      </c>
    </row>
    <row r="242" spans="1:37" ht="16.5" x14ac:dyDescent="0.2">
      <c r="A242" s="13">
        <v>207</v>
      </c>
      <c r="B242" s="13">
        <f t="shared" si="78"/>
        <v>1501021</v>
      </c>
      <c r="C242" s="13">
        <f t="shared" si="79"/>
        <v>7</v>
      </c>
      <c r="D242" s="14">
        <f t="shared" si="80"/>
        <v>0.59</v>
      </c>
      <c r="E242" s="14" t="str">
        <f t="shared" si="81"/>
        <v>金币</v>
      </c>
      <c r="F242" s="14">
        <f t="shared" si="82"/>
        <v>7000</v>
      </c>
      <c r="G242" s="14" t="str">
        <f t="shared" si="83"/>
        <v>中级强化石</v>
      </c>
      <c r="H242" s="14">
        <f t="shared" si="84"/>
        <v>20</v>
      </c>
      <c r="I242" s="14" t="str">
        <f t="shared" si="91"/>
        <v>高级强化石</v>
      </c>
      <c r="J242" s="14">
        <f t="shared" si="91"/>
        <v>10</v>
      </c>
      <c r="Y242" s="13">
        <v>207</v>
      </c>
      <c r="Z242" s="13">
        <f t="shared" si="86"/>
        <v>1501014</v>
      </c>
      <c r="AA242" s="14" t="str">
        <f t="shared" si="87"/>
        <v>石灵明</v>
      </c>
      <c r="AB242" s="13">
        <f t="shared" si="74"/>
        <v>12</v>
      </c>
      <c r="AC242" s="14" t="str">
        <f t="shared" si="88"/>
        <v/>
      </c>
      <c r="AD242" s="14" t="str">
        <f t="shared" si="89"/>
        <v>AtkRate</v>
      </c>
      <c r="AE242" s="14">
        <f t="shared" si="90"/>
        <v>0.14000000000000001</v>
      </c>
      <c r="AF242" s="13" t="s">
        <v>446</v>
      </c>
      <c r="AG242" s="13"/>
      <c r="AH242" s="13" t="s">
        <v>445</v>
      </c>
      <c r="AI242" s="14">
        <f t="shared" si="75"/>
        <v>600</v>
      </c>
      <c r="AJ242" s="14" t="str">
        <f t="shared" si="76"/>
        <v>石灵明碎片</v>
      </c>
      <c r="AK242" s="13">
        <f t="shared" si="77"/>
        <v>30</v>
      </c>
    </row>
    <row r="243" spans="1:37" ht="16.5" x14ac:dyDescent="0.2">
      <c r="A243" s="13">
        <v>208</v>
      </c>
      <c r="B243" s="13">
        <f t="shared" si="78"/>
        <v>1501021</v>
      </c>
      <c r="C243" s="13">
        <f t="shared" si="79"/>
        <v>8</v>
      </c>
      <c r="D243" s="14">
        <f t="shared" si="80"/>
        <v>0.72</v>
      </c>
      <c r="E243" s="14" t="str">
        <f t="shared" si="81"/>
        <v>金币</v>
      </c>
      <c r="F243" s="14">
        <f t="shared" si="82"/>
        <v>8000</v>
      </c>
      <c r="G243" s="14" t="str">
        <f t="shared" si="83"/>
        <v>中级强化石</v>
      </c>
      <c r="H243" s="14">
        <f t="shared" si="84"/>
        <v>20</v>
      </c>
      <c r="I243" s="14" t="str">
        <f t="shared" si="91"/>
        <v>高级强化石</v>
      </c>
      <c r="J243" s="14">
        <f t="shared" si="91"/>
        <v>15</v>
      </c>
      <c r="Y243" s="13">
        <v>208</v>
      </c>
      <c r="Z243" s="13">
        <f t="shared" si="86"/>
        <v>1501014</v>
      </c>
      <c r="AA243" s="14" t="str">
        <f t="shared" si="87"/>
        <v>石灵明</v>
      </c>
      <c r="AB243" s="13">
        <f t="shared" si="74"/>
        <v>13</v>
      </c>
      <c r="AC243" s="14" t="str">
        <f t="shared" si="88"/>
        <v/>
      </c>
      <c r="AD243" s="14" t="str">
        <f t="shared" si="89"/>
        <v>CritRate</v>
      </c>
      <c r="AE243" s="14">
        <f t="shared" si="90"/>
        <v>0.28999999999999998</v>
      </c>
      <c r="AF243" s="13" t="s">
        <v>446</v>
      </c>
      <c r="AG243" s="13"/>
      <c r="AH243" s="13" t="s">
        <v>445</v>
      </c>
      <c r="AI243" s="14">
        <f t="shared" si="75"/>
        <v>700</v>
      </c>
      <c r="AJ243" s="14" t="str">
        <f t="shared" si="76"/>
        <v>石灵明碎片</v>
      </c>
      <c r="AK243" s="13">
        <f t="shared" si="77"/>
        <v>30</v>
      </c>
    </row>
    <row r="244" spans="1:37" ht="16.5" x14ac:dyDescent="0.2">
      <c r="A244" s="13">
        <v>209</v>
      </c>
      <c r="B244" s="13">
        <f t="shared" si="78"/>
        <v>1501021</v>
      </c>
      <c r="C244" s="13">
        <f t="shared" si="79"/>
        <v>9</v>
      </c>
      <c r="D244" s="14">
        <f t="shared" si="80"/>
        <v>0.84</v>
      </c>
      <c r="E244" s="14" t="str">
        <f t="shared" si="81"/>
        <v>金币</v>
      </c>
      <c r="F244" s="14">
        <f t="shared" si="82"/>
        <v>9000</v>
      </c>
      <c r="G244" s="14" t="str">
        <f t="shared" si="83"/>
        <v>中级强化石</v>
      </c>
      <c r="H244" s="14">
        <f t="shared" si="84"/>
        <v>20</v>
      </c>
      <c r="I244" s="14" t="str">
        <f t="shared" si="91"/>
        <v>高级强化石</v>
      </c>
      <c r="J244" s="14">
        <f t="shared" si="91"/>
        <v>20</v>
      </c>
      <c r="Y244" s="13">
        <v>209</v>
      </c>
      <c r="Z244" s="13">
        <f t="shared" si="86"/>
        <v>1501014</v>
      </c>
      <c r="AA244" s="14" t="str">
        <f t="shared" si="87"/>
        <v>石灵明</v>
      </c>
      <c r="AB244" s="13">
        <f t="shared" si="74"/>
        <v>14</v>
      </c>
      <c r="AC244" s="14" t="str">
        <f t="shared" si="88"/>
        <v/>
      </c>
      <c r="AD244" s="14" t="str">
        <f t="shared" si="89"/>
        <v>AtkRate</v>
      </c>
      <c r="AE244" s="14">
        <f t="shared" si="90"/>
        <v>0.14000000000000001</v>
      </c>
      <c r="AF244" s="13" t="s">
        <v>446</v>
      </c>
      <c r="AG244" s="13"/>
      <c r="AH244" s="13" t="s">
        <v>445</v>
      </c>
      <c r="AI244" s="14">
        <f t="shared" si="75"/>
        <v>800</v>
      </c>
      <c r="AJ244" s="14" t="str">
        <f t="shared" si="76"/>
        <v>石灵明碎片</v>
      </c>
      <c r="AK244" s="13">
        <f t="shared" si="77"/>
        <v>50</v>
      </c>
    </row>
    <row r="245" spans="1:37" ht="16.5" x14ac:dyDescent="0.2">
      <c r="A245" s="13">
        <v>210</v>
      </c>
      <c r="B245" s="13">
        <f t="shared" si="78"/>
        <v>1501021</v>
      </c>
      <c r="C245" s="13">
        <f t="shared" si="79"/>
        <v>10</v>
      </c>
      <c r="D245" s="14">
        <f t="shared" si="80"/>
        <v>1</v>
      </c>
      <c r="E245" s="14" t="str">
        <f t="shared" si="81"/>
        <v>金币</v>
      </c>
      <c r="F245" s="14">
        <f t="shared" si="82"/>
        <v>10000</v>
      </c>
      <c r="G245" s="14" t="str">
        <f t="shared" si="83"/>
        <v>中级强化石</v>
      </c>
      <c r="H245" s="14">
        <f t="shared" si="84"/>
        <v>20</v>
      </c>
      <c r="I245" s="14" t="str">
        <f t="shared" si="91"/>
        <v>高级强化石</v>
      </c>
      <c r="J245" s="14">
        <f t="shared" si="91"/>
        <v>25</v>
      </c>
      <c r="Y245" s="13">
        <v>210</v>
      </c>
      <c r="Z245" s="13">
        <f t="shared" si="86"/>
        <v>1501014</v>
      </c>
      <c r="AA245" s="14" t="str">
        <f t="shared" si="87"/>
        <v>石灵明</v>
      </c>
      <c r="AB245" s="13">
        <f t="shared" si="74"/>
        <v>15</v>
      </c>
      <c r="AC245" s="14" t="str">
        <f t="shared" si="88"/>
        <v/>
      </c>
      <c r="AD245" s="14" t="str">
        <f t="shared" si="89"/>
        <v>Crit</v>
      </c>
      <c r="AE245" s="14">
        <f t="shared" si="90"/>
        <v>0.14000000000000001</v>
      </c>
      <c r="AF245" s="13" t="s">
        <v>446</v>
      </c>
      <c r="AG245" s="13"/>
      <c r="AH245" s="13" t="s">
        <v>445</v>
      </c>
      <c r="AI245" s="14">
        <f t="shared" si="75"/>
        <v>1000</v>
      </c>
      <c r="AJ245" s="14" t="str">
        <f t="shared" si="76"/>
        <v>石灵明碎片</v>
      </c>
      <c r="AK245" s="13">
        <f t="shared" si="77"/>
        <v>60</v>
      </c>
    </row>
    <row r="246" spans="1:37" ht="16.5" x14ac:dyDescent="0.2">
      <c r="Y246" s="13">
        <v>211</v>
      </c>
      <c r="Z246" s="13">
        <f t="shared" si="86"/>
        <v>1501015</v>
      </c>
      <c r="AA246" s="14" t="str">
        <f t="shared" si="87"/>
        <v>于禁</v>
      </c>
      <c r="AB246" s="13">
        <f t="shared" si="74"/>
        <v>1</v>
      </c>
      <c r="AC246" s="14" t="str">
        <f t="shared" si="88"/>
        <v/>
      </c>
      <c r="AD246" s="14" t="str">
        <f t="shared" si="89"/>
        <v>AtkExt</v>
      </c>
      <c r="AE246" s="14">
        <f t="shared" si="90"/>
        <v>250</v>
      </c>
      <c r="AF246" s="13" t="s">
        <v>446</v>
      </c>
      <c r="AG246" s="13"/>
      <c r="AH246" s="13" t="s">
        <v>445</v>
      </c>
      <c r="AI246" s="14">
        <f t="shared" si="75"/>
        <v>10</v>
      </c>
      <c r="AJ246" s="14" t="str">
        <f t="shared" si="76"/>
        <v/>
      </c>
      <c r="AK246" s="13" t="str">
        <f t="shared" si="77"/>
        <v/>
      </c>
    </row>
    <row r="247" spans="1:37" ht="16.5" x14ac:dyDescent="0.2">
      <c r="Y247" s="13">
        <v>212</v>
      </c>
      <c r="Z247" s="13">
        <f t="shared" si="86"/>
        <v>1501015</v>
      </c>
      <c r="AA247" s="14" t="str">
        <f t="shared" si="87"/>
        <v>于禁</v>
      </c>
      <c r="AB247" s="13">
        <f t="shared" si="74"/>
        <v>2</v>
      </c>
      <c r="AC247" s="14" t="str">
        <f t="shared" si="88"/>
        <v/>
      </c>
      <c r="AD247" s="14" t="str">
        <f t="shared" si="89"/>
        <v>HPExt</v>
      </c>
      <c r="AE247" s="14">
        <f t="shared" si="90"/>
        <v>2250</v>
      </c>
      <c r="AF247" s="13" t="s">
        <v>446</v>
      </c>
      <c r="AG247" s="13"/>
      <c r="AH247" s="13" t="s">
        <v>445</v>
      </c>
      <c r="AI247" s="14">
        <f t="shared" si="75"/>
        <v>20</v>
      </c>
      <c r="AJ247" s="14" t="str">
        <f t="shared" si="76"/>
        <v/>
      </c>
      <c r="AK247" s="13" t="str">
        <f t="shared" si="77"/>
        <v/>
      </c>
    </row>
    <row r="248" spans="1:37" ht="16.5" x14ac:dyDescent="0.2">
      <c r="Y248" s="13">
        <v>213</v>
      </c>
      <c r="Z248" s="13">
        <f t="shared" si="86"/>
        <v>1501015</v>
      </c>
      <c r="AA248" s="14" t="str">
        <f t="shared" si="87"/>
        <v>于禁</v>
      </c>
      <c r="AB248" s="13">
        <f t="shared" si="74"/>
        <v>3</v>
      </c>
      <c r="AC248" s="14">
        <f t="shared" si="88"/>
        <v>130301509</v>
      </c>
      <c r="AD248" s="14" t="str">
        <f t="shared" si="89"/>
        <v/>
      </c>
      <c r="AE248" s="14" t="str">
        <f t="shared" si="90"/>
        <v/>
      </c>
      <c r="AF248" s="13" t="s">
        <v>446</v>
      </c>
      <c r="AG248" s="13"/>
      <c r="AH248" s="13" t="s">
        <v>445</v>
      </c>
      <c r="AI248" s="14">
        <f t="shared" si="75"/>
        <v>30</v>
      </c>
      <c r="AJ248" s="14" t="str">
        <f t="shared" si="76"/>
        <v>于禁碎片</v>
      </c>
      <c r="AK248" s="13">
        <f t="shared" si="77"/>
        <v>5</v>
      </c>
    </row>
    <row r="249" spans="1:37" ht="16.5" x14ac:dyDescent="0.2">
      <c r="Y249" s="13">
        <v>214</v>
      </c>
      <c r="Z249" s="13">
        <f t="shared" si="86"/>
        <v>1501015</v>
      </c>
      <c r="AA249" s="14" t="str">
        <f t="shared" si="87"/>
        <v>于禁</v>
      </c>
      <c r="AB249" s="13">
        <f t="shared" si="74"/>
        <v>4</v>
      </c>
      <c r="AC249" s="14" t="str">
        <f t="shared" si="88"/>
        <v/>
      </c>
      <c r="AD249" s="14" t="str">
        <f t="shared" si="89"/>
        <v>AtkRate</v>
      </c>
      <c r="AE249" s="14">
        <f t="shared" si="90"/>
        <v>0.11</v>
      </c>
      <c r="AF249" s="13" t="s">
        <v>446</v>
      </c>
      <c r="AG249" s="13"/>
      <c r="AH249" s="13" t="s">
        <v>445</v>
      </c>
      <c r="AI249" s="14">
        <f t="shared" si="75"/>
        <v>50</v>
      </c>
      <c r="AJ249" s="14" t="str">
        <f t="shared" si="76"/>
        <v>于禁碎片</v>
      </c>
      <c r="AK249" s="13">
        <f t="shared" si="77"/>
        <v>5</v>
      </c>
    </row>
    <row r="250" spans="1:37" ht="16.5" x14ac:dyDescent="0.2">
      <c r="Y250" s="13">
        <v>215</v>
      </c>
      <c r="Z250" s="13">
        <f t="shared" si="86"/>
        <v>1501015</v>
      </c>
      <c r="AA250" s="14" t="str">
        <f t="shared" si="87"/>
        <v>于禁</v>
      </c>
      <c r="AB250" s="13">
        <f t="shared" si="74"/>
        <v>5</v>
      </c>
      <c r="AC250" s="14" t="str">
        <f t="shared" si="88"/>
        <v/>
      </c>
      <c r="AD250" s="14" t="str">
        <f t="shared" si="89"/>
        <v>HPRate</v>
      </c>
      <c r="AE250" s="14">
        <f t="shared" si="90"/>
        <v>0.11</v>
      </c>
      <c r="AF250" s="13" t="s">
        <v>446</v>
      </c>
      <c r="AG250" s="13"/>
      <c r="AH250" s="13" t="s">
        <v>445</v>
      </c>
      <c r="AI250" s="14">
        <f t="shared" si="75"/>
        <v>100</v>
      </c>
      <c r="AJ250" s="14" t="str">
        <f t="shared" si="76"/>
        <v>于禁碎片</v>
      </c>
      <c r="AK250" s="13">
        <f t="shared" si="77"/>
        <v>10</v>
      </c>
    </row>
    <row r="251" spans="1:37" ht="16.5" x14ac:dyDescent="0.2">
      <c r="Y251" s="13">
        <v>216</v>
      </c>
      <c r="Z251" s="13">
        <f t="shared" si="86"/>
        <v>1501015</v>
      </c>
      <c r="AA251" s="14" t="str">
        <f t="shared" si="87"/>
        <v>于禁</v>
      </c>
      <c r="AB251" s="13">
        <f t="shared" si="74"/>
        <v>6</v>
      </c>
      <c r="AC251" s="14" t="str">
        <f t="shared" si="88"/>
        <v/>
      </c>
      <c r="AD251" s="14" t="str">
        <f t="shared" si="89"/>
        <v>AtkRate</v>
      </c>
      <c r="AE251" s="14">
        <f t="shared" si="90"/>
        <v>0.11</v>
      </c>
      <c r="AF251" s="13" t="s">
        <v>446</v>
      </c>
      <c r="AG251" s="13"/>
      <c r="AH251" s="13" t="s">
        <v>445</v>
      </c>
      <c r="AI251" s="14">
        <f t="shared" si="75"/>
        <v>150</v>
      </c>
      <c r="AJ251" s="14" t="str">
        <f t="shared" si="76"/>
        <v>于禁碎片</v>
      </c>
      <c r="AK251" s="13">
        <f t="shared" si="77"/>
        <v>10</v>
      </c>
    </row>
    <row r="252" spans="1:37" ht="16.5" x14ac:dyDescent="0.2">
      <c r="Y252" s="13">
        <v>217</v>
      </c>
      <c r="Z252" s="13">
        <f t="shared" si="86"/>
        <v>1501015</v>
      </c>
      <c r="AA252" s="14" t="str">
        <f t="shared" si="87"/>
        <v>于禁</v>
      </c>
      <c r="AB252" s="13">
        <f t="shared" si="74"/>
        <v>7</v>
      </c>
      <c r="AC252" s="14" t="str">
        <f t="shared" si="88"/>
        <v/>
      </c>
      <c r="AD252" s="14" t="str">
        <f t="shared" si="89"/>
        <v>Block</v>
      </c>
      <c r="AE252" s="14">
        <f t="shared" si="90"/>
        <v>0.11</v>
      </c>
      <c r="AF252" s="13" t="s">
        <v>446</v>
      </c>
      <c r="AG252" s="13"/>
      <c r="AH252" s="13" t="s">
        <v>445</v>
      </c>
      <c r="AI252" s="14">
        <f t="shared" si="75"/>
        <v>200</v>
      </c>
      <c r="AJ252" s="14" t="str">
        <f t="shared" si="76"/>
        <v>于禁碎片</v>
      </c>
      <c r="AK252" s="13">
        <f t="shared" si="77"/>
        <v>10</v>
      </c>
    </row>
    <row r="253" spans="1:37" ht="16.5" x14ac:dyDescent="0.2">
      <c r="Y253" s="13">
        <v>218</v>
      </c>
      <c r="Z253" s="13">
        <f t="shared" si="86"/>
        <v>1501015</v>
      </c>
      <c r="AA253" s="14" t="str">
        <f t="shared" si="87"/>
        <v>于禁</v>
      </c>
      <c r="AB253" s="13">
        <f t="shared" si="74"/>
        <v>8</v>
      </c>
      <c r="AC253" s="14" t="str">
        <f t="shared" si="88"/>
        <v/>
      </c>
      <c r="AD253" s="14" t="str">
        <f t="shared" si="89"/>
        <v>AtkRate</v>
      </c>
      <c r="AE253" s="14">
        <f t="shared" si="90"/>
        <v>0.11</v>
      </c>
      <c r="AF253" s="13" t="s">
        <v>446</v>
      </c>
      <c r="AG253" s="13"/>
      <c r="AH253" s="13" t="s">
        <v>445</v>
      </c>
      <c r="AI253" s="14">
        <f t="shared" si="75"/>
        <v>250</v>
      </c>
      <c r="AJ253" s="14" t="str">
        <f t="shared" si="76"/>
        <v>于禁碎片</v>
      </c>
      <c r="AK253" s="13">
        <f t="shared" si="77"/>
        <v>20</v>
      </c>
    </row>
    <row r="254" spans="1:37" ht="16.5" x14ac:dyDescent="0.2">
      <c r="Y254" s="13">
        <v>219</v>
      </c>
      <c r="Z254" s="13">
        <f t="shared" si="86"/>
        <v>1501015</v>
      </c>
      <c r="AA254" s="14" t="str">
        <f t="shared" si="87"/>
        <v>于禁</v>
      </c>
      <c r="AB254" s="13">
        <f t="shared" si="74"/>
        <v>9</v>
      </c>
      <c r="AC254" s="14" t="str">
        <f t="shared" si="88"/>
        <v/>
      </c>
      <c r="AD254" s="14" t="str">
        <f t="shared" si="89"/>
        <v>DefRate</v>
      </c>
      <c r="AE254" s="14">
        <f t="shared" si="90"/>
        <v>0.11</v>
      </c>
      <c r="AF254" s="13" t="s">
        <v>446</v>
      </c>
      <c r="AG254" s="13"/>
      <c r="AH254" s="13" t="s">
        <v>445</v>
      </c>
      <c r="AI254" s="14">
        <f t="shared" si="75"/>
        <v>300</v>
      </c>
      <c r="AJ254" s="14" t="str">
        <f t="shared" si="76"/>
        <v>于禁碎片</v>
      </c>
      <c r="AK254" s="13">
        <f t="shared" si="77"/>
        <v>20</v>
      </c>
    </row>
    <row r="255" spans="1:37" ht="16.5" x14ac:dyDescent="0.2">
      <c r="Y255" s="13">
        <v>220</v>
      </c>
      <c r="Z255" s="13">
        <f t="shared" si="86"/>
        <v>1501015</v>
      </c>
      <c r="AA255" s="14" t="str">
        <f t="shared" si="87"/>
        <v>于禁</v>
      </c>
      <c r="AB255" s="13">
        <f t="shared" si="74"/>
        <v>10</v>
      </c>
      <c r="AC255" s="14" t="str">
        <f t="shared" si="88"/>
        <v/>
      </c>
      <c r="AD255" s="14" t="str">
        <f t="shared" si="89"/>
        <v>AtkRate</v>
      </c>
      <c r="AE255" s="14">
        <f t="shared" si="90"/>
        <v>0.14000000000000001</v>
      </c>
      <c r="AF255" s="13" t="s">
        <v>446</v>
      </c>
      <c r="AG255" s="13"/>
      <c r="AH255" s="13" t="s">
        <v>445</v>
      </c>
      <c r="AI255" s="14">
        <f t="shared" si="75"/>
        <v>400</v>
      </c>
      <c r="AJ255" s="14" t="str">
        <f t="shared" si="76"/>
        <v>于禁碎片</v>
      </c>
      <c r="AK255" s="13">
        <f t="shared" si="77"/>
        <v>20</v>
      </c>
    </row>
    <row r="256" spans="1:37" ht="16.5" x14ac:dyDescent="0.2">
      <c r="Y256" s="13">
        <v>221</v>
      </c>
      <c r="Z256" s="13">
        <f t="shared" si="86"/>
        <v>1501015</v>
      </c>
      <c r="AA256" s="14" t="str">
        <f t="shared" si="87"/>
        <v>于禁</v>
      </c>
      <c r="AB256" s="13">
        <f t="shared" si="74"/>
        <v>11</v>
      </c>
      <c r="AC256" s="14" t="str">
        <f t="shared" si="88"/>
        <v/>
      </c>
      <c r="AD256" s="14" t="str">
        <f t="shared" si="89"/>
        <v>HPRate</v>
      </c>
      <c r="AE256" s="14">
        <f t="shared" si="90"/>
        <v>0.14000000000000001</v>
      </c>
      <c r="AF256" s="13" t="s">
        <v>446</v>
      </c>
      <c r="AG256" s="13"/>
      <c r="AH256" s="13" t="s">
        <v>445</v>
      </c>
      <c r="AI256" s="14">
        <f t="shared" si="75"/>
        <v>500</v>
      </c>
      <c r="AJ256" s="14" t="str">
        <f t="shared" si="76"/>
        <v>于禁碎片</v>
      </c>
      <c r="AK256" s="13">
        <f t="shared" si="77"/>
        <v>30</v>
      </c>
    </row>
    <row r="257" spans="25:37" ht="16.5" x14ac:dyDescent="0.2">
      <c r="Y257" s="13">
        <v>222</v>
      </c>
      <c r="Z257" s="13">
        <f t="shared" si="86"/>
        <v>1501015</v>
      </c>
      <c r="AA257" s="14" t="str">
        <f t="shared" si="87"/>
        <v>于禁</v>
      </c>
      <c r="AB257" s="13">
        <f t="shared" si="74"/>
        <v>12</v>
      </c>
      <c r="AC257" s="14" t="str">
        <f t="shared" si="88"/>
        <v/>
      </c>
      <c r="AD257" s="14" t="str">
        <f t="shared" si="89"/>
        <v>AtkRate</v>
      </c>
      <c r="AE257" s="14">
        <f t="shared" si="90"/>
        <v>0.14000000000000001</v>
      </c>
      <c r="AF257" s="13" t="s">
        <v>446</v>
      </c>
      <c r="AG257" s="13"/>
      <c r="AH257" s="13" t="s">
        <v>445</v>
      </c>
      <c r="AI257" s="14">
        <f t="shared" si="75"/>
        <v>600</v>
      </c>
      <c r="AJ257" s="14" t="str">
        <f t="shared" si="76"/>
        <v>于禁碎片</v>
      </c>
      <c r="AK257" s="13">
        <f t="shared" si="77"/>
        <v>30</v>
      </c>
    </row>
    <row r="258" spans="25:37" ht="16.5" x14ac:dyDescent="0.2">
      <c r="Y258" s="13">
        <v>223</v>
      </c>
      <c r="Z258" s="13">
        <f t="shared" si="86"/>
        <v>1501015</v>
      </c>
      <c r="AA258" s="14" t="str">
        <f t="shared" si="87"/>
        <v>于禁</v>
      </c>
      <c r="AB258" s="13">
        <f t="shared" si="74"/>
        <v>13</v>
      </c>
      <c r="AC258" s="14" t="str">
        <f t="shared" si="88"/>
        <v/>
      </c>
      <c r="AD258" s="14" t="str">
        <f t="shared" si="89"/>
        <v>Block</v>
      </c>
      <c r="AE258" s="14">
        <f t="shared" si="90"/>
        <v>0.14000000000000001</v>
      </c>
      <c r="AF258" s="13" t="s">
        <v>446</v>
      </c>
      <c r="AG258" s="13"/>
      <c r="AH258" s="13" t="s">
        <v>445</v>
      </c>
      <c r="AI258" s="14">
        <f t="shared" si="75"/>
        <v>700</v>
      </c>
      <c r="AJ258" s="14" t="str">
        <f t="shared" si="76"/>
        <v>于禁碎片</v>
      </c>
      <c r="AK258" s="13">
        <f t="shared" si="77"/>
        <v>30</v>
      </c>
    </row>
    <row r="259" spans="25:37" ht="16.5" x14ac:dyDescent="0.2">
      <c r="Y259" s="13">
        <v>224</v>
      </c>
      <c r="Z259" s="13">
        <f t="shared" si="86"/>
        <v>1501015</v>
      </c>
      <c r="AA259" s="14" t="str">
        <f t="shared" si="87"/>
        <v>于禁</v>
      </c>
      <c r="AB259" s="13">
        <f t="shared" si="74"/>
        <v>14</v>
      </c>
      <c r="AC259" s="14" t="str">
        <f t="shared" si="88"/>
        <v/>
      </c>
      <c r="AD259" s="14" t="str">
        <f t="shared" si="89"/>
        <v>AtkRate</v>
      </c>
      <c r="AE259" s="14">
        <f t="shared" si="90"/>
        <v>0.14000000000000001</v>
      </c>
      <c r="AF259" s="13" t="s">
        <v>446</v>
      </c>
      <c r="AG259" s="13"/>
      <c r="AH259" s="13" t="s">
        <v>445</v>
      </c>
      <c r="AI259" s="14">
        <f t="shared" si="75"/>
        <v>800</v>
      </c>
      <c r="AJ259" s="14" t="str">
        <f t="shared" si="76"/>
        <v>于禁碎片</v>
      </c>
      <c r="AK259" s="13">
        <f t="shared" si="77"/>
        <v>50</v>
      </c>
    </row>
    <row r="260" spans="25:37" ht="16.5" x14ac:dyDescent="0.2">
      <c r="Y260" s="13">
        <v>225</v>
      </c>
      <c r="Z260" s="13">
        <f t="shared" si="86"/>
        <v>1501015</v>
      </c>
      <c r="AA260" s="14" t="str">
        <f t="shared" si="87"/>
        <v>于禁</v>
      </c>
      <c r="AB260" s="13">
        <f t="shared" si="74"/>
        <v>15</v>
      </c>
      <c r="AC260" s="14" t="str">
        <f t="shared" si="88"/>
        <v/>
      </c>
      <c r="AD260" s="14" t="str">
        <f t="shared" si="89"/>
        <v>DefRate</v>
      </c>
      <c r="AE260" s="14">
        <f t="shared" si="90"/>
        <v>0.14000000000000001</v>
      </c>
      <c r="AF260" s="13" t="s">
        <v>446</v>
      </c>
      <c r="AG260" s="13"/>
      <c r="AH260" s="13" t="s">
        <v>445</v>
      </c>
      <c r="AI260" s="14">
        <f t="shared" si="75"/>
        <v>1000</v>
      </c>
      <c r="AJ260" s="14" t="str">
        <f t="shared" si="76"/>
        <v>于禁碎片</v>
      </c>
      <c r="AK260" s="13">
        <f t="shared" si="77"/>
        <v>60</v>
      </c>
    </row>
    <row r="261" spans="25:37" ht="16.5" x14ac:dyDescent="0.2">
      <c r="Y261" s="13">
        <v>226</v>
      </c>
      <c r="Z261" s="13">
        <f t="shared" si="86"/>
        <v>1501016</v>
      </c>
      <c r="AA261" s="14" t="str">
        <f t="shared" si="87"/>
        <v>西方龙</v>
      </c>
      <c r="AB261" s="13">
        <f t="shared" si="74"/>
        <v>1</v>
      </c>
      <c r="AC261" s="14" t="str">
        <f t="shared" si="88"/>
        <v/>
      </c>
      <c r="AD261" s="14" t="str">
        <f t="shared" si="89"/>
        <v>AtkExt</v>
      </c>
      <c r="AE261" s="14">
        <f t="shared" si="90"/>
        <v>250</v>
      </c>
      <c r="AF261" s="13" t="s">
        <v>446</v>
      </c>
      <c r="AG261" s="13"/>
      <c r="AH261" s="13" t="s">
        <v>445</v>
      </c>
      <c r="AI261" s="14">
        <f t="shared" si="75"/>
        <v>10</v>
      </c>
      <c r="AJ261" s="14" t="str">
        <f t="shared" si="76"/>
        <v/>
      </c>
      <c r="AK261" s="13" t="str">
        <f t="shared" si="77"/>
        <v/>
      </c>
    </row>
    <row r="262" spans="25:37" ht="16.5" x14ac:dyDescent="0.2">
      <c r="Y262" s="13">
        <v>227</v>
      </c>
      <c r="Z262" s="13">
        <f t="shared" si="86"/>
        <v>1501016</v>
      </c>
      <c r="AA262" s="14" t="str">
        <f t="shared" si="87"/>
        <v>西方龙</v>
      </c>
      <c r="AB262" s="13">
        <f t="shared" si="74"/>
        <v>2</v>
      </c>
      <c r="AC262" s="14" t="str">
        <f t="shared" si="88"/>
        <v/>
      </c>
      <c r="AD262" s="14" t="str">
        <f t="shared" si="89"/>
        <v>HPExt</v>
      </c>
      <c r="AE262" s="14">
        <f t="shared" si="90"/>
        <v>2250</v>
      </c>
      <c r="AF262" s="13" t="s">
        <v>446</v>
      </c>
      <c r="AG262" s="13"/>
      <c r="AH262" s="13" t="s">
        <v>445</v>
      </c>
      <c r="AI262" s="14">
        <f t="shared" si="75"/>
        <v>20</v>
      </c>
      <c r="AJ262" s="14" t="str">
        <f t="shared" si="76"/>
        <v/>
      </c>
      <c r="AK262" s="13" t="str">
        <f t="shared" si="77"/>
        <v/>
      </c>
    </row>
    <row r="263" spans="25:37" ht="16.5" x14ac:dyDescent="0.2">
      <c r="Y263" s="13">
        <v>228</v>
      </c>
      <c r="Z263" s="13">
        <f t="shared" si="86"/>
        <v>1501016</v>
      </c>
      <c r="AA263" s="14" t="str">
        <f t="shared" si="87"/>
        <v>西方龙</v>
      </c>
      <c r="AB263" s="13">
        <f t="shared" si="74"/>
        <v>3</v>
      </c>
      <c r="AC263" s="14">
        <f t="shared" si="88"/>
        <v>130301609</v>
      </c>
      <c r="AD263" s="14" t="str">
        <f t="shared" si="89"/>
        <v/>
      </c>
      <c r="AE263" s="14" t="str">
        <f t="shared" si="90"/>
        <v/>
      </c>
      <c r="AF263" s="13" t="s">
        <v>446</v>
      </c>
      <c r="AG263" s="13"/>
      <c r="AH263" s="13" t="s">
        <v>445</v>
      </c>
      <c r="AI263" s="14">
        <f t="shared" si="75"/>
        <v>30</v>
      </c>
      <c r="AJ263" s="14" t="str">
        <f t="shared" si="76"/>
        <v>西方龙碎片</v>
      </c>
      <c r="AK263" s="13">
        <f t="shared" si="77"/>
        <v>5</v>
      </c>
    </row>
    <row r="264" spans="25:37" ht="16.5" x14ac:dyDescent="0.2">
      <c r="Y264" s="13">
        <v>229</v>
      </c>
      <c r="Z264" s="13">
        <f t="shared" si="86"/>
        <v>1501016</v>
      </c>
      <c r="AA264" s="14" t="str">
        <f t="shared" si="87"/>
        <v>西方龙</v>
      </c>
      <c r="AB264" s="13">
        <f t="shared" si="74"/>
        <v>4</v>
      </c>
      <c r="AC264" s="14" t="str">
        <f t="shared" si="88"/>
        <v/>
      </c>
      <c r="AD264" s="14" t="str">
        <f t="shared" si="89"/>
        <v>DefRate</v>
      </c>
      <c r="AE264" s="14">
        <f t="shared" si="90"/>
        <v>0.11</v>
      </c>
      <c r="AF264" s="13" t="s">
        <v>446</v>
      </c>
      <c r="AG264" s="13"/>
      <c r="AH264" s="13" t="s">
        <v>445</v>
      </c>
      <c r="AI264" s="14">
        <f t="shared" si="75"/>
        <v>50</v>
      </c>
      <c r="AJ264" s="14" t="str">
        <f t="shared" si="76"/>
        <v>西方龙碎片</v>
      </c>
      <c r="AK264" s="13">
        <f t="shared" si="77"/>
        <v>5</v>
      </c>
    </row>
    <row r="265" spans="25:37" ht="16.5" x14ac:dyDescent="0.2">
      <c r="Y265" s="13">
        <v>230</v>
      </c>
      <c r="Z265" s="13">
        <f t="shared" si="86"/>
        <v>1501016</v>
      </c>
      <c r="AA265" s="14" t="str">
        <f t="shared" si="87"/>
        <v>西方龙</v>
      </c>
      <c r="AB265" s="13">
        <f t="shared" si="74"/>
        <v>5</v>
      </c>
      <c r="AC265" s="14" t="str">
        <f t="shared" si="88"/>
        <v/>
      </c>
      <c r="AD265" s="14" t="str">
        <f t="shared" si="89"/>
        <v>AtkRate</v>
      </c>
      <c r="AE265" s="14">
        <f t="shared" si="90"/>
        <v>0.11</v>
      </c>
      <c r="AF265" s="13" t="s">
        <v>446</v>
      </c>
      <c r="AG265" s="13"/>
      <c r="AH265" s="13" t="s">
        <v>445</v>
      </c>
      <c r="AI265" s="14">
        <f t="shared" si="75"/>
        <v>100</v>
      </c>
      <c r="AJ265" s="14" t="str">
        <f t="shared" si="76"/>
        <v>西方龙碎片</v>
      </c>
      <c r="AK265" s="13">
        <f t="shared" si="77"/>
        <v>10</v>
      </c>
    </row>
    <row r="266" spans="25:37" ht="16.5" x14ac:dyDescent="0.2">
      <c r="Y266" s="13">
        <v>231</v>
      </c>
      <c r="Z266" s="13">
        <f t="shared" si="86"/>
        <v>1501016</v>
      </c>
      <c r="AA266" s="14" t="str">
        <f t="shared" si="87"/>
        <v>西方龙</v>
      </c>
      <c r="AB266" s="13">
        <f t="shared" si="74"/>
        <v>6</v>
      </c>
      <c r="AC266" s="14" t="str">
        <f t="shared" si="88"/>
        <v/>
      </c>
      <c r="AD266" s="14" t="str">
        <f t="shared" si="89"/>
        <v>DefRate</v>
      </c>
      <c r="AE266" s="14">
        <f t="shared" si="90"/>
        <v>0.11</v>
      </c>
      <c r="AF266" s="13" t="s">
        <v>446</v>
      </c>
      <c r="AG266" s="13"/>
      <c r="AH266" s="13" t="s">
        <v>445</v>
      </c>
      <c r="AI266" s="14">
        <f t="shared" si="75"/>
        <v>150</v>
      </c>
      <c r="AJ266" s="14" t="str">
        <f t="shared" si="76"/>
        <v>西方龙碎片</v>
      </c>
      <c r="AK266" s="13">
        <f t="shared" si="77"/>
        <v>10</v>
      </c>
    </row>
    <row r="267" spans="25:37" ht="16.5" x14ac:dyDescent="0.2">
      <c r="Y267" s="13">
        <v>232</v>
      </c>
      <c r="Z267" s="13">
        <f t="shared" si="86"/>
        <v>1501016</v>
      </c>
      <c r="AA267" s="14" t="str">
        <f t="shared" si="87"/>
        <v>西方龙</v>
      </c>
      <c r="AB267" s="13">
        <f t="shared" si="74"/>
        <v>7</v>
      </c>
      <c r="AC267" s="14" t="str">
        <f t="shared" si="88"/>
        <v/>
      </c>
      <c r="AD267" s="14" t="str">
        <f t="shared" si="89"/>
        <v>HPRate</v>
      </c>
      <c r="AE267" s="14">
        <f t="shared" si="90"/>
        <v>0.11</v>
      </c>
      <c r="AF267" s="13" t="s">
        <v>446</v>
      </c>
      <c r="AG267" s="13"/>
      <c r="AH267" s="13" t="s">
        <v>445</v>
      </c>
      <c r="AI267" s="14">
        <f t="shared" si="75"/>
        <v>200</v>
      </c>
      <c r="AJ267" s="14" t="str">
        <f t="shared" si="76"/>
        <v>西方龙碎片</v>
      </c>
      <c r="AK267" s="13">
        <f t="shared" si="77"/>
        <v>10</v>
      </c>
    </row>
    <row r="268" spans="25:37" ht="16.5" x14ac:dyDescent="0.2">
      <c r="Y268" s="13">
        <v>233</v>
      </c>
      <c r="Z268" s="13">
        <f t="shared" si="86"/>
        <v>1501016</v>
      </c>
      <c r="AA268" s="14" t="str">
        <f t="shared" si="87"/>
        <v>西方龙</v>
      </c>
      <c r="AB268" s="13">
        <f t="shared" si="74"/>
        <v>8</v>
      </c>
      <c r="AC268" s="14" t="str">
        <f t="shared" si="88"/>
        <v/>
      </c>
      <c r="AD268" s="14" t="str">
        <f t="shared" si="89"/>
        <v>DefRate</v>
      </c>
      <c r="AE268" s="14">
        <f t="shared" si="90"/>
        <v>0.11</v>
      </c>
      <c r="AF268" s="13" t="s">
        <v>446</v>
      </c>
      <c r="AG268" s="13"/>
      <c r="AH268" s="13" t="s">
        <v>445</v>
      </c>
      <c r="AI268" s="14">
        <f t="shared" si="75"/>
        <v>250</v>
      </c>
      <c r="AJ268" s="14" t="str">
        <f t="shared" si="76"/>
        <v>西方龙碎片</v>
      </c>
      <c r="AK268" s="13">
        <f t="shared" si="77"/>
        <v>20</v>
      </c>
    </row>
    <row r="269" spans="25:37" ht="16.5" x14ac:dyDescent="0.2">
      <c r="Y269" s="13">
        <v>234</v>
      </c>
      <c r="Z269" s="13">
        <f t="shared" si="86"/>
        <v>1501016</v>
      </c>
      <c r="AA269" s="14" t="str">
        <f t="shared" si="87"/>
        <v>西方龙</v>
      </c>
      <c r="AB269" s="13">
        <f t="shared" si="74"/>
        <v>9</v>
      </c>
      <c r="AC269" s="14" t="str">
        <f t="shared" si="88"/>
        <v/>
      </c>
      <c r="AD269" s="14" t="str">
        <f t="shared" si="89"/>
        <v>EffectHit</v>
      </c>
      <c r="AE269" s="14">
        <f t="shared" si="90"/>
        <v>0.15</v>
      </c>
      <c r="AF269" s="13" t="s">
        <v>446</v>
      </c>
      <c r="AG269" s="13"/>
      <c r="AH269" s="13" t="s">
        <v>445</v>
      </c>
      <c r="AI269" s="14">
        <f t="shared" si="75"/>
        <v>300</v>
      </c>
      <c r="AJ269" s="14" t="str">
        <f t="shared" si="76"/>
        <v>西方龙碎片</v>
      </c>
      <c r="AK269" s="13">
        <f t="shared" si="77"/>
        <v>20</v>
      </c>
    </row>
    <row r="270" spans="25:37" ht="16.5" x14ac:dyDescent="0.2">
      <c r="Y270" s="13">
        <v>235</v>
      </c>
      <c r="Z270" s="13">
        <f t="shared" si="86"/>
        <v>1501016</v>
      </c>
      <c r="AA270" s="14" t="str">
        <f t="shared" si="87"/>
        <v>西方龙</v>
      </c>
      <c r="AB270" s="13">
        <f t="shared" si="74"/>
        <v>10</v>
      </c>
      <c r="AC270" s="14" t="str">
        <f t="shared" si="88"/>
        <v/>
      </c>
      <c r="AD270" s="14" t="str">
        <f t="shared" si="89"/>
        <v>DefRate</v>
      </c>
      <c r="AE270" s="14">
        <f t="shared" si="90"/>
        <v>0.14000000000000001</v>
      </c>
      <c r="AF270" s="13" t="s">
        <v>446</v>
      </c>
      <c r="AG270" s="13"/>
      <c r="AH270" s="13" t="s">
        <v>445</v>
      </c>
      <c r="AI270" s="14">
        <f t="shared" si="75"/>
        <v>400</v>
      </c>
      <c r="AJ270" s="14" t="str">
        <f t="shared" si="76"/>
        <v>西方龙碎片</v>
      </c>
      <c r="AK270" s="13">
        <f t="shared" si="77"/>
        <v>20</v>
      </c>
    </row>
    <row r="271" spans="25:37" ht="16.5" x14ac:dyDescent="0.2">
      <c r="Y271" s="13">
        <v>236</v>
      </c>
      <c r="Z271" s="13">
        <f t="shared" si="86"/>
        <v>1501016</v>
      </c>
      <c r="AA271" s="14" t="str">
        <f t="shared" si="87"/>
        <v>西方龙</v>
      </c>
      <c r="AB271" s="13">
        <f t="shared" si="74"/>
        <v>11</v>
      </c>
      <c r="AC271" s="14" t="str">
        <f t="shared" si="88"/>
        <v/>
      </c>
      <c r="AD271" s="14" t="str">
        <f t="shared" si="89"/>
        <v>AtkRate</v>
      </c>
      <c r="AE271" s="14">
        <f t="shared" si="90"/>
        <v>0.14000000000000001</v>
      </c>
      <c r="AF271" s="13" t="s">
        <v>446</v>
      </c>
      <c r="AG271" s="13"/>
      <c r="AH271" s="13" t="s">
        <v>445</v>
      </c>
      <c r="AI271" s="14">
        <f t="shared" si="75"/>
        <v>500</v>
      </c>
      <c r="AJ271" s="14" t="str">
        <f t="shared" si="76"/>
        <v>西方龙碎片</v>
      </c>
      <c r="AK271" s="13">
        <f t="shared" si="77"/>
        <v>30</v>
      </c>
    </row>
    <row r="272" spans="25:37" ht="16.5" x14ac:dyDescent="0.2">
      <c r="Y272" s="13">
        <v>237</v>
      </c>
      <c r="Z272" s="13">
        <f t="shared" si="86"/>
        <v>1501016</v>
      </c>
      <c r="AA272" s="14" t="str">
        <f t="shared" si="87"/>
        <v>西方龙</v>
      </c>
      <c r="AB272" s="13">
        <f t="shared" si="74"/>
        <v>12</v>
      </c>
      <c r="AC272" s="14" t="str">
        <f t="shared" si="88"/>
        <v/>
      </c>
      <c r="AD272" s="14" t="str">
        <f t="shared" si="89"/>
        <v>DefRate</v>
      </c>
      <c r="AE272" s="14">
        <f t="shared" si="90"/>
        <v>0.14000000000000001</v>
      </c>
      <c r="AF272" s="13" t="s">
        <v>446</v>
      </c>
      <c r="AG272" s="13"/>
      <c r="AH272" s="13" t="s">
        <v>445</v>
      </c>
      <c r="AI272" s="14">
        <f t="shared" si="75"/>
        <v>600</v>
      </c>
      <c r="AJ272" s="14" t="str">
        <f t="shared" si="76"/>
        <v>西方龙碎片</v>
      </c>
      <c r="AK272" s="13">
        <f t="shared" si="77"/>
        <v>30</v>
      </c>
    </row>
    <row r="273" spans="25:37" ht="16.5" x14ac:dyDescent="0.2">
      <c r="Y273" s="13">
        <v>238</v>
      </c>
      <c r="Z273" s="13">
        <f t="shared" si="86"/>
        <v>1501016</v>
      </c>
      <c r="AA273" s="14" t="str">
        <f t="shared" si="87"/>
        <v>西方龙</v>
      </c>
      <c r="AB273" s="13">
        <f t="shared" si="74"/>
        <v>13</v>
      </c>
      <c r="AC273" s="14" t="str">
        <f t="shared" si="88"/>
        <v/>
      </c>
      <c r="AD273" s="14" t="str">
        <f t="shared" si="89"/>
        <v>HPRate</v>
      </c>
      <c r="AE273" s="14">
        <f t="shared" si="90"/>
        <v>0.14000000000000001</v>
      </c>
      <c r="AF273" s="13" t="s">
        <v>446</v>
      </c>
      <c r="AG273" s="13"/>
      <c r="AH273" s="13" t="s">
        <v>445</v>
      </c>
      <c r="AI273" s="14">
        <f t="shared" si="75"/>
        <v>700</v>
      </c>
      <c r="AJ273" s="14" t="str">
        <f t="shared" si="76"/>
        <v>西方龙碎片</v>
      </c>
      <c r="AK273" s="13">
        <f t="shared" si="77"/>
        <v>30</v>
      </c>
    </row>
    <row r="274" spans="25:37" ht="16.5" x14ac:dyDescent="0.2">
      <c r="Y274" s="13">
        <v>239</v>
      </c>
      <c r="Z274" s="13">
        <f t="shared" si="86"/>
        <v>1501016</v>
      </c>
      <c r="AA274" s="14" t="str">
        <f t="shared" si="87"/>
        <v>西方龙</v>
      </c>
      <c r="AB274" s="13">
        <f t="shared" si="74"/>
        <v>14</v>
      </c>
      <c r="AC274" s="14" t="str">
        <f t="shared" si="88"/>
        <v/>
      </c>
      <c r="AD274" s="14" t="str">
        <f t="shared" si="89"/>
        <v>DefRate</v>
      </c>
      <c r="AE274" s="14">
        <f t="shared" si="90"/>
        <v>0.14000000000000001</v>
      </c>
      <c r="AF274" s="13" t="s">
        <v>446</v>
      </c>
      <c r="AG274" s="13"/>
      <c r="AH274" s="13" t="s">
        <v>445</v>
      </c>
      <c r="AI274" s="14">
        <f t="shared" si="75"/>
        <v>800</v>
      </c>
      <c r="AJ274" s="14" t="str">
        <f t="shared" si="76"/>
        <v>西方龙碎片</v>
      </c>
      <c r="AK274" s="13">
        <f t="shared" si="77"/>
        <v>50</v>
      </c>
    </row>
    <row r="275" spans="25:37" ht="16.5" x14ac:dyDescent="0.2">
      <c r="Y275" s="13">
        <v>240</v>
      </c>
      <c r="Z275" s="13">
        <f t="shared" si="86"/>
        <v>1501016</v>
      </c>
      <c r="AA275" s="14" t="str">
        <f t="shared" si="87"/>
        <v>西方龙</v>
      </c>
      <c r="AB275" s="13">
        <f t="shared" si="74"/>
        <v>15</v>
      </c>
      <c r="AC275" s="14" t="str">
        <f t="shared" si="88"/>
        <v/>
      </c>
      <c r="AD275" s="14" t="str">
        <f t="shared" si="89"/>
        <v>EffectHit</v>
      </c>
      <c r="AE275" s="14">
        <f t="shared" si="90"/>
        <v>0.2</v>
      </c>
      <c r="AF275" s="13" t="s">
        <v>446</v>
      </c>
      <c r="AG275" s="13"/>
      <c r="AH275" s="13" t="s">
        <v>445</v>
      </c>
      <c r="AI275" s="14">
        <f t="shared" si="75"/>
        <v>1000</v>
      </c>
      <c r="AJ275" s="14" t="str">
        <f t="shared" si="76"/>
        <v>西方龙碎片</v>
      </c>
      <c r="AK275" s="13">
        <f t="shared" si="77"/>
        <v>60</v>
      </c>
    </row>
    <row r="276" spans="25:37" ht="16.5" x14ac:dyDescent="0.2">
      <c r="Y276" s="13">
        <v>241</v>
      </c>
      <c r="Z276" s="13">
        <f t="shared" si="86"/>
        <v>1501017</v>
      </c>
      <c r="AA276" s="14" t="str">
        <f t="shared" si="87"/>
        <v>飞廉</v>
      </c>
      <c r="AB276" s="13">
        <f t="shared" si="74"/>
        <v>1</v>
      </c>
      <c r="AC276" s="14" t="str">
        <f t="shared" si="88"/>
        <v/>
      </c>
      <c r="AD276" s="14" t="str">
        <f t="shared" si="89"/>
        <v>AtkExt</v>
      </c>
      <c r="AE276" s="14">
        <f t="shared" si="90"/>
        <v>250</v>
      </c>
      <c r="AF276" s="13" t="s">
        <v>446</v>
      </c>
      <c r="AG276" s="13"/>
      <c r="AH276" s="13" t="s">
        <v>445</v>
      </c>
      <c r="AI276" s="14">
        <f t="shared" si="75"/>
        <v>10</v>
      </c>
      <c r="AJ276" s="14" t="str">
        <f t="shared" si="76"/>
        <v/>
      </c>
      <c r="AK276" s="13" t="str">
        <f t="shared" si="77"/>
        <v/>
      </c>
    </row>
    <row r="277" spans="25:37" ht="16.5" x14ac:dyDescent="0.2">
      <c r="Y277" s="13">
        <v>242</v>
      </c>
      <c r="Z277" s="13">
        <f t="shared" si="86"/>
        <v>1501017</v>
      </c>
      <c r="AA277" s="14" t="str">
        <f t="shared" si="87"/>
        <v>飞廉</v>
      </c>
      <c r="AB277" s="13">
        <f t="shared" si="74"/>
        <v>2</v>
      </c>
      <c r="AC277" s="14" t="str">
        <f t="shared" si="88"/>
        <v/>
      </c>
      <c r="AD277" s="14" t="str">
        <f t="shared" si="89"/>
        <v>HPExt</v>
      </c>
      <c r="AE277" s="14">
        <f t="shared" si="90"/>
        <v>2250</v>
      </c>
      <c r="AF277" s="13" t="s">
        <v>446</v>
      </c>
      <c r="AG277" s="13"/>
      <c r="AH277" s="13" t="s">
        <v>445</v>
      </c>
      <c r="AI277" s="14">
        <f t="shared" si="75"/>
        <v>20</v>
      </c>
      <c r="AJ277" s="14" t="str">
        <f t="shared" si="76"/>
        <v/>
      </c>
      <c r="AK277" s="13" t="str">
        <f t="shared" si="77"/>
        <v/>
      </c>
    </row>
    <row r="278" spans="25:37" ht="16.5" x14ac:dyDescent="0.2">
      <c r="Y278" s="13">
        <v>243</v>
      </c>
      <c r="Z278" s="13">
        <f t="shared" si="86"/>
        <v>1501017</v>
      </c>
      <c r="AA278" s="14" t="str">
        <f t="shared" si="87"/>
        <v>飞廉</v>
      </c>
      <c r="AB278" s="13">
        <f t="shared" si="74"/>
        <v>3</v>
      </c>
      <c r="AC278" s="14">
        <f t="shared" si="88"/>
        <v>130301709</v>
      </c>
      <c r="AD278" s="14" t="str">
        <f t="shared" si="89"/>
        <v/>
      </c>
      <c r="AE278" s="14" t="str">
        <f t="shared" si="90"/>
        <v/>
      </c>
      <c r="AF278" s="13" t="s">
        <v>446</v>
      </c>
      <c r="AG278" s="13"/>
      <c r="AH278" s="13" t="s">
        <v>445</v>
      </c>
      <c r="AI278" s="14">
        <f t="shared" si="75"/>
        <v>30</v>
      </c>
      <c r="AJ278" s="14" t="str">
        <f t="shared" si="76"/>
        <v>飞廉碎片</v>
      </c>
      <c r="AK278" s="13">
        <f t="shared" si="77"/>
        <v>5</v>
      </c>
    </row>
    <row r="279" spans="25:37" ht="16.5" x14ac:dyDescent="0.2">
      <c r="Y279" s="13">
        <v>244</v>
      </c>
      <c r="Z279" s="13">
        <f t="shared" si="86"/>
        <v>1501017</v>
      </c>
      <c r="AA279" s="14" t="str">
        <f t="shared" si="87"/>
        <v>飞廉</v>
      </c>
      <c r="AB279" s="13">
        <f t="shared" si="74"/>
        <v>4</v>
      </c>
      <c r="AC279" s="14" t="str">
        <f t="shared" si="88"/>
        <v/>
      </c>
      <c r="AD279" s="14" t="str">
        <f t="shared" si="89"/>
        <v>AtkRate</v>
      </c>
      <c r="AE279" s="14">
        <f t="shared" si="90"/>
        <v>0.11</v>
      </c>
      <c r="AF279" s="13" t="s">
        <v>446</v>
      </c>
      <c r="AG279" s="13"/>
      <c r="AH279" s="13" t="s">
        <v>445</v>
      </c>
      <c r="AI279" s="14">
        <f t="shared" si="75"/>
        <v>50</v>
      </c>
      <c r="AJ279" s="14" t="str">
        <f t="shared" si="76"/>
        <v>飞廉碎片</v>
      </c>
      <c r="AK279" s="13">
        <f t="shared" si="77"/>
        <v>5</v>
      </c>
    </row>
    <row r="280" spans="25:37" ht="16.5" x14ac:dyDescent="0.2">
      <c r="Y280" s="13">
        <v>245</v>
      </c>
      <c r="Z280" s="13">
        <f t="shared" si="86"/>
        <v>1501017</v>
      </c>
      <c r="AA280" s="14" t="str">
        <f t="shared" si="87"/>
        <v>飞廉</v>
      </c>
      <c r="AB280" s="13">
        <f t="shared" si="74"/>
        <v>5</v>
      </c>
      <c r="AC280" s="14" t="str">
        <f t="shared" si="88"/>
        <v/>
      </c>
      <c r="AD280" s="14" t="str">
        <f t="shared" si="89"/>
        <v>Crit</v>
      </c>
      <c r="AE280" s="14">
        <f t="shared" si="90"/>
        <v>0.11</v>
      </c>
      <c r="AF280" s="13" t="s">
        <v>446</v>
      </c>
      <c r="AG280" s="13"/>
      <c r="AH280" s="13" t="s">
        <v>445</v>
      </c>
      <c r="AI280" s="14">
        <f t="shared" si="75"/>
        <v>100</v>
      </c>
      <c r="AJ280" s="14" t="str">
        <f t="shared" si="76"/>
        <v>飞廉碎片</v>
      </c>
      <c r="AK280" s="13">
        <f t="shared" si="77"/>
        <v>10</v>
      </c>
    </row>
    <row r="281" spans="25:37" ht="16.5" x14ac:dyDescent="0.2">
      <c r="Y281" s="13">
        <v>246</v>
      </c>
      <c r="Z281" s="13">
        <f t="shared" si="86"/>
        <v>1501017</v>
      </c>
      <c r="AA281" s="14" t="str">
        <f t="shared" si="87"/>
        <v>飞廉</v>
      </c>
      <c r="AB281" s="13">
        <f t="shared" si="74"/>
        <v>6</v>
      </c>
      <c r="AC281" s="14" t="str">
        <f t="shared" si="88"/>
        <v/>
      </c>
      <c r="AD281" s="14" t="str">
        <f t="shared" si="89"/>
        <v>HPRate</v>
      </c>
      <c r="AE281" s="14">
        <f t="shared" si="90"/>
        <v>0.11</v>
      </c>
      <c r="AF281" s="13" t="s">
        <v>446</v>
      </c>
      <c r="AG281" s="13"/>
      <c r="AH281" s="13" t="s">
        <v>445</v>
      </c>
      <c r="AI281" s="14">
        <f t="shared" si="75"/>
        <v>150</v>
      </c>
      <c r="AJ281" s="14" t="str">
        <f t="shared" si="76"/>
        <v>飞廉碎片</v>
      </c>
      <c r="AK281" s="13">
        <f t="shared" si="77"/>
        <v>10</v>
      </c>
    </row>
    <row r="282" spans="25:37" ht="16.5" x14ac:dyDescent="0.2">
      <c r="Y282" s="13">
        <v>247</v>
      </c>
      <c r="Z282" s="13">
        <f t="shared" si="86"/>
        <v>1501017</v>
      </c>
      <c r="AA282" s="14" t="str">
        <f t="shared" si="87"/>
        <v>飞廉</v>
      </c>
      <c r="AB282" s="13">
        <f t="shared" si="74"/>
        <v>7</v>
      </c>
      <c r="AC282" s="14" t="str">
        <f t="shared" si="88"/>
        <v/>
      </c>
      <c r="AD282" s="14" t="str">
        <f t="shared" si="89"/>
        <v>Crit</v>
      </c>
      <c r="AE282" s="14">
        <f t="shared" si="90"/>
        <v>0.11</v>
      </c>
      <c r="AF282" s="13" t="s">
        <v>446</v>
      </c>
      <c r="AG282" s="13"/>
      <c r="AH282" s="13" t="s">
        <v>445</v>
      </c>
      <c r="AI282" s="14">
        <f t="shared" si="75"/>
        <v>200</v>
      </c>
      <c r="AJ282" s="14" t="str">
        <f t="shared" si="76"/>
        <v>飞廉碎片</v>
      </c>
      <c r="AK282" s="13">
        <f t="shared" si="77"/>
        <v>10</v>
      </c>
    </row>
    <row r="283" spans="25:37" ht="16.5" x14ac:dyDescent="0.2">
      <c r="Y283" s="13">
        <v>248</v>
      </c>
      <c r="Z283" s="13">
        <f t="shared" si="86"/>
        <v>1501017</v>
      </c>
      <c r="AA283" s="14" t="str">
        <f t="shared" si="87"/>
        <v>飞廉</v>
      </c>
      <c r="AB283" s="13">
        <f t="shared" si="74"/>
        <v>8</v>
      </c>
      <c r="AC283" s="14" t="str">
        <f t="shared" si="88"/>
        <v/>
      </c>
      <c r="AD283" s="14" t="str">
        <f t="shared" si="89"/>
        <v>AtkRate</v>
      </c>
      <c r="AE283" s="14">
        <f t="shared" si="90"/>
        <v>0.11</v>
      </c>
      <c r="AF283" s="13" t="s">
        <v>446</v>
      </c>
      <c r="AG283" s="13"/>
      <c r="AH283" s="13" t="s">
        <v>445</v>
      </c>
      <c r="AI283" s="14">
        <f t="shared" si="75"/>
        <v>250</v>
      </c>
      <c r="AJ283" s="14" t="str">
        <f t="shared" si="76"/>
        <v>飞廉碎片</v>
      </c>
      <c r="AK283" s="13">
        <f t="shared" si="77"/>
        <v>20</v>
      </c>
    </row>
    <row r="284" spans="25:37" ht="16.5" x14ac:dyDescent="0.2">
      <c r="Y284" s="13">
        <v>249</v>
      </c>
      <c r="Z284" s="13">
        <f t="shared" si="86"/>
        <v>1501017</v>
      </c>
      <c r="AA284" s="14" t="str">
        <f t="shared" si="87"/>
        <v>飞廉</v>
      </c>
      <c r="AB284" s="13">
        <f t="shared" si="74"/>
        <v>9</v>
      </c>
      <c r="AC284" s="14" t="str">
        <f t="shared" si="88"/>
        <v/>
      </c>
      <c r="AD284" s="14" t="str">
        <f t="shared" si="89"/>
        <v>CritRate</v>
      </c>
      <c r="AE284" s="14">
        <f t="shared" si="90"/>
        <v>0.21</v>
      </c>
      <c r="AF284" s="13" t="s">
        <v>446</v>
      </c>
      <c r="AG284" s="13"/>
      <c r="AH284" s="13" t="s">
        <v>445</v>
      </c>
      <c r="AI284" s="14">
        <f t="shared" si="75"/>
        <v>300</v>
      </c>
      <c r="AJ284" s="14" t="str">
        <f t="shared" si="76"/>
        <v>飞廉碎片</v>
      </c>
      <c r="AK284" s="13">
        <f t="shared" si="77"/>
        <v>20</v>
      </c>
    </row>
    <row r="285" spans="25:37" ht="16.5" x14ac:dyDescent="0.2">
      <c r="Y285" s="13">
        <v>250</v>
      </c>
      <c r="Z285" s="13">
        <f t="shared" si="86"/>
        <v>1501017</v>
      </c>
      <c r="AA285" s="14" t="str">
        <f t="shared" si="87"/>
        <v>飞廉</v>
      </c>
      <c r="AB285" s="13">
        <f t="shared" si="74"/>
        <v>10</v>
      </c>
      <c r="AC285" s="14" t="str">
        <f t="shared" si="88"/>
        <v/>
      </c>
      <c r="AD285" s="14" t="str">
        <f t="shared" si="89"/>
        <v>AtkRate</v>
      </c>
      <c r="AE285" s="14">
        <f t="shared" si="90"/>
        <v>0.14000000000000001</v>
      </c>
      <c r="AF285" s="13" t="s">
        <v>446</v>
      </c>
      <c r="AG285" s="13"/>
      <c r="AH285" s="13" t="s">
        <v>445</v>
      </c>
      <c r="AI285" s="14">
        <f t="shared" si="75"/>
        <v>400</v>
      </c>
      <c r="AJ285" s="14" t="str">
        <f t="shared" si="76"/>
        <v>飞廉碎片</v>
      </c>
      <c r="AK285" s="13">
        <f t="shared" si="77"/>
        <v>20</v>
      </c>
    </row>
    <row r="286" spans="25:37" ht="16.5" x14ac:dyDescent="0.2">
      <c r="Y286" s="13">
        <v>251</v>
      </c>
      <c r="Z286" s="13">
        <f t="shared" si="86"/>
        <v>1501017</v>
      </c>
      <c r="AA286" s="14" t="str">
        <f t="shared" si="87"/>
        <v>飞廉</v>
      </c>
      <c r="AB286" s="13">
        <f t="shared" si="74"/>
        <v>11</v>
      </c>
      <c r="AC286" s="14" t="str">
        <f t="shared" si="88"/>
        <v/>
      </c>
      <c r="AD286" s="14" t="str">
        <f t="shared" si="89"/>
        <v>Crit</v>
      </c>
      <c r="AE286" s="14">
        <f t="shared" si="90"/>
        <v>0.14000000000000001</v>
      </c>
      <c r="AF286" s="13" t="s">
        <v>446</v>
      </c>
      <c r="AG286" s="13"/>
      <c r="AH286" s="13" t="s">
        <v>445</v>
      </c>
      <c r="AI286" s="14">
        <f t="shared" si="75"/>
        <v>500</v>
      </c>
      <c r="AJ286" s="14" t="str">
        <f t="shared" si="76"/>
        <v>飞廉碎片</v>
      </c>
      <c r="AK286" s="13">
        <f t="shared" si="77"/>
        <v>30</v>
      </c>
    </row>
    <row r="287" spans="25:37" ht="16.5" x14ac:dyDescent="0.2">
      <c r="Y287" s="13">
        <v>252</v>
      </c>
      <c r="Z287" s="13">
        <f t="shared" si="86"/>
        <v>1501017</v>
      </c>
      <c r="AA287" s="14" t="str">
        <f t="shared" si="87"/>
        <v>飞廉</v>
      </c>
      <c r="AB287" s="13">
        <f t="shared" si="74"/>
        <v>12</v>
      </c>
      <c r="AC287" s="14" t="str">
        <f t="shared" si="88"/>
        <v/>
      </c>
      <c r="AD287" s="14" t="str">
        <f t="shared" si="89"/>
        <v>HPRate</v>
      </c>
      <c r="AE287" s="14">
        <f t="shared" si="90"/>
        <v>0.14000000000000001</v>
      </c>
      <c r="AF287" s="13" t="s">
        <v>446</v>
      </c>
      <c r="AG287" s="13"/>
      <c r="AH287" s="13" t="s">
        <v>445</v>
      </c>
      <c r="AI287" s="14">
        <f t="shared" si="75"/>
        <v>600</v>
      </c>
      <c r="AJ287" s="14" t="str">
        <f t="shared" si="76"/>
        <v>飞廉碎片</v>
      </c>
      <c r="AK287" s="13">
        <f t="shared" si="77"/>
        <v>30</v>
      </c>
    </row>
    <row r="288" spans="25:37" ht="16.5" x14ac:dyDescent="0.2">
      <c r="Y288" s="13">
        <v>253</v>
      </c>
      <c r="Z288" s="13">
        <f t="shared" si="86"/>
        <v>1501017</v>
      </c>
      <c r="AA288" s="14" t="str">
        <f t="shared" si="87"/>
        <v>飞廉</v>
      </c>
      <c r="AB288" s="13">
        <f t="shared" si="74"/>
        <v>13</v>
      </c>
      <c r="AC288" s="14" t="str">
        <f t="shared" si="88"/>
        <v/>
      </c>
      <c r="AD288" s="14" t="str">
        <f t="shared" si="89"/>
        <v>Crit</v>
      </c>
      <c r="AE288" s="14">
        <f t="shared" si="90"/>
        <v>0.14000000000000001</v>
      </c>
      <c r="AF288" s="13" t="s">
        <v>446</v>
      </c>
      <c r="AG288" s="13"/>
      <c r="AH288" s="13" t="s">
        <v>445</v>
      </c>
      <c r="AI288" s="14">
        <f t="shared" si="75"/>
        <v>700</v>
      </c>
      <c r="AJ288" s="14" t="str">
        <f t="shared" si="76"/>
        <v>飞廉碎片</v>
      </c>
      <c r="AK288" s="13">
        <f t="shared" si="77"/>
        <v>30</v>
      </c>
    </row>
    <row r="289" spans="25:37" ht="16.5" x14ac:dyDescent="0.2">
      <c r="Y289" s="13">
        <v>254</v>
      </c>
      <c r="Z289" s="13">
        <f t="shared" si="86"/>
        <v>1501017</v>
      </c>
      <c r="AA289" s="14" t="str">
        <f t="shared" si="87"/>
        <v>飞廉</v>
      </c>
      <c r="AB289" s="13">
        <f t="shared" si="74"/>
        <v>14</v>
      </c>
      <c r="AC289" s="14" t="str">
        <f t="shared" si="88"/>
        <v/>
      </c>
      <c r="AD289" s="14" t="str">
        <f t="shared" si="89"/>
        <v>AtkRate</v>
      </c>
      <c r="AE289" s="14">
        <f t="shared" si="90"/>
        <v>0.14000000000000001</v>
      </c>
      <c r="AF289" s="13" t="s">
        <v>446</v>
      </c>
      <c r="AG289" s="13"/>
      <c r="AH289" s="13" t="s">
        <v>445</v>
      </c>
      <c r="AI289" s="14">
        <f t="shared" si="75"/>
        <v>800</v>
      </c>
      <c r="AJ289" s="14" t="str">
        <f t="shared" si="76"/>
        <v>飞廉碎片</v>
      </c>
      <c r="AK289" s="13">
        <f t="shared" si="77"/>
        <v>50</v>
      </c>
    </row>
    <row r="290" spans="25:37" ht="16.5" x14ac:dyDescent="0.2">
      <c r="Y290" s="13">
        <v>255</v>
      </c>
      <c r="Z290" s="13">
        <f t="shared" si="86"/>
        <v>1501017</v>
      </c>
      <c r="AA290" s="14" t="str">
        <f t="shared" si="87"/>
        <v>飞廉</v>
      </c>
      <c r="AB290" s="13">
        <f t="shared" si="74"/>
        <v>15</v>
      </c>
      <c r="AC290" s="14" t="str">
        <f t="shared" si="88"/>
        <v/>
      </c>
      <c r="AD290" s="14" t="str">
        <f t="shared" si="89"/>
        <v>CritRate</v>
      </c>
      <c r="AE290" s="14">
        <f t="shared" si="90"/>
        <v>0.28999999999999998</v>
      </c>
      <c r="AF290" s="13" t="s">
        <v>446</v>
      </c>
      <c r="AG290" s="13"/>
      <c r="AH290" s="13" t="s">
        <v>445</v>
      </c>
      <c r="AI290" s="14">
        <f t="shared" si="75"/>
        <v>1000</v>
      </c>
      <c r="AJ290" s="14" t="str">
        <f t="shared" si="76"/>
        <v>飞廉碎片</v>
      </c>
      <c r="AK290" s="13">
        <f t="shared" si="77"/>
        <v>60</v>
      </c>
    </row>
    <row r="291" spans="25:37" ht="16.5" x14ac:dyDescent="0.2">
      <c r="Y291" s="13">
        <v>256</v>
      </c>
      <c r="Z291" s="13">
        <f t="shared" si="86"/>
        <v>1501018</v>
      </c>
      <c r="AA291" s="14" t="str">
        <f t="shared" si="87"/>
        <v>噬日</v>
      </c>
      <c r="AB291" s="13">
        <f t="shared" si="74"/>
        <v>1</v>
      </c>
      <c r="AC291" s="14" t="str">
        <f t="shared" si="88"/>
        <v/>
      </c>
      <c r="AD291" s="14" t="str">
        <f t="shared" si="89"/>
        <v>AtkExt</v>
      </c>
      <c r="AE291" s="14">
        <f t="shared" si="90"/>
        <v>250</v>
      </c>
      <c r="AF291" s="13" t="s">
        <v>446</v>
      </c>
      <c r="AG291" s="13"/>
      <c r="AH291" s="13" t="s">
        <v>445</v>
      </c>
      <c r="AI291" s="14">
        <f t="shared" si="75"/>
        <v>10</v>
      </c>
      <c r="AJ291" s="14" t="str">
        <f t="shared" si="76"/>
        <v/>
      </c>
      <c r="AK291" s="13" t="str">
        <f t="shared" si="77"/>
        <v/>
      </c>
    </row>
    <row r="292" spans="25:37" ht="16.5" x14ac:dyDescent="0.2">
      <c r="Y292" s="13">
        <v>257</v>
      </c>
      <c r="Z292" s="13">
        <f t="shared" si="86"/>
        <v>1501018</v>
      </c>
      <c r="AA292" s="14" t="str">
        <f t="shared" si="87"/>
        <v>噬日</v>
      </c>
      <c r="AB292" s="13">
        <f t="shared" ref="AB292:AB350" si="92">MOD(Y292-1,15)+1</f>
        <v>2</v>
      </c>
      <c r="AC292" s="14" t="str">
        <f t="shared" si="88"/>
        <v/>
      </c>
      <c r="AD292" s="14" t="str">
        <f t="shared" si="89"/>
        <v>HPExt</v>
      </c>
      <c r="AE292" s="14">
        <f t="shared" si="90"/>
        <v>2250</v>
      </c>
      <c r="AF292" s="13" t="s">
        <v>446</v>
      </c>
      <c r="AG292" s="13"/>
      <c r="AH292" s="13" t="s">
        <v>445</v>
      </c>
      <c r="AI292" s="14">
        <f t="shared" ref="AI292:AI350" si="93">INDEX($AN$9:$AN$23,AB292)</f>
        <v>20</v>
      </c>
      <c r="AJ292" s="14" t="str">
        <f t="shared" ref="AJ292:AJ350" si="94">IF(AB292&gt;2,AA292&amp;"碎片","")</f>
        <v/>
      </c>
      <c r="AK292" s="13" t="str">
        <f t="shared" ref="AK292:AK350" si="95">IF(AB292&gt;2,INDEX($AO$9:$AO$23,AB292),"")</f>
        <v/>
      </c>
    </row>
    <row r="293" spans="25:37" ht="16.5" x14ac:dyDescent="0.2">
      <c r="Y293" s="13">
        <v>258</v>
      </c>
      <c r="Z293" s="13">
        <f t="shared" ref="Z293:Z350" si="96">INDEX($C$9:$C$29,INT((Y293-1)/15)+1)</f>
        <v>1501018</v>
      </c>
      <c r="AA293" s="14" t="str">
        <f t="shared" ref="AA293:AA350" si="97">INDEX($B$9:$B$29,MATCH(Z293,$C$9:$C$29,0))</f>
        <v>噬日</v>
      </c>
      <c r="AB293" s="13">
        <f t="shared" si="92"/>
        <v>3</v>
      </c>
      <c r="AC293" s="14">
        <f t="shared" ref="AC293:AC350" si="98">IF(MOD(AB293,15)=3,INDEX($AD$9:$AD$29,MATCH(Z293,$C$9:$C$29,0)),"")</f>
        <v>130301809</v>
      </c>
      <c r="AD293" s="14" t="str">
        <f t="shared" ref="AD293:AD350" si="99">IF(AC293="",INDEX($O$9:$AC$29,MATCH($Z293,$C$9:$C$29,0),AB293),"")</f>
        <v/>
      </c>
      <c r="AE293" s="14" t="str">
        <f t="shared" ref="AE293:AE350" si="100">IF(AC293="",ROUND(INDEX($AG$9:$AG$24,MATCH(AD293,$AF$9:$AF$24,0))*INDEX($O$7:$AC$7,AB293),2),"")</f>
        <v/>
      </c>
      <c r="AF293" s="13" t="s">
        <v>446</v>
      </c>
      <c r="AG293" s="13"/>
      <c r="AH293" s="13" t="s">
        <v>445</v>
      </c>
      <c r="AI293" s="14">
        <f t="shared" si="93"/>
        <v>30</v>
      </c>
      <c r="AJ293" s="14" t="str">
        <f t="shared" si="94"/>
        <v>噬日碎片</v>
      </c>
      <c r="AK293" s="13">
        <f t="shared" si="95"/>
        <v>5</v>
      </c>
    </row>
    <row r="294" spans="25:37" ht="16.5" x14ac:dyDescent="0.2">
      <c r="Y294" s="13">
        <v>259</v>
      </c>
      <c r="Z294" s="13">
        <f t="shared" si="96"/>
        <v>1501018</v>
      </c>
      <c r="AA294" s="14" t="str">
        <f t="shared" si="97"/>
        <v>噬日</v>
      </c>
      <c r="AB294" s="13">
        <f t="shared" si="92"/>
        <v>4</v>
      </c>
      <c r="AC294" s="14" t="str">
        <f t="shared" si="98"/>
        <v/>
      </c>
      <c r="AD294" s="14" t="str">
        <f t="shared" si="99"/>
        <v>Crit</v>
      </c>
      <c r="AE294" s="14">
        <f t="shared" si="100"/>
        <v>0.11</v>
      </c>
      <c r="AF294" s="13" t="s">
        <v>446</v>
      </c>
      <c r="AG294" s="13"/>
      <c r="AH294" s="13" t="s">
        <v>445</v>
      </c>
      <c r="AI294" s="14">
        <f t="shared" si="93"/>
        <v>50</v>
      </c>
      <c r="AJ294" s="14" t="str">
        <f t="shared" si="94"/>
        <v>噬日碎片</v>
      </c>
      <c r="AK294" s="13">
        <f t="shared" si="95"/>
        <v>5</v>
      </c>
    </row>
    <row r="295" spans="25:37" ht="16.5" x14ac:dyDescent="0.2">
      <c r="Y295" s="13">
        <v>260</v>
      </c>
      <c r="Z295" s="13">
        <f t="shared" si="96"/>
        <v>1501018</v>
      </c>
      <c r="AA295" s="14" t="str">
        <f t="shared" si="97"/>
        <v>噬日</v>
      </c>
      <c r="AB295" s="13">
        <f t="shared" si="92"/>
        <v>5</v>
      </c>
      <c r="AC295" s="14" t="str">
        <f t="shared" si="98"/>
        <v/>
      </c>
      <c r="AD295" s="14" t="str">
        <f t="shared" si="99"/>
        <v>AtkRate</v>
      </c>
      <c r="AE295" s="14">
        <f t="shared" si="100"/>
        <v>0.11</v>
      </c>
      <c r="AF295" s="13" t="s">
        <v>446</v>
      </c>
      <c r="AG295" s="13"/>
      <c r="AH295" s="13" t="s">
        <v>445</v>
      </c>
      <c r="AI295" s="14">
        <f t="shared" si="93"/>
        <v>100</v>
      </c>
      <c r="AJ295" s="14" t="str">
        <f t="shared" si="94"/>
        <v>噬日碎片</v>
      </c>
      <c r="AK295" s="13">
        <f t="shared" si="95"/>
        <v>10</v>
      </c>
    </row>
    <row r="296" spans="25:37" ht="16.5" x14ac:dyDescent="0.2">
      <c r="Y296" s="13">
        <v>261</v>
      </c>
      <c r="Z296" s="13">
        <f t="shared" si="96"/>
        <v>1501018</v>
      </c>
      <c r="AA296" s="14" t="str">
        <f t="shared" si="97"/>
        <v>噬日</v>
      </c>
      <c r="AB296" s="13">
        <f t="shared" si="92"/>
        <v>6</v>
      </c>
      <c r="AC296" s="14" t="str">
        <f t="shared" si="98"/>
        <v/>
      </c>
      <c r="AD296" s="14" t="str">
        <f t="shared" si="99"/>
        <v>DefRate</v>
      </c>
      <c r="AE296" s="14">
        <f t="shared" si="100"/>
        <v>0.11</v>
      </c>
      <c r="AF296" s="13" t="s">
        <v>446</v>
      </c>
      <c r="AG296" s="13"/>
      <c r="AH296" s="13" t="s">
        <v>445</v>
      </c>
      <c r="AI296" s="14">
        <f t="shared" si="93"/>
        <v>150</v>
      </c>
      <c r="AJ296" s="14" t="str">
        <f t="shared" si="94"/>
        <v>噬日碎片</v>
      </c>
      <c r="AK296" s="13">
        <f t="shared" si="95"/>
        <v>10</v>
      </c>
    </row>
    <row r="297" spans="25:37" ht="16.5" x14ac:dyDescent="0.2">
      <c r="Y297" s="13">
        <v>262</v>
      </c>
      <c r="Z297" s="13">
        <f t="shared" si="96"/>
        <v>1501018</v>
      </c>
      <c r="AA297" s="14" t="str">
        <f t="shared" si="97"/>
        <v>噬日</v>
      </c>
      <c r="AB297" s="13">
        <f t="shared" si="92"/>
        <v>7</v>
      </c>
      <c r="AC297" s="14" t="str">
        <f t="shared" si="98"/>
        <v/>
      </c>
      <c r="AD297" s="14" t="str">
        <f t="shared" si="99"/>
        <v>AtkRate</v>
      </c>
      <c r="AE297" s="14">
        <f t="shared" si="100"/>
        <v>0.11</v>
      </c>
      <c r="AF297" s="13" t="s">
        <v>446</v>
      </c>
      <c r="AG297" s="13"/>
      <c r="AH297" s="13" t="s">
        <v>445</v>
      </c>
      <c r="AI297" s="14">
        <f t="shared" si="93"/>
        <v>200</v>
      </c>
      <c r="AJ297" s="14" t="str">
        <f t="shared" si="94"/>
        <v>噬日碎片</v>
      </c>
      <c r="AK297" s="13">
        <f t="shared" si="95"/>
        <v>10</v>
      </c>
    </row>
    <row r="298" spans="25:37" ht="16.5" x14ac:dyDescent="0.2">
      <c r="Y298" s="13">
        <v>263</v>
      </c>
      <c r="Z298" s="13">
        <f t="shared" si="96"/>
        <v>1501018</v>
      </c>
      <c r="AA298" s="14" t="str">
        <f t="shared" si="97"/>
        <v>噬日</v>
      </c>
      <c r="AB298" s="13">
        <f t="shared" si="92"/>
        <v>8</v>
      </c>
      <c r="AC298" s="14" t="str">
        <f t="shared" si="98"/>
        <v/>
      </c>
      <c r="AD298" s="14" t="str">
        <f t="shared" si="99"/>
        <v>Crit</v>
      </c>
      <c r="AE298" s="14">
        <f t="shared" si="100"/>
        <v>0.11</v>
      </c>
      <c r="AF298" s="13" t="s">
        <v>446</v>
      </c>
      <c r="AG298" s="13"/>
      <c r="AH298" s="13" t="s">
        <v>445</v>
      </c>
      <c r="AI298" s="14">
        <f t="shared" si="93"/>
        <v>250</v>
      </c>
      <c r="AJ298" s="14" t="str">
        <f t="shared" si="94"/>
        <v>噬日碎片</v>
      </c>
      <c r="AK298" s="13">
        <f t="shared" si="95"/>
        <v>20</v>
      </c>
    </row>
    <row r="299" spans="25:37" ht="16.5" x14ac:dyDescent="0.2">
      <c r="Y299" s="13">
        <v>264</v>
      </c>
      <c r="Z299" s="13">
        <f t="shared" si="96"/>
        <v>1501018</v>
      </c>
      <c r="AA299" s="14" t="str">
        <f t="shared" si="97"/>
        <v>噬日</v>
      </c>
      <c r="AB299" s="13">
        <f t="shared" si="92"/>
        <v>9</v>
      </c>
      <c r="AC299" s="14" t="str">
        <f t="shared" si="98"/>
        <v/>
      </c>
      <c r="AD299" s="14" t="str">
        <f t="shared" si="99"/>
        <v>CritRate</v>
      </c>
      <c r="AE299" s="14">
        <f t="shared" si="100"/>
        <v>0.21</v>
      </c>
      <c r="AF299" s="13" t="s">
        <v>446</v>
      </c>
      <c r="AG299" s="13"/>
      <c r="AH299" s="13" t="s">
        <v>445</v>
      </c>
      <c r="AI299" s="14">
        <f t="shared" si="93"/>
        <v>300</v>
      </c>
      <c r="AJ299" s="14" t="str">
        <f t="shared" si="94"/>
        <v>噬日碎片</v>
      </c>
      <c r="AK299" s="13">
        <f t="shared" si="95"/>
        <v>20</v>
      </c>
    </row>
    <row r="300" spans="25:37" ht="16.5" x14ac:dyDescent="0.2">
      <c r="Y300" s="13">
        <v>265</v>
      </c>
      <c r="Z300" s="13">
        <f t="shared" si="96"/>
        <v>1501018</v>
      </c>
      <c r="AA300" s="14" t="str">
        <f t="shared" si="97"/>
        <v>噬日</v>
      </c>
      <c r="AB300" s="13">
        <f t="shared" si="92"/>
        <v>10</v>
      </c>
      <c r="AC300" s="14" t="str">
        <f t="shared" si="98"/>
        <v/>
      </c>
      <c r="AD300" s="14" t="str">
        <f t="shared" si="99"/>
        <v>Crit</v>
      </c>
      <c r="AE300" s="14">
        <f t="shared" si="100"/>
        <v>0.14000000000000001</v>
      </c>
      <c r="AF300" s="13" t="s">
        <v>446</v>
      </c>
      <c r="AG300" s="13"/>
      <c r="AH300" s="13" t="s">
        <v>445</v>
      </c>
      <c r="AI300" s="14">
        <f t="shared" si="93"/>
        <v>400</v>
      </c>
      <c r="AJ300" s="14" t="str">
        <f t="shared" si="94"/>
        <v>噬日碎片</v>
      </c>
      <c r="AK300" s="13">
        <f t="shared" si="95"/>
        <v>20</v>
      </c>
    </row>
    <row r="301" spans="25:37" ht="16.5" x14ac:dyDescent="0.2">
      <c r="Y301" s="13">
        <v>266</v>
      </c>
      <c r="Z301" s="13">
        <f t="shared" si="96"/>
        <v>1501018</v>
      </c>
      <c r="AA301" s="14" t="str">
        <f t="shared" si="97"/>
        <v>噬日</v>
      </c>
      <c r="AB301" s="13">
        <f t="shared" si="92"/>
        <v>11</v>
      </c>
      <c r="AC301" s="14" t="str">
        <f t="shared" si="98"/>
        <v/>
      </c>
      <c r="AD301" s="14" t="str">
        <f t="shared" si="99"/>
        <v>AtkRate</v>
      </c>
      <c r="AE301" s="14">
        <f t="shared" si="100"/>
        <v>0.14000000000000001</v>
      </c>
      <c r="AF301" s="13" t="s">
        <v>446</v>
      </c>
      <c r="AG301" s="13"/>
      <c r="AH301" s="13" t="s">
        <v>445</v>
      </c>
      <c r="AI301" s="14">
        <f t="shared" si="93"/>
        <v>500</v>
      </c>
      <c r="AJ301" s="14" t="str">
        <f t="shared" si="94"/>
        <v>噬日碎片</v>
      </c>
      <c r="AK301" s="13">
        <f t="shared" si="95"/>
        <v>30</v>
      </c>
    </row>
    <row r="302" spans="25:37" ht="16.5" x14ac:dyDescent="0.2">
      <c r="Y302" s="13">
        <v>267</v>
      </c>
      <c r="Z302" s="13">
        <f t="shared" si="96"/>
        <v>1501018</v>
      </c>
      <c r="AA302" s="14" t="str">
        <f t="shared" si="97"/>
        <v>噬日</v>
      </c>
      <c r="AB302" s="13">
        <f t="shared" si="92"/>
        <v>12</v>
      </c>
      <c r="AC302" s="14" t="str">
        <f t="shared" si="98"/>
        <v/>
      </c>
      <c r="AD302" s="14" t="str">
        <f t="shared" si="99"/>
        <v>DefRate</v>
      </c>
      <c r="AE302" s="14">
        <f t="shared" si="100"/>
        <v>0.14000000000000001</v>
      </c>
      <c r="AF302" s="13" t="s">
        <v>446</v>
      </c>
      <c r="AG302" s="13"/>
      <c r="AH302" s="13" t="s">
        <v>445</v>
      </c>
      <c r="AI302" s="14">
        <f t="shared" si="93"/>
        <v>600</v>
      </c>
      <c r="AJ302" s="14" t="str">
        <f t="shared" si="94"/>
        <v>噬日碎片</v>
      </c>
      <c r="AK302" s="13">
        <f t="shared" si="95"/>
        <v>30</v>
      </c>
    </row>
    <row r="303" spans="25:37" ht="16.5" x14ac:dyDescent="0.2">
      <c r="Y303" s="13">
        <v>268</v>
      </c>
      <c r="Z303" s="13">
        <f t="shared" si="96"/>
        <v>1501018</v>
      </c>
      <c r="AA303" s="14" t="str">
        <f t="shared" si="97"/>
        <v>噬日</v>
      </c>
      <c r="AB303" s="13">
        <f t="shared" si="92"/>
        <v>13</v>
      </c>
      <c r="AC303" s="14" t="str">
        <f t="shared" si="98"/>
        <v/>
      </c>
      <c r="AD303" s="14" t="str">
        <f t="shared" si="99"/>
        <v>AtkRate</v>
      </c>
      <c r="AE303" s="14">
        <f t="shared" si="100"/>
        <v>0.14000000000000001</v>
      </c>
      <c r="AF303" s="13" t="s">
        <v>446</v>
      </c>
      <c r="AG303" s="13"/>
      <c r="AH303" s="13" t="s">
        <v>445</v>
      </c>
      <c r="AI303" s="14">
        <f t="shared" si="93"/>
        <v>700</v>
      </c>
      <c r="AJ303" s="14" t="str">
        <f t="shared" si="94"/>
        <v>噬日碎片</v>
      </c>
      <c r="AK303" s="13">
        <f t="shared" si="95"/>
        <v>30</v>
      </c>
    </row>
    <row r="304" spans="25:37" ht="16.5" x14ac:dyDescent="0.2">
      <c r="Y304" s="13">
        <v>269</v>
      </c>
      <c r="Z304" s="13">
        <f t="shared" si="96"/>
        <v>1501018</v>
      </c>
      <c r="AA304" s="14" t="str">
        <f t="shared" si="97"/>
        <v>噬日</v>
      </c>
      <c r="AB304" s="13">
        <f t="shared" si="92"/>
        <v>14</v>
      </c>
      <c r="AC304" s="14" t="str">
        <f t="shared" si="98"/>
        <v/>
      </c>
      <c r="AD304" s="14" t="str">
        <f t="shared" si="99"/>
        <v>Crit</v>
      </c>
      <c r="AE304" s="14">
        <f t="shared" si="100"/>
        <v>0.14000000000000001</v>
      </c>
      <c r="AF304" s="13" t="s">
        <v>446</v>
      </c>
      <c r="AG304" s="13"/>
      <c r="AH304" s="13" t="s">
        <v>445</v>
      </c>
      <c r="AI304" s="14">
        <f t="shared" si="93"/>
        <v>800</v>
      </c>
      <c r="AJ304" s="14" t="str">
        <f t="shared" si="94"/>
        <v>噬日碎片</v>
      </c>
      <c r="AK304" s="13">
        <f t="shared" si="95"/>
        <v>50</v>
      </c>
    </row>
    <row r="305" spans="25:37" ht="16.5" x14ac:dyDescent="0.2">
      <c r="Y305" s="13">
        <v>270</v>
      </c>
      <c r="Z305" s="13">
        <f t="shared" si="96"/>
        <v>1501018</v>
      </c>
      <c r="AA305" s="14" t="str">
        <f t="shared" si="97"/>
        <v>噬日</v>
      </c>
      <c r="AB305" s="13">
        <f t="shared" si="92"/>
        <v>15</v>
      </c>
      <c r="AC305" s="14" t="str">
        <f t="shared" si="98"/>
        <v/>
      </c>
      <c r="AD305" s="14" t="str">
        <f t="shared" si="99"/>
        <v>CritRate</v>
      </c>
      <c r="AE305" s="14">
        <f t="shared" si="100"/>
        <v>0.28999999999999998</v>
      </c>
      <c r="AF305" s="13" t="s">
        <v>446</v>
      </c>
      <c r="AG305" s="13"/>
      <c r="AH305" s="13" t="s">
        <v>445</v>
      </c>
      <c r="AI305" s="14">
        <f t="shared" si="93"/>
        <v>1000</v>
      </c>
      <c r="AJ305" s="14" t="str">
        <f t="shared" si="94"/>
        <v>噬日碎片</v>
      </c>
      <c r="AK305" s="13">
        <f t="shared" si="95"/>
        <v>60</v>
      </c>
    </row>
    <row r="306" spans="25:37" ht="16.5" x14ac:dyDescent="0.2">
      <c r="Y306" s="13">
        <v>271</v>
      </c>
      <c r="Z306" s="13">
        <f t="shared" si="96"/>
        <v>1501019</v>
      </c>
      <c r="AA306" s="14" t="str">
        <f t="shared" si="97"/>
        <v>食火蜥</v>
      </c>
      <c r="AB306" s="13">
        <f t="shared" si="92"/>
        <v>1</v>
      </c>
      <c r="AC306" s="14" t="str">
        <f t="shared" si="98"/>
        <v/>
      </c>
      <c r="AD306" s="14" t="str">
        <f t="shared" si="99"/>
        <v>AtkExt</v>
      </c>
      <c r="AE306" s="14">
        <f t="shared" si="100"/>
        <v>250</v>
      </c>
      <c r="AF306" s="13" t="s">
        <v>446</v>
      </c>
      <c r="AG306" s="13"/>
      <c r="AH306" s="13" t="s">
        <v>445</v>
      </c>
      <c r="AI306" s="14">
        <f t="shared" si="93"/>
        <v>10</v>
      </c>
      <c r="AJ306" s="14" t="str">
        <f t="shared" si="94"/>
        <v/>
      </c>
      <c r="AK306" s="13" t="str">
        <f t="shared" si="95"/>
        <v/>
      </c>
    </row>
    <row r="307" spans="25:37" ht="16.5" x14ac:dyDescent="0.2">
      <c r="Y307" s="13">
        <v>272</v>
      </c>
      <c r="Z307" s="13">
        <f t="shared" si="96"/>
        <v>1501019</v>
      </c>
      <c r="AA307" s="14" t="str">
        <f t="shared" si="97"/>
        <v>食火蜥</v>
      </c>
      <c r="AB307" s="13">
        <f t="shared" si="92"/>
        <v>2</v>
      </c>
      <c r="AC307" s="14" t="str">
        <f t="shared" si="98"/>
        <v/>
      </c>
      <c r="AD307" s="14" t="str">
        <f t="shared" si="99"/>
        <v>HPExt</v>
      </c>
      <c r="AE307" s="14">
        <f t="shared" si="100"/>
        <v>2250</v>
      </c>
      <c r="AF307" s="13" t="s">
        <v>446</v>
      </c>
      <c r="AG307" s="13"/>
      <c r="AH307" s="13" t="s">
        <v>445</v>
      </c>
      <c r="AI307" s="14">
        <f t="shared" si="93"/>
        <v>20</v>
      </c>
      <c r="AJ307" s="14" t="str">
        <f t="shared" si="94"/>
        <v/>
      </c>
      <c r="AK307" s="13" t="str">
        <f t="shared" si="95"/>
        <v/>
      </c>
    </row>
    <row r="308" spans="25:37" ht="16.5" x14ac:dyDescent="0.2">
      <c r="Y308" s="13">
        <v>273</v>
      </c>
      <c r="Z308" s="13">
        <f t="shared" si="96"/>
        <v>1501019</v>
      </c>
      <c r="AA308" s="14" t="str">
        <f t="shared" si="97"/>
        <v>食火蜥</v>
      </c>
      <c r="AB308" s="13">
        <f t="shared" si="92"/>
        <v>3</v>
      </c>
      <c r="AC308" s="14">
        <f t="shared" si="98"/>
        <v>130301909</v>
      </c>
      <c r="AD308" s="14" t="str">
        <f t="shared" si="99"/>
        <v/>
      </c>
      <c r="AE308" s="14" t="str">
        <f t="shared" si="100"/>
        <v/>
      </c>
      <c r="AF308" s="13" t="s">
        <v>446</v>
      </c>
      <c r="AG308" s="13"/>
      <c r="AH308" s="13" t="s">
        <v>445</v>
      </c>
      <c r="AI308" s="14">
        <f t="shared" si="93"/>
        <v>30</v>
      </c>
      <c r="AJ308" s="14" t="str">
        <f t="shared" si="94"/>
        <v>食火蜥碎片</v>
      </c>
      <c r="AK308" s="13">
        <f t="shared" si="95"/>
        <v>5</v>
      </c>
    </row>
    <row r="309" spans="25:37" ht="16.5" x14ac:dyDescent="0.2">
      <c r="Y309" s="13">
        <v>274</v>
      </c>
      <c r="Z309" s="13">
        <f t="shared" si="96"/>
        <v>1501019</v>
      </c>
      <c r="AA309" s="14" t="str">
        <f t="shared" si="97"/>
        <v>食火蜥</v>
      </c>
      <c r="AB309" s="13">
        <f t="shared" si="92"/>
        <v>4</v>
      </c>
      <c r="AC309" s="14" t="str">
        <f t="shared" si="98"/>
        <v/>
      </c>
      <c r="AD309" s="14" t="str">
        <f t="shared" si="99"/>
        <v>DefRate</v>
      </c>
      <c r="AE309" s="14">
        <f t="shared" si="100"/>
        <v>0.11</v>
      </c>
      <c r="AF309" s="13" t="s">
        <v>446</v>
      </c>
      <c r="AG309" s="13"/>
      <c r="AH309" s="13" t="s">
        <v>445</v>
      </c>
      <c r="AI309" s="14">
        <f t="shared" si="93"/>
        <v>50</v>
      </c>
      <c r="AJ309" s="14" t="str">
        <f t="shared" si="94"/>
        <v>食火蜥碎片</v>
      </c>
      <c r="AK309" s="13">
        <f t="shared" si="95"/>
        <v>5</v>
      </c>
    </row>
    <row r="310" spans="25:37" ht="16.5" x14ac:dyDescent="0.2">
      <c r="Y310" s="13">
        <v>275</v>
      </c>
      <c r="Z310" s="13">
        <f t="shared" si="96"/>
        <v>1501019</v>
      </c>
      <c r="AA310" s="14" t="str">
        <f t="shared" si="97"/>
        <v>食火蜥</v>
      </c>
      <c r="AB310" s="13">
        <f t="shared" si="92"/>
        <v>5</v>
      </c>
      <c r="AC310" s="14" t="str">
        <f t="shared" si="98"/>
        <v/>
      </c>
      <c r="AD310" s="14" t="str">
        <f t="shared" si="99"/>
        <v>AtkRate</v>
      </c>
      <c r="AE310" s="14">
        <f t="shared" si="100"/>
        <v>0.11</v>
      </c>
      <c r="AF310" s="13" t="s">
        <v>446</v>
      </c>
      <c r="AG310" s="13"/>
      <c r="AH310" s="13" t="s">
        <v>445</v>
      </c>
      <c r="AI310" s="14">
        <f t="shared" si="93"/>
        <v>100</v>
      </c>
      <c r="AJ310" s="14" t="str">
        <f t="shared" si="94"/>
        <v>食火蜥碎片</v>
      </c>
      <c r="AK310" s="13">
        <f t="shared" si="95"/>
        <v>10</v>
      </c>
    </row>
    <row r="311" spans="25:37" ht="16.5" x14ac:dyDescent="0.2">
      <c r="Y311" s="13">
        <v>276</v>
      </c>
      <c r="Z311" s="13">
        <f t="shared" si="96"/>
        <v>1501019</v>
      </c>
      <c r="AA311" s="14" t="str">
        <f t="shared" si="97"/>
        <v>食火蜥</v>
      </c>
      <c r="AB311" s="13">
        <f t="shared" si="92"/>
        <v>6</v>
      </c>
      <c r="AC311" s="14" t="str">
        <f t="shared" si="98"/>
        <v/>
      </c>
      <c r="AD311" s="14" t="str">
        <f t="shared" si="99"/>
        <v>HPRate</v>
      </c>
      <c r="AE311" s="14">
        <f t="shared" si="100"/>
        <v>0.11</v>
      </c>
      <c r="AF311" s="13" t="s">
        <v>446</v>
      </c>
      <c r="AG311" s="13"/>
      <c r="AH311" s="13" t="s">
        <v>445</v>
      </c>
      <c r="AI311" s="14">
        <f t="shared" si="93"/>
        <v>150</v>
      </c>
      <c r="AJ311" s="14" t="str">
        <f t="shared" si="94"/>
        <v>食火蜥碎片</v>
      </c>
      <c r="AK311" s="13">
        <f t="shared" si="95"/>
        <v>10</v>
      </c>
    </row>
    <row r="312" spans="25:37" ht="16.5" x14ac:dyDescent="0.2">
      <c r="Y312" s="13">
        <v>277</v>
      </c>
      <c r="Z312" s="13">
        <f t="shared" si="96"/>
        <v>1501019</v>
      </c>
      <c r="AA312" s="14" t="str">
        <f t="shared" si="97"/>
        <v>食火蜥</v>
      </c>
      <c r="AB312" s="13">
        <f t="shared" si="92"/>
        <v>7</v>
      </c>
      <c r="AC312" s="14" t="str">
        <f t="shared" si="98"/>
        <v/>
      </c>
      <c r="AD312" s="14" t="str">
        <f t="shared" si="99"/>
        <v>DefRate</v>
      </c>
      <c r="AE312" s="14">
        <f t="shared" si="100"/>
        <v>0.11</v>
      </c>
      <c r="AF312" s="13" t="s">
        <v>446</v>
      </c>
      <c r="AG312" s="13"/>
      <c r="AH312" s="13" t="s">
        <v>445</v>
      </c>
      <c r="AI312" s="14">
        <f t="shared" si="93"/>
        <v>200</v>
      </c>
      <c r="AJ312" s="14" t="str">
        <f t="shared" si="94"/>
        <v>食火蜥碎片</v>
      </c>
      <c r="AK312" s="13">
        <f t="shared" si="95"/>
        <v>10</v>
      </c>
    </row>
    <row r="313" spans="25:37" ht="16.5" x14ac:dyDescent="0.2">
      <c r="Y313" s="13">
        <v>278</v>
      </c>
      <c r="Z313" s="13">
        <f t="shared" si="96"/>
        <v>1501019</v>
      </c>
      <c r="AA313" s="14" t="str">
        <f t="shared" si="97"/>
        <v>食火蜥</v>
      </c>
      <c r="AB313" s="13">
        <f t="shared" si="92"/>
        <v>8</v>
      </c>
      <c r="AC313" s="14" t="str">
        <f t="shared" si="98"/>
        <v/>
      </c>
      <c r="AD313" s="14" t="str">
        <f t="shared" si="99"/>
        <v>HPRate</v>
      </c>
      <c r="AE313" s="14">
        <f t="shared" si="100"/>
        <v>0.11</v>
      </c>
      <c r="AF313" s="13" t="s">
        <v>446</v>
      </c>
      <c r="AG313" s="13"/>
      <c r="AH313" s="13" t="s">
        <v>445</v>
      </c>
      <c r="AI313" s="14">
        <f t="shared" si="93"/>
        <v>250</v>
      </c>
      <c r="AJ313" s="14" t="str">
        <f t="shared" si="94"/>
        <v>食火蜥碎片</v>
      </c>
      <c r="AK313" s="13">
        <f t="shared" si="95"/>
        <v>20</v>
      </c>
    </row>
    <row r="314" spans="25:37" ht="16.5" x14ac:dyDescent="0.2">
      <c r="Y314" s="13">
        <v>279</v>
      </c>
      <c r="Z314" s="13">
        <f t="shared" si="96"/>
        <v>1501019</v>
      </c>
      <c r="AA314" s="14" t="str">
        <f t="shared" si="97"/>
        <v>食火蜥</v>
      </c>
      <c r="AB314" s="13">
        <f t="shared" si="92"/>
        <v>9</v>
      </c>
      <c r="AC314" s="14" t="str">
        <f t="shared" si="98"/>
        <v/>
      </c>
      <c r="AD314" s="14" t="str">
        <f t="shared" si="99"/>
        <v>Block</v>
      </c>
      <c r="AE314" s="14">
        <f t="shared" si="100"/>
        <v>0.11</v>
      </c>
      <c r="AF314" s="13" t="s">
        <v>446</v>
      </c>
      <c r="AG314" s="13"/>
      <c r="AH314" s="13" t="s">
        <v>445</v>
      </c>
      <c r="AI314" s="14">
        <f t="shared" si="93"/>
        <v>300</v>
      </c>
      <c r="AJ314" s="14" t="str">
        <f t="shared" si="94"/>
        <v>食火蜥碎片</v>
      </c>
      <c r="AK314" s="13">
        <f t="shared" si="95"/>
        <v>20</v>
      </c>
    </row>
    <row r="315" spans="25:37" ht="16.5" x14ac:dyDescent="0.2">
      <c r="Y315" s="13">
        <v>280</v>
      </c>
      <c r="Z315" s="13">
        <f t="shared" si="96"/>
        <v>1501019</v>
      </c>
      <c r="AA315" s="14" t="str">
        <f t="shared" si="97"/>
        <v>食火蜥</v>
      </c>
      <c r="AB315" s="13">
        <f t="shared" si="92"/>
        <v>10</v>
      </c>
      <c r="AC315" s="14" t="str">
        <f t="shared" si="98"/>
        <v/>
      </c>
      <c r="AD315" s="14" t="str">
        <f t="shared" si="99"/>
        <v>DefRate</v>
      </c>
      <c r="AE315" s="14">
        <f t="shared" si="100"/>
        <v>0.14000000000000001</v>
      </c>
      <c r="AF315" s="13" t="s">
        <v>446</v>
      </c>
      <c r="AG315" s="13"/>
      <c r="AH315" s="13" t="s">
        <v>445</v>
      </c>
      <c r="AI315" s="14">
        <f t="shared" si="93"/>
        <v>400</v>
      </c>
      <c r="AJ315" s="14" t="str">
        <f t="shared" si="94"/>
        <v>食火蜥碎片</v>
      </c>
      <c r="AK315" s="13">
        <f t="shared" si="95"/>
        <v>20</v>
      </c>
    </row>
    <row r="316" spans="25:37" ht="16.5" x14ac:dyDescent="0.2">
      <c r="Y316" s="13">
        <v>281</v>
      </c>
      <c r="Z316" s="13">
        <f t="shared" si="96"/>
        <v>1501019</v>
      </c>
      <c r="AA316" s="14" t="str">
        <f t="shared" si="97"/>
        <v>食火蜥</v>
      </c>
      <c r="AB316" s="13">
        <f t="shared" si="92"/>
        <v>11</v>
      </c>
      <c r="AC316" s="14" t="str">
        <f t="shared" si="98"/>
        <v/>
      </c>
      <c r="AD316" s="14" t="str">
        <f t="shared" si="99"/>
        <v>AtkRate</v>
      </c>
      <c r="AE316" s="14">
        <f t="shared" si="100"/>
        <v>0.14000000000000001</v>
      </c>
      <c r="AF316" s="13" t="s">
        <v>446</v>
      </c>
      <c r="AG316" s="13"/>
      <c r="AH316" s="13" t="s">
        <v>445</v>
      </c>
      <c r="AI316" s="14">
        <f t="shared" si="93"/>
        <v>500</v>
      </c>
      <c r="AJ316" s="14" t="str">
        <f t="shared" si="94"/>
        <v>食火蜥碎片</v>
      </c>
      <c r="AK316" s="13">
        <f t="shared" si="95"/>
        <v>30</v>
      </c>
    </row>
    <row r="317" spans="25:37" ht="16.5" x14ac:dyDescent="0.2">
      <c r="Y317" s="13">
        <v>282</v>
      </c>
      <c r="Z317" s="13">
        <f t="shared" si="96"/>
        <v>1501019</v>
      </c>
      <c r="AA317" s="14" t="str">
        <f t="shared" si="97"/>
        <v>食火蜥</v>
      </c>
      <c r="AB317" s="13">
        <f t="shared" si="92"/>
        <v>12</v>
      </c>
      <c r="AC317" s="14" t="str">
        <f t="shared" si="98"/>
        <v/>
      </c>
      <c r="AD317" s="14" t="str">
        <f t="shared" si="99"/>
        <v>HPRate</v>
      </c>
      <c r="AE317" s="14">
        <f t="shared" si="100"/>
        <v>0.14000000000000001</v>
      </c>
      <c r="AF317" s="13" t="s">
        <v>446</v>
      </c>
      <c r="AG317" s="13"/>
      <c r="AH317" s="13" t="s">
        <v>445</v>
      </c>
      <c r="AI317" s="14">
        <f t="shared" si="93"/>
        <v>600</v>
      </c>
      <c r="AJ317" s="14" t="str">
        <f t="shared" si="94"/>
        <v>食火蜥碎片</v>
      </c>
      <c r="AK317" s="13">
        <f t="shared" si="95"/>
        <v>30</v>
      </c>
    </row>
    <row r="318" spans="25:37" ht="16.5" x14ac:dyDescent="0.2">
      <c r="Y318" s="13">
        <v>283</v>
      </c>
      <c r="Z318" s="13">
        <f t="shared" si="96"/>
        <v>1501019</v>
      </c>
      <c r="AA318" s="14" t="str">
        <f t="shared" si="97"/>
        <v>食火蜥</v>
      </c>
      <c r="AB318" s="13">
        <f t="shared" si="92"/>
        <v>13</v>
      </c>
      <c r="AC318" s="14" t="str">
        <f t="shared" si="98"/>
        <v/>
      </c>
      <c r="AD318" s="14" t="str">
        <f t="shared" si="99"/>
        <v>DefRate</v>
      </c>
      <c r="AE318" s="14">
        <f t="shared" si="100"/>
        <v>0.14000000000000001</v>
      </c>
      <c r="AF318" s="13" t="s">
        <v>446</v>
      </c>
      <c r="AG318" s="13"/>
      <c r="AH318" s="13" t="s">
        <v>445</v>
      </c>
      <c r="AI318" s="14">
        <f t="shared" si="93"/>
        <v>700</v>
      </c>
      <c r="AJ318" s="14" t="str">
        <f t="shared" si="94"/>
        <v>食火蜥碎片</v>
      </c>
      <c r="AK318" s="13">
        <f t="shared" si="95"/>
        <v>30</v>
      </c>
    </row>
    <row r="319" spans="25:37" ht="16.5" x14ac:dyDescent="0.2">
      <c r="Y319" s="13">
        <v>284</v>
      </c>
      <c r="Z319" s="13">
        <f t="shared" si="96"/>
        <v>1501019</v>
      </c>
      <c r="AA319" s="14" t="str">
        <f t="shared" si="97"/>
        <v>食火蜥</v>
      </c>
      <c r="AB319" s="13">
        <f t="shared" si="92"/>
        <v>14</v>
      </c>
      <c r="AC319" s="14" t="str">
        <f t="shared" si="98"/>
        <v/>
      </c>
      <c r="AD319" s="14" t="str">
        <f t="shared" si="99"/>
        <v>HPRate</v>
      </c>
      <c r="AE319" s="14">
        <f t="shared" si="100"/>
        <v>0.14000000000000001</v>
      </c>
      <c r="AF319" s="13" t="s">
        <v>446</v>
      </c>
      <c r="AG319" s="13"/>
      <c r="AH319" s="13" t="s">
        <v>445</v>
      </c>
      <c r="AI319" s="14">
        <f t="shared" si="93"/>
        <v>800</v>
      </c>
      <c r="AJ319" s="14" t="str">
        <f t="shared" si="94"/>
        <v>食火蜥碎片</v>
      </c>
      <c r="AK319" s="13">
        <f t="shared" si="95"/>
        <v>50</v>
      </c>
    </row>
    <row r="320" spans="25:37" ht="16.5" x14ac:dyDescent="0.2">
      <c r="Y320" s="13">
        <v>285</v>
      </c>
      <c r="Z320" s="13">
        <f t="shared" si="96"/>
        <v>1501019</v>
      </c>
      <c r="AA320" s="14" t="str">
        <f t="shared" si="97"/>
        <v>食火蜥</v>
      </c>
      <c r="AB320" s="13">
        <f t="shared" si="92"/>
        <v>15</v>
      </c>
      <c r="AC320" s="14" t="str">
        <f t="shared" si="98"/>
        <v/>
      </c>
      <c r="AD320" s="14" t="str">
        <f t="shared" si="99"/>
        <v>Block</v>
      </c>
      <c r="AE320" s="14">
        <f t="shared" si="100"/>
        <v>0.14000000000000001</v>
      </c>
      <c r="AF320" s="13" t="s">
        <v>446</v>
      </c>
      <c r="AG320" s="13"/>
      <c r="AH320" s="13" t="s">
        <v>445</v>
      </c>
      <c r="AI320" s="14">
        <f t="shared" si="93"/>
        <v>1000</v>
      </c>
      <c r="AJ320" s="14" t="str">
        <f t="shared" si="94"/>
        <v>食火蜥碎片</v>
      </c>
      <c r="AK320" s="13">
        <f t="shared" si="95"/>
        <v>60</v>
      </c>
    </row>
    <row r="321" spans="25:37" ht="16.5" x14ac:dyDescent="0.2">
      <c r="Y321" s="13">
        <v>286</v>
      </c>
      <c r="Z321" s="13">
        <f t="shared" si="96"/>
        <v>1501020</v>
      </c>
      <c r="AA321" s="14" t="str">
        <f t="shared" si="97"/>
        <v>高顺</v>
      </c>
      <c r="AB321" s="13">
        <f t="shared" si="92"/>
        <v>1</v>
      </c>
      <c r="AC321" s="14" t="str">
        <f t="shared" si="98"/>
        <v/>
      </c>
      <c r="AD321" s="14" t="str">
        <f t="shared" si="99"/>
        <v>AtkExt</v>
      </c>
      <c r="AE321" s="14">
        <f t="shared" si="100"/>
        <v>250</v>
      </c>
      <c r="AF321" s="13" t="s">
        <v>446</v>
      </c>
      <c r="AG321" s="13"/>
      <c r="AH321" s="13" t="s">
        <v>445</v>
      </c>
      <c r="AI321" s="14">
        <f t="shared" si="93"/>
        <v>10</v>
      </c>
      <c r="AJ321" s="14" t="str">
        <f t="shared" si="94"/>
        <v/>
      </c>
      <c r="AK321" s="13" t="str">
        <f t="shared" si="95"/>
        <v/>
      </c>
    </row>
    <row r="322" spans="25:37" ht="16.5" x14ac:dyDescent="0.2">
      <c r="Y322" s="13">
        <v>287</v>
      </c>
      <c r="Z322" s="13">
        <f t="shared" si="96"/>
        <v>1501020</v>
      </c>
      <c r="AA322" s="14" t="str">
        <f t="shared" si="97"/>
        <v>高顺</v>
      </c>
      <c r="AB322" s="13">
        <f t="shared" si="92"/>
        <v>2</v>
      </c>
      <c r="AC322" s="14" t="str">
        <f t="shared" si="98"/>
        <v/>
      </c>
      <c r="AD322" s="14" t="str">
        <f t="shared" si="99"/>
        <v>HPExt</v>
      </c>
      <c r="AE322" s="14">
        <f t="shared" si="100"/>
        <v>2250</v>
      </c>
      <c r="AF322" s="13" t="s">
        <v>446</v>
      </c>
      <c r="AG322" s="13"/>
      <c r="AH322" s="13" t="s">
        <v>445</v>
      </c>
      <c r="AI322" s="14">
        <f t="shared" si="93"/>
        <v>20</v>
      </c>
      <c r="AJ322" s="14" t="str">
        <f t="shared" si="94"/>
        <v/>
      </c>
      <c r="AK322" s="13" t="str">
        <f t="shared" si="95"/>
        <v/>
      </c>
    </row>
    <row r="323" spans="25:37" ht="16.5" x14ac:dyDescent="0.2">
      <c r="Y323" s="13">
        <v>288</v>
      </c>
      <c r="Z323" s="13">
        <f t="shared" si="96"/>
        <v>1501020</v>
      </c>
      <c r="AA323" s="14" t="str">
        <f t="shared" si="97"/>
        <v>高顺</v>
      </c>
      <c r="AB323" s="13">
        <f t="shared" si="92"/>
        <v>3</v>
      </c>
      <c r="AC323" s="14">
        <f t="shared" si="98"/>
        <v>130302009</v>
      </c>
      <c r="AD323" s="14" t="str">
        <f t="shared" si="99"/>
        <v/>
      </c>
      <c r="AE323" s="14" t="str">
        <f t="shared" si="100"/>
        <v/>
      </c>
      <c r="AF323" s="13" t="s">
        <v>446</v>
      </c>
      <c r="AG323" s="13"/>
      <c r="AH323" s="13" t="s">
        <v>445</v>
      </c>
      <c r="AI323" s="14">
        <f t="shared" si="93"/>
        <v>30</v>
      </c>
      <c r="AJ323" s="14" t="str">
        <f t="shared" si="94"/>
        <v>高顺碎片</v>
      </c>
      <c r="AK323" s="13">
        <f t="shared" si="95"/>
        <v>5</v>
      </c>
    </row>
    <row r="324" spans="25:37" ht="16.5" x14ac:dyDescent="0.2">
      <c r="Y324" s="13">
        <v>289</v>
      </c>
      <c r="Z324" s="13">
        <f t="shared" si="96"/>
        <v>1501020</v>
      </c>
      <c r="AA324" s="14" t="str">
        <f t="shared" si="97"/>
        <v>高顺</v>
      </c>
      <c r="AB324" s="13">
        <f t="shared" si="92"/>
        <v>4</v>
      </c>
      <c r="AC324" s="14" t="str">
        <f t="shared" si="98"/>
        <v/>
      </c>
      <c r="AD324" s="14" t="str">
        <f t="shared" si="99"/>
        <v>AtkRate</v>
      </c>
      <c r="AE324" s="14">
        <f t="shared" si="100"/>
        <v>0.11</v>
      </c>
      <c r="AF324" s="13" t="s">
        <v>446</v>
      </c>
      <c r="AG324" s="13"/>
      <c r="AH324" s="13" t="s">
        <v>445</v>
      </c>
      <c r="AI324" s="14">
        <f t="shared" si="93"/>
        <v>50</v>
      </c>
      <c r="AJ324" s="14" t="str">
        <f t="shared" si="94"/>
        <v>高顺碎片</v>
      </c>
      <c r="AK324" s="13">
        <f t="shared" si="95"/>
        <v>5</v>
      </c>
    </row>
    <row r="325" spans="25:37" ht="16.5" x14ac:dyDescent="0.2">
      <c r="Y325" s="13">
        <v>290</v>
      </c>
      <c r="Z325" s="13">
        <f t="shared" si="96"/>
        <v>1501020</v>
      </c>
      <c r="AA325" s="14" t="str">
        <f t="shared" si="97"/>
        <v>高顺</v>
      </c>
      <c r="AB325" s="13">
        <f t="shared" si="92"/>
        <v>5</v>
      </c>
      <c r="AC325" s="14" t="str">
        <f t="shared" si="98"/>
        <v/>
      </c>
      <c r="AD325" s="14" t="str">
        <f t="shared" si="99"/>
        <v>Crit</v>
      </c>
      <c r="AE325" s="14">
        <f t="shared" si="100"/>
        <v>0.11</v>
      </c>
      <c r="AF325" s="13" t="s">
        <v>446</v>
      </c>
      <c r="AG325" s="13"/>
      <c r="AH325" s="13" t="s">
        <v>445</v>
      </c>
      <c r="AI325" s="14">
        <f t="shared" si="93"/>
        <v>100</v>
      </c>
      <c r="AJ325" s="14" t="str">
        <f t="shared" si="94"/>
        <v>高顺碎片</v>
      </c>
      <c r="AK325" s="13">
        <f t="shared" si="95"/>
        <v>10</v>
      </c>
    </row>
    <row r="326" spans="25:37" ht="16.5" x14ac:dyDescent="0.2">
      <c r="Y326" s="13">
        <v>291</v>
      </c>
      <c r="Z326" s="13">
        <f t="shared" si="96"/>
        <v>1501020</v>
      </c>
      <c r="AA326" s="14" t="str">
        <f t="shared" si="97"/>
        <v>高顺</v>
      </c>
      <c r="AB326" s="13">
        <f t="shared" si="92"/>
        <v>6</v>
      </c>
      <c r="AC326" s="14" t="str">
        <f t="shared" si="98"/>
        <v/>
      </c>
      <c r="AD326" s="14" t="str">
        <f t="shared" si="99"/>
        <v>CritRate</v>
      </c>
      <c r="AE326" s="14">
        <f t="shared" si="100"/>
        <v>0.21</v>
      </c>
      <c r="AF326" s="13" t="s">
        <v>446</v>
      </c>
      <c r="AG326" s="13"/>
      <c r="AH326" s="13" t="s">
        <v>445</v>
      </c>
      <c r="AI326" s="14">
        <f t="shared" si="93"/>
        <v>150</v>
      </c>
      <c r="AJ326" s="14" t="str">
        <f t="shared" si="94"/>
        <v>高顺碎片</v>
      </c>
      <c r="AK326" s="13">
        <f t="shared" si="95"/>
        <v>10</v>
      </c>
    </row>
    <row r="327" spans="25:37" ht="16.5" x14ac:dyDescent="0.2">
      <c r="Y327" s="13">
        <v>292</v>
      </c>
      <c r="Z327" s="13">
        <f t="shared" si="96"/>
        <v>1501020</v>
      </c>
      <c r="AA327" s="14" t="str">
        <f t="shared" si="97"/>
        <v>高顺</v>
      </c>
      <c r="AB327" s="13">
        <f t="shared" si="92"/>
        <v>7</v>
      </c>
      <c r="AC327" s="14" t="str">
        <f t="shared" si="98"/>
        <v/>
      </c>
      <c r="AD327" s="14" t="str">
        <f t="shared" si="99"/>
        <v>HPRate</v>
      </c>
      <c r="AE327" s="14">
        <f t="shared" si="100"/>
        <v>0.11</v>
      </c>
      <c r="AF327" s="13" t="s">
        <v>446</v>
      </c>
      <c r="AG327" s="13"/>
      <c r="AH327" s="13" t="s">
        <v>445</v>
      </c>
      <c r="AI327" s="14">
        <f t="shared" si="93"/>
        <v>200</v>
      </c>
      <c r="AJ327" s="14" t="str">
        <f t="shared" si="94"/>
        <v>高顺碎片</v>
      </c>
      <c r="AK327" s="13">
        <f t="shared" si="95"/>
        <v>10</v>
      </c>
    </row>
    <row r="328" spans="25:37" ht="16.5" x14ac:dyDescent="0.2">
      <c r="Y328" s="13">
        <v>293</v>
      </c>
      <c r="Z328" s="13">
        <f t="shared" si="96"/>
        <v>1501020</v>
      </c>
      <c r="AA328" s="14" t="str">
        <f t="shared" si="97"/>
        <v>高顺</v>
      </c>
      <c r="AB328" s="13">
        <f t="shared" si="92"/>
        <v>8</v>
      </c>
      <c r="AC328" s="14" t="str">
        <f t="shared" si="98"/>
        <v/>
      </c>
      <c r="AD328" s="14" t="str">
        <f t="shared" si="99"/>
        <v>CritRate</v>
      </c>
      <c r="AE328" s="14">
        <f t="shared" si="100"/>
        <v>0.21</v>
      </c>
      <c r="AF328" s="13" t="s">
        <v>446</v>
      </c>
      <c r="AG328" s="13"/>
      <c r="AH328" s="13" t="s">
        <v>445</v>
      </c>
      <c r="AI328" s="14">
        <f t="shared" si="93"/>
        <v>250</v>
      </c>
      <c r="AJ328" s="14" t="str">
        <f t="shared" si="94"/>
        <v>高顺碎片</v>
      </c>
      <c r="AK328" s="13">
        <f t="shared" si="95"/>
        <v>20</v>
      </c>
    </row>
    <row r="329" spans="25:37" ht="16.5" x14ac:dyDescent="0.2">
      <c r="Y329" s="13">
        <v>294</v>
      </c>
      <c r="Z329" s="13">
        <f t="shared" si="96"/>
        <v>1501020</v>
      </c>
      <c r="AA329" s="14" t="str">
        <f t="shared" si="97"/>
        <v>高顺</v>
      </c>
      <c r="AB329" s="13">
        <f t="shared" si="92"/>
        <v>9</v>
      </c>
      <c r="AC329" s="14" t="str">
        <f t="shared" si="98"/>
        <v/>
      </c>
      <c r="AD329" s="14" t="str">
        <f t="shared" si="99"/>
        <v>AtkRate</v>
      </c>
      <c r="AE329" s="14">
        <f t="shared" si="100"/>
        <v>0.11</v>
      </c>
      <c r="AF329" s="13" t="s">
        <v>446</v>
      </c>
      <c r="AG329" s="13"/>
      <c r="AH329" s="13" t="s">
        <v>445</v>
      </c>
      <c r="AI329" s="14">
        <f t="shared" si="93"/>
        <v>300</v>
      </c>
      <c r="AJ329" s="14" t="str">
        <f t="shared" si="94"/>
        <v>高顺碎片</v>
      </c>
      <c r="AK329" s="13">
        <f t="shared" si="95"/>
        <v>20</v>
      </c>
    </row>
    <row r="330" spans="25:37" ht="16.5" x14ac:dyDescent="0.2">
      <c r="Y330" s="13">
        <v>295</v>
      </c>
      <c r="Z330" s="13">
        <f t="shared" si="96"/>
        <v>1501020</v>
      </c>
      <c r="AA330" s="14" t="str">
        <f t="shared" si="97"/>
        <v>高顺</v>
      </c>
      <c r="AB330" s="13">
        <f t="shared" si="92"/>
        <v>10</v>
      </c>
      <c r="AC330" s="14" t="str">
        <f t="shared" si="98"/>
        <v/>
      </c>
      <c r="AD330" s="14" t="str">
        <f t="shared" si="99"/>
        <v>AtkRate</v>
      </c>
      <c r="AE330" s="14">
        <f t="shared" si="100"/>
        <v>0.14000000000000001</v>
      </c>
      <c r="AF330" s="13" t="s">
        <v>446</v>
      </c>
      <c r="AG330" s="13"/>
      <c r="AH330" s="13" t="s">
        <v>445</v>
      </c>
      <c r="AI330" s="14">
        <f t="shared" si="93"/>
        <v>400</v>
      </c>
      <c r="AJ330" s="14" t="str">
        <f t="shared" si="94"/>
        <v>高顺碎片</v>
      </c>
      <c r="AK330" s="13">
        <f t="shared" si="95"/>
        <v>20</v>
      </c>
    </row>
    <row r="331" spans="25:37" ht="16.5" x14ac:dyDescent="0.2">
      <c r="Y331" s="13">
        <v>296</v>
      </c>
      <c r="Z331" s="13">
        <f t="shared" si="96"/>
        <v>1501020</v>
      </c>
      <c r="AA331" s="14" t="str">
        <f t="shared" si="97"/>
        <v>高顺</v>
      </c>
      <c r="AB331" s="13">
        <f t="shared" si="92"/>
        <v>11</v>
      </c>
      <c r="AC331" s="14" t="str">
        <f t="shared" si="98"/>
        <v/>
      </c>
      <c r="AD331" s="14" t="str">
        <f t="shared" si="99"/>
        <v>Crit</v>
      </c>
      <c r="AE331" s="14">
        <f t="shared" si="100"/>
        <v>0.14000000000000001</v>
      </c>
      <c r="AF331" s="13" t="s">
        <v>446</v>
      </c>
      <c r="AG331" s="13"/>
      <c r="AH331" s="13" t="s">
        <v>445</v>
      </c>
      <c r="AI331" s="14">
        <f t="shared" si="93"/>
        <v>500</v>
      </c>
      <c r="AJ331" s="14" t="str">
        <f t="shared" si="94"/>
        <v>高顺碎片</v>
      </c>
      <c r="AK331" s="13">
        <f t="shared" si="95"/>
        <v>30</v>
      </c>
    </row>
    <row r="332" spans="25:37" ht="16.5" x14ac:dyDescent="0.2">
      <c r="Y332" s="13">
        <v>297</v>
      </c>
      <c r="Z332" s="13">
        <f t="shared" si="96"/>
        <v>1501020</v>
      </c>
      <c r="AA332" s="14" t="str">
        <f t="shared" si="97"/>
        <v>高顺</v>
      </c>
      <c r="AB332" s="13">
        <f t="shared" si="92"/>
        <v>12</v>
      </c>
      <c r="AC332" s="14" t="str">
        <f t="shared" si="98"/>
        <v/>
      </c>
      <c r="AD332" s="14" t="str">
        <f t="shared" si="99"/>
        <v>CritRate</v>
      </c>
      <c r="AE332" s="14">
        <f t="shared" si="100"/>
        <v>0.28999999999999998</v>
      </c>
      <c r="AF332" s="13" t="s">
        <v>446</v>
      </c>
      <c r="AG332" s="13"/>
      <c r="AH332" s="13" t="s">
        <v>445</v>
      </c>
      <c r="AI332" s="14">
        <f t="shared" si="93"/>
        <v>600</v>
      </c>
      <c r="AJ332" s="14" t="str">
        <f t="shared" si="94"/>
        <v>高顺碎片</v>
      </c>
      <c r="AK332" s="13">
        <f t="shared" si="95"/>
        <v>30</v>
      </c>
    </row>
    <row r="333" spans="25:37" ht="16.5" x14ac:dyDescent="0.2">
      <c r="Y333" s="13">
        <v>298</v>
      </c>
      <c r="Z333" s="13">
        <f t="shared" si="96"/>
        <v>1501020</v>
      </c>
      <c r="AA333" s="14" t="str">
        <f t="shared" si="97"/>
        <v>高顺</v>
      </c>
      <c r="AB333" s="13">
        <f t="shared" si="92"/>
        <v>13</v>
      </c>
      <c r="AC333" s="14" t="str">
        <f t="shared" si="98"/>
        <v/>
      </c>
      <c r="AD333" s="14" t="str">
        <f t="shared" si="99"/>
        <v>HPRate</v>
      </c>
      <c r="AE333" s="14">
        <f t="shared" si="100"/>
        <v>0.14000000000000001</v>
      </c>
      <c r="AF333" s="13" t="s">
        <v>446</v>
      </c>
      <c r="AG333" s="13"/>
      <c r="AH333" s="13" t="s">
        <v>445</v>
      </c>
      <c r="AI333" s="14">
        <f t="shared" si="93"/>
        <v>700</v>
      </c>
      <c r="AJ333" s="14" t="str">
        <f t="shared" si="94"/>
        <v>高顺碎片</v>
      </c>
      <c r="AK333" s="13">
        <f t="shared" si="95"/>
        <v>30</v>
      </c>
    </row>
    <row r="334" spans="25:37" ht="16.5" x14ac:dyDescent="0.2">
      <c r="Y334" s="13">
        <v>299</v>
      </c>
      <c r="Z334" s="13">
        <f t="shared" si="96"/>
        <v>1501020</v>
      </c>
      <c r="AA334" s="14" t="str">
        <f t="shared" si="97"/>
        <v>高顺</v>
      </c>
      <c r="AB334" s="13">
        <f t="shared" si="92"/>
        <v>14</v>
      </c>
      <c r="AC334" s="14" t="str">
        <f t="shared" si="98"/>
        <v/>
      </c>
      <c r="AD334" s="14" t="str">
        <f t="shared" si="99"/>
        <v>CritRate</v>
      </c>
      <c r="AE334" s="14">
        <f t="shared" si="100"/>
        <v>0.28999999999999998</v>
      </c>
      <c r="AF334" s="13" t="s">
        <v>446</v>
      </c>
      <c r="AG334" s="13"/>
      <c r="AH334" s="13" t="s">
        <v>445</v>
      </c>
      <c r="AI334" s="14">
        <f t="shared" si="93"/>
        <v>800</v>
      </c>
      <c r="AJ334" s="14" t="str">
        <f t="shared" si="94"/>
        <v>高顺碎片</v>
      </c>
      <c r="AK334" s="13">
        <f t="shared" si="95"/>
        <v>50</v>
      </c>
    </row>
    <row r="335" spans="25:37" ht="16.5" x14ac:dyDescent="0.2">
      <c r="Y335" s="13">
        <v>300</v>
      </c>
      <c r="Z335" s="13">
        <f t="shared" si="96"/>
        <v>1501020</v>
      </c>
      <c r="AA335" s="14" t="str">
        <f t="shared" si="97"/>
        <v>高顺</v>
      </c>
      <c r="AB335" s="13">
        <f t="shared" si="92"/>
        <v>15</v>
      </c>
      <c r="AC335" s="14" t="str">
        <f t="shared" si="98"/>
        <v/>
      </c>
      <c r="AD335" s="14" t="str">
        <f t="shared" si="99"/>
        <v>AtkRate</v>
      </c>
      <c r="AE335" s="14">
        <f t="shared" si="100"/>
        <v>0.14000000000000001</v>
      </c>
      <c r="AF335" s="13" t="s">
        <v>446</v>
      </c>
      <c r="AG335" s="13"/>
      <c r="AH335" s="13" t="s">
        <v>445</v>
      </c>
      <c r="AI335" s="14">
        <f t="shared" si="93"/>
        <v>1000</v>
      </c>
      <c r="AJ335" s="14" t="str">
        <f t="shared" si="94"/>
        <v>高顺碎片</v>
      </c>
      <c r="AK335" s="13">
        <f t="shared" si="95"/>
        <v>60</v>
      </c>
    </row>
    <row r="336" spans="25:37" ht="16.5" x14ac:dyDescent="0.2">
      <c r="Y336" s="13">
        <v>301</v>
      </c>
      <c r="Z336" s="13">
        <f t="shared" si="96"/>
        <v>1501021</v>
      </c>
      <c r="AA336" s="14" t="str">
        <f t="shared" si="97"/>
        <v>烈风螳螂</v>
      </c>
      <c r="AB336" s="13">
        <f t="shared" si="92"/>
        <v>1</v>
      </c>
      <c r="AC336" s="14" t="str">
        <f t="shared" si="98"/>
        <v/>
      </c>
      <c r="AD336" s="14" t="str">
        <f t="shared" si="99"/>
        <v>AtkExt</v>
      </c>
      <c r="AE336" s="14">
        <f t="shared" si="100"/>
        <v>250</v>
      </c>
      <c r="AF336" s="13" t="s">
        <v>446</v>
      </c>
      <c r="AG336" s="13"/>
      <c r="AH336" s="13" t="s">
        <v>445</v>
      </c>
      <c r="AI336" s="14">
        <f t="shared" si="93"/>
        <v>10</v>
      </c>
      <c r="AJ336" s="14" t="str">
        <f t="shared" si="94"/>
        <v/>
      </c>
      <c r="AK336" s="13" t="str">
        <f t="shared" si="95"/>
        <v/>
      </c>
    </row>
    <row r="337" spans="25:37" ht="16.5" x14ac:dyDescent="0.2">
      <c r="Y337" s="13">
        <v>302</v>
      </c>
      <c r="Z337" s="13">
        <f t="shared" si="96"/>
        <v>1501021</v>
      </c>
      <c r="AA337" s="14" t="str">
        <f t="shared" si="97"/>
        <v>烈风螳螂</v>
      </c>
      <c r="AB337" s="13">
        <f t="shared" si="92"/>
        <v>2</v>
      </c>
      <c r="AC337" s="14" t="str">
        <f t="shared" si="98"/>
        <v/>
      </c>
      <c r="AD337" s="14" t="str">
        <f t="shared" si="99"/>
        <v>HPExt</v>
      </c>
      <c r="AE337" s="14">
        <f t="shared" si="100"/>
        <v>2250</v>
      </c>
      <c r="AF337" s="13" t="s">
        <v>446</v>
      </c>
      <c r="AG337" s="13"/>
      <c r="AH337" s="13" t="s">
        <v>445</v>
      </c>
      <c r="AI337" s="14">
        <f t="shared" si="93"/>
        <v>20</v>
      </c>
      <c r="AJ337" s="14" t="str">
        <f t="shared" si="94"/>
        <v/>
      </c>
      <c r="AK337" s="13" t="str">
        <f t="shared" si="95"/>
        <v/>
      </c>
    </row>
    <row r="338" spans="25:37" ht="16.5" x14ac:dyDescent="0.2">
      <c r="Y338" s="13">
        <v>303</v>
      </c>
      <c r="Z338" s="13">
        <f t="shared" si="96"/>
        <v>1501021</v>
      </c>
      <c r="AA338" s="14" t="str">
        <f t="shared" si="97"/>
        <v>烈风螳螂</v>
      </c>
      <c r="AB338" s="13">
        <f t="shared" si="92"/>
        <v>3</v>
      </c>
      <c r="AC338" s="14">
        <f t="shared" si="98"/>
        <v>130302109</v>
      </c>
      <c r="AD338" s="14" t="str">
        <f t="shared" si="99"/>
        <v/>
      </c>
      <c r="AE338" s="14" t="str">
        <f t="shared" si="100"/>
        <v/>
      </c>
      <c r="AF338" s="13" t="s">
        <v>446</v>
      </c>
      <c r="AG338" s="13"/>
      <c r="AH338" s="13" t="s">
        <v>445</v>
      </c>
      <c r="AI338" s="14">
        <f t="shared" si="93"/>
        <v>30</v>
      </c>
      <c r="AJ338" s="14" t="str">
        <f t="shared" si="94"/>
        <v>烈风螳螂碎片</v>
      </c>
      <c r="AK338" s="13">
        <f t="shared" si="95"/>
        <v>5</v>
      </c>
    </row>
    <row r="339" spans="25:37" ht="16.5" x14ac:dyDescent="0.2">
      <c r="Y339" s="13">
        <v>304</v>
      </c>
      <c r="Z339" s="13">
        <f t="shared" si="96"/>
        <v>1501021</v>
      </c>
      <c r="AA339" s="14" t="str">
        <f t="shared" si="97"/>
        <v>烈风螳螂</v>
      </c>
      <c r="AB339" s="13">
        <f t="shared" si="92"/>
        <v>4</v>
      </c>
      <c r="AC339" s="14" t="str">
        <f t="shared" si="98"/>
        <v/>
      </c>
      <c r="AD339" s="14" t="str">
        <f t="shared" si="99"/>
        <v>AtkRate</v>
      </c>
      <c r="AE339" s="14">
        <f t="shared" si="100"/>
        <v>0.11</v>
      </c>
      <c r="AF339" s="13" t="s">
        <v>446</v>
      </c>
      <c r="AG339" s="13"/>
      <c r="AH339" s="13" t="s">
        <v>445</v>
      </c>
      <c r="AI339" s="14">
        <f t="shared" si="93"/>
        <v>50</v>
      </c>
      <c r="AJ339" s="14" t="str">
        <f t="shared" si="94"/>
        <v>烈风螳螂碎片</v>
      </c>
      <c r="AK339" s="13">
        <f t="shared" si="95"/>
        <v>5</v>
      </c>
    </row>
    <row r="340" spans="25:37" ht="16.5" x14ac:dyDescent="0.2">
      <c r="Y340" s="13">
        <v>305</v>
      </c>
      <c r="Z340" s="13">
        <f t="shared" si="96"/>
        <v>1501021</v>
      </c>
      <c r="AA340" s="14" t="str">
        <f t="shared" si="97"/>
        <v>烈风螳螂</v>
      </c>
      <c r="AB340" s="13">
        <f t="shared" si="92"/>
        <v>5</v>
      </c>
      <c r="AC340" s="14" t="str">
        <f t="shared" si="98"/>
        <v/>
      </c>
      <c r="AD340" s="14" t="str">
        <f t="shared" si="99"/>
        <v>HPRate</v>
      </c>
      <c r="AE340" s="14">
        <f t="shared" si="100"/>
        <v>0.11</v>
      </c>
      <c r="AF340" s="13" t="s">
        <v>446</v>
      </c>
      <c r="AG340" s="13"/>
      <c r="AH340" s="13" t="s">
        <v>445</v>
      </c>
      <c r="AI340" s="14">
        <f t="shared" si="93"/>
        <v>100</v>
      </c>
      <c r="AJ340" s="14" t="str">
        <f t="shared" si="94"/>
        <v>烈风螳螂碎片</v>
      </c>
      <c r="AK340" s="13">
        <f t="shared" si="95"/>
        <v>10</v>
      </c>
    </row>
    <row r="341" spans="25:37" ht="16.5" x14ac:dyDescent="0.2">
      <c r="Y341" s="13">
        <v>306</v>
      </c>
      <c r="Z341" s="13">
        <f t="shared" si="96"/>
        <v>1501021</v>
      </c>
      <c r="AA341" s="14" t="str">
        <f t="shared" si="97"/>
        <v>烈风螳螂</v>
      </c>
      <c r="AB341" s="13">
        <f t="shared" si="92"/>
        <v>6</v>
      </c>
      <c r="AC341" s="14" t="str">
        <f t="shared" si="98"/>
        <v/>
      </c>
      <c r="AD341" s="14" t="str">
        <f t="shared" si="99"/>
        <v>AtkRate</v>
      </c>
      <c r="AE341" s="14">
        <f t="shared" si="100"/>
        <v>0.11</v>
      </c>
      <c r="AF341" s="13" t="s">
        <v>446</v>
      </c>
      <c r="AG341" s="13"/>
      <c r="AH341" s="13" t="s">
        <v>445</v>
      </c>
      <c r="AI341" s="14">
        <f t="shared" si="93"/>
        <v>150</v>
      </c>
      <c r="AJ341" s="14" t="str">
        <f t="shared" si="94"/>
        <v>烈风螳螂碎片</v>
      </c>
      <c r="AK341" s="13">
        <f t="shared" si="95"/>
        <v>10</v>
      </c>
    </row>
    <row r="342" spans="25:37" ht="16.5" x14ac:dyDescent="0.2">
      <c r="Y342" s="13">
        <v>307</v>
      </c>
      <c r="Z342" s="13">
        <f t="shared" si="96"/>
        <v>1501021</v>
      </c>
      <c r="AA342" s="14" t="str">
        <f t="shared" si="97"/>
        <v>烈风螳螂</v>
      </c>
      <c r="AB342" s="13">
        <f t="shared" si="92"/>
        <v>7</v>
      </c>
      <c r="AC342" s="14" t="str">
        <f t="shared" si="98"/>
        <v/>
      </c>
      <c r="AD342" s="14" t="str">
        <f t="shared" si="99"/>
        <v>Crit</v>
      </c>
      <c r="AE342" s="14">
        <f t="shared" si="100"/>
        <v>0.11</v>
      </c>
      <c r="AF342" s="13" t="s">
        <v>446</v>
      </c>
      <c r="AG342" s="13"/>
      <c r="AH342" s="13" t="s">
        <v>445</v>
      </c>
      <c r="AI342" s="14">
        <f t="shared" si="93"/>
        <v>200</v>
      </c>
      <c r="AJ342" s="14" t="str">
        <f t="shared" si="94"/>
        <v>烈风螳螂碎片</v>
      </c>
      <c r="AK342" s="13">
        <f t="shared" si="95"/>
        <v>10</v>
      </c>
    </row>
    <row r="343" spans="25:37" ht="16.5" x14ac:dyDescent="0.2">
      <c r="Y343" s="13">
        <v>308</v>
      </c>
      <c r="Z343" s="13">
        <f t="shared" si="96"/>
        <v>1501021</v>
      </c>
      <c r="AA343" s="14" t="str">
        <f t="shared" si="97"/>
        <v>烈风螳螂</v>
      </c>
      <c r="AB343" s="13">
        <f t="shared" si="92"/>
        <v>8</v>
      </c>
      <c r="AC343" s="14" t="str">
        <f t="shared" si="98"/>
        <v/>
      </c>
      <c r="AD343" s="14" t="str">
        <f t="shared" si="99"/>
        <v>DefRate</v>
      </c>
      <c r="AE343" s="14">
        <f t="shared" si="100"/>
        <v>0.11</v>
      </c>
      <c r="AF343" s="13" t="s">
        <v>446</v>
      </c>
      <c r="AG343" s="13"/>
      <c r="AH343" s="13" t="s">
        <v>445</v>
      </c>
      <c r="AI343" s="14">
        <f t="shared" si="93"/>
        <v>250</v>
      </c>
      <c r="AJ343" s="14" t="str">
        <f t="shared" si="94"/>
        <v>烈风螳螂碎片</v>
      </c>
      <c r="AK343" s="13">
        <f t="shared" si="95"/>
        <v>20</v>
      </c>
    </row>
    <row r="344" spans="25:37" ht="16.5" x14ac:dyDescent="0.2">
      <c r="Y344" s="13">
        <v>309</v>
      </c>
      <c r="Z344" s="13">
        <f t="shared" si="96"/>
        <v>1501021</v>
      </c>
      <c r="AA344" s="14" t="str">
        <f t="shared" si="97"/>
        <v>烈风螳螂</v>
      </c>
      <c r="AB344" s="13">
        <f t="shared" si="92"/>
        <v>9</v>
      </c>
      <c r="AC344" s="14" t="str">
        <f t="shared" si="98"/>
        <v/>
      </c>
      <c r="AD344" s="14" t="str">
        <f t="shared" si="99"/>
        <v>AtkRate</v>
      </c>
      <c r="AE344" s="14">
        <f t="shared" si="100"/>
        <v>0.11</v>
      </c>
      <c r="AF344" s="13" t="s">
        <v>446</v>
      </c>
      <c r="AG344" s="13"/>
      <c r="AH344" s="13" t="s">
        <v>445</v>
      </c>
      <c r="AI344" s="14">
        <f t="shared" si="93"/>
        <v>300</v>
      </c>
      <c r="AJ344" s="14" t="str">
        <f t="shared" si="94"/>
        <v>烈风螳螂碎片</v>
      </c>
      <c r="AK344" s="13">
        <f t="shared" si="95"/>
        <v>20</v>
      </c>
    </row>
    <row r="345" spans="25:37" ht="16.5" x14ac:dyDescent="0.2">
      <c r="Y345" s="13">
        <v>310</v>
      </c>
      <c r="Z345" s="13">
        <f t="shared" si="96"/>
        <v>1501021</v>
      </c>
      <c r="AA345" s="14" t="str">
        <f t="shared" si="97"/>
        <v>烈风螳螂</v>
      </c>
      <c r="AB345" s="13">
        <f t="shared" si="92"/>
        <v>10</v>
      </c>
      <c r="AC345" s="14" t="str">
        <f t="shared" si="98"/>
        <v/>
      </c>
      <c r="AD345" s="14" t="str">
        <f t="shared" si="99"/>
        <v>AtkRate</v>
      </c>
      <c r="AE345" s="14">
        <f t="shared" si="100"/>
        <v>0.14000000000000001</v>
      </c>
      <c r="AF345" s="13" t="s">
        <v>446</v>
      </c>
      <c r="AG345" s="13"/>
      <c r="AH345" s="13" t="s">
        <v>445</v>
      </c>
      <c r="AI345" s="14">
        <f t="shared" si="93"/>
        <v>400</v>
      </c>
      <c r="AJ345" s="14" t="str">
        <f t="shared" si="94"/>
        <v>烈风螳螂碎片</v>
      </c>
      <c r="AK345" s="13">
        <f t="shared" si="95"/>
        <v>20</v>
      </c>
    </row>
    <row r="346" spans="25:37" ht="16.5" x14ac:dyDescent="0.2">
      <c r="Y346" s="13">
        <v>311</v>
      </c>
      <c r="Z346" s="13">
        <f t="shared" si="96"/>
        <v>1501021</v>
      </c>
      <c r="AA346" s="14" t="str">
        <f t="shared" si="97"/>
        <v>烈风螳螂</v>
      </c>
      <c r="AB346" s="13">
        <f t="shared" si="92"/>
        <v>11</v>
      </c>
      <c r="AC346" s="14" t="str">
        <f t="shared" si="98"/>
        <v/>
      </c>
      <c r="AD346" s="14" t="str">
        <f t="shared" si="99"/>
        <v>HPRate</v>
      </c>
      <c r="AE346" s="14">
        <f t="shared" si="100"/>
        <v>0.14000000000000001</v>
      </c>
      <c r="AF346" s="13" t="s">
        <v>446</v>
      </c>
      <c r="AG346" s="13"/>
      <c r="AH346" s="13" t="s">
        <v>445</v>
      </c>
      <c r="AI346" s="14">
        <f t="shared" si="93"/>
        <v>500</v>
      </c>
      <c r="AJ346" s="14" t="str">
        <f t="shared" si="94"/>
        <v>烈风螳螂碎片</v>
      </c>
      <c r="AK346" s="13">
        <f t="shared" si="95"/>
        <v>30</v>
      </c>
    </row>
    <row r="347" spans="25:37" ht="16.5" x14ac:dyDescent="0.2">
      <c r="Y347" s="13">
        <v>312</v>
      </c>
      <c r="Z347" s="13">
        <f t="shared" si="96"/>
        <v>1501021</v>
      </c>
      <c r="AA347" s="14" t="str">
        <f t="shared" si="97"/>
        <v>烈风螳螂</v>
      </c>
      <c r="AB347" s="13">
        <f t="shared" si="92"/>
        <v>12</v>
      </c>
      <c r="AC347" s="14" t="str">
        <f t="shared" si="98"/>
        <v/>
      </c>
      <c r="AD347" s="14" t="str">
        <f t="shared" si="99"/>
        <v>AtkRate</v>
      </c>
      <c r="AE347" s="14">
        <f t="shared" si="100"/>
        <v>0.14000000000000001</v>
      </c>
      <c r="AF347" s="13" t="s">
        <v>446</v>
      </c>
      <c r="AG347" s="13"/>
      <c r="AH347" s="13" t="s">
        <v>445</v>
      </c>
      <c r="AI347" s="14">
        <f t="shared" si="93"/>
        <v>600</v>
      </c>
      <c r="AJ347" s="14" t="str">
        <f t="shared" si="94"/>
        <v>烈风螳螂碎片</v>
      </c>
      <c r="AK347" s="13">
        <f t="shared" si="95"/>
        <v>30</v>
      </c>
    </row>
    <row r="348" spans="25:37" ht="16.5" x14ac:dyDescent="0.2">
      <c r="Y348" s="13">
        <v>313</v>
      </c>
      <c r="Z348" s="13">
        <f t="shared" si="96"/>
        <v>1501021</v>
      </c>
      <c r="AA348" s="14" t="str">
        <f t="shared" si="97"/>
        <v>烈风螳螂</v>
      </c>
      <c r="AB348" s="13">
        <f t="shared" si="92"/>
        <v>13</v>
      </c>
      <c r="AC348" s="14" t="str">
        <f t="shared" si="98"/>
        <v/>
      </c>
      <c r="AD348" s="14" t="str">
        <f t="shared" si="99"/>
        <v>Crit</v>
      </c>
      <c r="AE348" s="14">
        <f t="shared" si="100"/>
        <v>0.14000000000000001</v>
      </c>
      <c r="AF348" s="13" t="s">
        <v>446</v>
      </c>
      <c r="AG348" s="13"/>
      <c r="AH348" s="13" t="s">
        <v>445</v>
      </c>
      <c r="AI348" s="14">
        <f t="shared" si="93"/>
        <v>700</v>
      </c>
      <c r="AJ348" s="14" t="str">
        <f t="shared" si="94"/>
        <v>烈风螳螂碎片</v>
      </c>
      <c r="AK348" s="13">
        <f t="shared" si="95"/>
        <v>30</v>
      </c>
    </row>
    <row r="349" spans="25:37" ht="16.5" x14ac:dyDescent="0.2">
      <c r="Y349" s="13">
        <v>314</v>
      </c>
      <c r="Z349" s="13">
        <f t="shared" si="96"/>
        <v>1501021</v>
      </c>
      <c r="AA349" s="14" t="str">
        <f t="shared" si="97"/>
        <v>烈风螳螂</v>
      </c>
      <c r="AB349" s="13">
        <f t="shared" si="92"/>
        <v>14</v>
      </c>
      <c r="AC349" s="14" t="str">
        <f t="shared" si="98"/>
        <v/>
      </c>
      <c r="AD349" s="14" t="str">
        <f t="shared" si="99"/>
        <v>DefRate</v>
      </c>
      <c r="AE349" s="14">
        <f t="shared" si="100"/>
        <v>0.14000000000000001</v>
      </c>
      <c r="AF349" s="13" t="s">
        <v>446</v>
      </c>
      <c r="AG349" s="13"/>
      <c r="AH349" s="13" t="s">
        <v>445</v>
      </c>
      <c r="AI349" s="14">
        <f t="shared" si="93"/>
        <v>800</v>
      </c>
      <c r="AJ349" s="14" t="str">
        <f t="shared" si="94"/>
        <v>烈风螳螂碎片</v>
      </c>
      <c r="AK349" s="13">
        <f t="shared" si="95"/>
        <v>50</v>
      </c>
    </row>
    <row r="350" spans="25:37" ht="16.5" x14ac:dyDescent="0.2">
      <c r="Y350" s="13">
        <v>315</v>
      </c>
      <c r="Z350" s="13">
        <f t="shared" si="96"/>
        <v>1501021</v>
      </c>
      <c r="AA350" s="14" t="str">
        <f t="shared" si="97"/>
        <v>烈风螳螂</v>
      </c>
      <c r="AB350" s="13">
        <f t="shared" si="92"/>
        <v>15</v>
      </c>
      <c r="AC350" s="14" t="str">
        <f t="shared" si="98"/>
        <v/>
      </c>
      <c r="AD350" s="14" t="str">
        <f t="shared" si="99"/>
        <v>AtkRate</v>
      </c>
      <c r="AE350" s="14">
        <f t="shared" si="100"/>
        <v>0.14000000000000001</v>
      </c>
      <c r="AF350" s="13" t="s">
        <v>446</v>
      </c>
      <c r="AG350" s="13"/>
      <c r="AH350" s="13" t="s">
        <v>445</v>
      </c>
      <c r="AI350" s="14">
        <f t="shared" si="93"/>
        <v>1000</v>
      </c>
      <c r="AJ350" s="14" t="str">
        <f t="shared" si="94"/>
        <v>烈风螳螂碎片</v>
      </c>
      <c r="AK350" s="13">
        <f t="shared" si="95"/>
        <v>60</v>
      </c>
    </row>
  </sheetData>
  <mergeCells count="3">
    <mergeCell ref="A2:C2"/>
    <mergeCell ref="A34:J34"/>
    <mergeCell ref="Y34:AK34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29"/>
  <sheetViews>
    <sheetView topLeftCell="B1" workbookViewId="0">
      <selection activeCell="P22" sqref="P22"/>
    </sheetView>
  </sheetViews>
  <sheetFormatPr defaultRowHeight="14.25" x14ac:dyDescent="0.2"/>
  <cols>
    <col min="1" max="1" width="9" style="20"/>
    <col min="2" max="2" width="22.25" customWidth="1"/>
    <col min="3" max="3" width="16" style="20" customWidth="1"/>
    <col min="4" max="4" width="12.625" customWidth="1"/>
    <col min="5" max="5" width="16.125" style="20" customWidth="1"/>
    <col min="6" max="6" width="11.125" customWidth="1"/>
    <col min="7" max="7" width="13.125" customWidth="1"/>
    <col min="8" max="8" width="10.375" customWidth="1"/>
    <col min="9" max="9" width="11.75" customWidth="1"/>
    <col min="10" max="10" width="10.75" customWidth="1"/>
    <col min="16" max="16" width="10.625" customWidth="1"/>
    <col min="17" max="19" width="10.625" style="20" customWidth="1"/>
    <col min="20" max="20" width="10.875" customWidth="1"/>
  </cols>
  <sheetData>
    <row r="3" spans="1:20" s="20" customFormat="1" ht="20.25" x14ac:dyDescent="0.2">
      <c r="C3" s="63" t="s">
        <v>499</v>
      </c>
      <c r="D3" s="63"/>
      <c r="E3" s="63"/>
      <c r="F3" s="63"/>
      <c r="G3" s="63" t="s">
        <v>500</v>
      </c>
      <c r="H3" s="63"/>
      <c r="I3" s="63"/>
      <c r="J3" s="63"/>
    </row>
    <row r="4" spans="1:20" ht="17.25" x14ac:dyDescent="0.2">
      <c r="A4" s="22" t="s">
        <v>496</v>
      </c>
      <c r="B4" s="22" t="s">
        <v>476</v>
      </c>
      <c r="C4" s="22" t="s">
        <v>497</v>
      </c>
      <c r="D4" s="22" t="s">
        <v>498</v>
      </c>
      <c r="E4" s="22" t="s">
        <v>497</v>
      </c>
      <c r="F4" s="22" t="s">
        <v>498</v>
      </c>
      <c r="G4" s="22" t="s">
        <v>497</v>
      </c>
      <c r="H4" s="22" t="s">
        <v>498</v>
      </c>
      <c r="I4" s="22" t="s">
        <v>497</v>
      </c>
      <c r="J4" s="22" t="s">
        <v>498</v>
      </c>
      <c r="P4" s="12" t="s">
        <v>518</v>
      </c>
      <c r="Q4" s="12" t="s">
        <v>505</v>
      </c>
      <c r="R4" s="12" t="s">
        <v>519</v>
      </c>
      <c r="S4" s="12" t="s">
        <v>506</v>
      </c>
      <c r="T4" s="12" t="s">
        <v>503</v>
      </c>
    </row>
    <row r="5" spans="1:20" ht="16.5" x14ac:dyDescent="0.2">
      <c r="A5" s="13">
        <v>1</v>
      </c>
      <c r="B5" s="21" t="s">
        <v>266</v>
      </c>
      <c r="C5" s="13" t="s">
        <v>504</v>
      </c>
      <c r="D5" s="28">
        <v>0.12</v>
      </c>
      <c r="E5" s="13"/>
      <c r="F5" s="13"/>
      <c r="G5" s="13" t="s">
        <v>504</v>
      </c>
      <c r="H5" s="28">
        <v>0.2</v>
      </c>
      <c r="I5" s="13"/>
      <c r="J5" s="13"/>
      <c r="L5" t="s">
        <v>535</v>
      </c>
      <c r="O5" s="15" t="s">
        <v>501</v>
      </c>
      <c r="P5" s="28">
        <v>0.12</v>
      </c>
      <c r="Q5" s="28">
        <v>0.25</v>
      </c>
      <c r="R5" s="28">
        <v>0.12</v>
      </c>
      <c r="S5" s="28">
        <v>0.2</v>
      </c>
      <c r="T5" s="28">
        <v>0.06</v>
      </c>
    </row>
    <row r="6" spans="1:20" ht="16.5" x14ac:dyDescent="0.2">
      <c r="A6" s="13">
        <v>2</v>
      </c>
      <c r="B6" s="21" t="s">
        <v>268</v>
      </c>
      <c r="C6" s="13" t="s">
        <v>507</v>
      </c>
      <c r="D6" s="28">
        <v>0.25</v>
      </c>
      <c r="E6" s="13"/>
      <c r="F6" s="13"/>
      <c r="G6" s="13" t="s">
        <v>507</v>
      </c>
      <c r="H6" s="28">
        <v>0.5</v>
      </c>
      <c r="I6" s="13"/>
      <c r="J6" s="13"/>
      <c r="L6" t="s">
        <v>534</v>
      </c>
      <c r="O6" s="15" t="s">
        <v>502</v>
      </c>
      <c r="P6" s="28">
        <v>0.2</v>
      </c>
      <c r="Q6" s="28">
        <v>0.5</v>
      </c>
      <c r="R6" s="28">
        <v>0.2</v>
      </c>
      <c r="S6" s="28">
        <v>0.4</v>
      </c>
      <c r="T6" s="28">
        <v>0.12</v>
      </c>
    </row>
    <row r="7" spans="1:20" ht="16.5" x14ac:dyDescent="0.2">
      <c r="A7" s="13">
        <v>3</v>
      </c>
      <c r="B7" s="21" t="s">
        <v>486</v>
      </c>
      <c r="C7" s="13" t="s">
        <v>508</v>
      </c>
      <c r="D7" s="28">
        <v>0.12</v>
      </c>
      <c r="E7" s="13"/>
      <c r="F7" s="13"/>
      <c r="G7" s="13" t="s">
        <v>508</v>
      </c>
      <c r="H7" s="28">
        <v>0.2</v>
      </c>
      <c r="I7" s="13"/>
      <c r="J7" s="13"/>
      <c r="L7" t="s">
        <v>536</v>
      </c>
    </row>
    <row r="8" spans="1:20" ht="16.5" x14ac:dyDescent="0.2">
      <c r="A8" s="13">
        <v>4</v>
      </c>
      <c r="B8" s="21" t="s">
        <v>82</v>
      </c>
      <c r="C8" s="21" t="s">
        <v>509</v>
      </c>
      <c r="D8" s="28">
        <v>0.12</v>
      </c>
      <c r="E8" s="13"/>
      <c r="F8" s="13"/>
      <c r="G8" s="21" t="s">
        <v>509</v>
      </c>
      <c r="H8" s="28">
        <v>0.2</v>
      </c>
      <c r="I8" s="13"/>
      <c r="J8" s="13"/>
      <c r="L8" t="s">
        <v>537</v>
      </c>
    </row>
    <row r="9" spans="1:20" ht="16.5" x14ac:dyDescent="0.2">
      <c r="A9" s="13">
        <v>5</v>
      </c>
      <c r="B9" s="21" t="s">
        <v>477</v>
      </c>
      <c r="C9" s="13" t="s">
        <v>510</v>
      </c>
      <c r="D9" s="28">
        <v>0.12</v>
      </c>
      <c r="E9" s="13"/>
      <c r="F9" s="13"/>
      <c r="G9" s="13" t="s">
        <v>510</v>
      </c>
      <c r="H9" s="28">
        <v>0.2</v>
      </c>
      <c r="I9" s="13"/>
      <c r="J9" s="13"/>
    </row>
    <row r="10" spans="1:20" ht="16.5" x14ac:dyDescent="0.2">
      <c r="A10" s="13">
        <v>6</v>
      </c>
      <c r="B10" s="21" t="s">
        <v>487</v>
      </c>
      <c r="C10" s="13" t="s">
        <v>512</v>
      </c>
      <c r="D10" s="28">
        <v>0.25</v>
      </c>
      <c r="E10" s="13"/>
      <c r="F10" s="13"/>
      <c r="G10" s="13" t="s">
        <v>511</v>
      </c>
      <c r="H10" s="28">
        <v>0.25</v>
      </c>
      <c r="I10" s="13"/>
      <c r="J10" s="13"/>
    </row>
    <row r="11" spans="1:20" ht="16.5" x14ac:dyDescent="0.2">
      <c r="A11" s="13">
        <v>7</v>
      </c>
      <c r="B11" s="21" t="s">
        <v>478</v>
      </c>
      <c r="C11" s="21" t="s">
        <v>513</v>
      </c>
      <c r="D11" s="28">
        <v>0.12</v>
      </c>
      <c r="E11" s="13"/>
      <c r="F11" s="13"/>
      <c r="G11" s="21" t="s">
        <v>513</v>
      </c>
      <c r="H11" s="28">
        <v>0.2</v>
      </c>
      <c r="I11" s="13"/>
      <c r="J11" s="13"/>
    </row>
    <row r="12" spans="1:20" ht="16.5" x14ac:dyDescent="0.2">
      <c r="A12" s="13">
        <v>8</v>
      </c>
      <c r="B12" s="21" t="s">
        <v>267</v>
      </c>
      <c r="C12" s="13" t="s">
        <v>54</v>
      </c>
      <c r="D12" s="28">
        <v>0.2</v>
      </c>
      <c r="E12" s="13"/>
      <c r="F12" s="13"/>
      <c r="G12" s="13" t="s">
        <v>54</v>
      </c>
      <c r="H12" s="28">
        <v>0.4</v>
      </c>
      <c r="I12" s="13"/>
      <c r="J12" s="13"/>
    </row>
    <row r="13" spans="1:20" ht="16.5" x14ac:dyDescent="0.2">
      <c r="A13" s="13">
        <v>9</v>
      </c>
      <c r="B13" s="21" t="s">
        <v>479</v>
      </c>
      <c r="C13" s="21" t="s">
        <v>514</v>
      </c>
      <c r="D13" s="28">
        <v>0.2</v>
      </c>
      <c r="E13" s="13"/>
      <c r="F13" s="13"/>
      <c r="G13" s="21" t="s">
        <v>514</v>
      </c>
      <c r="H13" s="28">
        <v>0.4</v>
      </c>
      <c r="I13" s="13"/>
      <c r="J13" s="13"/>
    </row>
    <row r="14" spans="1:20" ht="16.5" x14ac:dyDescent="0.2">
      <c r="A14" s="13">
        <v>10</v>
      </c>
      <c r="B14" s="21" t="s">
        <v>480</v>
      </c>
      <c r="C14" s="13" t="s">
        <v>515</v>
      </c>
      <c r="D14" s="28">
        <v>0.12</v>
      </c>
      <c r="E14" s="13"/>
      <c r="F14" s="13"/>
      <c r="G14" s="13" t="s">
        <v>515</v>
      </c>
      <c r="H14" s="28">
        <v>0.2</v>
      </c>
      <c r="I14" s="13"/>
      <c r="J14" s="13"/>
    </row>
    <row r="15" spans="1:20" ht="16.5" x14ac:dyDescent="0.2">
      <c r="A15" s="13">
        <v>11</v>
      </c>
      <c r="B15" s="21" t="s">
        <v>481</v>
      </c>
      <c r="C15" s="13" t="s">
        <v>516</v>
      </c>
      <c r="D15" s="28">
        <v>0.12</v>
      </c>
      <c r="E15" s="13"/>
      <c r="F15" s="13"/>
      <c r="G15" s="13" t="s">
        <v>516</v>
      </c>
      <c r="H15" s="28">
        <v>0.2</v>
      </c>
      <c r="I15" s="13"/>
      <c r="J15" s="13"/>
    </row>
    <row r="16" spans="1:20" ht="16.5" x14ac:dyDescent="0.2">
      <c r="A16" s="13">
        <v>12</v>
      </c>
      <c r="B16" s="21" t="s">
        <v>482</v>
      </c>
      <c r="C16" s="13" t="s">
        <v>517</v>
      </c>
      <c r="D16" s="28">
        <v>0.12</v>
      </c>
      <c r="E16" s="13"/>
      <c r="F16" s="13"/>
      <c r="G16" s="13" t="s">
        <v>517</v>
      </c>
      <c r="H16" s="28">
        <v>0.2</v>
      </c>
      <c r="I16" s="13"/>
      <c r="J16" s="13"/>
    </row>
    <row r="17" spans="1:10" ht="16.5" x14ac:dyDescent="0.2">
      <c r="A17" s="13">
        <v>13</v>
      </c>
      <c r="B17" s="21" t="s">
        <v>488</v>
      </c>
      <c r="C17" s="13" t="s">
        <v>520</v>
      </c>
      <c r="D17" s="13">
        <v>1</v>
      </c>
      <c r="E17" s="13"/>
      <c r="F17" s="13"/>
      <c r="G17" s="13" t="s">
        <v>520</v>
      </c>
      <c r="H17" s="13">
        <v>2</v>
      </c>
      <c r="I17" s="13"/>
      <c r="J17" s="13"/>
    </row>
    <row r="18" spans="1:10" ht="16.5" x14ac:dyDescent="0.2">
      <c r="A18" s="13">
        <v>14</v>
      </c>
      <c r="B18" s="21" t="s">
        <v>489</v>
      </c>
      <c r="C18" s="13" t="s">
        <v>521</v>
      </c>
      <c r="D18" s="13">
        <v>1</v>
      </c>
      <c r="E18" s="13"/>
      <c r="F18" s="13"/>
      <c r="G18" s="13" t="s">
        <v>521</v>
      </c>
      <c r="H18" s="13">
        <v>2</v>
      </c>
      <c r="I18" s="13"/>
      <c r="J18" s="13"/>
    </row>
    <row r="19" spans="1:10" ht="16.5" x14ac:dyDescent="0.2">
      <c r="A19" s="13">
        <v>15</v>
      </c>
      <c r="B19" s="21" t="s">
        <v>483</v>
      </c>
      <c r="C19" s="13" t="s">
        <v>522</v>
      </c>
      <c r="D19" s="13">
        <v>1</v>
      </c>
      <c r="E19" s="13"/>
      <c r="F19" s="13"/>
      <c r="G19" s="13" t="s">
        <v>522</v>
      </c>
      <c r="H19" s="13">
        <v>2</v>
      </c>
      <c r="I19" s="13"/>
      <c r="J19" s="13"/>
    </row>
    <row r="20" spans="1:10" ht="16.5" x14ac:dyDescent="0.2">
      <c r="A20" s="13">
        <v>16</v>
      </c>
      <c r="B20" s="21" t="s">
        <v>490</v>
      </c>
      <c r="C20" s="13" t="s">
        <v>523</v>
      </c>
      <c r="D20" s="13">
        <v>2</v>
      </c>
      <c r="E20" s="28">
        <v>0.25</v>
      </c>
      <c r="F20" s="13"/>
      <c r="G20" s="13" t="s">
        <v>523</v>
      </c>
      <c r="H20" s="13">
        <v>3</v>
      </c>
      <c r="I20" s="28">
        <v>0.35</v>
      </c>
      <c r="J20" s="13"/>
    </row>
    <row r="21" spans="1:10" ht="16.5" x14ac:dyDescent="0.2">
      <c r="A21" s="13">
        <v>17</v>
      </c>
      <c r="B21" s="21" t="s">
        <v>525</v>
      </c>
      <c r="C21" s="13"/>
      <c r="D21" s="28">
        <v>0.3</v>
      </c>
      <c r="E21" s="13"/>
      <c r="F21" s="13"/>
      <c r="G21" s="13"/>
      <c r="H21" s="28">
        <v>0.5</v>
      </c>
      <c r="I21" s="13"/>
      <c r="J21" s="13"/>
    </row>
    <row r="22" spans="1:10" ht="16.5" x14ac:dyDescent="0.2">
      <c r="A22" s="13">
        <v>18</v>
      </c>
      <c r="B22" s="21" t="s">
        <v>524</v>
      </c>
      <c r="C22" s="13" t="s">
        <v>517</v>
      </c>
      <c r="D22" s="28">
        <v>0.06</v>
      </c>
      <c r="E22" s="13"/>
      <c r="F22" s="13"/>
      <c r="G22" s="13" t="s">
        <v>517</v>
      </c>
      <c r="H22" s="28">
        <v>0.1</v>
      </c>
      <c r="I22" s="13"/>
      <c r="J22" s="13"/>
    </row>
    <row r="23" spans="1:10" ht="21.75" customHeight="1" x14ac:dyDescent="0.2">
      <c r="A23" s="13">
        <v>19</v>
      </c>
      <c r="B23" s="21" t="s">
        <v>491</v>
      </c>
      <c r="C23" s="13" t="s">
        <v>526</v>
      </c>
      <c r="D23" s="28">
        <v>-0.2</v>
      </c>
      <c r="E23" s="13" t="s">
        <v>527</v>
      </c>
      <c r="F23" s="28">
        <v>-0.3</v>
      </c>
      <c r="G23" s="13" t="s">
        <v>526</v>
      </c>
      <c r="H23" s="28">
        <v>-0.2</v>
      </c>
      <c r="I23" s="13" t="s">
        <v>527</v>
      </c>
      <c r="J23" s="28">
        <v>-0.4</v>
      </c>
    </row>
    <row r="24" spans="1:10" ht="16.5" x14ac:dyDescent="0.2">
      <c r="A24" s="13">
        <v>20</v>
      </c>
      <c r="B24" s="21" t="s">
        <v>484</v>
      </c>
      <c r="C24" s="13" t="s">
        <v>528</v>
      </c>
      <c r="D24" s="28">
        <v>-0.2</v>
      </c>
      <c r="E24" s="13" t="s">
        <v>529</v>
      </c>
      <c r="F24" s="28">
        <v>0.25</v>
      </c>
      <c r="G24" s="13" t="s">
        <v>528</v>
      </c>
      <c r="H24" s="28">
        <v>-0.2</v>
      </c>
      <c r="I24" s="13" t="s">
        <v>529</v>
      </c>
      <c r="J24" s="28">
        <v>0.35</v>
      </c>
    </row>
    <row r="25" spans="1:10" ht="16.5" x14ac:dyDescent="0.2">
      <c r="A25" s="13">
        <v>21</v>
      </c>
      <c r="B25" s="21" t="s">
        <v>485</v>
      </c>
      <c r="C25" s="13" t="s">
        <v>530</v>
      </c>
      <c r="D25" s="28">
        <v>0.06</v>
      </c>
      <c r="E25" s="13" t="s">
        <v>531</v>
      </c>
      <c r="F25" s="28">
        <v>0.06</v>
      </c>
      <c r="G25" s="13" t="s">
        <v>530</v>
      </c>
      <c r="H25" s="28">
        <v>0.12</v>
      </c>
      <c r="I25" s="13" t="s">
        <v>531</v>
      </c>
      <c r="J25" s="28">
        <v>0.12</v>
      </c>
    </row>
    <row r="26" spans="1:10" ht="16.5" x14ac:dyDescent="0.2">
      <c r="A26" s="13">
        <v>22</v>
      </c>
      <c r="B26" s="21" t="s">
        <v>492</v>
      </c>
      <c r="C26" s="13" t="s">
        <v>517</v>
      </c>
      <c r="D26" s="28">
        <v>0.06</v>
      </c>
      <c r="E26" s="13" t="s">
        <v>532</v>
      </c>
      <c r="F26" s="28">
        <v>0.06</v>
      </c>
      <c r="G26" s="13" t="s">
        <v>517</v>
      </c>
      <c r="H26" s="28">
        <v>0.12</v>
      </c>
      <c r="I26" s="13" t="s">
        <v>532</v>
      </c>
      <c r="J26" s="28">
        <v>0.12</v>
      </c>
    </row>
    <row r="27" spans="1:10" ht="16.5" x14ac:dyDescent="0.2">
      <c r="A27" s="13">
        <v>23</v>
      </c>
      <c r="B27" s="21" t="s">
        <v>493</v>
      </c>
      <c r="C27" s="13" t="s">
        <v>529</v>
      </c>
      <c r="D27" s="13"/>
      <c r="E27" s="13" t="s">
        <v>533</v>
      </c>
      <c r="F27" s="13"/>
      <c r="G27" s="13"/>
      <c r="H27" s="13"/>
      <c r="I27" s="13"/>
      <c r="J27" s="13"/>
    </row>
    <row r="28" spans="1:10" ht="16.5" x14ac:dyDescent="0.2">
      <c r="A28" s="13">
        <v>24</v>
      </c>
      <c r="B28" s="21" t="s">
        <v>494</v>
      </c>
      <c r="C28" s="13"/>
      <c r="D28" s="13"/>
      <c r="E28" s="13"/>
      <c r="F28" s="13"/>
      <c r="G28" s="13"/>
      <c r="H28" s="13"/>
      <c r="I28" s="13"/>
      <c r="J28" s="13"/>
    </row>
    <row r="29" spans="1:10" ht="16.5" x14ac:dyDescent="0.2">
      <c r="A29" s="13">
        <v>25</v>
      </c>
      <c r="B29" s="21" t="s">
        <v>495</v>
      </c>
      <c r="C29" s="13"/>
      <c r="D29" s="13"/>
      <c r="E29" s="13"/>
      <c r="F29" s="13"/>
      <c r="G29" s="13"/>
      <c r="H29" s="13"/>
      <c r="I29" s="13"/>
      <c r="J29" s="13"/>
    </row>
  </sheetData>
  <mergeCells count="2">
    <mergeCell ref="C3:F3"/>
    <mergeCell ref="G3:J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文档说明</vt:lpstr>
      <vt:lpstr>属性表</vt:lpstr>
      <vt:lpstr>新属性投放</vt:lpstr>
      <vt:lpstr>属性投放</vt:lpstr>
      <vt:lpstr>职业属性倾向</vt:lpstr>
      <vt:lpstr>卡牌属性</vt:lpstr>
      <vt:lpstr>新神器</vt:lpstr>
      <vt:lpstr>专属武器</vt:lpstr>
      <vt:lpstr>洗练技能</vt:lpstr>
      <vt:lpstr>属性汇总</vt:lpstr>
      <vt:lpstr>装备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2019-08-07T02:44:14Z</dcterms:modified>
</cp:coreProperties>
</file>